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Default Extension="vml" ContentType="application/vnd.openxmlformats-officedocument.vmlDrawing"/>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0"/>
  </bookViews>
  <sheets>
    <sheet name="Schedule 1 Water Co. DCF" sheetId="1" r:id="rId1"/>
    <sheet name="Schedule 2 LDC DCF" sheetId="2" r:id="rId2"/>
    <sheet name="Schedule 3 Ex Ante Risk Premium" sheetId="3" r:id="rId3"/>
    <sheet name="Gas Ex Ante DCF" sheetId="4" r:id="rId4"/>
    <sheet name="Gas Regress Data" sheetId="5" r:id="rId5"/>
    <sheet name="Gas Siimple Regression" sheetId="6" r:id="rId6"/>
    <sheet name="Gas Multiple Regression" sheetId="7" r:id="rId7"/>
    <sheet name="Gas Adjusted Regression" sheetId="8" r:id="rId8"/>
    <sheet name="Interest Rate Forecasts" sheetId="9" r:id="rId9"/>
    <sheet name="Schedule 4" sheetId="10" r:id="rId10"/>
    <sheet name="Schedule 5" sheetId="11" r:id="rId11"/>
    <sheet name="Regression SP500 RP" sheetId="12" r:id="rId12"/>
    <sheet name="Regression SPUtilities RP" sheetId="13" r:id="rId13"/>
    <sheet name="Schedule 6" sheetId="14" r:id="rId14"/>
    <sheet name="Schedule 7-Historical CAPM" sheetId="15" r:id="rId15"/>
    <sheet name="Schedules 7,8 Beta" sheetId="16" r:id="rId16"/>
    <sheet name="Schedule 8-DCF CAPM" sheetId="17" r:id="rId17"/>
    <sheet name="Schedule 8 SP500 DCF" sheetId="18" r:id="rId18"/>
    <sheet name="SCHEDULE 9 Cap Struct Proxy Cos" sheetId="19" r:id="rId19"/>
    <sheet name="Table 4 Summary of Results" sheetId="20" r:id="rId20"/>
  </sheets>
  <definedNames>
    <definedName name="_xlnm.Print_Area" localSheetId="7">'Gas Adjusted Regression'!$A$1:$J$29</definedName>
    <definedName name="_xlnm.Print_Area" localSheetId="6">'Gas Multiple Regression'!$A$1:$J$28</definedName>
    <definedName name="_xlnm.Print_Area" localSheetId="5">'Gas Siimple Regression'!$A$1:$J$29</definedName>
    <definedName name="_xlnm.Print_Area" localSheetId="0">'Schedule 1 Water Co. DCF'!$A$1:$AA$21</definedName>
    <definedName name="_xlnm.Print_Area" localSheetId="1">'Schedule 2 LDC DCF'!$A$1:$Y$24</definedName>
    <definedName name="_xlnm.Print_Area" localSheetId="14">'Schedule 7-Historical CAPM'!$A$1:$D$28</definedName>
    <definedName name="_xlnm.Print_Area" localSheetId="17">'Schedule 8 SP500 DCF'!$A$11:$O$191</definedName>
    <definedName name="_xlnm.Print_Area" localSheetId="16">'Schedule 8-DCF CAPM'!$A$2:$D$28</definedName>
    <definedName name="_xlnm.Print_Area" localSheetId="19">'Table 4 Summary of Results'!$A$1:$C$60</definedName>
  </definedNames>
  <calcPr fullCalcOnLoad="1" iterate="1" iterateCount="100" iterateDelta="0.001"/>
</workbook>
</file>

<file path=xl/sharedStrings.xml><?xml version="1.0" encoding="utf-8"?>
<sst xmlns="http://schemas.openxmlformats.org/spreadsheetml/2006/main" count="1350" uniqueCount="792">
  <si>
    <t>Stock price and yield information is obtained from Standard &amp; Poor’s Security Price publication.  Standard &amp; Poor’s derives the stock dividend yield by dividing the aggregate cash dividends (based on the latest known annual rate) by the aggregate market value of the stocks in the group.  The bond price information is obtained by calculating the present value of a bond due in 30 years with a $4.00 coupon and a yield to maturity of a particular year’s indicated Moody’s A‑rated Utility bond yield.  The values shown on Schedules 4 and 5 are the January values of the respective indices.</t>
  </si>
  <si>
    <t>SUMMARY OUTPUT</t>
  </si>
  <si>
    <t>Regression Statistics</t>
  </si>
  <si>
    <t>Multiple R</t>
  </si>
  <si>
    <t>R Square</t>
  </si>
  <si>
    <t>Adjusted R Square</t>
  </si>
  <si>
    <t>Standard Error</t>
  </si>
  <si>
    <t>Observations</t>
  </si>
  <si>
    <t>ANOVA</t>
  </si>
  <si>
    <t>df</t>
  </si>
  <si>
    <t>SS</t>
  </si>
  <si>
    <t>F</t>
  </si>
  <si>
    <t>Significance F</t>
  </si>
  <si>
    <t>Regression</t>
  </si>
  <si>
    <t>Residual</t>
  </si>
  <si>
    <t>Coefficients</t>
  </si>
  <si>
    <t>t Stat</t>
  </si>
  <si>
    <t>P-value</t>
  </si>
  <si>
    <t>Lower 95%</t>
  </si>
  <si>
    <t>Upper 95%</t>
  </si>
  <si>
    <t>Lower 95.0%</t>
  </si>
  <si>
    <t>Upper 95.0%</t>
  </si>
  <si>
    <t>Intercept</t>
  </si>
  <si>
    <t>Regression S&amp;P 500 Risk Premium 1937 - 2006</t>
  </si>
  <si>
    <t>Regression S&amp;P Utilities Risk Premium 1937 - 2006</t>
  </si>
  <si>
    <t>Current dividend per Thomson Financial.</t>
  </si>
  <si>
    <t>Average of the monthly high and low stock prices during the three months ending February 2007 per Thomson Financial.</t>
  </si>
  <si>
    <t>Flotation cost (5%) as a percentage of stock price.</t>
  </si>
  <si>
    <t>g</t>
  </si>
  <si>
    <t>I/B/E/S forecast of future earnings growth February 2007.</t>
  </si>
  <si>
    <t>k</t>
  </si>
  <si>
    <t>Cost of equity using the quarterly version of the DCF model shown below:</t>
  </si>
  <si>
    <r>
      <t>P</t>
    </r>
    <r>
      <rPr>
        <vertAlign val="subscript"/>
        <sz val="8"/>
        <rFont val="Arial Narrow"/>
        <family val="2"/>
      </rPr>
      <t>0</t>
    </r>
  </si>
  <si>
    <r>
      <t>D</t>
    </r>
    <r>
      <rPr>
        <vertAlign val="subscript"/>
        <sz val="8"/>
        <rFont val="Arial Narrow"/>
        <family val="2"/>
      </rPr>
      <t>0</t>
    </r>
  </si>
  <si>
    <r>
      <t>Notes: In applying the DCF model to the S&amp;P 500, I included in the DCF analysis only those companies in the S&amp;P 500 group which pay a dividend, have a positive growth rate, and have at least three analysts’ long-term growth estimates.</t>
    </r>
    <r>
      <rPr>
        <sz val="8"/>
        <color indexed="8"/>
        <rFont val="Arial Narrow"/>
        <family val="2"/>
      </rPr>
      <t xml:space="preserve"> I also eliminated those 25% of companies with the highest and lowest DCF results</t>
    </r>
    <r>
      <rPr>
        <sz val="8"/>
        <rFont val="Arial Narrow"/>
        <family val="2"/>
      </rPr>
      <t>, a decision which had no impact on my CAPM estimate of the cost of equity.</t>
    </r>
  </si>
  <si>
    <r>
      <t>d</t>
    </r>
    <r>
      <rPr>
        <vertAlign val="subscript"/>
        <sz val="9"/>
        <rFont val="Arial Narrow"/>
        <family val="2"/>
      </rPr>
      <t>4</t>
    </r>
  </si>
  <si>
    <r>
      <t>P</t>
    </r>
    <r>
      <rPr>
        <vertAlign val="subscript"/>
        <sz val="9"/>
        <rFont val="Arial Narrow"/>
        <family val="2"/>
      </rPr>
      <t>0</t>
    </r>
  </si>
  <si>
    <t>Schedules 7, 8</t>
  </si>
  <si>
    <t>Comparable Company Betas</t>
  </si>
  <si>
    <t>Interest Rate Forecasts</t>
  </si>
  <si>
    <t>No. of Value Line</t>
  </si>
  <si>
    <t>Value Line Beta</t>
  </si>
  <si>
    <t>d4</t>
  </si>
  <si>
    <r>
      <t>Y</t>
    </r>
    <r>
      <rPr>
        <i/>
        <vertAlign val="subscript"/>
        <sz val="8"/>
        <rFont val="Arial Narrow"/>
        <family val="2"/>
      </rPr>
      <t>t</t>
    </r>
    <r>
      <rPr>
        <i/>
        <sz val="8"/>
        <rFont val="Arial Narrow"/>
        <family val="2"/>
      </rPr>
      <t>=a(1-r)+rY</t>
    </r>
    <r>
      <rPr>
        <i/>
        <vertAlign val="subscript"/>
        <sz val="8"/>
        <rFont val="Arial Narrow"/>
        <family val="2"/>
      </rPr>
      <t>t-1</t>
    </r>
    <r>
      <rPr>
        <i/>
        <sz val="8"/>
        <rFont val="Arial Narrow"/>
        <family val="2"/>
      </rPr>
      <t>+bX</t>
    </r>
    <r>
      <rPr>
        <i/>
        <vertAlign val="subscript"/>
        <sz val="8"/>
        <rFont val="Arial Narrow"/>
        <family val="2"/>
      </rPr>
      <t>t</t>
    </r>
    <r>
      <rPr>
        <i/>
        <sz val="8"/>
        <rFont val="Arial Narrow"/>
        <family val="2"/>
      </rPr>
      <t>-brX</t>
    </r>
    <r>
      <rPr>
        <i/>
        <vertAlign val="subscript"/>
        <sz val="8"/>
        <rFont val="Arial Narrow"/>
        <family val="2"/>
      </rPr>
      <t>t-1</t>
    </r>
    <r>
      <rPr>
        <i/>
        <sz val="8"/>
        <rFont val="Arial Narrow"/>
        <family val="2"/>
      </rPr>
      <t>+e</t>
    </r>
    <r>
      <rPr>
        <i/>
        <vertAlign val="subscript"/>
        <sz val="8"/>
        <rFont val="Arial Narrow"/>
        <family val="2"/>
      </rPr>
      <t>t</t>
    </r>
  </si>
  <si>
    <r>
      <t>RP</t>
    </r>
    <r>
      <rPr>
        <vertAlign val="subscript"/>
        <sz val="8"/>
        <rFont val="Arial Narrow"/>
        <family val="2"/>
      </rPr>
      <t>t</t>
    </r>
    <r>
      <rPr>
        <sz val="8"/>
        <rFont val="Arial Narrow"/>
        <family val="2"/>
      </rPr>
      <t xml:space="preserve"> - .796162 x RP</t>
    </r>
    <r>
      <rPr>
        <vertAlign val="subscript"/>
        <sz val="8"/>
        <rFont val="Arial Narrow"/>
        <family val="2"/>
      </rPr>
      <t>t - 1</t>
    </r>
  </si>
  <si>
    <t>Historical CAPM Water</t>
  </si>
  <si>
    <t>DCF CAPM Water</t>
  </si>
  <si>
    <t>Water Companies</t>
  </si>
  <si>
    <t>Company</t>
  </si>
  <si>
    <t>DIV1</t>
  </si>
  <si>
    <t>DIV2</t>
  </si>
  <si>
    <t>DIV3</t>
  </si>
  <si>
    <t>DIV4</t>
  </si>
  <si>
    <t>d1</t>
  </si>
  <si>
    <t>d2</t>
  </si>
  <si>
    <t>d3</t>
  </si>
  <si>
    <t>3-Mo. Ave. Price</t>
  </si>
  <si>
    <t>Dividend</t>
  </si>
  <si>
    <t>Market Value</t>
  </si>
  <si>
    <t>1+g</t>
  </si>
  <si>
    <t>1+k</t>
  </si>
  <si>
    <t>Preferred Equity</t>
  </si>
  <si>
    <t>Long-Term Debt</t>
  </si>
  <si>
    <t>Total Capital</t>
  </si>
  <si>
    <t>% Equity</t>
  </si>
  <si>
    <t>AGL Resources</t>
  </si>
  <si>
    <t>Atmos Energy</t>
  </si>
  <si>
    <t>Energen Corp.</t>
  </si>
  <si>
    <t>Equitable Resources</t>
  </si>
  <si>
    <t>New Jersey Resources</t>
  </si>
  <si>
    <t>Northwest Nat. Gas</t>
  </si>
  <si>
    <t>UGI</t>
  </si>
  <si>
    <t>WGL Holdings Inc.</t>
  </si>
  <si>
    <t>Market Weighted Average</t>
  </si>
  <si>
    <t>Company Name</t>
  </si>
  <si>
    <t>Ticker</t>
  </si>
  <si>
    <t>Amer. States Water</t>
  </si>
  <si>
    <t>Aqua America</t>
  </si>
  <si>
    <t>California Water</t>
  </si>
  <si>
    <t>ATG</t>
  </si>
  <si>
    <t>ATO</t>
  </si>
  <si>
    <t>EGN</t>
  </si>
  <si>
    <t>KSE</t>
  </si>
  <si>
    <t>NJR</t>
  </si>
  <si>
    <t>GAS</t>
  </si>
  <si>
    <t>NWN</t>
  </si>
  <si>
    <t>PGL</t>
  </si>
  <si>
    <t>WGL</t>
  </si>
  <si>
    <t>EQT</t>
  </si>
  <si>
    <t>Middlesex Water</t>
  </si>
  <si>
    <t>Southwest Water</t>
  </si>
  <si>
    <t>York Water Company</t>
  </si>
  <si>
    <t xml:space="preserve"> Ex Post Risk Premium</t>
  </si>
  <si>
    <t>A-rated</t>
  </si>
  <si>
    <t>Average</t>
  </si>
  <si>
    <t>Risk Premium Utility Stock Index</t>
  </si>
  <si>
    <t>Risk Premium SP500</t>
  </si>
  <si>
    <t>Ex Ante Risk Premium Cost of Equity</t>
  </si>
  <si>
    <t>intercept coefficient/(1-serial correlation coefficient =</t>
  </si>
  <si>
    <t>Cost of Equity</t>
  </si>
  <si>
    <t>Total</t>
  </si>
  <si>
    <t>Short-Term Debt</t>
  </si>
  <si>
    <t>% Short-Term Debt</t>
  </si>
  <si>
    <t>% Long-Term Debt</t>
  </si>
  <si>
    <t>Ave IBES &amp; Value Line</t>
  </si>
  <si>
    <t>Value Line Forecasted EPS Growth</t>
  </si>
  <si>
    <t>KENTUCKY-AMERICAN WATER COMPANY</t>
  </si>
  <si>
    <t>EXHIBIT__(JVW-1)</t>
  </si>
  <si>
    <t>SUMMARY OF DISCOUNTED CASH FLOW ANALYSIS</t>
  </si>
  <si>
    <t>FOR PROXY WATER COMPANY COMPANIES</t>
  </si>
  <si>
    <t>Value Line Safety Rank</t>
  </si>
  <si>
    <t>Market-Weighted Average/Composite</t>
  </si>
  <si>
    <t>AVERAGE CAPITAL STRUCTURE OF PROXY WATER COMPANY GROUP</t>
  </si>
  <si>
    <t>AVERAGE CAPITAL STRUCTURE OF PROXY LDC GROUP</t>
  </si>
  <si>
    <t>Utility</t>
  </si>
  <si>
    <t>Stock</t>
  </si>
  <si>
    <t>Bond</t>
  </si>
  <si>
    <t xml:space="preserve">Stock </t>
  </si>
  <si>
    <t>Rate of</t>
  </si>
  <si>
    <t>Year</t>
  </si>
  <si>
    <t>Price</t>
  </si>
  <si>
    <t>Yield</t>
  </si>
  <si>
    <t>Return</t>
  </si>
  <si>
    <t>Stocks</t>
  </si>
  <si>
    <t>Bonds</t>
  </si>
  <si>
    <t>Risk Premium</t>
  </si>
  <si>
    <t>COMPARATIVE RETURNS ON S&amp;P 500 STOCK INDEX</t>
  </si>
  <si>
    <t>S&amp;P 500</t>
  </si>
  <si>
    <t>COMPARATIVE RETURNS ON S&amp;P UTILITIES STOCK INDEX</t>
  </si>
  <si>
    <t>S&amp;P Utilities Index discontinued December 2001.</t>
  </si>
  <si>
    <t>S&amp;P Replaced Utilities stock index in December 2001 with separate indices for electric and natural gas utilities.</t>
  </si>
  <si>
    <t>#NA</t>
  </si>
  <si>
    <t>SJW</t>
  </si>
  <si>
    <t>12/1/2006 High</t>
  </si>
  <si>
    <t>12/1/2006 Low</t>
  </si>
  <si>
    <t>1/1/2007 High</t>
  </si>
  <si>
    <t>1/1/2007 Low</t>
  </si>
  <si>
    <t>January 2007 I/B/E/S</t>
  </si>
  <si>
    <t>No. of I/B/E/S</t>
  </si>
  <si>
    <t>Market Cap $ (Mil)</t>
  </si>
  <si>
    <t>Beta</t>
  </si>
  <si>
    <t>Safety Rank</t>
  </si>
  <si>
    <t>% Long-term Debt</t>
  </si>
  <si>
    <t>% Preferred</t>
  </si>
  <si>
    <t>Value Line Investment Analyzer</t>
  </si>
  <si>
    <t>C</t>
  </si>
  <si>
    <t>CEG</t>
  </si>
  <si>
    <t>EXC</t>
  </si>
  <si>
    <t>FE</t>
  </si>
  <si>
    <t>PPL</t>
  </si>
  <si>
    <t>PEG</t>
  </si>
  <si>
    <t>National Fuel Gas</t>
  </si>
  <si>
    <t>NFG</t>
  </si>
  <si>
    <t>ONEOK Inc.</t>
  </si>
  <si>
    <t>OKE</t>
  </si>
  <si>
    <t>Piedmont Natural Gas</t>
  </si>
  <si>
    <t>PNY</t>
  </si>
  <si>
    <t>Questar Corp.</t>
  </si>
  <si>
    <t>STR</t>
  </si>
  <si>
    <t>South Jersey Inds.</t>
  </si>
  <si>
    <t>SJI</t>
  </si>
  <si>
    <t>LG</t>
  </si>
  <si>
    <t>CGC</t>
  </si>
  <si>
    <t>SEN</t>
  </si>
  <si>
    <t>Devon Energy</t>
  </si>
  <si>
    <t>DVN</t>
  </si>
  <si>
    <t>EP</t>
  </si>
  <si>
    <t>AA</t>
  </si>
  <si>
    <t>RISK RATINGS</t>
  </si>
  <si>
    <t>OF PROXY GAS COMPANIES</t>
  </si>
  <si>
    <t>S&amp;P U.S. Utility and Power Ranking List</t>
  </si>
  <si>
    <t>Line No.</t>
  </si>
  <si>
    <t>Annual Dividend</t>
  </si>
  <si>
    <t>Growth</t>
  </si>
  <si>
    <t>No. of Estimates</t>
  </si>
  <si>
    <t>Composite</t>
  </si>
  <si>
    <t>Simple Average</t>
  </si>
  <si>
    <t>SUMMARY OF DISCOUNTED CASH FLOW ANALYSIS FOR NTURAL GAS COMPANIES</t>
  </si>
  <si>
    <t>Return 1937--2005</t>
  </si>
  <si>
    <t>Mean Return</t>
  </si>
  <si>
    <t>90% Confidence Level</t>
  </si>
  <si>
    <t>Standard Deviation</t>
  </si>
  <si>
    <t>No. observations</t>
  </si>
  <si>
    <t>Square Root No. Observations</t>
  </si>
  <si>
    <t>=3 / 5</t>
  </si>
  <si>
    <t>=6 x 2</t>
  </si>
  <si>
    <t>=1 + 7</t>
  </si>
  <si>
    <t>=1 - 7</t>
  </si>
  <si>
    <t>Return for 2002 based on S&amp;P electric utilities.</t>
  </si>
  <si>
    <t>Returns for 2002 and following based on electric utilities.</t>
  </si>
  <si>
    <t>S&amp;P Utilities</t>
  </si>
  <si>
    <t>Forecast A-rated Utility Bond Yield</t>
  </si>
  <si>
    <t>Risk Premium Cost of Equity Utilities</t>
  </si>
  <si>
    <t>Risk Premium Cost of Equity S&amp;P500</t>
  </si>
  <si>
    <t>Discounted Cash Flow Analysis Natural Gas Companies</t>
  </si>
  <si>
    <t>3 for 2 split</t>
  </si>
  <si>
    <t>from 1.65 to 1.10</t>
  </si>
  <si>
    <t>ET</t>
  </si>
  <si>
    <t>EU</t>
  </si>
  <si>
    <t>EV</t>
  </si>
  <si>
    <t>EW</t>
  </si>
  <si>
    <t>EX</t>
  </si>
  <si>
    <t>EY</t>
  </si>
  <si>
    <t>EZ</t>
  </si>
  <si>
    <t>FA</t>
  </si>
  <si>
    <t>FB</t>
  </si>
  <si>
    <t>FC</t>
  </si>
  <si>
    <t>FD</t>
  </si>
  <si>
    <t>FF</t>
  </si>
  <si>
    <t>FG</t>
  </si>
  <si>
    <t>FH</t>
  </si>
  <si>
    <t>FI</t>
  </si>
  <si>
    <t>FJ</t>
  </si>
  <si>
    <t>FK</t>
  </si>
  <si>
    <t>FL</t>
  </si>
  <si>
    <t>FM</t>
  </si>
  <si>
    <t>FN</t>
  </si>
  <si>
    <t>FO</t>
  </si>
  <si>
    <t>Market Capitalization</t>
  </si>
  <si>
    <t>Laclede</t>
  </si>
  <si>
    <t>New Jersey</t>
  </si>
  <si>
    <t>NICOR</t>
  </si>
  <si>
    <t>Northwest</t>
  </si>
  <si>
    <t>Oneoke</t>
  </si>
  <si>
    <t>AGL</t>
  </si>
  <si>
    <t>Atmos</t>
  </si>
  <si>
    <t>Cascade</t>
  </si>
  <si>
    <t>Energen</t>
  </si>
  <si>
    <t>Keyspan</t>
  </si>
  <si>
    <t>NUI</t>
  </si>
  <si>
    <t>ONEOK</t>
  </si>
  <si>
    <t>Peoples</t>
  </si>
  <si>
    <t>Piedmont</t>
  </si>
  <si>
    <t>Semco</t>
  </si>
  <si>
    <t>South Jersey</t>
  </si>
  <si>
    <t>Southwest</t>
  </si>
  <si>
    <t>SWGas</t>
  </si>
  <si>
    <t>Mkt Cap</t>
  </si>
  <si>
    <t>Ave. DCF</t>
  </si>
  <si>
    <t>Month Ending</t>
  </si>
  <si>
    <t>High</t>
  </si>
  <si>
    <t>Low</t>
  </si>
  <si>
    <t>DCF</t>
  </si>
  <si>
    <t>two analysts</t>
  </si>
  <si>
    <t>merger</t>
  </si>
  <si>
    <t>two</t>
  </si>
  <si>
    <t>being acquired</t>
  </si>
  <si>
    <t>Multiple Regression Analysis</t>
  </si>
  <si>
    <t>Natural Gas</t>
  </si>
  <si>
    <t>Lag Regression</t>
  </si>
  <si>
    <t>-----------------------------------------------------------------------------</t>
  </si>
  <si>
    <t>Y</t>
  </si>
  <si>
    <t>Dependent variable: GasRskPrm</t>
  </si>
  <si>
    <t>Lag Risk Premium</t>
  </si>
  <si>
    <t>X</t>
  </si>
  <si>
    <t>Gas Bond Yield</t>
  </si>
  <si>
    <t xml:space="preserve">                                       Standard          T</t>
  </si>
  <si>
    <t>Gas Lag Yield</t>
  </si>
  <si>
    <t>Parameter               Estimate         Error       Statistic        P-Value</t>
  </si>
  <si>
    <t xml:space="preserve">                           Analysis of Variance</t>
  </si>
  <si>
    <t>Source             Sum of Squares     Df  Mean Square    F-Ratio      P-Value</t>
  </si>
  <si>
    <t>Regression Analysis - Linear model: Y = a + b*X</t>
  </si>
  <si>
    <t>Gas</t>
  </si>
  <si>
    <t>Dependent variable: AdjstdRP</t>
  </si>
  <si>
    <t xml:space="preserve">                               Standard          T</t>
  </si>
  <si>
    <t>Parameter       Estimate         Error       Statistic        P-Value</t>
  </si>
  <si>
    <t>Adjusted RP = RP - coefficient x lag RP</t>
  </si>
  <si>
    <t>Regression of Relationship Between Risk Premium</t>
  </si>
  <si>
    <t>Adjusted Yld = Yld - coefficient x lag yield</t>
  </si>
  <si>
    <t>COMPARISON OF DCF EXPECTED RETURN</t>
  </si>
  <si>
    <t>on an Investment in Natural Gas Distribution Companies</t>
  </si>
  <si>
    <t>ON AN EQUITY INVESTMENT IN NATURAL GAS DISTRIBUTION COMPANIES</t>
  </si>
  <si>
    <t>and Yield to Maturity on A-rated Utility Bonds</t>
  </si>
  <si>
    <t>intercept coefficient =</t>
  </si>
  <si>
    <t>TO THE INTEREST RATE ON A-RATED UTILITY BOND YIELD</t>
  </si>
  <si>
    <t>Serial correlation coefficient r estimated via multiple regression equation:</t>
  </si>
  <si>
    <t>See worksheet Adjusted Regression Results Cell B17</t>
  </si>
  <si>
    <t>Forecast Q2 2008</t>
  </si>
  <si>
    <t>=B - C</t>
  </si>
  <si>
    <t>Yt-1</t>
  </si>
  <si>
    <t>Xt-1</t>
  </si>
  <si>
    <t>=Bond Yield + Forecast RP</t>
  </si>
  <si>
    <t>Forecast Bond Yield</t>
  </si>
  <si>
    <t>Date</t>
  </si>
  <si>
    <t>A-Utility Bond Yield</t>
  </si>
  <si>
    <t>Bond Lag Risk Premium</t>
  </si>
  <si>
    <t>Lag Bond Yield</t>
  </si>
  <si>
    <t>Adjusted Risk Premium</t>
  </si>
  <si>
    <t>Adjusted Bond Yield</t>
  </si>
  <si>
    <t>Forecast Bond RP</t>
  </si>
  <si>
    <t>DATE</t>
  </si>
  <si>
    <t>YIELD</t>
  </si>
  <si>
    <t>RSKPREM</t>
  </si>
  <si>
    <t>Ex Ante Risk Premium Cost of Equity Gas Companies</t>
  </si>
  <si>
    <t>-</t>
  </si>
  <si>
    <t>x</t>
  </si>
  <si>
    <t>=</t>
  </si>
  <si>
    <t>Bond coefficient</t>
  </si>
  <si>
    <t>Bond yield =</t>
  </si>
  <si>
    <t>Bond coefficient * Bond yield =</t>
  </si>
  <si>
    <t>Expected Risk Premium</t>
  </si>
  <si>
    <t>Ex Ante Risk Premium Cost of Equity =</t>
  </si>
  <si>
    <t>Difference</t>
  </si>
  <si>
    <t>Long-term Treasury bond yield</t>
  </si>
  <si>
    <t>Average January 2007 20-year Treasury bond yield</t>
  </si>
  <si>
    <t>Average January 2007 30-yr Treasury bond yield</t>
  </si>
  <si>
    <t>A-rated utility bond yield</t>
  </si>
  <si>
    <t>Average January 2007 A-rated utility bond yield</t>
  </si>
  <si>
    <t>Ave. January 2007 Baa-rated corporate bond yield</t>
  </si>
  <si>
    <t>Forecasted Baa-rated corporate bond yield 2008</t>
  </si>
  <si>
    <t>Forecasted A-rated utility bond yield 2008</t>
  </si>
  <si>
    <t>y</t>
  </si>
  <si>
    <t>A-Rated Bond Yield</t>
  </si>
  <si>
    <t>Lag Yield</t>
  </si>
  <si>
    <t>Adjusted A-bond Yield</t>
  </si>
  <si>
    <t>Gas RskPrm</t>
  </si>
  <si>
    <t>GasLagRP</t>
  </si>
  <si>
    <t>GasBond</t>
  </si>
  <si>
    <t>GasLgYld</t>
  </si>
  <si>
    <t>Adjstd RP</t>
  </si>
  <si>
    <t>Adjstd A-bnd Yld</t>
  </si>
  <si>
    <t>Cost of equity = Risk-free rate + Equity beta x Market risk premium</t>
  </si>
  <si>
    <t>Risk-free Rate</t>
  </si>
  <si>
    <t>Beta x Risk Premium</t>
  </si>
  <si>
    <t>CAPM cost of equity</t>
  </si>
  <si>
    <t>Forecasted Long-term (20-year) Treasury Bond Yield</t>
  </si>
  <si>
    <t>DCF S&amp;P 500</t>
  </si>
  <si>
    <t>DCF Cost of Equity S&amp;P 500 (see following)</t>
  </si>
  <si>
    <t>Line 3 - Line 1</t>
  </si>
  <si>
    <t>Beta * RP</t>
  </si>
  <si>
    <t>Line 2 x Line 4</t>
  </si>
  <si>
    <t>Line 1 + Line 5 + Line 6</t>
  </si>
  <si>
    <t>DCF CAPM</t>
  </si>
  <si>
    <t>2/1/2007 High</t>
  </si>
  <si>
    <t>2/1/2007 Low</t>
  </si>
  <si>
    <t>% Short-term Debt</t>
  </si>
  <si>
    <t>CONSTANT               0.0058424     0.00306705        1.90489         0.0597</t>
  </si>
  <si>
    <t>GasLagRP                0.796162      0.0634399        12.5499         0.0000</t>
  </si>
  <si>
    <t>GasBond                -0.849433       0.186507       -4.55443         0.0000</t>
  </si>
  <si>
    <t>GasLgYld                0.899444       0.185096        4.85933         0.0000</t>
  </si>
  <si>
    <t>Model                  0.00169349      3  0.000564495      67.42       0.0000</t>
  </si>
  <si>
    <t>Residual              0.000837248    1000.00000837248</t>
  </si>
  <si>
    <t>Total (Corr.)          0.00253073    103</t>
  </si>
  <si>
    <t>R-squared = 66.9168 percent</t>
  </si>
  <si>
    <t>R-squared (adjusted for d.f.) = 65.9243 percent</t>
  </si>
  <si>
    <t>Standard Error of Est. = 0.00289352</t>
  </si>
  <si>
    <t>Mean absolute error = 0.00207817</t>
  </si>
  <si>
    <t>Durbin-Watson statistic = 1.80943 (P=0.1668)</t>
  </si>
  <si>
    <t>Lag 1 residual autocorrelation = 0.0863237</t>
  </si>
  <si>
    <t>Independent variable: Adjstd Yld</t>
  </si>
  <si>
    <t>Intercept      0.0125608       0.001895        6.62839         0.0000</t>
  </si>
  <si>
    <t>Slope          -0.225786       0.133458       -1.69181         0.0937</t>
  </si>
  <si>
    <t>Model                0.0000286428      1 0.0000286428       2.86       0.0937</t>
  </si>
  <si>
    <t>Residual               0.00102074    102 0.0000100072</t>
  </si>
  <si>
    <t>Total (Corr.)          0.00104938    103</t>
  </si>
  <si>
    <t>Correlation Coefficient = -0.165212</t>
  </si>
  <si>
    <t>R-squared = 2.7295 percent</t>
  </si>
  <si>
    <t>R-squared (adjusted for d.f.) = 1.77587 percent</t>
  </si>
  <si>
    <t>Standard Error of Est. = 0.00316342</t>
  </si>
  <si>
    <t>Mean absolute error = 0.00243497</t>
  </si>
  <si>
    <t>Durbin-Watson statistic = 1.83878 (P=0.2068)</t>
  </si>
  <si>
    <t>Lag 1 residual autocorrelation = 0.0713996</t>
  </si>
  <si>
    <t>/(1-0.796162)</t>
  </si>
  <si>
    <t>-0.2259</t>
  </si>
  <si>
    <t>6.16-(.226x6.42)=4.71</t>
  </si>
  <si>
    <t>Forecast 30-year Treasury bond yield Q2 2008</t>
  </si>
  <si>
    <t>Forecast 20-year Treasury bond yield Q2 2008</t>
  </si>
  <si>
    <t>Average Beta Proxy Companies</t>
  </si>
  <si>
    <t>Flotation</t>
  </si>
  <si>
    <t>Gas Proxy Companies</t>
  </si>
  <si>
    <t>Discounted Cash Flow Analysis S&amp;P 500</t>
  </si>
  <si>
    <t>COMPANY</t>
  </si>
  <si>
    <t>Market Cap  $ (mils)</t>
  </si>
  <si>
    <t>EPS LTG #ESTS</t>
  </si>
  <si>
    <t>3M</t>
  </si>
  <si>
    <t>MMM</t>
  </si>
  <si>
    <t>Abbott Labs.</t>
  </si>
  <si>
    <t>ABT</t>
  </si>
  <si>
    <t>Ace</t>
  </si>
  <si>
    <t>ACE</t>
  </si>
  <si>
    <t>Air Prds.&amp; Chems.</t>
  </si>
  <si>
    <t>APD</t>
  </si>
  <si>
    <t>Alcoa</t>
  </si>
  <si>
    <t>Allstate</t>
  </si>
  <si>
    <t>ALL</t>
  </si>
  <si>
    <t>Altria Group Inco.</t>
  </si>
  <si>
    <t>MO</t>
  </si>
  <si>
    <t>Ambac Financial</t>
  </si>
  <si>
    <t>ABK</t>
  </si>
  <si>
    <t>Amer.Standard</t>
  </si>
  <si>
    <t>ASD</t>
  </si>
  <si>
    <t>American Express</t>
  </si>
  <si>
    <t>AXP</t>
  </si>
  <si>
    <t>American Intl.Gp.</t>
  </si>
  <si>
    <t>AIG</t>
  </si>
  <si>
    <t>Amerisourcebergen</t>
  </si>
  <si>
    <t>ABC</t>
  </si>
  <si>
    <t>Archer-Danls.-Midl.</t>
  </si>
  <si>
    <t>ADM</t>
  </si>
  <si>
    <t>AT&amp;T</t>
  </si>
  <si>
    <t>T</t>
  </si>
  <si>
    <t>Automatic Data Proc.</t>
  </si>
  <si>
    <t>ADP</t>
  </si>
  <si>
    <t>Avery Dennison</t>
  </si>
  <si>
    <t>AVY</t>
  </si>
  <si>
    <t>Avon Products</t>
  </si>
  <si>
    <t>AVP</t>
  </si>
  <si>
    <t>Ball</t>
  </si>
  <si>
    <t>BLL</t>
  </si>
  <si>
    <t>Bank Of America</t>
  </si>
  <si>
    <t>BAC</t>
  </si>
  <si>
    <t>Bank Of New York Co.</t>
  </si>
  <si>
    <t>BK</t>
  </si>
  <si>
    <t>Baxter Intl.</t>
  </si>
  <si>
    <t>BAX</t>
  </si>
  <si>
    <t>BB &amp; T</t>
  </si>
  <si>
    <t>BBT</t>
  </si>
  <si>
    <t>Bear Stearns</t>
  </si>
  <si>
    <t>BSC</t>
  </si>
  <si>
    <t>Becton Dickinson</t>
  </si>
  <si>
    <t>BDX</t>
  </si>
  <si>
    <t>Bemis</t>
  </si>
  <si>
    <t>BMS</t>
  </si>
  <si>
    <t>Black &amp; Decker</t>
  </si>
  <si>
    <t>BDK</t>
  </si>
  <si>
    <t>Brown-Forman 'B'</t>
  </si>
  <si>
    <t>BF B</t>
  </si>
  <si>
    <t>Brunswick</t>
  </si>
  <si>
    <t>BC</t>
  </si>
  <si>
    <t>CA</t>
  </si>
  <si>
    <t>Capital One Finl.</t>
  </si>
  <si>
    <t>COF</t>
  </si>
  <si>
    <t>Cardinal Health</t>
  </si>
  <si>
    <t>CAH</t>
  </si>
  <si>
    <t>CBS 'B'</t>
  </si>
  <si>
    <t>CBS</t>
  </si>
  <si>
    <t>Centex</t>
  </si>
  <si>
    <t>CTX</t>
  </si>
  <si>
    <t>Chubb</t>
  </si>
  <si>
    <t>CB</t>
  </si>
  <si>
    <t>Cigna</t>
  </si>
  <si>
    <t>CI</t>
  </si>
  <si>
    <t>Cintas</t>
  </si>
  <si>
    <t>CTAS</t>
  </si>
  <si>
    <t>Citigroup</t>
  </si>
  <si>
    <t>Clear Chl.Comms.</t>
  </si>
  <si>
    <t>CCU</t>
  </si>
  <si>
    <t>Clorox</t>
  </si>
  <si>
    <t>CLX</t>
  </si>
  <si>
    <t>Colgate-Palm.</t>
  </si>
  <si>
    <t>CL</t>
  </si>
  <si>
    <t>Com.Banc.</t>
  </si>
  <si>
    <t>CBH</t>
  </si>
  <si>
    <t>Compass Bancshares</t>
  </si>
  <si>
    <t>CBSS</t>
  </si>
  <si>
    <t>Constellation En.</t>
  </si>
  <si>
    <t>Cooper Inds.</t>
  </si>
  <si>
    <t>CBE</t>
  </si>
  <si>
    <t>Costco Wholesale</t>
  </si>
  <si>
    <t>COST</t>
  </si>
  <si>
    <t>Countrywide Finl.</t>
  </si>
  <si>
    <t>CFC</t>
  </si>
  <si>
    <t>Cummins</t>
  </si>
  <si>
    <t>CMI</t>
  </si>
  <si>
    <t>CVS</t>
  </si>
  <si>
    <t>Danaher</t>
  </si>
  <si>
    <t>DHR</t>
  </si>
  <si>
    <t>Darden Restaurants</t>
  </si>
  <si>
    <t>DRI</t>
  </si>
  <si>
    <t>Dollar General</t>
  </si>
  <si>
    <t>DG</t>
  </si>
  <si>
    <t>Donnelley R R &amp; Sons</t>
  </si>
  <si>
    <t>RRD</t>
  </si>
  <si>
    <t>Dover</t>
  </si>
  <si>
    <t>DOV</t>
  </si>
  <si>
    <t>Dow Chemicals</t>
  </si>
  <si>
    <t>DOW</t>
  </si>
  <si>
    <t>Eaton</t>
  </si>
  <si>
    <t>ETN</t>
  </si>
  <si>
    <t>El Paso</t>
  </si>
  <si>
    <t>Eli Lilly</t>
  </si>
  <si>
    <t>LLY</t>
  </si>
  <si>
    <t>Emerson Electric</t>
  </si>
  <si>
    <t>EMR</t>
  </si>
  <si>
    <t>Estee Lauder Cos.'A'</t>
  </si>
  <si>
    <t>EL</t>
  </si>
  <si>
    <t>Exelon</t>
  </si>
  <si>
    <t>Family Dollar Stores</t>
  </si>
  <si>
    <t>FDO</t>
  </si>
  <si>
    <t>Fannie Mae</t>
  </si>
  <si>
    <t>FNM</t>
  </si>
  <si>
    <t>Federated Dept.Strs.</t>
  </si>
  <si>
    <t>Federated Invrs.'B'</t>
  </si>
  <si>
    <t>FII</t>
  </si>
  <si>
    <t>Fedex</t>
  </si>
  <si>
    <t>FDX</t>
  </si>
  <si>
    <t>Fidelity Nat.Info.Svs.</t>
  </si>
  <si>
    <t>FIS</t>
  </si>
  <si>
    <t>Fifth Third Bancorp</t>
  </si>
  <si>
    <t>FITB</t>
  </si>
  <si>
    <t>First Data</t>
  </si>
  <si>
    <t>FDC</t>
  </si>
  <si>
    <t>First Horizon National</t>
  </si>
  <si>
    <t>FHN</t>
  </si>
  <si>
    <t>Fortune Brands</t>
  </si>
  <si>
    <t>Frank.Res.</t>
  </si>
  <si>
    <t>BEN</t>
  </si>
  <si>
    <t>Freddie Mac</t>
  </si>
  <si>
    <t>FRE</t>
  </si>
  <si>
    <t>Gap</t>
  </si>
  <si>
    <t>GPS</t>
  </si>
  <si>
    <t>General Electric</t>
  </si>
  <si>
    <t>GE</t>
  </si>
  <si>
    <t>Genuine Parts</t>
  </si>
  <si>
    <t>GPC</t>
  </si>
  <si>
    <t>Grainger W W</t>
  </si>
  <si>
    <t>GWW</t>
  </si>
  <si>
    <t>Harley-Davidson</t>
  </si>
  <si>
    <t>HOG</t>
  </si>
  <si>
    <t>Hartford Finl.Svs.Gp.</t>
  </si>
  <si>
    <t>HIG</t>
  </si>
  <si>
    <t>Hasbro</t>
  </si>
  <si>
    <t>HAS</t>
  </si>
  <si>
    <t>Hewlett-Packard</t>
  </si>
  <si>
    <t>HPQ</t>
  </si>
  <si>
    <t>Hilton Hotels</t>
  </si>
  <si>
    <t>HLT</t>
  </si>
  <si>
    <t>Home Depot</t>
  </si>
  <si>
    <t>HD</t>
  </si>
  <si>
    <t>Honeywell Intl.</t>
  </si>
  <si>
    <t>HON</t>
  </si>
  <si>
    <t>Illinois Tool Wks.</t>
  </si>
  <si>
    <t>ITW</t>
  </si>
  <si>
    <t>Ims Health</t>
  </si>
  <si>
    <t>RX</t>
  </si>
  <si>
    <t>Ingersoll-Rand</t>
  </si>
  <si>
    <t>IR</t>
  </si>
  <si>
    <t>Intel</t>
  </si>
  <si>
    <t>INTC</t>
  </si>
  <si>
    <t>International Bus.Mach.</t>
  </si>
  <si>
    <t>IBM</t>
  </si>
  <si>
    <t>ITT</t>
  </si>
  <si>
    <t>Jp Morgan Chase &amp; Co.</t>
  </si>
  <si>
    <t>JPM</t>
  </si>
  <si>
    <t>Kb Home</t>
  </si>
  <si>
    <t>KBH</t>
  </si>
  <si>
    <t>Legg Mason</t>
  </si>
  <si>
    <t>LM</t>
  </si>
  <si>
    <t>Lehman Bros.Hdg.</t>
  </si>
  <si>
    <t>LEH</t>
  </si>
  <si>
    <t>Lennar 'A'</t>
  </si>
  <si>
    <t>LEN</t>
  </si>
  <si>
    <t>Lincoln Nat.</t>
  </si>
  <si>
    <t>LNC</t>
  </si>
  <si>
    <t>Liz Claiborne</t>
  </si>
  <si>
    <t>LIZ</t>
  </si>
  <si>
    <t>Lockheed Martin</t>
  </si>
  <si>
    <t>LMT</t>
  </si>
  <si>
    <t>Marsh &amp; Mclennan</t>
  </si>
  <si>
    <t>MMC</t>
  </si>
  <si>
    <t>Marshall &amp; Ilsley</t>
  </si>
  <si>
    <t>MI</t>
  </si>
  <si>
    <t>Mattel</t>
  </si>
  <si>
    <t>MAT</t>
  </si>
  <si>
    <t>MBIA</t>
  </si>
  <si>
    <t>MBI</t>
  </si>
  <si>
    <t>Mccormick &amp; Co Nv.</t>
  </si>
  <si>
    <t>MKC</t>
  </si>
  <si>
    <t>Mcgraw-Hill</t>
  </si>
  <si>
    <t>MHP</t>
  </si>
  <si>
    <t>Mckesson</t>
  </si>
  <si>
    <t>MCK</t>
  </si>
  <si>
    <t>Medtronic</t>
  </si>
  <si>
    <t>MDT</t>
  </si>
  <si>
    <t>Mellon Finl.</t>
  </si>
  <si>
    <t>MEL</t>
  </si>
  <si>
    <t>Meredith</t>
  </si>
  <si>
    <t>MDP</t>
  </si>
  <si>
    <t>Merrill Lynch &amp; Co.</t>
  </si>
  <si>
    <t>MER</t>
  </si>
  <si>
    <t>Metlife</t>
  </si>
  <si>
    <t>MET</t>
  </si>
  <si>
    <t>Mgic Invt</t>
  </si>
  <si>
    <t>MTG</t>
  </si>
  <si>
    <t>Microsoft</t>
  </si>
  <si>
    <t>MSFT</t>
  </si>
  <si>
    <t>Molson Coors Brewing 'B'</t>
  </si>
  <si>
    <t>TAP</t>
  </si>
  <si>
    <t>Moodys</t>
  </si>
  <si>
    <t>MCO</t>
  </si>
  <si>
    <t>Morgan Stanley</t>
  </si>
  <si>
    <t>MS</t>
  </si>
  <si>
    <t>Motorola</t>
  </si>
  <si>
    <t>MOT</t>
  </si>
  <si>
    <t>Nat.City</t>
  </si>
  <si>
    <t>NCC</t>
  </si>
  <si>
    <t>National Semicon.</t>
  </si>
  <si>
    <t>NSM</t>
  </si>
  <si>
    <t>Newell Rubbermaid</t>
  </si>
  <si>
    <t>NWL</t>
  </si>
  <si>
    <t>Nike 'B'</t>
  </si>
  <si>
    <t>NKE</t>
  </si>
  <si>
    <t>Nordstrom</t>
  </si>
  <si>
    <t>JWN</t>
  </si>
  <si>
    <t>Northern Trust</t>
  </si>
  <si>
    <t>NTRS</t>
  </si>
  <si>
    <t>Northrop Grumman</t>
  </si>
  <si>
    <t>NOC</t>
  </si>
  <si>
    <t>Omnicom Gp.</t>
  </si>
  <si>
    <t>OMC</t>
  </si>
  <si>
    <t>Paccar</t>
  </si>
  <si>
    <t>PCAR</t>
  </si>
  <si>
    <t>Pall</t>
  </si>
  <si>
    <t>PLL</t>
  </si>
  <si>
    <t>Parker-Hannifin</t>
  </si>
  <si>
    <t>PH</t>
  </si>
  <si>
    <t>Pepsico</t>
  </si>
  <si>
    <t>PEP</t>
  </si>
  <si>
    <t>Perkinelmer</t>
  </si>
  <si>
    <t>PKI</t>
  </si>
  <si>
    <t>Pitney-Bowes</t>
  </si>
  <si>
    <t>PBI</t>
  </si>
  <si>
    <t>Pnc Finl.Svs.Gp.</t>
  </si>
  <si>
    <t>PNC</t>
  </si>
  <si>
    <t>Ppg Industries</t>
  </si>
  <si>
    <t>PPG</t>
  </si>
  <si>
    <t>Praxair</t>
  </si>
  <si>
    <t>PX</t>
  </si>
  <si>
    <t>Principal Finl.Gp.</t>
  </si>
  <si>
    <t>PFG</t>
  </si>
  <si>
    <t>Procter &amp; Gamble</t>
  </si>
  <si>
    <t>PG</t>
  </si>
  <si>
    <t>Prudential Finl.</t>
  </si>
  <si>
    <t>PRU</t>
  </si>
  <si>
    <t>Pub.Ser.Enter.Gp.</t>
  </si>
  <si>
    <t>Pulte Homes</t>
  </si>
  <si>
    <t>PHM</t>
  </si>
  <si>
    <t>Quest Diagnostics</t>
  </si>
  <si>
    <t>DGX</t>
  </si>
  <si>
    <t>Questar</t>
  </si>
  <si>
    <t>Regions Finl.New</t>
  </si>
  <si>
    <t>RF</t>
  </si>
  <si>
    <t>Rockwell Automation</t>
  </si>
  <si>
    <t>ROK</t>
  </si>
  <si>
    <t>Rockwell Collins</t>
  </si>
  <si>
    <t>COL</t>
  </si>
  <si>
    <t>Rohm &amp; Haas</t>
  </si>
  <si>
    <t>ROH</t>
  </si>
  <si>
    <t>Ryder System</t>
  </si>
  <si>
    <t>R</t>
  </si>
  <si>
    <t>Sabre Hdg.</t>
  </si>
  <si>
    <t>TSG</t>
  </si>
  <si>
    <t>Safeco</t>
  </si>
  <si>
    <t>SAF</t>
  </si>
  <si>
    <t>Scripps E W 'A'</t>
  </si>
  <si>
    <t>SSP</t>
  </si>
  <si>
    <t>Sealed Air</t>
  </si>
  <si>
    <t>SEE</t>
  </si>
  <si>
    <t>Sherwin-Williams</t>
  </si>
  <si>
    <t>SHW</t>
  </si>
  <si>
    <t>Snap-On</t>
  </si>
  <si>
    <t>SNA</t>
  </si>
  <si>
    <t>Stanley Works</t>
  </si>
  <si>
    <t>SWK</t>
  </si>
  <si>
    <t>State Street</t>
  </si>
  <si>
    <t>STT</t>
  </si>
  <si>
    <t>Suntrust Banks</t>
  </si>
  <si>
    <t>STI</t>
  </si>
  <si>
    <t>Synovus Finl.</t>
  </si>
  <si>
    <t>SNV</t>
  </si>
  <si>
    <t>T Rowe Price Gp.</t>
  </si>
  <si>
    <t>TROW</t>
  </si>
  <si>
    <t>Tektronix</t>
  </si>
  <si>
    <t>TEK</t>
  </si>
  <si>
    <t>Textron</t>
  </si>
  <si>
    <t>TXT</t>
  </si>
  <si>
    <t>The Travelers Cos.</t>
  </si>
  <si>
    <t>TRV</t>
  </si>
  <si>
    <t>Tiffany &amp; Co</t>
  </si>
  <si>
    <t>TIF</t>
  </si>
  <si>
    <t>TJX Cos.</t>
  </si>
  <si>
    <t>TJX</t>
  </si>
  <si>
    <t>Tyco Intl.</t>
  </si>
  <si>
    <t>TYC</t>
  </si>
  <si>
    <t>United Parcel Ser.</t>
  </si>
  <si>
    <t>UPS</t>
  </si>
  <si>
    <t>United Technologies</t>
  </si>
  <si>
    <t>UTX</t>
  </si>
  <si>
    <t>US Bancorp</t>
  </si>
  <si>
    <t>USB</t>
  </si>
  <si>
    <t>V F</t>
  </si>
  <si>
    <t>VFC</t>
  </si>
  <si>
    <t>Vulcan Materials</t>
  </si>
  <si>
    <t>VMC</t>
  </si>
  <si>
    <t>Wachovia</t>
  </si>
  <si>
    <t>WB</t>
  </si>
  <si>
    <t>Wal Mart Stores</t>
  </si>
  <si>
    <t>WMT</t>
  </si>
  <si>
    <t>Walt Disney</t>
  </si>
  <si>
    <t>DIS</t>
  </si>
  <si>
    <t>Waste Man.</t>
  </si>
  <si>
    <t>WMI</t>
  </si>
  <si>
    <t>Wells Fargo &amp; Co</t>
  </si>
  <si>
    <t>WFC</t>
  </si>
  <si>
    <t>Wendy'S Intl.</t>
  </si>
  <si>
    <t>WEN</t>
  </si>
  <si>
    <t>Western Union</t>
  </si>
  <si>
    <t>Wrigley William Jr.</t>
  </si>
  <si>
    <t>WWY</t>
  </si>
  <si>
    <t>XL Cap.'A'</t>
  </si>
  <si>
    <t>XL</t>
  </si>
  <si>
    <t>Yum! Brands</t>
  </si>
  <si>
    <t>YUM</t>
  </si>
  <si>
    <t>Zions Bancorp.</t>
  </si>
  <si>
    <t>ZION</t>
  </si>
  <si>
    <t>Market-Weighted Average</t>
  </si>
  <si>
    <t>SEE DCF Sheets for these data</t>
  </si>
  <si>
    <t>Bond coefficient x Bond yield =</t>
  </si>
  <si>
    <t>Ex Ante Risk Premium</t>
  </si>
  <si>
    <t>DCF Cost of Equity Gas Proxy</t>
  </si>
  <si>
    <t xml:space="preserve">     Average DCF Cost of Equity</t>
  </si>
  <si>
    <t>Ex Post Risk Premium Cost of Equity Utilities</t>
  </si>
  <si>
    <t>Ex Post Risk Premium Cost of Equity S&amp;P500</t>
  </si>
  <si>
    <t xml:space="preserve">   Average Ex Post Risk Premium Cost of Equity</t>
  </si>
  <si>
    <t>Historical CAPM Gas</t>
  </si>
  <si>
    <t xml:space="preserve">   Average Historical CAPM</t>
  </si>
  <si>
    <t>DCF CAPM Gas</t>
  </si>
  <si>
    <t xml:space="preserve">   Average DCF CAPM</t>
  </si>
  <si>
    <t>Average All Cost of Equity Methods</t>
  </si>
  <si>
    <t>Method</t>
  </si>
  <si>
    <t>Discounted Cash Flow</t>
  </si>
  <si>
    <t>Historical CAPM</t>
  </si>
  <si>
    <t>DCF Cost of Equity Water Companies Proxy</t>
  </si>
  <si>
    <t>Short-term Debt</t>
  </si>
  <si>
    <t>Long-term Debt</t>
  </si>
  <si>
    <t>Flotation Cost</t>
  </si>
  <si>
    <t>SCHEDULE 9</t>
  </si>
  <si>
    <t>SCHEDULE 1</t>
  </si>
  <si>
    <t>SCHEDULE 2</t>
  </si>
  <si>
    <t>Exhibit JVW-1 Schedule 3</t>
  </si>
  <si>
    <t>Dependent variable: RSKPREM</t>
  </si>
  <si>
    <t>Independent variable: YIELD</t>
  </si>
  <si>
    <t>Intercept      0.0327883     0.00358329        9.15036         0.0000</t>
  </si>
  <si>
    <t>Slope           0.195066      0.0513919        3.79565         0.0002</t>
  </si>
  <si>
    <t>Model                 0.000310748      1  0.000310748      14.41       0.0002</t>
  </si>
  <si>
    <t>Residual               0.00222164    103 0.0000215693</t>
  </si>
  <si>
    <t>Total (Corr.)          0.00253239    104</t>
  </si>
  <si>
    <t>Correlation Coefficient = 0.350299</t>
  </si>
  <si>
    <t>R-squared = 12.271 percent</t>
  </si>
  <si>
    <t>R-squared (adjusted for d.f.) = 11.4192 percent</t>
  </si>
  <si>
    <t>Standard Error of Est. = 0.00464428</t>
  </si>
  <si>
    <t>Mean absolute error = 0.00379697</t>
  </si>
  <si>
    <t>Durbin-Watson statistic = 0.578927 (P=0.0000)</t>
  </si>
  <si>
    <t>Lag 1 residual autocorrelation = 0.706065</t>
  </si>
  <si>
    <t>Forecasted Treasury bond yield from Blue Chip January 1, 2007: 30-yr Treasury bond plus current difference between 20-year and 30-year bonds</t>
  </si>
  <si>
    <t>Forecasted A-rated utility bond yield from Blue Chip January 1, 2007: Baa-rated utility bond plus current difference between A-rated and Baa-rated utility bonds</t>
  </si>
  <si>
    <t>Long-horizon SBBI risk premium</t>
  </si>
  <si>
    <t>Calculation of Capital Asset Pricing Model Cost of Equity Using SBBI 7.1% Risk Premium</t>
  </si>
  <si>
    <t>Average of market-weighted and simple average results</t>
  </si>
  <si>
    <t>Schedule 7</t>
  </si>
  <si>
    <t>Schedule 8</t>
  </si>
  <si>
    <t>Calculation of Capital Asset Pricing Model Cost of Equity Using DCF Estimate of the Expected Rate of Return on the Market Portfolio</t>
  </si>
  <si>
    <t>Average DCF-Based CAPM</t>
  </si>
  <si>
    <t>Average Historical CAPM</t>
  </si>
  <si>
    <t>AND MOODY’S A-RATED BONDS 1937 – 2006</t>
  </si>
  <si>
    <t>SCHEDULE 4</t>
  </si>
  <si>
    <t>AND MOODY’S A‑RATED BONDS 1937—2006</t>
  </si>
  <si>
    <t>SCHEDULE 5</t>
  </si>
  <si>
    <t>Using the Arithmetic Mean to Estimate the Cost of Equity Capital</t>
  </si>
  <si>
    <t>End Year 1</t>
  </si>
  <si>
    <t>Ending Wealth</t>
  </si>
  <si>
    <t>Probability</t>
  </si>
  <si>
    <t>End of Year 2</t>
  </si>
  <si>
    <t>Value x Probability</t>
  </si>
  <si>
    <t>(1.30) (1.30)</t>
  </si>
  <si>
    <t>(1.30) (.9)</t>
  </si>
  <si>
    <t>(.9) (.9)</t>
  </si>
  <si>
    <t>Expected Wealth</t>
  </si>
  <si>
    <t>Cost of Equity =</t>
  </si>
  <si>
    <t>Arithmetic mean =</t>
  </si>
  <si>
    <t>(30%) (.5) + (-10%) (.5) = 10%</t>
  </si>
  <si>
    <t>Geometric mean =</t>
  </si>
  <si>
    <t>Thus, the geometric mean is not equal to the cost of equity capital.</t>
  </si>
  <si>
    <t>For an investment with an uncertain outcome, the arithmetic mean is the best measure of the cost of equity capital</t>
  </si>
  <si>
    <t>Schedule 6</t>
  </si>
  <si>
    <r>
      <t>1(1+k)</t>
    </r>
    <r>
      <rPr>
        <vertAlign val="superscript"/>
        <sz val="12"/>
        <color indexed="8"/>
        <rFont val="Arial Narrow"/>
        <family val="2"/>
      </rPr>
      <t>2</t>
    </r>
    <r>
      <rPr>
        <sz val="12"/>
        <color indexed="8"/>
        <rFont val="Arial Narrow"/>
        <family val="2"/>
      </rPr>
      <t xml:space="preserve"> = 1.21</t>
    </r>
  </si>
  <si>
    <r>
      <t>k = (1.21/1)</t>
    </r>
    <r>
      <rPr>
        <vertAlign val="superscript"/>
        <sz val="12"/>
        <color indexed="8"/>
        <rFont val="Arial Narrow"/>
        <family val="2"/>
      </rPr>
      <t xml:space="preserve">.5 </t>
    </r>
    <r>
      <rPr>
        <sz val="12"/>
        <color indexed="8"/>
        <rFont val="Arial Narrow"/>
        <family val="2"/>
      </rPr>
      <t>– 1 = 10%</t>
    </r>
  </si>
  <si>
    <r>
      <t>[(1.3) (.9)]</t>
    </r>
    <r>
      <rPr>
        <vertAlign val="superscript"/>
        <sz val="12"/>
        <color indexed="8"/>
        <rFont val="Arial Narrow"/>
        <family val="2"/>
      </rPr>
      <t>.5</t>
    </r>
    <r>
      <rPr>
        <sz val="12"/>
        <color indexed="8"/>
        <rFont val="Arial Narrow"/>
        <family val="2"/>
      </rPr>
      <t xml:space="preserve"> – 1 = .082 = 8.2%</t>
    </r>
  </si>
  <si>
    <t>Table 4</t>
  </si>
  <si>
    <t>COST OF EQUITY MODEL RESULTS</t>
  </si>
  <si>
    <t xml:space="preserve">Ex Ante Risk Premium </t>
  </si>
  <si>
    <t xml:space="preserve">Ex Post Risk Premium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</si>
</sst>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_(* #,##0.000_);_(* \(#,##0.000\);_(* &quot;-&quot;??_);_(@_)"/>
    <numFmt numFmtId="167" formatCode="_(* #,##0.0_);_(* \(#,##0.0\);_(* &quot;-&quot;??_);_(@_)"/>
    <numFmt numFmtId="168" formatCode="0.00000"/>
    <numFmt numFmtId="169" formatCode="0.000"/>
    <numFmt numFmtId="170" formatCode="0.0%"/>
    <numFmt numFmtId="171" formatCode="0.0000"/>
    <numFmt numFmtId="172" formatCode="#,##0.0"/>
    <numFmt numFmtId="173" formatCode="_(* #,##0_);_(* \(#,##0\);_(* &quot;-&quot;??_);_(@_)"/>
    <numFmt numFmtId="174" formatCode="0.0"/>
    <numFmt numFmtId="175" formatCode="mmmm\-yy"/>
    <numFmt numFmtId="176" formatCode="[$-409]mmmm\-yy;@"/>
    <numFmt numFmtId="177" formatCode="0.0000_);[Red]\(0.0000\)"/>
    <numFmt numFmtId="178" formatCode="0.000%"/>
    <numFmt numFmtId="179" formatCode="_(* #,##0.000_);_(* \(#,##0.000\);_(* &quot;-&quot;???_);_(@_)"/>
    <numFmt numFmtId="180" formatCode="0.0000%"/>
    <numFmt numFmtId="181" formatCode="0.00000000000000000%"/>
    <numFmt numFmtId="182" formatCode="&quot;Yes&quot;;&quot;Yes&quot;;&quot;No&quot;"/>
    <numFmt numFmtId="183" formatCode="&quot;True&quot;;&quot;True&quot;;&quot;False&quot;"/>
    <numFmt numFmtId="184" formatCode="&quot;On&quot;;&quot;On&quot;;&quot;Off&quot;"/>
    <numFmt numFmtId="185" formatCode="[$€-2]\ #,##0.00_);[Red]\([$€-2]\ #,##0.00\)"/>
    <numFmt numFmtId="186" formatCode="&quot;$&quot;#,##0.00"/>
    <numFmt numFmtId="187" formatCode="[$-409]d\-mmm\-yy;@"/>
    <numFmt numFmtId="188" formatCode="_(* #,##0.0_);_(* \(#,##0.0\);_(* &quot;-&quot;?_);_(@_)"/>
    <numFmt numFmtId="189" formatCode="0.0000000"/>
    <numFmt numFmtId="190" formatCode="0.000000"/>
    <numFmt numFmtId="191" formatCode="#,##0.000_);[Red]\(#,##0.000\)"/>
    <numFmt numFmtId="192" formatCode="0.000000000000000%"/>
    <numFmt numFmtId="193" formatCode="#,##0.00000_);[Red]\(#,##0.00000\)"/>
  </numFmts>
  <fonts count="34">
    <font>
      <sz val="10"/>
      <name val="Arial"/>
      <family val="0"/>
    </font>
    <font>
      <sz val="8"/>
      <name val="Arial"/>
      <family val="0"/>
    </font>
    <font>
      <u val="single"/>
      <sz val="10"/>
      <color indexed="12"/>
      <name val="Arial"/>
      <family val="0"/>
    </font>
    <font>
      <u val="single"/>
      <sz val="10"/>
      <color indexed="36"/>
      <name val="Arial"/>
      <family val="0"/>
    </font>
    <font>
      <sz val="10"/>
      <name val="Courier New"/>
      <family val="3"/>
    </font>
    <font>
      <sz val="10"/>
      <name val="Arial Narrow"/>
      <family val="2"/>
    </font>
    <font>
      <i/>
      <sz val="10"/>
      <color indexed="8"/>
      <name val="Arial Narrow"/>
      <family val="2"/>
    </font>
    <font>
      <sz val="10"/>
      <color indexed="8"/>
      <name val="Arial Narrow"/>
      <family val="2"/>
    </font>
    <font>
      <sz val="12"/>
      <color indexed="8"/>
      <name val="Arial Narrow"/>
      <family val="2"/>
    </font>
    <font>
      <vertAlign val="superscript"/>
      <sz val="12"/>
      <color indexed="8"/>
      <name val="Arial Narrow"/>
      <family val="2"/>
    </font>
    <font>
      <b/>
      <sz val="8"/>
      <color indexed="8"/>
      <name val="Arial Narrow"/>
      <family val="2"/>
    </font>
    <font>
      <sz val="8"/>
      <name val="Arial Narrow"/>
      <family val="2"/>
    </font>
    <font>
      <u val="single"/>
      <sz val="10"/>
      <name val="Arial Narrow"/>
      <family val="2"/>
    </font>
    <font>
      <sz val="10"/>
      <color indexed="10"/>
      <name val="Arial Narrow"/>
      <family val="2"/>
    </font>
    <font>
      <u val="single"/>
      <sz val="8"/>
      <name val="Arial Narrow"/>
      <family val="2"/>
    </font>
    <font>
      <b/>
      <sz val="8"/>
      <name val="Arial Narrow"/>
      <family val="2"/>
    </font>
    <font>
      <sz val="9"/>
      <name val="Arial Narrow"/>
      <family val="2"/>
    </font>
    <font>
      <b/>
      <sz val="9"/>
      <color indexed="8"/>
      <name val="Arial Narrow"/>
      <family val="2"/>
    </font>
    <font>
      <i/>
      <sz val="10"/>
      <name val="Arial Narrow"/>
      <family val="2"/>
    </font>
    <font>
      <i/>
      <sz val="10"/>
      <color indexed="10"/>
      <name val="Arial Narrow"/>
      <family val="2"/>
    </font>
    <font>
      <b/>
      <sz val="10"/>
      <color indexed="8"/>
      <name val="Arial Narrow"/>
      <family val="2"/>
    </font>
    <font>
      <sz val="8"/>
      <color indexed="8"/>
      <name val="Arial Narrow"/>
      <family val="2"/>
    </font>
    <font>
      <i/>
      <sz val="8"/>
      <name val="Arial Narrow"/>
      <family val="2"/>
    </font>
    <font>
      <sz val="12"/>
      <name val="Arial Narrow"/>
      <family val="2"/>
    </font>
    <font>
      <i/>
      <sz val="12"/>
      <name val="Arial Narrow"/>
      <family val="2"/>
    </font>
    <font>
      <vertAlign val="subscript"/>
      <sz val="8"/>
      <name val="Arial Narrow"/>
      <family val="2"/>
    </font>
    <font>
      <sz val="8"/>
      <color indexed="10"/>
      <name val="Arial Narrow"/>
      <family val="2"/>
    </font>
    <font>
      <i/>
      <sz val="9"/>
      <name val="Arial Narrow"/>
      <family val="2"/>
    </font>
    <font>
      <u val="single"/>
      <sz val="9"/>
      <name val="Arial Narrow"/>
      <family val="2"/>
    </font>
    <font>
      <vertAlign val="subscript"/>
      <sz val="9"/>
      <name val="Arial Narrow"/>
      <family val="2"/>
    </font>
    <font>
      <sz val="12"/>
      <color indexed="10"/>
      <name val="Arial Narrow"/>
      <family val="2"/>
    </font>
    <font>
      <sz val="8"/>
      <color indexed="12"/>
      <name val="Arial Narrow"/>
      <family val="2"/>
    </font>
    <font>
      <i/>
      <sz val="8"/>
      <color indexed="10"/>
      <name val="Arial Narrow"/>
      <family val="2"/>
    </font>
    <font>
      <i/>
      <vertAlign val="subscript"/>
      <sz val="8"/>
      <name val="Arial Narrow"/>
      <family val="2"/>
    </font>
  </fonts>
  <fills count="4">
    <fill>
      <patternFill/>
    </fill>
    <fill>
      <patternFill patternType="gray125"/>
    </fill>
    <fill>
      <patternFill patternType="solid">
        <fgColor indexed="26"/>
        <bgColor indexed="64"/>
      </patternFill>
    </fill>
    <fill>
      <patternFill patternType="solid">
        <fgColor indexed="13"/>
        <bgColor indexed="64"/>
      </patternFill>
    </fill>
  </fills>
  <borders count="6">
    <border>
      <left/>
      <right/>
      <top/>
      <bottom/>
      <diagonal/>
    </border>
    <border>
      <left>
        <color indexed="63"/>
      </left>
      <right>
        <color indexed="63"/>
      </right>
      <top style="thick">
        <color indexed="8"/>
      </top>
      <bottom style="medium">
        <color indexed="8"/>
      </bottom>
    </border>
    <border>
      <left>
        <color indexed="63"/>
      </left>
      <right>
        <color indexed="63"/>
      </right>
      <top>
        <color indexed="63"/>
      </top>
      <bottom style="thick">
        <color indexed="8"/>
      </bottom>
    </border>
    <border>
      <left>
        <color indexed="63"/>
      </left>
      <right>
        <color indexed="63"/>
      </right>
      <top style="medium">
        <color indexed="8"/>
      </top>
      <bottom style="thick">
        <color indexed="8"/>
      </bottom>
    </border>
    <border>
      <left>
        <color indexed="63"/>
      </left>
      <right>
        <color indexed="63"/>
      </right>
      <top style="medium"/>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07">
    <xf numFmtId="0" fontId="0" fillId="0" borderId="0" xfId="0" applyAlignment="1">
      <alignment/>
    </xf>
    <xf numFmtId="0" fontId="4" fillId="0" borderId="0" xfId="0" applyFont="1" applyAlignment="1">
      <alignment/>
    </xf>
    <xf numFmtId="171" fontId="4" fillId="0" borderId="0" xfId="0" applyNumberFormat="1" applyFont="1" applyAlignment="1">
      <alignment/>
    </xf>
    <xf numFmtId="1" fontId="4" fillId="0" borderId="0" xfId="0" applyNumberFormat="1" applyFont="1" applyAlignment="1">
      <alignment/>
    </xf>
    <xf numFmtId="0" fontId="4" fillId="2" borderId="0" xfId="0" applyFont="1" applyFill="1" applyAlignment="1">
      <alignment/>
    </xf>
    <xf numFmtId="190" fontId="4" fillId="2" borderId="0" xfId="0" applyNumberFormat="1" applyFont="1" applyFill="1" applyAlignment="1">
      <alignment/>
    </xf>
    <xf numFmtId="165" fontId="5" fillId="0" borderId="0" xfId="0" applyNumberFormat="1" applyFont="1" applyAlignment="1">
      <alignment/>
    </xf>
    <xf numFmtId="171" fontId="5" fillId="0" borderId="0" xfId="0" applyNumberFormat="1" applyFont="1" applyAlignment="1">
      <alignment/>
    </xf>
    <xf numFmtId="0" fontId="5" fillId="0" borderId="0" xfId="0" applyFont="1" applyAlignment="1">
      <alignment/>
    </xf>
    <xf numFmtId="171" fontId="5" fillId="0" borderId="0" xfId="0" applyNumberFormat="1" applyFont="1" applyAlignment="1">
      <alignment/>
    </xf>
    <xf numFmtId="177" fontId="5" fillId="0" borderId="0" xfId="0" applyNumberFormat="1" applyFont="1" applyAlignment="1">
      <alignment/>
    </xf>
    <xf numFmtId="0" fontId="5" fillId="0" borderId="0" xfId="0" applyFont="1" applyAlignment="1">
      <alignment/>
    </xf>
    <xf numFmtId="0" fontId="6" fillId="0" borderId="1" xfId="0" applyFont="1" applyBorder="1" applyAlignment="1">
      <alignment horizontal="center" wrapText="1"/>
    </xf>
    <xf numFmtId="8" fontId="7" fillId="0" borderId="0" xfId="0" applyNumberFormat="1" applyFont="1" applyAlignment="1">
      <alignment horizontal="center" wrapText="1"/>
    </xf>
    <xf numFmtId="0" fontId="7" fillId="0" borderId="0" xfId="0" applyFont="1" applyAlignment="1">
      <alignment horizontal="center" wrapText="1"/>
    </xf>
    <xf numFmtId="8" fontId="7" fillId="0" borderId="2" xfId="0" applyNumberFormat="1" applyFont="1" applyBorder="1" applyAlignment="1">
      <alignment horizontal="center" wrapText="1"/>
    </xf>
    <xf numFmtId="0" fontId="7" fillId="0" borderId="2" xfId="0" applyFont="1" applyBorder="1" applyAlignment="1">
      <alignment horizontal="center" wrapText="1"/>
    </xf>
    <xf numFmtId="44" fontId="7" fillId="0" borderId="0" xfId="17" applyFont="1" applyAlignment="1">
      <alignment horizontal="center" wrapText="1"/>
    </xf>
    <xf numFmtId="2" fontId="7" fillId="0" borderId="0" xfId="0" applyNumberFormat="1" applyFont="1" applyAlignment="1">
      <alignment horizontal="center" wrapText="1"/>
    </xf>
    <xf numFmtId="0" fontId="7" fillId="0" borderId="3" xfId="0" applyFont="1" applyBorder="1" applyAlignment="1">
      <alignment horizontal="center" wrapText="1"/>
    </xf>
    <xf numFmtId="44" fontId="7" fillId="0" borderId="3" xfId="17" applyFont="1" applyBorder="1" applyAlignment="1">
      <alignment horizontal="center" wrapText="1"/>
    </xf>
    <xf numFmtId="0" fontId="8" fillId="0" borderId="0" xfId="0" applyFont="1" applyAlignment="1">
      <alignment/>
    </xf>
    <xf numFmtId="9" fontId="5" fillId="0" borderId="0" xfId="21" applyFont="1" applyAlignment="1">
      <alignment/>
    </xf>
    <xf numFmtId="170" fontId="5" fillId="0" borderId="0" xfId="21" applyNumberFormat="1" applyFont="1" applyAlignment="1">
      <alignment/>
    </xf>
    <xf numFmtId="0" fontId="10" fillId="0" borderId="0" xfId="0" applyFont="1" applyAlignment="1">
      <alignment horizontal="left"/>
    </xf>
    <xf numFmtId="0" fontId="11" fillId="0" borderId="0" xfId="0" applyFont="1" applyAlignment="1">
      <alignment/>
    </xf>
    <xf numFmtId="0" fontId="11" fillId="0" borderId="0" xfId="0" applyFont="1" applyAlignment="1">
      <alignment horizontal="left"/>
    </xf>
    <xf numFmtId="0" fontId="5" fillId="0" borderId="0" xfId="0" applyFont="1" applyAlignment="1">
      <alignment/>
    </xf>
    <xf numFmtId="0" fontId="5" fillId="0" borderId="0" xfId="0" applyFont="1" applyAlignment="1">
      <alignment horizontal="center"/>
    </xf>
    <xf numFmtId="171" fontId="5" fillId="0" borderId="0" xfId="0" applyNumberFormat="1" applyFont="1" applyAlignment="1">
      <alignment horizontal="center"/>
    </xf>
    <xf numFmtId="2" fontId="12" fillId="0" borderId="0" xfId="0" applyNumberFormat="1" applyFont="1" applyAlignment="1">
      <alignment horizontal="center"/>
    </xf>
    <xf numFmtId="0" fontId="12" fillId="0" borderId="0" xfId="0" applyFont="1" applyAlignment="1">
      <alignment horizontal="center"/>
    </xf>
    <xf numFmtId="171" fontId="12" fillId="0" borderId="0" xfId="0" applyNumberFormat="1" applyFont="1" applyAlignment="1">
      <alignment horizontal="center"/>
    </xf>
    <xf numFmtId="10" fontId="5" fillId="0" borderId="0" xfId="0" applyNumberFormat="1" applyFont="1" applyAlignment="1">
      <alignment/>
    </xf>
    <xf numFmtId="186" fontId="5" fillId="0" borderId="0" xfId="0" applyNumberFormat="1" applyFont="1" applyAlignment="1">
      <alignment/>
    </xf>
    <xf numFmtId="10" fontId="13" fillId="0" borderId="0" xfId="0" applyNumberFormat="1" applyFont="1" applyAlignment="1">
      <alignment/>
    </xf>
    <xf numFmtId="2" fontId="5" fillId="0" borderId="0" xfId="0" applyNumberFormat="1" applyFont="1" applyAlignment="1">
      <alignment/>
    </xf>
    <xf numFmtId="171" fontId="5" fillId="0" borderId="0" xfId="0" applyNumberFormat="1" applyFont="1" applyAlignment="1">
      <alignment/>
    </xf>
    <xf numFmtId="186" fontId="5" fillId="0" borderId="0" xfId="0" applyNumberFormat="1" applyFont="1" applyAlignment="1">
      <alignment/>
    </xf>
    <xf numFmtId="170" fontId="5" fillId="0" borderId="0" xfId="0" applyNumberFormat="1" applyFont="1" applyAlignment="1">
      <alignment/>
    </xf>
    <xf numFmtId="0" fontId="5" fillId="0" borderId="0" xfId="0" applyFont="1" applyAlignment="1">
      <alignment horizontal="left"/>
    </xf>
    <xf numFmtId="10" fontId="5" fillId="0" borderId="0" xfId="0" applyNumberFormat="1" applyFont="1" applyAlignment="1">
      <alignment/>
    </xf>
    <xf numFmtId="0" fontId="5" fillId="0" borderId="0" xfId="0" applyFont="1" applyFill="1" applyAlignment="1">
      <alignment horizontal="left"/>
    </xf>
    <xf numFmtId="0" fontId="5" fillId="0" borderId="0" xfId="0" applyFont="1" applyFill="1" applyAlignment="1">
      <alignment/>
    </xf>
    <xf numFmtId="170" fontId="5" fillId="0" borderId="0" xfId="0" applyNumberFormat="1" applyFont="1" applyFill="1" applyAlignment="1">
      <alignment/>
    </xf>
    <xf numFmtId="10" fontId="5" fillId="0" borderId="0" xfId="0" applyNumberFormat="1" applyFont="1" applyFill="1" applyAlignment="1">
      <alignment/>
    </xf>
    <xf numFmtId="0" fontId="5" fillId="0" borderId="0" xfId="0" applyFont="1" applyFill="1" applyAlignment="1">
      <alignment horizontal="center"/>
    </xf>
    <xf numFmtId="0" fontId="5" fillId="0" borderId="0" xfId="0" applyFont="1" applyAlignment="1">
      <alignment horizontal="center"/>
    </xf>
    <xf numFmtId="0" fontId="5" fillId="0" borderId="0" xfId="0" applyFont="1" applyAlignment="1">
      <alignment horizontal="left"/>
    </xf>
    <xf numFmtId="0" fontId="11" fillId="0" borderId="0" xfId="0" applyFont="1" applyAlignment="1">
      <alignment/>
    </xf>
    <xf numFmtId="10" fontId="11" fillId="0" borderId="0" xfId="0" applyNumberFormat="1" applyFont="1" applyAlignment="1">
      <alignment/>
    </xf>
    <xf numFmtId="171" fontId="11" fillId="0" borderId="0" xfId="0" applyNumberFormat="1" applyFont="1" applyAlignment="1">
      <alignment/>
    </xf>
    <xf numFmtId="0" fontId="11" fillId="0" borderId="0" xfId="0" applyFont="1" applyAlignment="1" quotePrefix="1">
      <alignment/>
    </xf>
    <xf numFmtId="0" fontId="11" fillId="0" borderId="0" xfId="0" applyFont="1" applyAlignment="1">
      <alignment/>
    </xf>
    <xf numFmtId="0" fontId="11" fillId="0" borderId="0" xfId="0" applyFont="1" applyAlignment="1">
      <alignment horizontal="center"/>
    </xf>
    <xf numFmtId="171" fontId="11" fillId="0" borderId="0" xfId="0" applyNumberFormat="1" applyFont="1" applyAlignment="1">
      <alignment horizontal="center"/>
    </xf>
    <xf numFmtId="10" fontId="11" fillId="0" borderId="0" xfId="0" applyNumberFormat="1" applyFont="1" applyAlignment="1">
      <alignment/>
    </xf>
    <xf numFmtId="10" fontId="11" fillId="0" borderId="0" xfId="0" applyNumberFormat="1" applyFont="1" applyAlignment="1">
      <alignment horizontal="center"/>
    </xf>
    <xf numFmtId="2" fontId="14" fillId="0" borderId="0" xfId="0" applyNumberFormat="1" applyFont="1" applyAlignment="1">
      <alignment horizontal="center"/>
    </xf>
    <xf numFmtId="0" fontId="14" fillId="0" borderId="0" xfId="0" applyFont="1" applyAlignment="1">
      <alignment horizontal="center"/>
    </xf>
    <xf numFmtId="171" fontId="14" fillId="0" borderId="0" xfId="0" applyNumberFormat="1" applyFont="1" applyAlignment="1">
      <alignment horizontal="center"/>
    </xf>
    <xf numFmtId="10" fontId="14" fillId="0" borderId="0" xfId="0" applyNumberFormat="1" applyFont="1" applyAlignment="1">
      <alignment horizontal="center"/>
    </xf>
    <xf numFmtId="2" fontId="15" fillId="0" borderId="0" xfId="0" applyNumberFormat="1" applyFont="1" applyAlignment="1">
      <alignment horizontal="center"/>
    </xf>
    <xf numFmtId="171" fontId="11" fillId="0" borderId="0" xfId="0" applyNumberFormat="1" applyFont="1" applyAlignment="1">
      <alignment/>
    </xf>
    <xf numFmtId="1" fontId="11" fillId="0" borderId="0" xfId="0" applyNumberFormat="1" applyFont="1" applyAlignment="1">
      <alignment horizontal="center"/>
    </xf>
    <xf numFmtId="186" fontId="11" fillId="0" borderId="0" xfId="0" applyNumberFormat="1" applyFont="1" applyAlignment="1">
      <alignment/>
    </xf>
    <xf numFmtId="4" fontId="11" fillId="0" borderId="0" xfId="0" applyNumberFormat="1" applyFont="1" applyAlignment="1">
      <alignment/>
    </xf>
    <xf numFmtId="186" fontId="11" fillId="0" borderId="0" xfId="0" applyNumberFormat="1" applyFont="1" applyAlignment="1">
      <alignment/>
    </xf>
    <xf numFmtId="2" fontId="11" fillId="0" borderId="0" xfId="0" applyNumberFormat="1" applyFont="1" applyAlignment="1">
      <alignment/>
    </xf>
    <xf numFmtId="0" fontId="11" fillId="0" borderId="0" xfId="0" applyFont="1" applyAlignment="1">
      <alignment horizontal="left"/>
    </xf>
    <xf numFmtId="180" fontId="11" fillId="0" borderId="0" xfId="0" applyNumberFormat="1" applyFont="1" applyAlignment="1">
      <alignment/>
    </xf>
    <xf numFmtId="10" fontId="11" fillId="0" borderId="0" xfId="21" applyNumberFormat="1" applyFont="1" applyAlignment="1">
      <alignment/>
    </xf>
    <xf numFmtId="170" fontId="11" fillId="0" borderId="0" xfId="0" applyNumberFormat="1" applyFont="1" applyAlignment="1">
      <alignment/>
    </xf>
    <xf numFmtId="0" fontId="11" fillId="0" borderId="0" xfId="0" applyFont="1" applyAlignment="1">
      <alignment horizontal="center"/>
    </xf>
    <xf numFmtId="0" fontId="11" fillId="0" borderId="0" xfId="0" applyFont="1" applyAlignment="1">
      <alignment wrapText="1"/>
    </xf>
    <xf numFmtId="0" fontId="16" fillId="0" borderId="0" xfId="0" applyFont="1" applyAlignment="1">
      <alignment/>
    </xf>
    <xf numFmtId="3" fontId="11" fillId="0" borderId="0" xfId="0" applyNumberFormat="1" applyFont="1" applyAlignment="1">
      <alignment/>
    </xf>
    <xf numFmtId="10" fontId="11" fillId="0" borderId="0" xfId="21" applyNumberFormat="1" applyFont="1" applyAlignment="1">
      <alignment/>
    </xf>
    <xf numFmtId="172" fontId="11" fillId="0" borderId="0" xfId="0" applyNumberFormat="1" applyFont="1" applyAlignment="1">
      <alignment/>
    </xf>
    <xf numFmtId="0" fontId="17" fillId="0" borderId="0" xfId="0" applyFont="1" applyAlignment="1">
      <alignment horizontal="left"/>
    </xf>
    <xf numFmtId="0" fontId="20" fillId="0" borderId="0" xfId="0" applyFont="1" applyAlignment="1">
      <alignment horizontal="left"/>
    </xf>
    <xf numFmtId="0" fontId="15" fillId="0" borderId="0" xfId="0" applyFont="1" applyBorder="1" applyAlignment="1">
      <alignment horizontal="left"/>
    </xf>
    <xf numFmtId="0" fontId="11" fillId="0" borderId="0" xfId="0" applyFont="1" applyFill="1" applyBorder="1" applyAlignment="1">
      <alignment/>
    </xf>
    <xf numFmtId="0" fontId="15" fillId="0" borderId="0" xfId="0" applyFont="1" applyAlignment="1">
      <alignment horizontal="left"/>
    </xf>
    <xf numFmtId="0" fontId="21" fillId="0" borderId="0" xfId="0" applyFont="1" applyAlignment="1">
      <alignment/>
    </xf>
    <xf numFmtId="0" fontId="21" fillId="0" borderId="0" xfId="0" applyFont="1" applyAlignment="1">
      <alignment horizontal="center"/>
    </xf>
    <xf numFmtId="170" fontId="21" fillId="0" borderId="0" xfId="0" applyNumberFormat="1" applyFont="1" applyAlignment="1">
      <alignment horizontal="center"/>
    </xf>
    <xf numFmtId="0" fontId="22" fillId="0" borderId="0" xfId="0" applyFont="1" applyFill="1" applyBorder="1" applyAlignment="1">
      <alignment horizontal="center"/>
    </xf>
    <xf numFmtId="0" fontId="14" fillId="0" borderId="0" xfId="0" applyFont="1" applyFill="1" applyBorder="1" applyAlignment="1">
      <alignment/>
    </xf>
    <xf numFmtId="0" fontId="22" fillId="0" borderId="0" xfId="0" applyFont="1" applyFill="1" applyBorder="1" applyAlignment="1">
      <alignment/>
    </xf>
    <xf numFmtId="176" fontId="11" fillId="0" borderId="0" xfId="0" applyNumberFormat="1" applyFont="1" applyFill="1" applyBorder="1" applyAlignment="1">
      <alignment horizontal="left"/>
    </xf>
    <xf numFmtId="10" fontId="11" fillId="0" borderId="0" xfId="0" applyNumberFormat="1" applyFont="1" applyFill="1" applyBorder="1" applyAlignment="1">
      <alignment horizontal="right"/>
    </xf>
    <xf numFmtId="170" fontId="11" fillId="0" borderId="0" xfId="21" applyNumberFormat="1" applyFont="1" applyFill="1" applyBorder="1" applyAlignment="1">
      <alignment/>
    </xf>
    <xf numFmtId="0" fontId="11" fillId="0" borderId="0" xfId="0" applyFont="1" applyBorder="1" applyAlignment="1">
      <alignment/>
    </xf>
    <xf numFmtId="170" fontId="11" fillId="0" borderId="0" xfId="0" applyNumberFormat="1" applyFont="1" applyFill="1" applyBorder="1" applyAlignment="1">
      <alignment/>
    </xf>
    <xf numFmtId="170" fontId="11" fillId="0" borderId="0" xfId="0" applyNumberFormat="1" applyFont="1" applyFill="1" applyBorder="1" applyAlignment="1">
      <alignment horizontal="right"/>
    </xf>
    <xf numFmtId="10" fontId="11" fillId="0" borderId="0" xfId="0" applyNumberFormat="1" applyFont="1" applyFill="1" applyBorder="1" applyAlignment="1">
      <alignment/>
    </xf>
    <xf numFmtId="2" fontId="22" fillId="0" borderId="0" xfId="0" applyNumberFormat="1" applyFont="1" applyFill="1" applyBorder="1" applyAlignment="1">
      <alignment/>
    </xf>
    <xf numFmtId="2" fontId="11" fillId="0" borderId="0" xfId="0" applyNumberFormat="1" applyFont="1" applyFill="1" applyBorder="1" applyAlignment="1">
      <alignment/>
    </xf>
    <xf numFmtId="0" fontId="11" fillId="0" borderId="0" xfId="0" applyFont="1" applyFill="1" applyBorder="1" applyAlignment="1">
      <alignment horizontal="right"/>
    </xf>
    <xf numFmtId="171" fontId="11" fillId="0" borderId="0" xfId="0" applyNumberFormat="1" applyFont="1" applyFill="1" applyBorder="1" applyAlignment="1">
      <alignment/>
    </xf>
    <xf numFmtId="177" fontId="11" fillId="0" borderId="0" xfId="0" applyNumberFormat="1" applyFont="1" applyFill="1" applyBorder="1" applyAlignment="1">
      <alignment/>
    </xf>
    <xf numFmtId="170" fontId="11" fillId="0" borderId="0" xfId="21" applyNumberFormat="1" applyFont="1" applyFill="1" applyBorder="1" applyAlignment="1">
      <alignment horizontal="right"/>
    </xf>
    <xf numFmtId="170" fontId="22" fillId="0" borderId="0" xfId="0" applyNumberFormat="1" applyFont="1" applyFill="1" applyBorder="1" applyAlignment="1">
      <alignment/>
    </xf>
    <xf numFmtId="0" fontId="21" fillId="0" borderId="0" xfId="0" applyFont="1" applyAlignment="1">
      <alignment wrapText="1"/>
    </xf>
    <xf numFmtId="0" fontId="23" fillId="0" borderId="0" xfId="0" applyFont="1" applyAlignment="1">
      <alignment/>
    </xf>
    <xf numFmtId="10" fontId="23" fillId="0" borderId="0" xfId="0" applyNumberFormat="1" applyFont="1" applyAlignment="1">
      <alignment/>
    </xf>
    <xf numFmtId="0" fontId="24" fillId="0" borderId="0" xfId="0" applyFont="1" applyAlignment="1">
      <alignment/>
    </xf>
    <xf numFmtId="4" fontId="5" fillId="0" borderId="0" xfId="0" applyNumberFormat="1" applyFont="1" applyAlignment="1">
      <alignment/>
    </xf>
    <xf numFmtId="170" fontId="5" fillId="0" borderId="0" xfId="0" applyNumberFormat="1" applyFont="1" applyAlignment="1">
      <alignment/>
    </xf>
    <xf numFmtId="3" fontId="5" fillId="0" borderId="0" xfId="0" applyNumberFormat="1" applyFont="1" applyAlignment="1">
      <alignment/>
    </xf>
    <xf numFmtId="1" fontId="5" fillId="0" borderId="0" xfId="0" applyNumberFormat="1" applyFont="1" applyAlignment="1">
      <alignment/>
    </xf>
    <xf numFmtId="4" fontId="11" fillId="0" borderId="0" xfId="0" applyNumberFormat="1" applyFont="1" applyFill="1" applyAlignment="1">
      <alignment horizontal="center" wrapText="1"/>
    </xf>
    <xf numFmtId="170" fontId="11" fillId="0" borderId="0" xfId="21" applyNumberFormat="1" applyFont="1" applyFill="1" applyAlignment="1">
      <alignment horizontal="center" wrapText="1"/>
    </xf>
    <xf numFmtId="3" fontId="11" fillId="0" borderId="0" xfId="15" applyNumberFormat="1" applyFont="1" applyFill="1" applyAlignment="1">
      <alignment wrapText="1"/>
    </xf>
    <xf numFmtId="0" fontId="11" fillId="0" borderId="0" xfId="0" applyFont="1" applyFill="1" applyBorder="1" applyAlignment="1" applyProtection="1">
      <alignment horizontal="center" wrapText="1"/>
      <protection/>
    </xf>
    <xf numFmtId="0" fontId="11" fillId="0" borderId="0" xfId="0" applyFont="1" applyFill="1" applyAlignment="1">
      <alignment wrapText="1"/>
    </xf>
    <xf numFmtId="170" fontId="11" fillId="0" borderId="0" xfId="21" applyNumberFormat="1" applyFont="1" applyFill="1" applyAlignment="1" applyProtection="1">
      <alignment/>
      <protection/>
    </xf>
    <xf numFmtId="10" fontId="5" fillId="0" borderId="0" xfId="21" applyNumberFormat="1" applyFont="1" applyAlignment="1">
      <alignment/>
    </xf>
    <xf numFmtId="4" fontId="11" fillId="0" borderId="0" xfId="0" applyNumberFormat="1" applyFont="1" applyAlignment="1">
      <alignment/>
    </xf>
    <xf numFmtId="170" fontId="11" fillId="0" borderId="0" xfId="21" applyNumberFormat="1" applyFont="1" applyAlignment="1">
      <alignment/>
    </xf>
    <xf numFmtId="17" fontId="11" fillId="0" borderId="0" xfId="0" applyNumberFormat="1" applyFont="1" applyAlignment="1">
      <alignment/>
    </xf>
    <xf numFmtId="1" fontId="11" fillId="0" borderId="0" xfId="0" applyNumberFormat="1" applyFont="1" applyAlignment="1">
      <alignment/>
    </xf>
    <xf numFmtId="2" fontId="11" fillId="0" borderId="0" xfId="0" applyNumberFormat="1" applyFont="1" applyAlignment="1">
      <alignment/>
    </xf>
    <xf numFmtId="0" fontId="11" fillId="0" borderId="0" xfId="0" applyFont="1" applyFill="1" applyAlignment="1">
      <alignment/>
    </xf>
    <xf numFmtId="4" fontId="11" fillId="0" borderId="0" xfId="0" applyNumberFormat="1" applyFont="1" applyFill="1" applyAlignment="1">
      <alignment/>
    </xf>
    <xf numFmtId="4" fontId="21" fillId="0" borderId="0" xfId="0" applyNumberFormat="1" applyFont="1" applyFill="1" applyBorder="1" applyAlignment="1">
      <alignment horizontal="center"/>
    </xf>
    <xf numFmtId="10" fontId="11" fillId="0" borderId="0" xfId="0" applyNumberFormat="1" applyFont="1" applyFill="1" applyAlignment="1">
      <alignment/>
    </xf>
    <xf numFmtId="170" fontId="11" fillId="0" borderId="0" xfId="21" applyNumberFormat="1" applyFont="1" applyFill="1" applyAlignment="1">
      <alignment/>
    </xf>
    <xf numFmtId="3" fontId="11" fillId="0" borderId="0" xfId="0" applyNumberFormat="1" applyFont="1" applyFill="1" applyAlignment="1">
      <alignment/>
    </xf>
    <xf numFmtId="10" fontId="11" fillId="0" borderId="0" xfId="0" applyNumberFormat="1" applyFont="1" applyFill="1" applyAlignment="1">
      <alignment horizontal="center" wrapText="1"/>
    </xf>
    <xf numFmtId="2" fontId="11" fillId="0" borderId="0" xfId="0" applyNumberFormat="1" applyFont="1" applyFill="1" applyAlignment="1">
      <alignment/>
    </xf>
    <xf numFmtId="0" fontId="26" fillId="0" borderId="0" xfId="0" applyFont="1" applyAlignment="1">
      <alignment/>
    </xf>
    <xf numFmtId="10" fontId="11" fillId="0" borderId="0" xfId="21" applyNumberFormat="1" applyFont="1" applyFill="1" applyAlignment="1" applyProtection="1">
      <alignment/>
      <protection/>
    </xf>
    <xf numFmtId="178" fontId="11" fillId="0" borderId="0" xfId="21" applyNumberFormat="1" applyFont="1" applyFill="1" applyAlignment="1" applyProtection="1">
      <alignment/>
      <protection/>
    </xf>
    <xf numFmtId="170" fontId="11" fillId="0" borderId="0" xfId="0" applyNumberFormat="1" applyFont="1" applyAlignment="1">
      <alignment/>
    </xf>
    <xf numFmtId="0" fontId="11" fillId="0" borderId="0" xfId="0" applyFont="1" applyAlignment="1">
      <alignment horizontal="left" indent="10"/>
    </xf>
    <xf numFmtId="165" fontId="11" fillId="0" borderId="0" xfId="0" applyNumberFormat="1" applyFont="1" applyAlignment="1">
      <alignment/>
    </xf>
    <xf numFmtId="0" fontId="16" fillId="0" borderId="0" xfId="0" applyFont="1" applyAlignment="1">
      <alignment horizontal="center"/>
    </xf>
    <xf numFmtId="2" fontId="16" fillId="0" borderId="0" xfId="0" applyNumberFormat="1" applyFont="1" applyAlignment="1">
      <alignment/>
    </xf>
    <xf numFmtId="2" fontId="27" fillId="0" borderId="0" xfId="0" applyNumberFormat="1" applyFont="1" applyAlignment="1">
      <alignment/>
    </xf>
    <xf numFmtId="10" fontId="16" fillId="0" borderId="0" xfId="21" applyNumberFormat="1" applyFont="1" applyAlignment="1">
      <alignment/>
    </xf>
    <xf numFmtId="173" fontId="16" fillId="0" borderId="0" xfId="15" applyNumberFormat="1" applyFont="1" applyAlignment="1">
      <alignment/>
    </xf>
    <xf numFmtId="0" fontId="16" fillId="0" borderId="0" xfId="0" applyFont="1" applyAlignment="1">
      <alignment/>
    </xf>
    <xf numFmtId="0" fontId="16" fillId="0" borderId="0" xfId="0" applyFont="1" applyAlignment="1">
      <alignment horizontal="left"/>
    </xf>
    <xf numFmtId="0" fontId="28" fillId="0" borderId="0" xfId="20" applyFont="1" applyAlignment="1">
      <alignment/>
    </xf>
    <xf numFmtId="0" fontId="27" fillId="0" borderId="0" xfId="0" applyFont="1" applyAlignment="1">
      <alignment horizontal="left"/>
    </xf>
    <xf numFmtId="15" fontId="16" fillId="0" borderId="0" xfId="0" applyNumberFormat="1" applyFont="1" applyAlignment="1">
      <alignment horizontal="left"/>
    </xf>
    <xf numFmtId="165" fontId="16" fillId="0" borderId="0" xfId="0" applyNumberFormat="1" applyFont="1" applyAlignment="1">
      <alignment/>
    </xf>
    <xf numFmtId="0" fontId="16" fillId="0" borderId="0" xfId="0" applyFont="1" applyAlignment="1">
      <alignment horizontal="center" wrapText="1"/>
    </xf>
    <xf numFmtId="0" fontId="16" fillId="0" borderId="0" xfId="0" applyFont="1" applyAlignment="1">
      <alignment wrapText="1"/>
    </xf>
    <xf numFmtId="171" fontId="16" fillId="0" borderId="0" xfId="0" applyNumberFormat="1" applyFont="1" applyAlignment="1">
      <alignment wrapText="1"/>
    </xf>
    <xf numFmtId="165" fontId="16" fillId="0" borderId="0" xfId="0" applyNumberFormat="1" applyFont="1" applyAlignment="1">
      <alignment wrapText="1"/>
    </xf>
    <xf numFmtId="2" fontId="16" fillId="0" borderId="0" xfId="0" applyNumberFormat="1" applyFont="1" applyFill="1" applyAlignment="1">
      <alignment horizontal="center" wrapText="1"/>
    </xf>
    <xf numFmtId="16" fontId="16" fillId="0" borderId="0" xfId="0" applyNumberFormat="1" applyFont="1" applyAlignment="1">
      <alignment horizontal="center" wrapText="1"/>
    </xf>
    <xf numFmtId="172" fontId="16" fillId="0" borderId="0" xfId="0" applyNumberFormat="1" applyFont="1" applyAlignment="1">
      <alignment horizontal="center" wrapText="1"/>
    </xf>
    <xf numFmtId="178" fontId="16" fillId="0" borderId="0" xfId="21" applyNumberFormat="1" applyFont="1" applyAlignment="1">
      <alignment horizontal="center" wrapText="1"/>
    </xf>
    <xf numFmtId="0" fontId="16" fillId="0" borderId="0" xfId="0" applyFont="1" applyFill="1" applyAlignment="1">
      <alignment wrapText="1"/>
    </xf>
    <xf numFmtId="2" fontId="16" fillId="0" borderId="0" xfId="0" applyNumberFormat="1" applyFont="1" applyAlignment="1">
      <alignment wrapText="1"/>
    </xf>
    <xf numFmtId="0" fontId="16" fillId="0" borderId="0" xfId="0" applyFont="1" applyBorder="1" applyAlignment="1">
      <alignment horizontal="center" wrapText="1"/>
    </xf>
    <xf numFmtId="4" fontId="16" fillId="0" borderId="0" xfId="0" applyNumberFormat="1" applyFont="1" applyAlignment="1">
      <alignment/>
    </xf>
    <xf numFmtId="171" fontId="16" fillId="0" borderId="0" xfId="0" applyNumberFormat="1" applyFont="1" applyAlignment="1">
      <alignment/>
    </xf>
    <xf numFmtId="169" fontId="16" fillId="0" borderId="0" xfId="0" applyNumberFormat="1" applyFont="1" applyAlignment="1">
      <alignment/>
    </xf>
    <xf numFmtId="168" fontId="16" fillId="0" borderId="0" xfId="0" applyNumberFormat="1" applyFont="1" applyAlignment="1">
      <alignment/>
    </xf>
    <xf numFmtId="3" fontId="16" fillId="0" borderId="0" xfId="0" applyNumberFormat="1" applyFont="1" applyAlignment="1">
      <alignment/>
    </xf>
    <xf numFmtId="170" fontId="16" fillId="0" borderId="0" xfId="21" applyNumberFormat="1" applyFont="1" applyAlignment="1">
      <alignment/>
    </xf>
    <xf numFmtId="1" fontId="16" fillId="0" borderId="0" xfId="0" applyNumberFormat="1" applyFont="1" applyAlignment="1">
      <alignment/>
    </xf>
    <xf numFmtId="2" fontId="16" fillId="0" borderId="0" xfId="0" applyNumberFormat="1" applyFont="1" applyAlignment="1">
      <alignment/>
    </xf>
    <xf numFmtId="1" fontId="16" fillId="0" borderId="0" xfId="0" applyNumberFormat="1" applyFont="1" applyAlignment="1">
      <alignment horizontal="center"/>
    </xf>
    <xf numFmtId="0" fontId="16" fillId="3" borderId="0" xfId="0" applyFont="1" applyFill="1" applyAlignment="1">
      <alignment/>
    </xf>
    <xf numFmtId="0" fontId="16" fillId="0" borderId="0" xfId="0" applyFont="1" applyFill="1" applyBorder="1" applyAlignment="1">
      <alignment/>
    </xf>
    <xf numFmtId="10" fontId="16" fillId="0" borderId="0" xfId="0" applyNumberFormat="1" applyFont="1" applyAlignment="1">
      <alignment/>
    </xf>
    <xf numFmtId="191" fontId="16" fillId="0" borderId="0" xfId="0" applyNumberFormat="1" applyFont="1" applyAlignment="1">
      <alignment/>
    </xf>
    <xf numFmtId="174" fontId="16" fillId="0" borderId="0" xfId="0" applyNumberFormat="1" applyFont="1" applyAlignment="1">
      <alignment horizontal="center"/>
    </xf>
    <xf numFmtId="174" fontId="16" fillId="0" borderId="0" xfId="0" applyNumberFormat="1" applyFont="1" applyFill="1" applyAlignment="1">
      <alignment horizontal="center"/>
    </xf>
    <xf numFmtId="2" fontId="16" fillId="0" borderId="0" xfId="0" applyNumberFormat="1" applyFont="1" applyAlignment="1">
      <alignment horizontal="center"/>
    </xf>
    <xf numFmtId="2" fontId="5" fillId="0" borderId="0" xfId="0" applyNumberFormat="1" applyFont="1" applyAlignment="1">
      <alignment/>
    </xf>
    <xf numFmtId="170" fontId="16" fillId="0" borderId="0" xfId="0" applyNumberFormat="1" applyFont="1" applyAlignment="1">
      <alignment/>
    </xf>
    <xf numFmtId="0" fontId="18" fillId="0" borderId="0" xfId="0" applyFont="1" applyAlignment="1">
      <alignment horizontal="left"/>
    </xf>
    <xf numFmtId="10" fontId="5" fillId="0" borderId="0" xfId="0" applyNumberFormat="1" applyFont="1" applyAlignment="1">
      <alignment horizontal="right"/>
    </xf>
    <xf numFmtId="0" fontId="18" fillId="0" borderId="0" xfId="0" applyFont="1" applyAlignment="1">
      <alignment/>
    </xf>
    <xf numFmtId="2" fontId="5" fillId="0" borderId="0" xfId="0" applyNumberFormat="1" applyFont="1" applyAlignment="1">
      <alignment horizontal="right"/>
    </xf>
    <xf numFmtId="170" fontId="5" fillId="0" borderId="0" xfId="0" applyNumberFormat="1" applyFont="1" applyAlignment="1">
      <alignment horizontal="right"/>
    </xf>
    <xf numFmtId="0" fontId="5" fillId="0" borderId="0" xfId="0" applyFont="1" applyAlignment="1">
      <alignment wrapText="1"/>
    </xf>
    <xf numFmtId="0" fontId="18" fillId="0" borderId="0" xfId="0" applyFont="1" applyAlignment="1">
      <alignment/>
    </xf>
    <xf numFmtId="0" fontId="18" fillId="0" borderId="0" xfId="0" applyFont="1" applyAlignment="1" quotePrefix="1">
      <alignment/>
    </xf>
    <xf numFmtId="0" fontId="19" fillId="0" borderId="0" xfId="0" applyFont="1" applyAlignment="1">
      <alignment/>
    </xf>
    <xf numFmtId="0" fontId="18" fillId="0" borderId="0" xfId="0" applyFont="1" applyAlignment="1">
      <alignment wrapText="1"/>
    </xf>
    <xf numFmtId="0" fontId="5" fillId="0" borderId="0" xfId="0" applyFont="1" applyAlignment="1" quotePrefix="1">
      <alignment/>
    </xf>
    <xf numFmtId="10" fontId="5" fillId="0" borderId="0" xfId="0" applyNumberFormat="1" applyFont="1" applyAlignment="1">
      <alignment/>
    </xf>
    <xf numFmtId="15" fontId="18" fillId="0" borderId="0" xfId="0" applyNumberFormat="1" applyFont="1" applyFill="1" applyAlignment="1">
      <alignment horizontal="left"/>
    </xf>
    <xf numFmtId="0" fontId="24" fillId="0" borderId="0" xfId="0" applyFont="1" applyBorder="1" applyAlignment="1">
      <alignment horizontal="center" wrapText="1"/>
    </xf>
    <xf numFmtId="0" fontId="23" fillId="0" borderId="0" xfId="0" applyFont="1" applyBorder="1" applyAlignment="1">
      <alignment/>
    </xf>
    <xf numFmtId="10" fontId="23" fillId="0" borderId="0" xfId="0" applyNumberFormat="1" applyFont="1" applyBorder="1" applyAlignment="1">
      <alignment horizontal="center"/>
    </xf>
    <xf numFmtId="178" fontId="23" fillId="0" borderId="0" xfId="0" applyNumberFormat="1" applyFont="1" applyBorder="1" applyAlignment="1">
      <alignment/>
    </xf>
    <xf numFmtId="10" fontId="30" fillId="0" borderId="0" xfId="0" applyNumberFormat="1" applyFont="1" applyBorder="1" applyAlignment="1">
      <alignment/>
    </xf>
    <xf numFmtId="17" fontId="16" fillId="0" borderId="0" xfId="0" applyNumberFormat="1" applyFont="1" applyAlignment="1">
      <alignment horizontal="center" wrapText="1"/>
    </xf>
    <xf numFmtId="3" fontId="16" fillId="0" borderId="0" xfId="0" applyNumberFormat="1" applyFont="1" applyAlignment="1">
      <alignment horizontal="center" wrapText="1"/>
    </xf>
    <xf numFmtId="10" fontId="16" fillId="0" borderId="0" xfId="0" applyNumberFormat="1" applyFont="1" applyAlignment="1">
      <alignment horizontal="center" wrapText="1"/>
    </xf>
    <xf numFmtId="9" fontId="16" fillId="0" borderId="0" xfId="0" applyNumberFormat="1" applyFont="1" applyAlignment="1">
      <alignment/>
    </xf>
    <xf numFmtId="169" fontId="16" fillId="0" borderId="0" xfId="0" applyNumberFormat="1" applyFont="1" applyAlignment="1">
      <alignment/>
    </xf>
    <xf numFmtId="43" fontId="16" fillId="0" borderId="0" xfId="15" applyFont="1" applyAlignment="1">
      <alignment horizontal="center"/>
    </xf>
    <xf numFmtId="173" fontId="5" fillId="0" borderId="0" xfId="15" applyNumberFormat="1" applyFont="1" applyAlignment="1">
      <alignment/>
    </xf>
    <xf numFmtId="43" fontId="16" fillId="0" borderId="0" xfId="15" applyFont="1" applyAlignment="1">
      <alignment horizontal="center" wrapText="1"/>
    </xf>
    <xf numFmtId="1" fontId="16" fillId="0" borderId="0" xfId="0" applyNumberFormat="1" applyFont="1" applyAlignment="1">
      <alignment/>
    </xf>
    <xf numFmtId="171" fontId="16" fillId="0" borderId="0" xfId="0" applyNumberFormat="1" applyFont="1" applyAlignment="1">
      <alignment/>
    </xf>
    <xf numFmtId="9" fontId="16" fillId="0" borderId="0" xfId="21" applyFont="1" applyAlignment="1">
      <alignment/>
    </xf>
    <xf numFmtId="173" fontId="11" fillId="0" borderId="0" xfId="15" applyNumberFormat="1" applyFont="1" applyAlignment="1">
      <alignment horizontal="left"/>
    </xf>
    <xf numFmtId="171" fontId="11" fillId="0" borderId="0" xfId="0" applyNumberFormat="1" applyFont="1" applyAlignment="1">
      <alignment/>
    </xf>
    <xf numFmtId="177" fontId="11" fillId="0" borderId="0" xfId="0" applyNumberFormat="1" applyFont="1" applyAlignment="1">
      <alignment horizontal="center"/>
    </xf>
    <xf numFmtId="171" fontId="11" fillId="0" borderId="0" xfId="0" applyNumberFormat="1" applyFont="1" applyAlignment="1">
      <alignment horizontal="right"/>
    </xf>
    <xf numFmtId="0" fontId="21" fillId="0" borderId="0" xfId="0" applyFont="1" applyAlignment="1">
      <alignment horizontal="left"/>
    </xf>
    <xf numFmtId="171" fontId="22" fillId="0" borderId="0" xfId="0" applyNumberFormat="1" applyFont="1" applyAlignment="1">
      <alignment horizontal="right"/>
    </xf>
    <xf numFmtId="0" fontId="15" fillId="0" borderId="0" xfId="0" applyFont="1" applyAlignment="1">
      <alignment/>
    </xf>
    <xf numFmtId="0" fontId="21" fillId="0" borderId="0" xfId="0" applyFont="1" applyAlignment="1">
      <alignment/>
    </xf>
    <xf numFmtId="17" fontId="15" fillId="0" borderId="0" xfId="0" applyNumberFormat="1" applyFont="1" applyAlignment="1">
      <alignment/>
    </xf>
    <xf numFmtId="0" fontId="22" fillId="0" borderId="0" xfId="0" applyFont="1" applyAlignment="1">
      <alignment/>
    </xf>
    <xf numFmtId="176" fontId="21" fillId="0" borderId="0" xfId="0" applyNumberFormat="1" applyFont="1" applyAlignment="1">
      <alignment horizontal="left"/>
    </xf>
    <xf numFmtId="176" fontId="11" fillId="0" borderId="0" xfId="0" applyNumberFormat="1" applyFont="1" applyAlignment="1">
      <alignment horizontal="left"/>
    </xf>
    <xf numFmtId="17" fontId="11" fillId="0" borderId="0" xfId="0" applyNumberFormat="1" applyFont="1" applyAlignment="1">
      <alignment horizontal="center"/>
    </xf>
    <xf numFmtId="10" fontId="31" fillId="0" borderId="0" xfId="0" applyNumberFormat="1" applyFont="1" applyAlignment="1">
      <alignment/>
    </xf>
    <xf numFmtId="171" fontId="11" fillId="0" borderId="0" xfId="0" applyNumberFormat="1" applyFont="1" applyAlignment="1">
      <alignment horizontal="left"/>
    </xf>
    <xf numFmtId="0" fontId="15" fillId="0" borderId="0" xfId="0" applyFont="1" applyAlignment="1">
      <alignment horizontal="center"/>
    </xf>
    <xf numFmtId="190" fontId="11" fillId="0" borderId="0" xfId="0" applyNumberFormat="1" applyFont="1" applyAlignment="1" quotePrefix="1">
      <alignment/>
    </xf>
    <xf numFmtId="171" fontId="22" fillId="2" borderId="0" xfId="0" applyNumberFormat="1" applyFont="1" applyFill="1" applyAlignment="1" quotePrefix="1">
      <alignment/>
    </xf>
    <xf numFmtId="171" fontId="22" fillId="0" borderId="0" xfId="0" applyNumberFormat="1" applyFont="1" applyAlignment="1">
      <alignment horizontal="left"/>
    </xf>
    <xf numFmtId="176" fontId="32" fillId="0" borderId="0" xfId="0" applyNumberFormat="1" applyFont="1" applyAlignment="1">
      <alignment horizontal="left"/>
    </xf>
    <xf numFmtId="1" fontId="11" fillId="0" borderId="0" xfId="0" applyNumberFormat="1" applyFont="1" applyAlignment="1">
      <alignment horizontal="left"/>
    </xf>
    <xf numFmtId="0" fontId="15" fillId="0" borderId="0" xfId="0" applyFont="1" applyAlignment="1" quotePrefix="1">
      <alignment horizontal="center"/>
    </xf>
    <xf numFmtId="171" fontId="22" fillId="0" borderId="0" xfId="0" applyNumberFormat="1" applyFont="1" applyAlignment="1">
      <alignment/>
    </xf>
    <xf numFmtId="0" fontId="11" fillId="0" borderId="0" xfId="0" applyFont="1" applyAlignment="1" quotePrefix="1">
      <alignment/>
    </xf>
    <xf numFmtId="171" fontId="11" fillId="0" borderId="0" xfId="0" applyNumberFormat="1" applyFont="1" applyAlignment="1" quotePrefix="1">
      <alignment horizontal="right"/>
    </xf>
    <xf numFmtId="0" fontId="22" fillId="2" borderId="0" xfId="0" applyFont="1" applyFill="1" applyAlignment="1">
      <alignment wrapText="1"/>
    </xf>
    <xf numFmtId="171" fontId="11" fillId="0" borderId="0" xfId="0" applyNumberFormat="1" applyFont="1" applyAlignment="1" quotePrefix="1">
      <alignment horizontal="center"/>
    </xf>
    <xf numFmtId="171" fontId="22" fillId="2" borderId="0" xfId="0" applyNumberFormat="1" applyFont="1" applyFill="1" applyAlignment="1">
      <alignment/>
    </xf>
    <xf numFmtId="171" fontId="11" fillId="0" borderId="0" xfId="0" applyNumberFormat="1" applyFont="1" applyAlignment="1">
      <alignment horizontal="center"/>
    </xf>
    <xf numFmtId="176" fontId="11" fillId="0" borderId="0" xfId="0" applyNumberFormat="1" applyFont="1" applyAlignment="1">
      <alignment horizontal="left" wrapText="1"/>
    </xf>
    <xf numFmtId="171" fontId="11" fillId="0" borderId="0" xfId="0" applyNumberFormat="1" applyFont="1" applyAlignment="1">
      <alignment wrapText="1"/>
    </xf>
    <xf numFmtId="177" fontId="11" fillId="0" borderId="0" xfId="0" applyNumberFormat="1" applyFont="1" applyAlignment="1">
      <alignment horizontal="center" wrapText="1"/>
    </xf>
    <xf numFmtId="171" fontId="11" fillId="0" borderId="0" xfId="0" applyNumberFormat="1" applyFont="1" applyAlignment="1">
      <alignment horizontal="right" wrapText="1"/>
    </xf>
    <xf numFmtId="171" fontId="11" fillId="0" borderId="0" xfId="0" applyNumberFormat="1" applyFont="1" applyAlignment="1">
      <alignment horizontal="center" wrapText="1"/>
    </xf>
    <xf numFmtId="0" fontId="11" fillId="0" borderId="0" xfId="0" applyFont="1" applyAlignment="1">
      <alignment horizontal="center" wrapText="1"/>
    </xf>
    <xf numFmtId="0" fontId="11" fillId="0" borderId="0" xfId="0" applyFont="1" applyAlignment="1" quotePrefix="1">
      <alignment horizontal="center" wrapText="1"/>
    </xf>
    <xf numFmtId="0" fontId="22" fillId="0" borderId="0" xfId="0" applyFont="1" applyAlignment="1">
      <alignment wrapText="1"/>
    </xf>
    <xf numFmtId="165" fontId="11" fillId="0" borderId="0" xfId="0" applyNumberFormat="1" applyFont="1" applyAlignment="1">
      <alignment horizontal="left"/>
    </xf>
    <xf numFmtId="171" fontId="11" fillId="0" borderId="0" xfId="15" applyNumberFormat="1" applyFont="1" applyAlignment="1">
      <alignment horizontal="center"/>
    </xf>
    <xf numFmtId="171" fontId="31" fillId="0" borderId="0" xfId="0" applyNumberFormat="1" applyFont="1" applyAlignment="1">
      <alignment/>
    </xf>
    <xf numFmtId="177" fontId="11" fillId="0" borderId="0" xfId="0" applyNumberFormat="1" applyFont="1" applyAlignment="1">
      <alignment/>
    </xf>
    <xf numFmtId="168" fontId="11" fillId="0" borderId="0" xfId="0" applyNumberFormat="1" applyFont="1" applyAlignment="1">
      <alignment/>
    </xf>
    <xf numFmtId="177" fontId="21" fillId="0" borderId="0" xfId="0" applyNumberFormat="1" applyFont="1" applyAlignment="1">
      <alignment/>
    </xf>
    <xf numFmtId="168" fontId="11" fillId="0" borderId="0" xfId="0" applyNumberFormat="1" applyFont="1" applyAlignment="1" quotePrefix="1">
      <alignment/>
    </xf>
    <xf numFmtId="177" fontId="11" fillId="2" borderId="0" xfId="0" applyNumberFormat="1" applyFont="1" applyFill="1" applyAlignment="1">
      <alignment/>
    </xf>
    <xf numFmtId="10" fontId="11" fillId="2" borderId="0" xfId="21" applyNumberFormat="1" applyFont="1" applyFill="1" applyAlignment="1">
      <alignment/>
    </xf>
    <xf numFmtId="14" fontId="11" fillId="0" borderId="0" xfId="0" applyNumberFormat="1" applyFont="1" applyFill="1" applyBorder="1" applyAlignment="1">
      <alignment horizontal="left"/>
    </xf>
    <xf numFmtId="171" fontId="11" fillId="0" borderId="0" xfId="15" applyNumberFormat="1" applyFont="1" applyAlignment="1">
      <alignment/>
    </xf>
    <xf numFmtId="2" fontId="11" fillId="0" borderId="0" xfId="15" applyNumberFormat="1" applyFont="1" applyAlignment="1">
      <alignment/>
    </xf>
    <xf numFmtId="10" fontId="11" fillId="0" borderId="0" xfId="21" applyNumberFormat="1" applyFont="1" applyAlignment="1">
      <alignment/>
    </xf>
    <xf numFmtId="0" fontId="11" fillId="0" borderId="0" xfId="0" applyFont="1" applyFill="1" applyAlignment="1">
      <alignment/>
    </xf>
    <xf numFmtId="2" fontId="11" fillId="0" borderId="0" xfId="0" applyNumberFormat="1" applyFont="1" applyAlignment="1">
      <alignment/>
    </xf>
    <xf numFmtId="2" fontId="11" fillId="0" borderId="0" xfId="0" applyNumberFormat="1" applyFont="1" applyFill="1" applyAlignment="1">
      <alignment/>
    </xf>
    <xf numFmtId="43" fontId="11" fillId="0" borderId="0" xfId="15" applyFont="1" applyAlignment="1">
      <alignment/>
    </xf>
    <xf numFmtId="10" fontId="11" fillId="0" borderId="0" xfId="0" applyNumberFormat="1" applyFont="1" applyAlignment="1">
      <alignment/>
    </xf>
    <xf numFmtId="4" fontId="11" fillId="0" borderId="0" xfId="0" applyNumberFormat="1" applyFont="1" applyAlignment="1">
      <alignment/>
    </xf>
    <xf numFmtId="165" fontId="11" fillId="0" borderId="0" xfId="0" applyNumberFormat="1" applyFont="1" applyAlignment="1">
      <alignment horizontal="center"/>
    </xf>
    <xf numFmtId="189" fontId="11" fillId="0" borderId="0" xfId="0" applyNumberFormat="1" applyFont="1" applyAlignment="1">
      <alignment/>
    </xf>
    <xf numFmtId="4" fontId="15" fillId="0" borderId="0" xfId="0" applyNumberFormat="1" applyFont="1" applyAlignment="1">
      <alignment/>
    </xf>
    <xf numFmtId="2" fontId="11" fillId="0" borderId="0" xfId="0" applyNumberFormat="1" applyFont="1" applyAlignment="1">
      <alignment horizontal="center"/>
    </xf>
    <xf numFmtId="10" fontId="11" fillId="0" borderId="0" xfId="0" applyNumberFormat="1" applyFont="1" applyAlignment="1">
      <alignment horizontal="center"/>
    </xf>
    <xf numFmtId="10" fontId="11" fillId="0" borderId="0" xfId="0" applyNumberFormat="1" applyFont="1" applyFill="1" applyAlignment="1">
      <alignment horizontal="center"/>
    </xf>
    <xf numFmtId="2" fontId="11" fillId="0" borderId="0" xfId="0" applyNumberFormat="1" applyFont="1" applyFill="1" applyAlignment="1">
      <alignment horizontal="center"/>
    </xf>
    <xf numFmtId="10" fontId="11" fillId="0" borderId="0" xfId="0" applyNumberFormat="1" applyFont="1" applyAlignment="1">
      <alignment horizontal="left"/>
    </xf>
    <xf numFmtId="2" fontId="11" fillId="0" borderId="0" xfId="0" applyNumberFormat="1" applyFont="1" applyAlignment="1">
      <alignment horizontal="left"/>
    </xf>
    <xf numFmtId="10" fontId="11" fillId="0" borderId="0" xfId="21" applyNumberFormat="1" applyFont="1" applyAlignment="1">
      <alignment horizontal="left"/>
    </xf>
    <xf numFmtId="2" fontId="11" fillId="0" borderId="0" xfId="15" applyNumberFormat="1" applyFont="1" applyAlignment="1">
      <alignment horizontal="center"/>
    </xf>
    <xf numFmtId="10" fontId="11" fillId="0" borderId="0" xfId="21" applyNumberFormat="1" applyFont="1" applyAlignment="1">
      <alignment horizontal="center"/>
    </xf>
    <xf numFmtId="4" fontId="11" fillId="0" borderId="0" xfId="0" applyNumberFormat="1" applyFont="1" applyAlignment="1">
      <alignment horizontal="center"/>
    </xf>
    <xf numFmtId="0" fontId="11" fillId="0" borderId="0" xfId="0" applyFont="1" applyFill="1" applyAlignment="1">
      <alignment horizontal="center"/>
    </xf>
    <xf numFmtId="171" fontId="11" fillId="0" borderId="0" xfId="0" applyNumberFormat="1" applyFont="1" applyFill="1" applyAlignment="1">
      <alignment/>
    </xf>
    <xf numFmtId="169" fontId="11" fillId="0" borderId="0" xfId="0" applyNumberFormat="1" applyFont="1" applyAlignment="1">
      <alignment/>
    </xf>
    <xf numFmtId="2" fontId="11" fillId="0" borderId="0" xfId="21" applyNumberFormat="1" applyFont="1" applyAlignment="1">
      <alignment/>
    </xf>
    <xf numFmtId="43" fontId="11" fillId="0" borderId="0" xfId="15" applyNumberFormat="1" applyFont="1" applyAlignment="1">
      <alignment/>
    </xf>
    <xf numFmtId="2" fontId="11" fillId="0" borderId="0" xfId="15" applyNumberFormat="1" applyFont="1" applyAlignment="1">
      <alignment/>
    </xf>
    <xf numFmtId="169" fontId="26" fillId="0" borderId="0" xfId="0" applyNumberFormat="1" applyFont="1" applyAlignment="1">
      <alignment/>
    </xf>
    <xf numFmtId="171" fontId="22" fillId="0" borderId="0" xfId="0" applyNumberFormat="1" applyFont="1" applyAlignment="1">
      <alignment/>
    </xf>
    <xf numFmtId="14" fontId="11" fillId="0" borderId="0" xfId="0" applyNumberFormat="1" applyFont="1" applyAlignment="1">
      <alignment/>
    </xf>
    <xf numFmtId="4" fontId="11" fillId="0" borderId="0" xfId="15" applyNumberFormat="1" applyFont="1" applyAlignment="1">
      <alignment/>
    </xf>
    <xf numFmtId="43" fontId="11" fillId="0" borderId="0" xfId="15" applyFont="1" applyAlignment="1">
      <alignment/>
    </xf>
    <xf numFmtId="2" fontId="26" fillId="0" borderId="0" xfId="0" applyNumberFormat="1" applyFont="1" applyAlignment="1">
      <alignment/>
    </xf>
    <xf numFmtId="169" fontId="11" fillId="0" borderId="0" xfId="0" applyNumberFormat="1" applyFont="1" applyAlignment="1">
      <alignment/>
    </xf>
    <xf numFmtId="10" fontId="26" fillId="0" borderId="0" xfId="21" applyNumberFormat="1" applyFont="1" applyAlignment="1">
      <alignment/>
    </xf>
    <xf numFmtId="10" fontId="11" fillId="0" borderId="0" xfId="0" applyNumberFormat="1" applyFont="1" applyFill="1" applyAlignment="1">
      <alignment/>
    </xf>
    <xf numFmtId="4" fontId="31" fillId="0" borderId="0" xfId="0" applyNumberFormat="1" applyFont="1" applyAlignment="1">
      <alignment/>
    </xf>
    <xf numFmtId="4" fontId="13" fillId="0" borderId="0" xfId="0" applyNumberFormat="1" applyFont="1" applyAlignment="1">
      <alignment/>
    </xf>
    <xf numFmtId="193" fontId="5" fillId="0" borderId="0" xfId="0" applyNumberFormat="1" applyFont="1" applyAlignment="1">
      <alignment/>
    </xf>
    <xf numFmtId="193" fontId="18" fillId="0" borderId="4" xfId="0" applyNumberFormat="1" applyFont="1" applyFill="1" applyBorder="1" applyAlignment="1">
      <alignment horizontal="centerContinuous"/>
    </xf>
    <xf numFmtId="193" fontId="5" fillId="0" borderId="0" xfId="0" applyNumberFormat="1" applyFont="1" applyFill="1" applyBorder="1" applyAlignment="1">
      <alignment/>
    </xf>
    <xf numFmtId="191" fontId="5" fillId="0" borderId="0" xfId="0" applyNumberFormat="1" applyFont="1" applyFill="1" applyBorder="1" applyAlignment="1">
      <alignment/>
    </xf>
    <xf numFmtId="193" fontId="5" fillId="0" borderId="5" xfId="0" applyNumberFormat="1" applyFont="1" applyFill="1" applyBorder="1" applyAlignment="1">
      <alignment/>
    </xf>
    <xf numFmtId="38" fontId="5" fillId="0" borderId="5" xfId="0" applyNumberFormat="1" applyFont="1" applyFill="1" applyBorder="1" applyAlignment="1">
      <alignment/>
    </xf>
    <xf numFmtId="38" fontId="5" fillId="0" borderId="0" xfId="0" applyNumberFormat="1" applyFont="1" applyAlignment="1">
      <alignment/>
    </xf>
    <xf numFmtId="193" fontId="18" fillId="0" borderId="4" xfId="0" applyNumberFormat="1" applyFont="1" applyFill="1" applyBorder="1" applyAlignment="1">
      <alignment horizontal="center"/>
    </xf>
    <xf numFmtId="38" fontId="18" fillId="0" borderId="4" xfId="0" applyNumberFormat="1" applyFont="1" applyFill="1" applyBorder="1" applyAlignment="1">
      <alignment horizontal="center"/>
    </xf>
    <xf numFmtId="38" fontId="5" fillId="0" borderId="0" xfId="0" applyNumberFormat="1" applyFont="1" applyFill="1" applyBorder="1" applyAlignment="1">
      <alignment/>
    </xf>
    <xf numFmtId="191" fontId="5" fillId="0" borderId="5" xfId="0" applyNumberFormat="1" applyFont="1" applyFill="1" applyBorder="1" applyAlignment="1">
      <alignment/>
    </xf>
    <xf numFmtId="191" fontId="5" fillId="0" borderId="0" xfId="0" applyNumberFormat="1" applyFont="1" applyAlignment="1">
      <alignment/>
    </xf>
    <xf numFmtId="191" fontId="18" fillId="0" borderId="4" xfId="0" applyNumberFormat="1" applyFont="1" applyFill="1" applyBorder="1" applyAlignment="1">
      <alignment horizontal="centerContinuous"/>
    </xf>
    <xf numFmtId="191" fontId="18" fillId="0" borderId="4"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oleObject" Target="../embeddings/oleObject_17_0.bin"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ROUND(B39,4)" TargetMode="External" /><Relationship Id="rId2" Type="http://schemas.openxmlformats.org/officeDocument/2006/relationships/hyperlink" Target="mailto:=@round(AVERAGE(C34:C41),3)" TargetMode="External" /><Relationship Id="rId3"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H30"/>
  <sheetViews>
    <sheetView tabSelected="1" workbookViewId="0" topLeftCell="A1">
      <selection activeCell="A1" sqref="A1"/>
    </sheetView>
  </sheetViews>
  <sheetFormatPr defaultColWidth="9.140625" defaultRowHeight="12.75"/>
  <cols>
    <col min="1" max="1" width="4.28125" style="75" customWidth="1"/>
    <col min="2" max="2" width="14.28125" style="75" customWidth="1"/>
    <col min="3" max="6" width="6.140625" style="75" customWidth="1"/>
    <col min="7" max="8" width="6.8515625" style="75" customWidth="1"/>
    <col min="9" max="16" width="4.28125" style="75" customWidth="1"/>
    <col min="17" max="17" width="8.00390625" style="75" customWidth="1"/>
    <col min="18" max="18" width="6.28125" style="75" customWidth="1"/>
    <col min="19" max="19" width="6.421875" style="75" customWidth="1"/>
    <col min="20" max="20" width="8.8515625" style="75" customWidth="1"/>
    <col min="21" max="21" width="7.421875" style="75" customWidth="1"/>
    <col min="22" max="22" width="5.140625" style="75" customWidth="1"/>
    <col min="23" max="23" width="5.28125" style="75" customWidth="1"/>
    <col min="24" max="25" width="5.00390625" style="75" customWidth="1"/>
    <col min="26" max="26" width="5.7109375" style="75" customWidth="1"/>
    <col min="27" max="27" width="4.7109375" style="75" customWidth="1"/>
    <col min="28" max="30" width="6.421875" style="75" customWidth="1"/>
    <col min="31" max="31" width="4.28125" style="75" customWidth="1"/>
    <col min="32" max="32" width="17.7109375" style="75" customWidth="1"/>
    <col min="33" max="33" width="9.00390625" style="138" bestFit="1" customWidth="1"/>
    <col min="34" max="34" width="5.57421875" style="201" customWidth="1"/>
    <col min="35" max="35" width="6.7109375" style="75" customWidth="1"/>
    <col min="36" max="36" width="5.57421875" style="75" customWidth="1"/>
    <col min="37" max="16384" width="9.140625" style="75" customWidth="1"/>
  </cols>
  <sheetData>
    <row r="1" ht="13.5">
      <c r="B1" s="79" t="s">
        <v>106</v>
      </c>
    </row>
    <row r="2" spans="2:22" ht="13.5">
      <c r="B2" s="79" t="s">
        <v>107</v>
      </c>
      <c r="U2" s="142"/>
      <c r="V2" s="202"/>
    </row>
    <row r="3" spans="2:22" ht="13.5">
      <c r="B3" s="79" t="s">
        <v>737</v>
      </c>
      <c r="U3" s="142"/>
      <c r="V3" s="202"/>
    </row>
    <row r="4" spans="2:22" ht="13.5">
      <c r="B4" s="79" t="s">
        <v>108</v>
      </c>
      <c r="U4" s="142"/>
      <c r="V4" s="202"/>
    </row>
    <row r="5" spans="2:22" ht="13.5">
      <c r="B5" s="79" t="s">
        <v>109</v>
      </c>
      <c r="U5" s="142"/>
      <c r="V5" s="202"/>
    </row>
    <row r="6" spans="2:22" ht="13.5">
      <c r="B6" s="79"/>
      <c r="U6" s="142"/>
      <c r="V6" s="202"/>
    </row>
    <row r="7" spans="2:22" ht="13.5">
      <c r="B7" s="79"/>
      <c r="U7" s="142"/>
      <c r="V7" s="202"/>
    </row>
    <row r="8" spans="2:22" ht="13.5">
      <c r="B8" s="79"/>
      <c r="U8" s="142"/>
      <c r="V8" s="202"/>
    </row>
    <row r="9" spans="2:22" ht="13.5">
      <c r="B9" s="79"/>
      <c r="V9" s="202"/>
    </row>
    <row r="11" spans="1:34" s="150" customFormat="1" ht="40.5">
      <c r="A11" s="150" t="s">
        <v>171</v>
      </c>
      <c r="B11" s="150" t="s">
        <v>48</v>
      </c>
      <c r="C11" s="196" t="s">
        <v>333</v>
      </c>
      <c r="D11" s="196" t="s">
        <v>334</v>
      </c>
      <c r="E11" s="196" t="s">
        <v>135</v>
      </c>
      <c r="F11" s="196" t="s">
        <v>136</v>
      </c>
      <c r="G11" s="196" t="s">
        <v>133</v>
      </c>
      <c r="H11" s="196" t="s">
        <v>134</v>
      </c>
      <c r="I11" s="150" t="s">
        <v>49</v>
      </c>
      <c r="J11" s="150" t="s">
        <v>50</v>
      </c>
      <c r="K11" s="150" t="s">
        <v>51</v>
      </c>
      <c r="L11" s="150" t="s">
        <v>52</v>
      </c>
      <c r="M11" s="150" t="s">
        <v>53</v>
      </c>
      <c r="N11" s="150" t="s">
        <v>54</v>
      </c>
      <c r="O11" s="150" t="s">
        <v>55</v>
      </c>
      <c r="P11" s="150" t="s">
        <v>42</v>
      </c>
      <c r="Q11" s="149" t="s">
        <v>56</v>
      </c>
      <c r="R11" s="149" t="s">
        <v>57</v>
      </c>
      <c r="S11" s="154" t="s">
        <v>137</v>
      </c>
      <c r="T11" s="149" t="s">
        <v>105</v>
      </c>
      <c r="U11" s="149" t="s">
        <v>104</v>
      </c>
      <c r="V11" s="197" t="s">
        <v>58</v>
      </c>
      <c r="W11" s="198" t="s">
        <v>99</v>
      </c>
      <c r="X11" s="150" t="s">
        <v>59</v>
      </c>
      <c r="Y11" s="150" t="s">
        <v>60</v>
      </c>
      <c r="Z11" s="150" t="s">
        <v>138</v>
      </c>
      <c r="AA11" s="150" t="s">
        <v>40</v>
      </c>
      <c r="AE11" s="150" t="str">
        <f>A11</f>
        <v>Line No.</v>
      </c>
      <c r="AF11" s="150" t="str">
        <f>B11</f>
        <v>Company</v>
      </c>
      <c r="AG11" s="149" t="s">
        <v>110</v>
      </c>
      <c r="AH11" s="203" t="s">
        <v>41</v>
      </c>
    </row>
    <row r="12" spans="1:34" ht="13.5">
      <c r="A12" s="166">
        <v>1</v>
      </c>
      <c r="B12" s="75" t="s">
        <v>76</v>
      </c>
      <c r="C12" s="108">
        <v>40.47</v>
      </c>
      <c r="D12" s="108">
        <v>37.55</v>
      </c>
      <c r="E12" s="108">
        <v>39.49</v>
      </c>
      <c r="F12" s="108">
        <v>36.52</v>
      </c>
      <c r="G12" s="108">
        <v>39.3</v>
      </c>
      <c r="H12" s="108">
        <v>36.9</v>
      </c>
      <c r="I12" s="162">
        <f aca="true" t="shared" si="0" ref="I12:L18">(M12)*($X12)</f>
        <v>0.24356250000000002</v>
      </c>
      <c r="J12" s="162">
        <f t="shared" si="0"/>
        <v>0.24356250000000002</v>
      </c>
      <c r="K12" s="162">
        <f t="shared" si="0"/>
        <v>0.2543875</v>
      </c>
      <c r="L12" s="162">
        <f t="shared" si="0"/>
        <v>0.2543875</v>
      </c>
      <c r="M12" s="162">
        <v>0.225</v>
      </c>
      <c r="N12" s="162">
        <v>0.225</v>
      </c>
      <c r="O12" s="162">
        <v>0.235</v>
      </c>
      <c r="P12" s="162">
        <v>0.235</v>
      </c>
      <c r="Q12" s="162">
        <f aca="true" t="shared" si="1" ref="Q12:Q18">AVERAGE(C12:H12)</f>
        <v>38.37166666666666</v>
      </c>
      <c r="R12" s="162">
        <f aca="true" t="shared" si="2" ref="R12:R18">(I12*(Y12)^0.75)+(J12*(Y12)^0.5)+(K12*(Y12)^0.25)+L12</f>
        <v>1.0358228131368825</v>
      </c>
      <c r="S12" s="118">
        <v>0.06</v>
      </c>
      <c r="T12" s="141">
        <v>0.105</v>
      </c>
      <c r="U12" s="165">
        <f>AVERAGE(S12:T12)</f>
        <v>0.08249999999999999</v>
      </c>
      <c r="V12" s="142">
        <v>630.41</v>
      </c>
      <c r="W12" s="165">
        <f>R12/(Q12*0.95)+U12</f>
        <v>0.11091523181084953</v>
      </c>
      <c r="X12" s="161">
        <f>U12+1</f>
        <v>1.0825</v>
      </c>
      <c r="Y12" s="161">
        <f>1+W12</f>
        <v>1.1109152318108495</v>
      </c>
      <c r="Z12" s="111">
        <v>1</v>
      </c>
      <c r="AA12" s="111">
        <v>1</v>
      </c>
      <c r="AB12" s="161"/>
      <c r="AC12" s="161"/>
      <c r="AD12" s="161"/>
      <c r="AE12" s="166">
        <f>A12</f>
        <v>1</v>
      </c>
      <c r="AF12" s="166" t="str">
        <f>B12</f>
        <v>Amer. States Water</v>
      </c>
      <c r="AG12" s="138">
        <v>3</v>
      </c>
      <c r="AH12" s="201">
        <v>0.8</v>
      </c>
    </row>
    <row r="13" spans="1:34" ht="13.5">
      <c r="A13" s="166">
        <f>A12+1</f>
        <v>2</v>
      </c>
      <c r="B13" s="75" t="s">
        <v>77</v>
      </c>
      <c r="C13" s="108">
        <v>24.03</v>
      </c>
      <c r="D13" s="108">
        <v>22.25</v>
      </c>
      <c r="E13" s="108">
        <v>23.26</v>
      </c>
      <c r="F13" s="108">
        <v>22</v>
      </c>
      <c r="G13" s="108">
        <v>24.84</v>
      </c>
      <c r="H13" s="108">
        <v>22.53</v>
      </c>
      <c r="I13" s="162">
        <f t="shared" si="0"/>
        <v>0.117828</v>
      </c>
      <c r="J13" s="162">
        <f t="shared" si="0"/>
        <v>0.125465</v>
      </c>
      <c r="K13" s="162">
        <f t="shared" si="0"/>
        <v>0.125465</v>
      </c>
      <c r="L13" s="162">
        <f t="shared" si="0"/>
        <v>0.125465</v>
      </c>
      <c r="M13" s="162">
        <v>0.108</v>
      </c>
      <c r="N13" s="162">
        <v>0.115</v>
      </c>
      <c r="O13" s="162">
        <v>0.115</v>
      </c>
      <c r="P13" s="162">
        <v>0.115</v>
      </c>
      <c r="Q13" s="162">
        <f t="shared" si="1"/>
        <v>23.15166666666667</v>
      </c>
      <c r="R13" s="162">
        <f t="shared" si="2"/>
        <v>0.5146204261822662</v>
      </c>
      <c r="S13" s="118">
        <v>0.102</v>
      </c>
      <c r="T13" s="141">
        <v>0.08</v>
      </c>
      <c r="U13" s="165">
        <f aca="true" t="shared" si="3" ref="U13:U18">AVERAGE(S13:T13)</f>
        <v>0.091</v>
      </c>
      <c r="V13" s="142">
        <v>2873.19</v>
      </c>
      <c r="W13" s="165">
        <f aca="true" t="shared" si="4" ref="W13:W18">R13/(Q13*0.95)+U13</f>
        <v>0.11439813023270347</v>
      </c>
      <c r="X13" s="161">
        <f aca="true" t="shared" si="5" ref="X13:X18">U13+1</f>
        <v>1.091</v>
      </c>
      <c r="Y13" s="161">
        <f aca="true" t="shared" si="6" ref="Y13:Y19">1+W13</f>
        <v>1.1143981302327035</v>
      </c>
      <c r="Z13" s="111">
        <v>5</v>
      </c>
      <c r="AA13" s="111">
        <v>1</v>
      </c>
      <c r="AB13" s="161"/>
      <c r="AC13" s="161"/>
      <c r="AD13" s="161"/>
      <c r="AE13" s="166">
        <f aca="true" t="shared" si="7" ref="AE13:AF18">A13</f>
        <v>2</v>
      </c>
      <c r="AF13" s="166" t="str">
        <f t="shared" si="7"/>
        <v>Aqua America</v>
      </c>
      <c r="AG13" s="138">
        <v>3</v>
      </c>
      <c r="AH13" s="201">
        <v>0.9</v>
      </c>
    </row>
    <row r="14" spans="1:34" ht="13.5">
      <c r="A14" s="166">
        <f aca="true" t="shared" si="8" ref="A14:A21">A13+1</f>
        <v>3</v>
      </c>
      <c r="B14" s="75" t="s">
        <v>78</v>
      </c>
      <c r="C14" s="108">
        <v>41.6</v>
      </c>
      <c r="D14" s="108">
        <v>38.2</v>
      </c>
      <c r="E14" s="108">
        <v>44.58</v>
      </c>
      <c r="F14" s="108">
        <v>38.3</v>
      </c>
      <c r="G14" s="108">
        <v>42.1299</v>
      </c>
      <c r="H14" s="108">
        <v>39.32</v>
      </c>
      <c r="I14" s="162">
        <f t="shared" si="0"/>
        <v>0.307869375</v>
      </c>
      <c r="J14" s="162">
        <f t="shared" si="0"/>
        <v>0.307869375</v>
      </c>
      <c r="K14" s="162">
        <f t="shared" si="0"/>
        <v>0.307869375</v>
      </c>
      <c r="L14" s="162">
        <f t="shared" si="0"/>
        <v>0.3105465</v>
      </c>
      <c r="M14" s="162">
        <v>0.2875</v>
      </c>
      <c r="N14" s="162">
        <v>0.2875</v>
      </c>
      <c r="O14" s="162">
        <v>0.2875</v>
      </c>
      <c r="P14" s="162">
        <v>0.29</v>
      </c>
      <c r="Q14" s="162">
        <f t="shared" si="1"/>
        <v>40.688316666666665</v>
      </c>
      <c r="R14" s="162">
        <f t="shared" si="2"/>
        <v>1.2811903116917573</v>
      </c>
      <c r="S14" s="118">
        <v>0.0967</v>
      </c>
      <c r="T14" s="141">
        <v>0.045</v>
      </c>
      <c r="U14" s="165">
        <f t="shared" si="3"/>
        <v>0.07085</v>
      </c>
      <c r="V14" s="142">
        <v>781.66</v>
      </c>
      <c r="W14" s="165">
        <f t="shared" si="4"/>
        <v>0.10399517510705977</v>
      </c>
      <c r="X14" s="161">
        <f t="shared" si="5"/>
        <v>1.07085</v>
      </c>
      <c r="Y14" s="161">
        <f t="shared" si="6"/>
        <v>1.1039951751070598</v>
      </c>
      <c r="Z14" s="111">
        <v>3</v>
      </c>
      <c r="AA14" s="111">
        <v>1</v>
      </c>
      <c r="AB14" s="161"/>
      <c r="AC14" s="161"/>
      <c r="AD14" s="161"/>
      <c r="AE14" s="166">
        <f t="shared" si="7"/>
        <v>3</v>
      </c>
      <c r="AF14" s="166" t="str">
        <f t="shared" si="7"/>
        <v>California Water</v>
      </c>
      <c r="AG14" s="138">
        <v>2</v>
      </c>
      <c r="AH14" s="201">
        <v>0.9</v>
      </c>
    </row>
    <row r="15" spans="1:34" ht="13.5">
      <c r="A15" s="166">
        <f t="shared" si="8"/>
        <v>4</v>
      </c>
      <c r="B15" s="75" t="s">
        <v>90</v>
      </c>
      <c r="C15" s="108">
        <v>13.5</v>
      </c>
      <c r="D15" s="108">
        <v>12.46</v>
      </c>
      <c r="E15" s="108">
        <v>13.94</v>
      </c>
      <c r="F15" s="108">
        <v>12.29</v>
      </c>
      <c r="G15" s="108">
        <v>14.44</v>
      </c>
      <c r="H15" s="108">
        <v>12.63</v>
      </c>
      <c r="I15" s="162">
        <f t="shared" si="0"/>
        <v>0.0572</v>
      </c>
      <c r="J15" s="162">
        <f t="shared" si="0"/>
        <v>0.0572</v>
      </c>
      <c r="K15" s="162">
        <f t="shared" si="0"/>
        <v>0.06325000000000001</v>
      </c>
      <c r="L15" s="162">
        <f t="shared" si="0"/>
        <v>0.06325000000000001</v>
      </c>
      <c r="M15" s="162">
        <v>0.052</v>
      </c>
      <c r="N15" s="162">
        <v>0.052</v>
      </c>
      <c r="O15" s="162">
        <v>0.0575</v>
      </c>
      <c r="P15" s="162">
        <v>0.0575</v>
      </c>
      <c r="Q15" s="162">
        <f>AVERAGE(C15:H15)</f>
        <v>13.209999999999999</v>
      </c>
      <c r="R15" s="162">
        <f t="shared" si="2"/>
        <v>0.25112773990435105</v>
      </c>
      <c r="S15" s="118">
        <v>0.09</v>
      </c>
      <c r="T15" s="141">
        <v>0.11</v>
      </c>
      <c r="U15" s="165">
        <f t="shared" si="3"/>
        <v>0.1</v>
      </c>
      <c r="V15" s="142">
        <v>293.02</v>
      </c>
      <c r="W15" s="165">
        <f t="shared" si="4"/>
        <v>0.12001097572846338</v>
      </c>
      <c r="X15" s="161">
        <f>U15+1</f>
        <v>1.1</v>
      </c>
      <c r="Y15" s="161">
        <f>1+W15</f>
        <v>1.1200109757284633</v>
      </c>
      <c r="Z15" s="111">
        <v>1</v>
      </c>
      <c r="AA15" s="111">
        <v>1</v>
      </c>
      <c r="AB15" s="161"/>
      <c r="AC15" s="161"/>
      <c r="AD15" s="161"/>
      <c r="AE15" s="166">
        <f t="shared" si="7"/>
        <v>4</v>
      </c>
      <c r="AF15" s="166" t="str">
        <f t="shared" si="7"/>
        <v>Southwest Water</v>
      </c>
      <c r="AG15" s="138">
        <v>3</v>
      </c>
      <c r="AH15" s="201">
        <v>0.9</v>
      </c>
    </row>
    <row r="16" spans="1:34" ht="13.5">
      <c r="A16" s="166">
        <f t="shared" si="8"/>
        <v>5</v>
      </c>
      <c r="B16" s="75" t="s">
        <v>89</v>
      </c>
      <c r="C16" s="108">
        <v>18.72</v>
      </c>
      <c r="D16" s="108">
        <v>16.93</v>
      </c>
      <c r="E16" s="108">
        <v>19.07</v>
      </c>
      <c r="F16" s="108">
        <v>18.03</v>
      </c>
      <c r="G16" s="108">
        <v>19.04</v>
      </c>
      <c r="H16" s="108">
        <v>18.26</v>
      </c>
      <c r="I16" s="162">
        <f t="shared" si="0"/>
        <v>0.1768</v>
      </c>
      <c r="J16" s="162">
        <f t="shared" si="0"/>
        <v>0.1768</v>
      </c>
      <c r="K16" s="162">
        <f t="shared" si="0"/>
        <v>0.1794</v>
      </c>
      <c r="L16" s="162">
        <f t="shared" si="0"/>
        <v>0.1794</v>
      </c>
      <c r="M16" s="162">
        <v>0.17</v>
      </c>
      <c r="N16" s="162">
        <v>0.17</v>
      </c>
      <c r="O16" s="162">
        <v>0.1725</v>
      </c>
      <c r="P16" s="162">
        <v>0.1725</v>
      </c>
      <c r="Q16" s="162">
        <f t="shared" si="1"/>
        <v>18.341666666666665</v>
      </c>
      <c r="R16" s="162">
        <f t="shared" si="2"/>
        <v>0.7338712214143707</v>
      </c>
      <c r="S16" s="118">
        <v>0.04</v>
      </c>
      <c r="T16" s="141"/>
      <c r="U16" s="165">
        <f t="shared" si="3"/>
        <v>0.04</v>
      </c>
      <c r="V16" s="142">
        <v>210.13</v>
      </c>
      <c r="W16" s="165">
        <f t="shared" si="4"/>
        <v>0.08211700259199144</v>
      </c>
      <c r="X16" s="161">
        <f t="shared" si="5"/>
        <v>1.04</v>
      </c>
      <c r="Y16" s="161">
        <f t="shared" si="6"/>
        <v>1.0821170025919915</v>
      </c>
      <c r="Z16" s="111">
        <v>1</v>
      </c>
      <c r="AA16" s="111">
        <v>0</v>
      </c>
      <c r="AB16" s="161"/>
      <c r="AC16" s="161"/>
      <c r="AD16" s="161"/>
      <c r="AE16" s="166">
        <f t="shared" si="7"/>
        <v>5</v>
      </c>
      <c r="AF16" s="166" t="str">
        <f t="shared" si="7"/>
        <v>Middlesex Water</v>
      </c>
      <c r="AG16" s="138">
        <v>3</v>
      </c>
      <c r="AH16" s="201">
        <v>0.85</v>
      </c>
    </row>
    <row r="17" spans="1:34" ht="13.5">
      <c r="A17" s="166">
        <f t="shared" si="8"/>
        <v>6</v>
      </c>
      <c r="B17" s="75" t="s">
        <v>132</v>
      </c>
      <c r="C17" s="108">
        <v>40</v>
      </c>
      <c r="D17" s="108">
        <v>34.25</v>
      </c>
      <c r="E17" s="108">
        <v>41.77</v>
      </c>
      <c r="F17" s="108">
        <v>36.3</v>
      </c>
      <c r="G17" s="108">
        <v>45.33</v>
      </c>
      <c r="H17" s="108">
        <v>33.84</v>
      </c>
      <c r="I17" s="162">
        <f t="shared" si="0"/>
        <v>0.1551</v>
      </c>
      <c r="J17" s="162">
        <f t="shared" si="0"/>
        <v>0.1551</v>
      </c>
      <c r="K17" s="162">
        <f t="shared" si="0"/>
        <v>0.1551</v>
      </c>
      <c r="L17" s="162">
        <f t="shared" si="0"/>
        <v>0.1661</v>
      </c>
      <c r="M17" s="162">
        <v>0.141</v>
      </c>
      <c r="N17" s="162">
        <v>0.141</v>
      </c>
      <c r="O17" s="162">
        <v>0.141</v>
      </c>
      <c r="P17" s="162">
        <v>0.151</v>
      </c>
      <c r="Q17" s="162">
        <f t="shared" si="1"/>
        <v>38.58166666666666</v>
      </c>
      <c r="R17" s="162">
        <f t="shared" si="2"/>
        <v>0.6582055616139849</v>
      </c>
      <c r="S17" s="118">
        <v>0.1</v>
      </c>
      <c r="T17" s="141"/>
      <c r="U17" s="165">
        <f t="shared" si="3"/>
        <v>0.1</v>
      </c>
      <c r="V17" s="142">
        <v>635.45</v>
      </c>
      <c r="W17" s="165">
        <f t="shared" si="4"/>
        <v>0.11795795825980393</v>
      </c>
      <c r="X17" s="161">
        <f t="shared" si="5"/>
        <v>1.1</v>
      </c>
      <c r="Y17" s="161">
        <f t="shared" si="6"/>
        <v>1.117957958259804</v>
      </c>
      <c r="Z17" s="111">
        <v>1</v>
      </c>
      <c r="AA17" s="111">
        <v>0</v>
      </c>
      <c r="AB17" s="161"/>
      <c r="AC17" s="161"/>
      <c r="AD17" s="161"/>
      <c r="AE17" s="166">
        <f t="shared" si="7"/>
        <v>6</v>
      </c>
      <c r="AF17" s="166" t="str">
        <f t="shared" si="7"/>
        <v>SJW</v>
      </c>
      <c r="AG17" s="138">
        <v>3</v>
      </c>
      <c r="AH17" s="201">
        <v>0.75</v>
      </c>
    </row>
    <row r="18" spans="1:34" ht="13.5">
      <c r="A18" s="166">
        <f t="shared" si="8"/>
        <v>7</v>
      </c>
      <c r="B18" s="75" t="s">
        <v>91</v>
      </c>
      <c r="C18" s="108">
        <v>18</v>
      </c>
      <c r="D18" s="108">
        <v>17.26</v>
      </c>
      <c r="E18" s="108">
        <v>18.15</v>
      </c>
      <c r="F18" s="108">
        <v>17.5</v>
      </c>
      <c r="G18" s="108">
        <v>18.4</v>
      </c>
      <c r="H18" s="108">
        <v>17.5</v>
      </c>
      <c r="I18" s="162">
        <f t="shared" si="0"/>
        <v>0.11648</v>
      </c>
      <c r="J18" s="162">
        <f t="shared" si="0"/>
        <v>0.11648</v>
      </c>
      <c r="K18" s="162">
        <f t="shared" si="0"/>
        <v>0.11648</v>
      </c>
      <c r="L18" s="162">
        <f t="shared" si="0"/>
        <v>0.1222</v>
      </c>
      <c r="M18" s="162">
        <v>0.112</v>
      </c>
      <c r="N18" s="162">
        <v>0.112</v>
      </c>
      <c r="O18" s="162">
        <v>0.112</v>
      </c>
      <c r="P18" s="162">
        <v>0.1175</v>
      </c>
      <c r="Q18" s="162">
        <f t="shared" si="1"/>
        <v>17.801666666666666</v>
      </c>
      <c r="R18" s="162">
        <f t="shared" si="2"/>
        <v>0.48345798410034324</v>
      </c>
      <c r="S18" s="118">
        <v>0.04</v>
      </c>
      <c r="T18" s="141"/>
      <c r="U18" s="165">
        <f t="shared" si="3"/>
        <v>0.04</v>
      </c>
      <c r="V18" s="142">
        <v>183.01</v>
      </c>
      <c r="W18" s="165">
        <f t="shared" si="4"/>
        <v>0.06858738738834881</v>
      </c>
      <c r="X18" s="161">
        <f t="shared" si="5"/>
        <v>1.04</v>
      </c>
      <c r="Y18" s="161">
        <f t="shared" si="6"/>
        <v>1.068587387388349</v>
      </c>
      <c r="Z18" s="111">
        <v>1</v>
      </c>
      <c r="AA18" s="111">
        <v>0</v>
      </c>
      <c r="AB18" s="161"/>
      <c r="AC18" s="161"/>
      <c r="AD18" s="161"/>
      <c r="AE18" s="166">
        <f t="shared" si="7"/>
        <v>7</v>
      </c>
      <c r="AF18" s="166" t="str">
        <f t="shared" si="7"/>
        <v>York Water Company</v>
      </c>
      <c r="AG18" s="138">
        <v>3</v>
      </c>
      <c r="AH18" s="201">
        <v>0.55</v>
      </c>
    </row>
    <row r="19" spans="1:33" ht="13.5">
      <c r="A19" s="166">
        <f t="shared" si="8"/>
        <v>8</v>
      </c>
      <c r="B19" s="75" t="s">
        <v>94</v>
      </c>
      <c r="S19" s="199"/>
      <c r="T19" s="199"/>
      <c r="U19" s="165"/>
      <c r="W19" s="177">
        <f>AVERAGE(W12:W18)</f>
        <v>0.10256883730274577</v>
      </c>
      <c r="X19" s="161"/>
      <c r="Y19" s="161">
        <f t="shared" si="6"/>
        <v>1.1025688373027458</v>
      </c>
      <c r="Z19" s="161"/>
      <c r="AA19" s="161"/>
      <c r="AB19" s="161"/>
      <c r="AC19" s="161"/>
      <c r="AD19" s="161"/>
      <c r="AE19" s="166"/>
      <c r="AF19" s="166"/>
      <c r="AG19" s="173"/>
    </row>
    <row r="20" spans="1:33" ht="13.5">
      <c r="A20" s="166">
        <f t="shared" si="8"/>
        <v>9</v>
      </c>
      <c r="B20" s="75" t="s">
        <v>111</v>
      </c>
      <c r="R20" s="162"/>
      <c r="W20" s="165">
        <f>SUMPRODUCT($V12:$V18,W12:W18)/SUM($V12:$V18)</f>
        <v>0.11054793991444542</v>
      </c>
      <c r="X20" s="161"/>
      <c r="Y20" s="161"/>
      <c r="Z20" s="161"/>
      <c r="AA20" s="161"/>
      <c r="AB20" s="161"/>
      <c r="AC20" s="161"/>
      <c r="AD20" s="161"/>
      <c r="AE20" s="166"/>
      <c r="AF20" s="166"/>
      <c r="AG20" s="173"/>
    </row>
    <row r="21" spans="1:34" s="143" customFormat="1" ht="13.5">
      <c r="A21" s="204">
        <f t="shared" si="8"/>
        <v>10</v>
      </c>
      <c r="B21" s="143" t="s">
        <v>758</v>
      </c>
      <c r="R21" s="200"/>
      <c r="W21" s="165">
        <f>AVERAGE(W19:W20)</f>
        <v>0.1065583886085956</v>
      </c>
      <c r="X21" s="205"/>
      <c r="Y21" s="205"/>
      <c r="Z21" s="205"/>
      <c r="AA21" s="205"/>
      <c r="AB21" s="205"/>
      <c r="AC21" s="205"/>
      <c r="AD21" s="205"/>
      <c r="AE21" s="204"/>
      <c r="AF21" s="204"/>
      <c r="AG21" s="173"/>
      <c r="AH21" s="201"/>
    </row>
    <row r="22" spans="18:33" ht="13.5">
      <c r="R22" s="162"/>
      <c r="W22" s="165"/>
      <c r="X22" s="161"/>
      <c r="Y22" s="161"/>
      <c r="Z22" s="161"/>
      <c r="AA22" s="161"/>
      <c r="AB22" s="161"/>
      <c r="AC22" s="161"/>
      <c r="AD22" s="161"/>
      <c r="AE22" s="150"/>
      <c r="AF22" s="150"/>
      <c r="AG22" s="173"/>
    </row>
    <row r="23" ht="13.5">
      <c r="V23" s="206"/>
    </row>
    <row r="24" ht="13.5">
      <c r="V24" s="206"/>
    </row>
    <row r="27" ht="13.5">
      <c r="V27" s="142"/>
    </row>
    <row r="28" ht="13.5">
      <c r="V28" s="142"/>
    </row>
    <row r="29" ht="13.5">
      <c r="V29" s="142"/>
    </row>
    <row r="30" ht="13.5">
      <c r="V30" s="142"/>
    </row>
  </sheetData>
  <printOptions/>
  <pageMargins left="0.75" right="0.75" top="1" bottom="1" header="0.5" footer="0.5"/>
  <pageSetup fitToHeight="1" fitToWidth="1" horizontalDpi="600" verticalDpi="600" orientation="landscape" scale="77" r:id="rId1"/>
</worksheet>
</file>

<file path=xl/worksheets/sheet10.xml><?xml version="1.0" encoding="utf-8"?>
<worksheet xmlns="http://schemas.openxmlformats.org/spreadsheetml/2006/main" xmlns:r="http://schemas.openxmlformats.org/officeDocument/2006/relationships">
  <dimension ref="A1:F101"/>
  <sheetViews>
    <sheetView workbookViewId="0" topLeftCell="A1">
      <selection activeCell="A1" sqref="A1"/>
    </sheetView>
  </sheetViews>
  <sheetFormatPr defaultColWidth="9.140625" defaultRowHeight="12.75"/>
  <cols>
    <col min="1" max="1" width="16.8515625" style="25" bestFit="1" customWidth="1"/>
    <col min="2" max="16384" width="9.140625" style="25" customWidth="1"/>
  </cols>
  <sheetData>
    <row r="1" ht="12.75">
      <c r="A1" s="24" t="s">
        <v>106</v>
      </c>
    </row>
    <row r="2" ht="12.75">
      <c r="A2" s="24" t="s">
        <v>107</v>
      </c>
    </row>
    <row r="3" ht="12.75">
      <c r="A3" s="24" t="s">
        <v>765</v>
      </c>
    </row>
    <row r="4" ht="12.75">
      <c r="A4" s="24" t="s">
        <v>126</v>
      </c>
    </row>
    <row r="5" ht="12.75">
      <c r="A5" s="24" t="s">
        <v>764</v>
      </c>
    </row>
    <row r="6" ht="12.75">
      <c r="A6" s="24"/>
    </row>
    <row r="8" spans="1:6" ht="12.75">
      <c r="A8" s="53"/>
      <c r="B8" s="54" t="s">
        <v>127</v>
      </c>
      <c r="C8" s="55" t="s">
        <v>115</v>
      </c>
      <c r="D8" s="54"/>
      <c r="E8" s="54" t="s">
        <v>93</v>
      </c>
      <c r="F8" s="56"/>
    </row>
    <row r="9" spans="1:6" ht="12.75">
      <c r="A9" s="53"/>
      <c r="B9" s="54" t="s">
        <v>117</v>
      </c>
      <c r="C9" s="55" t="s">
        <v>57</v>
      </c>
      <c r="D9" s="54" t="s">
        <v>115</v>
      </c>
      <c r="E9" s="54" t="s">
        <v>116</v>
      </c>
      <c r="F9" s="57" t="s">
        <v>116</v>
      </c>
    </row>
    <row r="10" spans="1:6" ht="12.75">
      <c r="A10" s="58" t="s">
        <v>119</v>
      </c>
      <c r="B10" s="59" t="s">
        <v>120</v>
      </c>
      <c r="C10" s="60" t="s">
        <v>121</v>
      </c>
      <c r="D10" s="59" t="s">
        <v>122</v>
      </c>
      <c r="E10" s="59" t="s">
        <v>120</v>
      </c>
      <c r="F10" s="61" t="s">
        <v>122</v>
      </c>
    </row>
    <row r="11" spans="1:6" ht="12.75">
      <c r="A11" s="62"/>
      <c r="B11" s="53"/>
      <c r="C11" s="63"/>
      <c r="D11" s="53"/>
      <c r="E11" s="53"/>
      <c r="F11" s="56"/>
    </row>
    <row r="12" spans="1:6" ht="12.75">
      <c r="A12" s="64">
        <v>2006</v>
      </c>
      <c r="B12" s="53">
        <v>1278.72</v>
      </c>
      <c r="C12" s="63">
        <v>0.0183</v>
      </c>
      <c r="D12" s="53"/>
      <c r="E12" s="65">
        <v>75.2532086799366</v>
      </c>
      <c r="F12" s="56"/>
    </row>
    <row r="13" spans="1:6" ht="12.75">
      <c r="A13" s="64">
        <v>2005</v>
      </c>
      <c r="B13" s="53">
        <v>1181.41</v>
      </c>
      <c r="C13" s="63">
        <v>0.0177</v>
      </c>
      <c r="D13" s="56">
        <f aca="true" t="shared" si="0" ref="D13:D76">(((B12)-(B13))/B13)+C13</f>
        <v>0.10006767929846533</v>
      </c>
      <c r="E13" s="65">
        <v>74.91085541615796</v>
      </c>
      <c r="F13" s="56">
        <f>SUM(E12-E13+4)/E13</f>
        <v>0.057966942703500626</v>
      </c>
    </row>
    <row r="14" spans="1:6" ht="12.75">
      <c r="A14" s="64">
        <v>2004</v>
      </c>
      <c r="B14" s="66">
        <v>1132.5175</v>
      </c>
      <c r="C14" s="63">
        <v>0.0162</v>
      </c>
      <c r="D14" s="56">
        <f t="shared" si="0"/>
        <v>0.05937151832090909</v>
      </c>
      <c r="E14" s="65">
        <v>70.87460962715271</v>
      </c>
      <c r="F14" s="56">
        <f>SUM(E13-E14+4)/E14</f>
        <v>0.11338680849575347</v>
      </c>
    </row>
    <row r="15" spans="1:6" ht="12.75">
      <c r="A15" s="64">
        <v>2003</v>
      </c>
      <c r="B15" s="66">
        <v>895.84</v>
      </c>
      <c r="C15" s="63">
        <v>0.018</v>
      </c>
      <c r="D15" s="56">
        <f t="shared" si="0"/>
        <v>0.2821961734238256</v>
      </c>
      <c r="E15" s="65">
        <v>62.256083099221534</v>
      </c>
      <c r="F15" s="56">
        <f>SUM(E14-E15+4)/E15</f>
        <v>0.2026874467482995</v>
      </c>
    </row>
    <row r="16" spans="1:6" ht="12.75">
      <c r="A16" s="64">
        <v>2002</v>
      </c>
      <c r="B16" s="66">
        <v>1140.21</v>
      </c>
      <c r="C16" s="63">
        <v>0.0138</v>
      </c>
      <c r="D16" s="56">
        <f t="shared" si="0"/>
        <v>-0.20052016909165854</v>
      </c>
      <c r="E16" s="65">
        <v>57.4387267990784</v>
      </c>
      <c r="F16" s="56">
        <f>SUM(E15-E16+4)/E16</f>
        <v>0.1535089092588418</v>
      </c>
    </row>
    <row r="17" spans="1:6" ht="12.75">
      <c r="A17" s="64">
        <v>2001</v>
      </c>
      <c r="B17" s="66">
        <v>1335.63</v>
      </c>
      <c r="C17" s="63">
        <v>0.0116</v>
      </c>
      <c r="D17" s="56">
        <f t="shared" si="0"/>
        <v>-0.134712975899014</v>
      </c>
      <c r="E17" s="65">
        <v>56.40035635814768</v>
      </c>
      <c r="F17" s="56">
        <f aca="true" t="shared" si="1" ref="F17:F80">SUM(E16-E17+4)/E17</f>
        <v>0.0893322447988907</v>
      </c>
    </row>
    <row r="18" spans="1:6" ht="12.75">
      <c r="A18" s="64">
        <v>2000</v>
      </c>
      <c r="B18" s="66">
        <v>1425.59</v>
      </c>
      <c r="C18" s="53">
        <v>0.0118</v>
      </c>
      <c r="D18" s="56">
        <f t="shared" si="0"/>
        <v>-0.05130369741650812</v>
      </c>
      <c r="E18" s="65">
        <v>52.6024328472235</v>
      </c>
      <c r="F18" s="56">
        <f t="shared" si="1"/>
        <v>0.14824263990930187</v>
      </c>
    </row>
    <row r="19" spans="1:6" ht="12.75">
      <c r="A19" s="64">
        <v>1999</v>
      </c>
      <c r="B19" s="66">
        <v>1248.77</v>
      </c>
      <c r="C19" s="63">
        <v>0.013</v>
      </c>
      <c r="D19" s="56">
        <f t="shared" si="0"/>
        <v>0.15459532980452761</v>
      </c>
      <c r="E19" s="65">
        <v>63.033807243322705</v>
      </c>
      <c r="F19" s="56">
        <f t="shared" si="1"/>
        <v>-0.10203055594076457</v>
      </c>
    </row>
    <row r="20" spans="1:6" ht="12.75">
      <c r="A20" s="54">
        <v>1998</v>
      </c>
      <c r="B20" s="53">
        <v>963.35</v>
      </c>
      <c r="C20" s="53">
        <v>0.0162</v>
      </c>
      <c r="D20" s="56">
        <f t="shared" si="0"/>
        <v>0.3124786110966938</v>
      </c>
      <c r="E20" s="67">
        <v>62.42760121293054</v>
      </c>
      <c r="F20" s="56">
        <f t="shared" si="1"/>
        <v>0.07378476732881559</v>
      </c>
    </row>
    <row r="21" spans="1:6" ht="12.75">
      <c r="A21" s="54">
        <v>1997</v>
      </c>
      <c r="B21" s="68">
        <v>766.22</v>
      </c>
      <c r="C21" s="63">
        <v>0.0195</v>
      </c>
      <c r="D21" s="56">
        <f t="shared" si="0"/>
        <v>0.276775978178591</v>
      </c>
      <c r="E21" s="67">
        <v>56.620296792312125</v>
      </c>
      <c r="F21" s="56">
        <f t="shared" si="1"/>
        <v>0.17321181583686163</v>
      </c>
    </row>
    <row r="22" spans="1:6" ht="12.75">
      <c r="A22" s="54">
        <v>1996</v>
      </c>
      <c r="B22" s="68">
        <v>614.42</v>
      </c>
      <c r="C22" s="63">
        <v>0.023100000000000002</v>
      </c>
      <c r="D22" s="56">
        <f t="shared" si="0"/>
        <v>0.27016227010839505</v>
      </c>
      <c r="E22" s="67">
        <v>60.9103045373343</v>
      </c>
      <c r="F22" s="56">
        <f t="shared" si="1"/>
        <v>-0.0047612263183549825</v>
      </c>
    </row>
    <row r="23" spans="1:6" ht="12.75">
      <c r="A23" s="54">
        <v>1995</v>
      </c>
      <c r="B23" s="68">
        <v>465.25</v>
      </c>
      <c r="C23" s="63">
        <v>0.0287</v>
      </c>
      <c r="D23" s="56">
        <f t="shared" si="0"/>
        <v>0.3493233207952713</v>
      </c>
      <c r="E23" s="67">
        <v>50.21812929141987</v>
      </c>
      <c r="F23" s="56">
        <f t="shared" si="1"/>
        <v>0.29256715559145074</v>
      </c>
    </row>
    <row r="24" spans="1:6" ht="12.75">
      <c r="A24" s="54">
        <v>1994</v>
      </c>
      <c r="B24" s="68">
        <v>472.99</v>
      </c>
      <c r="C24" s="63">
        <v>0.0269</v>
      </c>
      <c r="D24" s="56">
        <f t="shared" si="0"/>
        <v>0.010536017674792262</v>
      </c>
      <c r="E24" s="67">
        <v>60.011605655945054</v>
      </c>
      <c r="F24" s="56">
        <f t="shared" si="1"/>
        <v>-0.0965392660503036</v>
      </c>
    </row>
    <row r="25" spans="1:6" ht="12.75">
      <c r="A25" s="54">
        <v>1993</v>
      </c>
      <c r="B25" s="68">
        <v>435.23</v>
      </c>
      <c r="C25" s="63">
        <v>0.028800000000000003</v>
      </c>
      <c r="D25" s="56">
        <f t="shared" si="0"/>
        <v>0.1155587252716954</v>
      </c>
      <c r="E25" s="67">
        <v>53.128375348905</v>
      </c>
      <c r="F25" s="56">
        <f t="shared" si="1"/>
        <v>0.20484779057457775</v>
      </c>
    </row>
    <row r="26" spans="1:6" ht="12.75">
      <c r="A26" s="54">
        <v>1992</v>
      </c>
      <c r="B26" s="68">
        <v>416.08</v>
      </c>
      <c r="C26" s="63">
        <v>0.029</v>
      </c>
      <c r="D26" s="56">
        <f t="shared" si="0"/>
        <v>0.07502480292251498</v>
      </c>
      <c r="E26" s="67">
        <v>49.5614481717093</v>
      </c>
      <c r="F26" s="56">
        <f t="shared" si="1"/>
        <v>0.15267768510273394</v>
      </c>
    </row>
    <row r="27" spans="1:6" ht="12.75">
      <c r="A27" s="54">
        <v>1991</v>
      </c>
      <c r="B27" s="68">
        <v>325.49</v>
      </c>
      <c r="C27" s="63">
        <v>0.0382</v>
      </c>
      <c r="D27" s="56">
        <f t="shared" si="0"/>
        <v>0.31651884236074834</v>
      </c>
      <c r="E27" s="67">
        <v>44.84243972046885</v>
      </c>
      <c r="F27" s="56">
        <f t="shared" si="1"/>
        <v>0.19443653167828323</v>
      </c>
    </row>
    <row r="28" spans="1:6" ht="12.75">
      <c r="A28" s="54">
        <v>1990</v>
      </c>
      <c r="B28" s="68">
        <v>339.97</v>
      </c>
      <c r="C28" s="63">
        <v>0.0341</v>
      </c>
      <c r="D28" s="56">
        <f t="shared" si="0"/>
        <v>-0.00849199341118339</v>
      </c>
      <c r="E28" s="67">
        <v>45.599864541354115</v>
      </c>
      <c r="F28" s="56">
        <f t="shared" si="1"/>
        <v>0.07110931604136839</v>
      </c>
    </row>
    <row r="29" spans="1:6" ht="12.75">
      <c r="A29" s="54">
        <v>1989</v>
      </c>
      <c r="B29" s="68">
        <v>285.41</v>
      </c>
      <c r="C29" s="63">
        <v>0.0364</v>
      </c>
      <c r="D29" s="56">
        <f t="shared" si="0"/>
        <v>0.22756358922252196</v>
      </c>
      <c r="E29" s="67">
        <v>43.06467064605262</v>
      </c>
      <c r="F29" s="56">
        <f t="shared" si="1"/>
        <v>0.15175302161286872</v>
      </c>
    </row>
    <row r="30" spans="1:6" ht="12.75">
      <c r="A30" s="54">
        <v>1988</v>
      </c>
      <c r="B30" s="68">
        <v>250.48</v>
      </c>
      <c r="C30" s="63">
        <v>0.0366</v>
      </c>
      <c r="D30" s="56">
        <f t="shared" si="0"/>
        <v>0.1760522516767807</v>
      </c>
      <c r="E30" s="67">
        <v>40.10322647647999</v>
      </c>
      <c r="F30" s="56">
        <f t="shared" si="1"/>
        <v>0.1735881319587945</v>
      </c>
    </row>
    <row r="31" spans="1:6" ht="12.75">
      <c r="A31" s="54">
        <v>1987</v>
      </c>
      <c r="B31" s="68">
        <v>264.51</v>
      </c>
      <c r="C31" s="63">
        <v>0.0317</v>
      </c>
      <c r="D31" s="56">
        <f t="shared" si="0"/>
        <v>-0.021341472912177244</v>
      </c>
      <c r="E31" s="67">
        <v>48.919084183517285</v>
      </c>
      <c r="F31" s="56">
        <f t="shared" si="1"/>
        <v>-0.09844537745168874</v>
      </c>
    </row>
    <row r="32" spans="1:6" ht="12.75">
      <c r="A32" s="54">
        <v>1986</v>
      </c>
      <c r="B32" s="68">
        <v>208.19</v>
      </c>
      <c r="C32" s="63">
        <v>0.039</v>
      </c>
      <c r="D32" s="56">
        <f t="shared" si="0"/>
        <v>0.309522119218022</v>
      </c>
      <c r="E32" s="67">
        <v>39.98095011521439</v>
      </c>
      <c r="F32" s="56">
        <f t="shared" si="1"/>
        <v>0.3236074688324979</v>
      </c>
    </row>
    <row r="33" spans="1:6" ht="12.75">
      <c r="A33" s="54">
        <v>1985</v>
      </c>
      <c r="B33" s="68">
        <v>171.61</v>
      </c>
      <c r="C33" s="63">
        <v>0.0451</v>
      </c>
      <c r="D33" s="56">
        <f t="shared" si="0"/>
        <v>0.25825774139036173</v>
      </c>
      <c r="E33" s="67">
        <v>32.56690400983966</v>
      </c>
      <c r="F33" s="56">
        <f t="shared" si="1"/>
        <v>0.3504799259372683</v>
      </c>
    </row>
    <row r="34" spans="1:6" ht="12.75">
      <c r="A34" s="54">
        <v>1984</v>
      </c>
      <c r="B34" s="68">
        <v>166.39</v>
      </c>
      <c r="C34" s="63">
        <v>0.0427</v>
      </c>
      <c r="D34" s="56">
        <f t="shared" si="0"/>
        <v>0.07407207764889734</v>
      </c>
      <c r="E34" s="67">
        <v>31.489787671250426</v>
      </c>
      <c r="F34" s="56">
        <f t="shared" si="1"/>
        <v>0.16123056756030607</v>
      </c>
    </row>
    <row r="35" spans="1:6" ht="12.75">
      <c r="A35" s="54">
        <v>1983</v>
      </c>
      <c r="B35" s="68">
        <v>144.27</v>
      </c>
      <c r="C35" s="63">
        <v>0.0479</v>
      </c>
      <c r="D35" s="56">
        <f t="shared" si="0"/>
        <v>0.2012236293061619</v>
      </c>
      <c r="E35" s="67">
        <v>29.414973850512478</v>
      </c>
      <c r="F35" s="56">
        <f t="shared" si="1"/>
        <v>0.20652113619445253</v>
      </c>
    </row>
    <row r="36" spans="1:6" ht="12.75">
      <c r="A36" s="54">
        <v>1982</v>
      </c>
      <c r="B36" s="68">
        <v>117.28</v>
      </c>
      <c r="C36" s="63">
        <v>0.0595</v>
      </c>
      <c r="D36" s="56">
        <f t="shared" si="0"/>
        <v>0.28963301500682137</v>
      </c>
      <c r="E36" s="67">
        <v>24.48406952166129</v>
      </c>
      <c r="F36" s="56">
        <f t="shared" si="1"/>
        <v>0.36476388538882115</v>
      </c>
    </row>
    <row r="37" spans="1:6" ht="12.75">
      <c r="A37" s="54">
        <v>1981</v>
      </c>
      <c r="B37" s="68">
        <v>132.97</v>
      </c>
      <c r="C37" s="63">
        <v>0.048</v>
      </c>
      <c r="D37" s="56">
        <f t="shared" si="0"/>
        <v>-0.06999654057306158</v>
      </c>
      <c r="E37" s="67">
        <v>29.36935861795142</v>
      </c>
      <c r="F37" s="56">
        <f t="shared" si="1"/>
        <v>-0.030143290080193137</v>
      </c>
    </row>
    <row r="38" spans="1:6" ht="12.75">
      <c r="A38" s="54">
        <v>1980</v>
      </c>
      <c r="B38" s="68">
        <v>110.87</v>
      </c>
      <c r="C38" s="63">
        <v>0.0541</v>
      </c>
      <c r="D38" s="56">
        <f t="shared" si="0"/>
        <v>0.25343255163705236</v>
      </c>
      <c r="E38" s="67">
        <v>34.69274080531126</v>
      </c>
      <c r="F38" s="56">
        <f t="shared" si="1"/>
        <v>-0.038145795248245074</v>
      </c>
    </row>
    <row r="39" spans="1:6" ht="12.75">
      <c r="A39" s="54">
        <v>1979</v>
      </c>
      <c r="B39" s="68">
        <v>99.71</v>
      </c>
      <c r="C39" s="63">
        <v>0.0533</v>
      </c>
      <c r="D39" s="56">
        <f t="shared" si="0"/>
        <v>0.16522458128572873</v>
      </c>
      <c r="E39" s="67">
        <v>43.91387010169759</v>
      </c>
      <c r="F39" s="56">
        <f t="shared" si="1"/>
        <v>-0.11889476569236597</v>
      </c>
    </row>
    <row r="40" spans="1:6" ht="12.75">
      <c r="A40" s="54">
        <v>1978</v>
      </c>
      <c r="B40" s="68">
        <v>90.25</v>
      </c>
      <c r="C40" s="63">
        <v>0.0532</v>
      </c>
      <c r="D40" s="56">
        <f t="shared" si="0"/>
        <v>0.15801994459833787</v>
      </c>
      <c r="E40" s="67">
        <v>49.09287649373885</v>
      </c>
      <c r="F40" s="56">
        <f t="shared" si="1"/>
        <v>-0.024015834398940263</v>
      </c>
    </row>
    <row r="41" spans="1:6" ht="12.75">
      <c r="A41" s="54">
        <v>1977</v>
      </c>
      <c r="B41" s="68">
        <v>103.8</v>
      </c>
      <c r="C41" s="63">
        <v>0.0399</v>
      </c>
      <c r="D41" s="56">
        <f t="shared" si="0"/>
        <v>-0.09063949903660884</v>
      </c>
      <c r="E41" s="67">
        <v>50.951300061671255</v>
      </c>
      <c r="F41" s="56">
        <f t="shared" si="1"/>
        <v>0.04203183097340871</v>
      </c>
    </row>
    <row r="42" spans="1:6" ht="12.75">
      <c r="A42" s="54">
        <v>1976</v>
      </c>
      <c r="B42" s="68">
        <v>96.86</v>
      </c>
      <c r="C42" s="63">
        <v>0.038</v>
      </c>
      <c r="D42" s="56">
        <f t="shared" si="0"/>
        <v>0.10964980384059464</v>
      </c>
      <c r="E42" s="67">
        <v>43.91387010169759</v>
      </c>
      <c r="F42" s="56">
        <f t="shared" si="1"/>
        <v>0.25134268363076906</v>
      </c>
    </row>
    <row r="43" spans="1:6" ht="12.75">
      <c r="A43" s="54">
        <v>1975</v>
      </c>
      <c r="B43" s="68">
        <v>72.56</v>
      </c>
      <c r="C43" s="63">
        <v>0.0507</v>
      </c>
      <c r="D43" s="56">
        <f t="shared" si="0"/>
        <v>0.3855952590959206</v>
      </c>
      <c r="E43" s="67">
        <v>41.755753115077155</v>
      </c>
      <c r="F43" s="56">
        <f t="shared" si="1"/>
        <v>0.14747948551302417</v>
      </c>
    </row>
    <row r="44" spans="1:6" ht="12.75">
      <c r="A44" s="54">
        <v>1974</v>
      </c>
      <c r="B44" s="68">
        <v>96.11</v>
      </c>
      <c r="C44" s="63">
        <v>0.0364</v>
      </c>
      <c r="D44" s="56">
        <f t="shared" si="0"/>
        <v>-0.2086317344709187</v>
      </c>
      <c r="E44" s="67">
        <v>52.537294702219654</v>
      </c>
      <c r="F44" s="56">
        <f t="shared" si="1"/>
        <v>-0.12908052509327217</v>
      </c>
    </row>
    <row r="45" spans="1:6" ht="12.75">
      <c r="A45" s="54">
        <v>1973</v>
      </c>
      <c r="B45" s="68">
        <v>118.4</v>
      </c>
      <c r="C45" s="63">
        <v>0.0269</v>
      </c>
      <c r="D45" s="56">
        <f t="shared" si="0"/>
        <v>-0.16136013513513517</v>
      </c>
      <c r="E45" s="67">
        <v>58.508250524830295</v>
      </c>
      <c r="F45" s="56">
        <f t="shared" si="1"/>
        <v>-0.033686801518260874</v>
      </c>
    </row>
    <row r="46" spans="1:6" ht="12.75">
      <c r="A46" s="54">
        <v>1972</v>
      </c>
      <c r="B46" s="68">
        <v>103.3</v>
      </c>
      <c r="C46" s="63">
        <v>0.0296</v>
      </c>
      <c r="D46" s="56">
        <f t="shared" si="0"/>
        <v>0.17577618586640859</v>
      </c>
      <c r="E46" s="67">
        <v>56.47351593239872</v>
      </c>
      <c r="F46" s="56">
        <f t="shared" si="1"/>
        <v>0.10685955164639331</v>
      </c>
    </row>
    <row r="47" spans="1:6" ht="12.75">
      <c r="A47" s="54">
        <v>1971</v>
      </c>
      <c r="B47" s="68">
        <v>93.49</v>
      </c>
      <c r="C47" s="63">
        <v>0.0332</v>
      </c>
      <c r="D47" s="56">
        <f t="shared" si="0"/>
        <v>0.13813100866402828</v>
      </c>
      <c r="E47" s="67">
        <v>53.93369874824125</v>
      </c>
      <c r="F47" s="56">
        <f t="shared" si="1"/>
        <v>0.12125660460790724</v>
      </c>
    </row>
    <row r="48" spans="1:6" ht="12.75">
      <c r="A48" s="54">
        <v>1970</v>
      </c>
      <c r="B48" s="68">
        <v>90.31</v>
      </c>
      <c r="C48" s="63">
        <v>0.0356</v>
      </c>
      <c r="D48" s="56">
        <f t="shared" si="0"/>
        <v>0.07081204739231528</v>
      </c>
      <c r="E48" s="67">
        <v>50.46054862985039</v>
      </c>
      <c r="F48" s="56">
        <f t="shared" si="1"/>
        <v>0.14809886775527537</v>
      </c>
    </row>
    <row r="49" spans="1:6" ht="12.75">
      <c r="A49" s="54">
        <v>1969</v>
      </c>
      <c r="B49" s="68">
        <v>102</v>
      </c>
      <c r="C49" s="63">
        <v>0.0306</v>
      </c>
      <c r="D49" s="56">
        <f t="shared" si="0"/>
        <v>-0.08400784313725487</v>
      </c>
      <c r="E49" s="67">
        <v>62.42760121293054</v>
      </c>
      <c r="F49" s="56">
        <f t="shared" si="1"/>
        <v>-0.1276206746420675</v>
      </c>
    </row>
    <row r="50" spans="1:6" ht="12.75">
      <c r="A50" s="54">
        <v>1968</v>
      </c>
      <c r="B50" s="68">
        <v>95.04</v>
      </c>
      <c r="C50" s="63">
        <v>0.0313</v>
      </c>
      <c r="D50" s="56">
        <f t="shared" si="0"/>
        <v>0.10453232323232317</v>
      </c>
      <c r="E50" s="67">
        <v>66.96805495674093</v>
      </c>
      <c r="F50" s="56">
        <f t="shared" si="1"/>
        <v>-0.008070321650516852</v>
      </c>
    </row>
    <row r="51" spans="1:6" ht="12.75">
      <c r="A51" s="54">
        <v>1967</v>
      </c>
      <c r="B51" s="68">
        <v>84.45</v>
      </c>
      <c r="C51" s="63">
        <v>0.0351</v>
      </c>
      <c r="D51" s="56">
        <f t="shared" si="0"/>
        <v>0.16049964476021317</v>
      </c>
      <c r="E51" s="67">
        <v>78.68666567209644</v>
      </c>
      <c r="F51" s="56">
        <f t="shared" si="1"/>
        <v>-0.09809299516541407</v>
      </c>
    </row>
    <row r="52" spans="1:6" ht="12.75">
      <c r="A52" s="54">
        <v>1966</v>
      </c>
      <c r="B52" s="68">
        <v>93.32</v>
      </c>
      <c r="C52" s="63">
        <v>0.0302</v>
      </c>
      <c r="D52" s="56">
        <f t="shared" si="0"/>
        <v>-0.06484929275610792</v>
      </c>
      <c r="E52" s="67">
        <v>86.56606686126186</v>
      </c>
      <c r="F52" s="56">
        <f t="shared" si="1"/>
        <v>-0.0448143404202813</v>
      </c>
    </row>
    <row r="53" spans="1:6" ht="12.75">
      <c r="A53" s="54">
        <v>1965</v>
      </c>
      <c r="B53" s="68">
        <v>86.12</v>
      </c>
      <c r="C53" s="63">
        <v>0.0299</v>
      </c>
      <c r="D53" s="56">
        <f t="shared" si="0"/>
        <v>0.11350427310729201</v>
      </c>
      <c r="E53" s="67">
        <v>91.39727744590006</v>
      </c>
      <c r="F53" s="56">
        <f t="shared" si="1"/>
        <v>-0.009094478608842702</v>
      </c>
    </row>
    <row r="54" spans="1:6" ht="12.75">
      <c r="A54" s="54">
        <v>1964</v>
      </c>
      <c r="B54" s="68">
        <v>76.45</v>
      </c>
      <c r="C54" s="63">
        <v>0.0305</v>
      </c>
      <c r="D54" s="56">
        <f t="shared" si="0"/>
        <v>0.15698790058862003</v>
      </c>
      <c r="E54" s="67">
        <v>92.00904574162887</v>
      </c>
      <c r="F54" s="56">
        <f t="shared" si="1"/>
        <v>0.03682498472797669</v>
      </c>
    </row>
    <row r="55" spans="1:6" ht="12.75">
      <c r="A55" s="54">
        <v>1963</v>
      </c>
      <c r="B55" s="68">
        <v>65.06</v>
      </c>
      <c r="C55" s="63">
        <v>0.0331</v>
      </c>
      <c r="D55" s="56">
        <f t="shared" si="0"/>
        <v>0.20816916692284046</v>
      </c>
      <c r="E55" s="67">
        <v>93.56429569865587</v>
      </c>
      <c r="F55" s="56">
        <f t="shared" si="1"/>
        <v>0.026129091494974183</v>
      </c>
    </row>
    <row r="56" spans="1:6" ht="12.75">
      <c r="A56" s="54">
        <v>1962</v>
      </c>
      <c r="B56" s="68">
        <v>69.07</v>
      </c>
      <c r="C56" s="63">
        <v>0.0297</v>
      </c>
      <c r="D56" s="56">
        <f t="shared" si="0"/>
        <v>-0.028357043578977722</v>
      </c>
      <c r="E56" s="67">
        <v>89.59656610550245</v>
      </c>
      <c r="F56" s="56">
        <f t="shared" si="1"/>
        <v>0.0889289616721605</v>
      </c>
    </row>
    <row r="57" spans="1:6" ht="12.75">
      <c r="A57" s="54">
        <v>1961</v>
      </c>
      <c r="B57" s="68">
        <v>59.72</v>
      </c>
      <c r="C57" s="63">
        <v>0.0328</v>
      </c>
      <c r="D57" s="56">
        <f t="shared" si="0"/>
        <v>0.18936396517079696</v>
      </c>
      <c r="E57" s="67">
        <v>89.74467037376492</v>
      </c>
      <c r="F57" s="56">
        <f t="shared" si="1"/>
        <v>0.042920607047697776</v>
      </c>
    </row>
    <row r="58" spans="1:6" ht="12.75">
      <c r="A58" s="54">
        <v>1960</v>
      </c>
      <c r="B58" s="68">
        <v>58.03</v>
      </c>
      <c r="C58" s="63">
        <v>0.0327</v>
      </c>
      <c r="D58" s="56">
        <f t="shared" si="0"/>
        <v>0.06182286748233668</v>
      </c>
      <c r="E58" s="67">
        <v>84.3557842857882</v>
      </c>
      <c r="F58" s="56">
        <f t="shared" si="1"/>
        <v>0.11130103486641997</v>
      </c>
    </row>
    <row r="59" spans="1:6" ht="12.75">
      <c r="A59" s="54">
        <v>1959</v>
      </c>
      <c r="B59" s="68">
        <v>55.62</v>
      </c>
      <c r="C59" s="63">
        <v>0.0324</v>
      </c>
      <c r="D59" s="56">
        <f t="shared" si="0"/>
        <v>0.07572973750449485</v>
      </c>
      <c r="E59" s="67">
        <v>91.54967257823718</v>
      </c>
      <c r="F59" s="56">
        <f t="shared" si="1"/>
        <v>-0.034886943912546695</v>
      </c>
    </row>
    <row r="60" spans="1:6" ht="12.75">
      <c r="A60" s="54">
        <v>1958</v>
      </c>
      <c r="B60" s="68">
        <v>41.12</v>
      </c>
      <c r="C60" s="63">
        <v>0.0448</v>
      </c>
      <c r="D60" s="56">
        <f t="shared" si="0"/>
        <v>0.3974264591439689</v>
      </c>
      <c r="E60" s="67">
        <v>101.22079687805675</v>
      </c>
      <c r="F60" s="56">
        <f t="shared" si="1"/>
        <v>-0.056027263909527544</v>
      </c>
    </row>
    <row r="61" spans="1:6" ht="12.75">
      <c r="A61" s="54">
        <v>1957</v>
      </c>
      <c r="B61" s="68">
        <v>45.43</v>
      </c>
      <c r="C61" s="63">
        <v>0.0431</v>
      </c>
      <c r="D61" s="56">
        <f t="shared" si="0"/>
        <v>-0.051771230464450854</v>
      </c>
      <c r="E61" s="67">
        <v>100.69505304377618</v>
      </c>
      <c r="F61" s="56">
        <f t="shared" si="1"/>
        <v>0.044945046429570264</v>
      </c>
    </row>
    <row r="62" spans="1:6" ht="12.75">
      <c r="A62" s="54">
        <v>1956</v>
      </c>
      <c r="B62" s="68">
        <v>44.15</v>
      </c>
      <c r="C62" s="63">
        <v>0.0424</v>
      </c>
      <c r="D62" s="56">
        <f t="shared" si="0"/>
        <v>0.07139207248018123</v>
      </c>
      <c r="E62" s="67">
        <v>112.99807945432754</v>
      </c>
      <c r="F62" s="56">
        <f t="shared" si="1"/>
        <v>-0.07347935868155474</v>
      </c>
    </row>
    <row r="63" spans="1:6" ht="12.75">
      <c r="A63" s="54">
        <v>1955</v>
      </c>
      <c r="B63" s="68">
        <v>35.6</v>
      </c>
      <c r="C63" s="63">
        <v>0.0438</v>
      </c>
      <c r="D63" s="56">
        <f t="shared" si="0"/>
        <v>0.2839685393258426</v>
      </c>
      <c r="E63" s="67">
        <v>116.76936481141405</v>
      </c>
      <c r="F63" s="56">
        <f t="shared" si="1"/>
        <v>0.0019586870518895835</v>
      </c>
    </row>
    <row r="64" spans="1:6" ht="12.75">
      <c r="A64" s="54">
        <v>1954</v>
      </c>
      <c r="B64" s="68">
        <v>25.46</v>
      </c>
      <c r="C64" s="63">
        <v>0.0569</v>
      </c>
      <c r="D64" s="56">
        <f t="shared" si="0"/>
        <v>0.4551717989002357</v>
      </c>
      <c r="E64" s="67">
        <v>112.79347577083298</v>
      </c>
      <c r="F64" s="56">
        <f t="shared" si="1"/>
        <v>0.07071232609930382</v>
      </c>
    </row>
    <row r="65" spans="1:6" ht="12.75">
      <c r="A65" s="54">
        <v>1953</v>
      </c>
      <c r="B65" s="68">
        <v>26.18</v>
      </c>
      <c r="C65" s="63">
        <v>0.0545</v>
      </c>
      <c r="D65" s="56">
        <f t="shared" si="0"/>
        <v>0.026998090145149013</v>
      </c>
      <c r="E65" s="67">
        <v>114.23643805742827</v>
      </c>
      <c r="F65" s="56">
        <f t="shared" si="1"/>
        <v>0.022383731118430457</v>
      </c>
    </row>
    <row r="66" spans="1:6" ht="12.75">
      <c r="A66" s="54">
        <v>1952</v>
      </c>
      <c r="B66" s="68">
        <v>24.19</v>
      </c>
      <c r="C66" s="63">
        <v>0.0582</v>
      </c>
      <c r="D66" s="56">
        <f t="shared" si="0"/>
        <v>0.14046539892517562</v>
      </c>
      <c r="E66" s="67">
        <v>113.40881486859843</v>
      </c>
      <c r="F66" s="56">
        <f t="shared" si="1"/>
        <v>0.04256832411504689</v>
      </c>
    </row>
    <row r="67" spans="1:6" ht="12.75">
      <c r="A67" s="54">
        <v>1951</v>
      </c>
      <c r="B67" s="68">
        <v>21.21</v>
      </c>
      <c r="C67" s="63">
        <v>0.0634</v>
      </c>
      <c r="D67" s="56">
        <f t="shared" si="0"/>
        <v>0.20389976426214051</v>
      </c>
      <c r="E67" s="67">
        <v>123.4447624338745</v>
      </c>
      <c r="F67" s="56">
        <f t="shared" si="1"/>
        <v>-0.04889593893065608</v>
      </c>
    </row>
    <row r="68" spans="1:6" ht="12.75">
      <c r="A68" s="54">
        <v>1950</v>
      </c>
      <c r="B68" s="68">
        <v>16.88</v>
      </c>
      <c r="C68" s="63">
        <v>0.0665</v>
      </c>
      <c r="D68" s="56">
        <f t="shared" si="0"/>
        <v>0.32301658767772523</v>
      </c>
      <c r="E68" s="67">
        <v>125.0762004579111</v>
      </c>
      <c r="F68" s="56">
        <f t="shared" si="1"/>
        <v>0.018936951772535158</v>
      </c>
    </row>
    <row r="69" spans="1:6" ht="12.75">
      <c r="A69" s="54">
        <v>1949</v>
      </c>
      <c r="B69" s="68">
        <v>15.36</v>
      </c>
      <c r="C69" s="63">
        <v>0.062</v>
      </c>
      <c r="D69" s="56">
        <f t="shared" si="0"/>
        <v>0.16095833333333331</v>
      </c>
      <c r="E69" s="67">
        <v>119.82205973658691</v>
      </c>
      <c r="F69" s="56">
        <f t="shared" si="1"/>
        <v>0.0772323622350359</v>
      </c>
    </row>
    <row r="70" spans="1:6" ht="12.75">
      <c r="A70" s="54">
        <v>1948</v>
      </c>
      <c r="B70" s="68">
        <v>14.83</v>
      </c>
      <c r="C70" s="63">
        <v>0.0571</v>
      </c>
      <c r="D70" s="56">
        <f t="shared" si="0"/>
        <v>0.09283836817262302</v>
      </c>
      <c r="E70" s="67">
        <v>118.50064686850043</v>
      </c>
      <c r="F70" s="56">
        <f t="shared" si="1"/>
        <v>0.04490619257118173</v>
      </c>
    </row>
    <row r="71" spans="1:6" ht="12.75">
      <c r="A71" s="54">
        <v>1947</v>
      </c>
      <c r="B71" s="68">
        <v>15.21</v>
      </c>
      <c r="C71" s="63">
        <v>0.0449</v>
      </c>
      <c r="D71" s="56">
        <f t="shared" si="0"/>
        <v>0.019916436554898047</v>
      </c>
      <c r="E71" s="67">
        <v>126.02148750581925</v>
      </c>
      <c r="F71" s="56">
        <f t="shared" si="1"/>
        <v>-0.02793841516238448</v>
      </c>
    </row>
    <row r="72" spans="1:6" ht="12.75">
      <c r="A72" s="54">
        <v>1946</v>
      </c>
      <c r="B72" s="68">
        <v>18.02</v>
      </c>
      <c r="C72" s="63">
        <v>0.0356</v>
      </c>
      <c r="D72" s="56">
        <f t="shared" si="0"/>
        <v>-0.1203378468368479</v>
      </c>
      <c r="E72" s="67">
        <v>126.73675769138804</v>
      </c>
      <c r="F72" s="56">
        <f t="shared" si="1"/>
        <v>0.025917735898134144</v>
      </c>
    </row>
    <row r="73" spans="1:6" ht="12.75">
      <c r="A73" s="54">
        <v>1945</v>
      </c>
      <c r="B73" s="68">
        <v>13.49</v>
      </c>
      <c r="C73" s="63">
        <v>0.046</v>
      </c>
      <c r="D73" s="56">
        <f t="shared" si="0"/>
        <v>0.38180429948109706</v>
      </c>
      <c r="E73" s="67">
        <v>119.82205973658691</v>
      </c>
      <c r="F73" s="56">
        <f t="shared" si="1"/>
        <v>0.09109088909667935</v>
      </c>
    </row>
    <row r="74" spans="1:6" ht="12.75">
      <c r="A74" s="54">
        <v>1944</v>
      </c>
      <c r="B74" s="68">
        <v>11.85</v>
      </c>
      <c r="C74" s="63">
        <v>0.0495</v>
      </c>
      <c r="D74" s="56">
        <f t="shared" si="0"/>
        <v>0.18789662447257388</v>
      </c>
      <c r="E74" s="67">
        <v>119.82205973658691</v>
      </c>
      <c r="F74" s="56">
        <f t="shared" si="1"/>
        <v>0.03338283458649831</v>
      </c>
    </row>
    <row r="75" spans="1:6" ht="12.75">
      <c r="A75" s="54">
        <v>1943</v>
      </c>
      <c r="B75" s="68">
        <v>10.09</v>
      </c>
      <c r="C75" s="63">
        <v>0.0554</v>
      </c>
      <c r="D75" s="56">
        <f t="shared" si="0"/>
        <v>0.22983012884043605</v>
      </c>
      <c r="E75" s="67">
        <v>118.50064686850043</v>
      </c>
      <c r="F75" s="56">
        <f t="shared" si="1"/>
        <v>0.04490619257118173</v>
      </c>
    </row>
    <row r="76" spans="1:6" ht="12.75">
      <c r="A76" s="54">
        <v>1942</v>
      </c>
      <c r="B76" s="68">
        <v>8.93</v>
      </c>
      <c r="C76" s="63">
        <v>0.0788</v>
      </c>
      <c r="D76" s="56">
        <f t="shared" si="0"/>
        <v>0.20869921612541997</v>
      </c>
      <c r="E76" s="67">
        <v>117.63067513199601</v>
      </c>
      <c r="F76" s="56">
        <f t="shared" si="1"/>
        <v>0.04140052525448576</v>
      </c>
    </row>
    <row r="77" spans="1:6" ht="12.75">
      <c r="A77" s="54">
        <v>1941</v>
      </c>
      <c r="B77" s="68">
        <v>10.55</v>
      </c>
      <c r="C77" s="63">
        <v>0.0638</v>
      </c>
      <c r="D77" s="56">
        <f>(((B76)-(B77))/B77)+C77</f>
        <v>-0.08975450236966834</v>
      </c>
      <c r="E77" s="67">
        <v>116.34192732126922</v>
      </c>
      <c r="F77" s="56">
        <f t="shared" si="1"/>
        <v>0.045458657360233704</v>
      </c>
    </row>
    <row r="78" spans="1:6" ht="12.75">
      <c r="A78" s="54">
        <v>1940</v>
      </c>
      <c r="B78" s="68">
        <v>12.3</v>
      </c>
      <c r="C78" s="63">
        <v>0.0458</v>
      </c>
      <c r="D78" s="56">
        <f>(((B77)-(B78))/B78)+C78</f>
        <v>-0.09647642276422763</v>
      </c>
      <c r="E78" s="67">
        <v>112.38578932609771</v>
      </c>
      <c r="F78" s="56">
        <f t="shared" si="1"/>
        <v>0.07079309619907594</v>
      </c>
    </row>
    <row r="79" spans="1:6" ht="12.75">
      <c r="A79" s="54">
        <v>1939</v>
      </c>
      <c r="B79" s="68">
        <v>12.5</v>
      </c>
      <c r="C79" s="63">
        <v>0.0349</v>
      </c>
      <c r="D79" s="56">
        <f>(((B78)-(B79))/B79)+C79</f>
        <v>0.018900000000000056</v>
      </c>
      <c r="E79" s="67">
        <v>105.7549401055668</v>
      </c>
      <c r="F79" s="56">
        <f t="shared" si="1"/>
        <v>0.10052342907025401</v>
      </c>
    </row>
    <row r="80" spans="1:6" ht="12.75">
      <c r="A80" s="54">
        <v>1938</v>
      </c>
      <c r="B80" s="68">
        <v>11.31</v>
      </c>
      <c r="C80" s="63">
        <v>0.0784</v>
      </c>
      <c r="D80" s="56">
        <f>(((B79)-(B80))/B80)+C80</f>
        <v>0.1836166224580017</v>
      </c>
      <c r="E80" s="67">
        <v>99.82728942926717</v>
      </c>
      <c r="F80" s="56">
        <f t="shared" si="1"/>
        <v>0.09944826442807397</v>
      </c>
    </row>
    <row r="81" spans="1:6" ht="12.75">
      <c r="A81" s="54">
        <v>1937</v>
      </c>
      <c r="B81" s="68">
        <v>17.59</v>
      </c>
      <c r="C81" s="63">
        <v>0.0434</v>
      </c>
      <c r="D81" s="56">
        <f>(((B80)-(B81))/B81)+C81</f>
        <v>-0.31362103467879476</v>
      </c>
      <c r="E81" s="67">
        <v>103.18173544479107</v>
      </c>
      <c r="F81" s="56">
        <f>SUM(E80-E81+4)/E81</f>
        <v>0.006256475350925922</v>
      </c>
    </row>
    <row r="82" spans="1:6" ht="12.75">
      <c r="A82" s="54"/>
      <c r="B82" s="53"/>
      <c r="C82" s="63"/>
      <c r="D82" s="53"/>
      <c r="E82" s="53"/>
      <c r="F82" s="56"/>
    </row>
    <row r="83" spans="1:6" ht="12.75">
      <c r="A83" s="69" t="s">
        <v>127</v>
      </c>
      <c r="B83" s="53"/>
      <c r="C83" s="70"/>
      <c r="D83" s="71"/>
      <c r="E83" s="53"/>
      <c r="F83" s="56"/>
    </row>
    <row r="84" spans="1:6" ht="12.75">
      <c r="A84" s="69" t="s">
        <v>178</v>
      </c>
      <c r="B84" s="53" t="s">
        <v>123</v>
      </c>
      <c r="C84" s="72">
        <f>AVERAGE(D13:D81)</f>
        <v>0.1156059457919059</v>
      </c>
      <c r="D84" s="71"/>
      <c r="E84" s="53"/>
      <c r="F84" s="56"/>
    </row>
    <row r="85" spans="1:6" ht="12.75">
      <c r="A85" s="69"/>
      <c r="B85" s="53" t="s">
        <v>124</v>
      </c>
      <c r="C85" s="72">
        <f>AVERAGE(F13:F81)</f>
        <v>0.06465268764959498</v>
      </c>
      <c r="D85" s="71"/>
      <c r="E85" s="53"/>
      <c r="F85" s="56"/>
    </row>
    <row r="86" spans="1:6" ht="12.75">
      <c r="A86" s="69" t="s">
        <v>125</v>
      </c>
      <c r="B86" s="53"/>
      <c r="C86" s="72">
        <f>C84-C85</f>
        <v>0.05095325814231093</v>
      </c>
      <c r="D86" s="71"/>
      <c r="E86" s="53"/>
      <c r="F86" s="56"/>
    </row>
    <row r="87" ht="12.75">
      <c r="A87" s="73"/>
    </row>
    <row r="88" spans="1:6" ht="12.75">
      <c r="A88" s="49" t="s">
        <v>179</v>
      </c>
      <c r="C88" s="25">
        <v>1</v>
      </c>
      <c r="D88" s="50">
        <f>C84</f>
        <v>0.1156059457919059</v>
      </c>
      <c r="F88" s="50">
        <f>C85</f>
        <v>0.06465268764959498</v>
      </c>
    </row>
    <row r="89" spans="1:6" ht="12.75">
      <c r="A89" s="49" t="s">
        <v>180</v>
      </c>
      <c r="C89" s="25">
        <v>2</v>
      </c>
      <c r="D89" s="25">
        <v>1.65</v>
      </c>
      <c r="F89" s="25">
        <v>1.65</v>
      </c>
    </row>
    <row r="90" spans="1:6" ht="12.75">
      <c r="A90" s="49" t="s">
        <v>181</v>
      </c>
      <c r="C90" s="25">
        <v>3</v>
      </c>
      <c r="D90" s="51">
        <f>STDEV(D13:D81)</f>
        <v>0.16299536473368154</v>
      </c>
      <c r="F90" s="51">
        <f>STDEV(F13:F81)</f>
        <v>0.11225194620941473</v>
      </c>
    </row>
    <row r="91" spans="1:6" ht="12.75">
      <c r="A91" s="49" t="s">
        <v>182</v>
      </c>
      <c r="C91" s="25">
        <v>4</v>
      </c>
      <c r="D91" s="25">
        <f>COUNTA(D13:D81)</f>
        <v>69</v>
      </c>
      <c r="F91" s="25">
        <f>COUNTA(F13:F81)</f>
        <v>69</v>
      </c>
    </row>
    <row r="92" spans="1:6" ht="12.75">
      <c r="A92" s="49" t="s">
        <v>183</v>
      </c>
      <c r="C92" s="25">
        <v>5</v>
      </c>
      <c r="D92" s="51">
        <f>D91^(1/2)</f>
        <v>8.306623862918075</v>
      </c>
      <c r="F92" s="51">
        <f>F91^(1/2)</f>
        <v>8.306623862918075</v>
      </c>
    </row>
    <row r="93" spans="1:6" ht="12.75">
      <c r="A93" s="52" t="s">
        <v>184</v>
      </c>
      <c r="C93" s="25">
        <v>6</v>
      </c>
      <c r="D93" s="51">
        <f>D90/D92</f>
        <v>0.01962233603249035</v>
      </c>
      <c r="F93" s="51">
        <f>F90/F92</f>
        <v>0.013513546304958268</v>
      </c>
    </row>
    <row r="94" spans="1:6" ht="12.75">
      <c r="A94" s="52" t="s">
        <v>185</v>
      </c>
      <c r="C94" s="25">
        <v>7</v>
      </c>
      <c r="D94" s="51">
        <f>D93*D89</f>
        <v>0.03237685445360908</v>
      </c>
      <c r="F94" s="51">
        <f>F93*F89</f>
        <v>0.02229735140318114</v>
      </c>
    </row>
    <row r="95" spans="1:6" ht="12.75">
      <c r="A95" s="52" t="s">
        <v>186</v>
      </c>
      <c r="C95" s="25">
        <v>8</v>
      </c>
      <c r="D95" s="50">
        <f>D88+D94</f>
        <v>0.14798280024551497</v>
      </c>
      <c r="F95" s="50">
        <f>F88+F94</f>
        <v>0.08695003905277612</v>
      </c>
    </row>
    <row r="96" spans="1:6" ht="12.75">
      <c r="A96" s="52" t="s">
        <v>187</v>
      </c>
      <c r="C96" s="25">
        <v>9</v>
      </c>
      <c r="D96" s="50">
        <f>D88-D94</f>
        <v>0.08322909133829683</v>
      </c>
      <c r="F96" s="50">
        <f>F88-F94</f>
        <v>0.042355336246413834</v>
      </c>
    </row>
    <row r="97" ht="12.75">
      <c r="A97" s="73"/>
    </row>
    <row r="98" spans="1:6" ht="12.75">
      <c r="A98" s="26" t="str">
        <f>A88</f>
        <v>Mean Return</v>
      </c>
      <c r="C98" s="25">
        <f>C88</f>
        <v>1</v>
      </c>
      <c r="D98" s="50">
        <f>D88</f>
        <v>0.1156059457919059</v>
      </c>
      <c r="F98" s="50">
        <f>F88</f>
        <v>0.06465268764959498</v>
      </c>
    </row>
    <row r="101" ht="306">
      <c r="A101" s="104" t="s">
        <v>0</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108"/>
  <sheetViews>
    <sheetView workbookViewId="0" topLeftCell="A1">
      <selection activeCell="A1" sqref="A1"/>
    </sheetView>
  </sheetViews>
  <sheetFormatPr defaultColWidth="9.140625" defaultRowHeight="12.75"/>
  <cols>
    <col min="1" max="1" width="16.28125" style="25" bestFit="1" customWidth="1"/>
    <col min="2" max="16384" width="9.140625" style="25" customWidth="1"/>
  </cols>
  <sheetData>
    <row r="1" ht="12.75">
      <c r="A1" s="24" t="s">
        <v>106</v>
      </c>
    </row>
    <row r="2" ht="12.75">
      <c r="A2" s="24" t="s">
        <v>107</v>
      </c>
    </row>
    <row r="3" ht="12.75">
      <c r="A3" s="24" t="s">
        <v>767</v>
      </c>
    </row>
    <row r="4" ht="12.75">
      <c r="A4" s="24" t="s">
        <v>128</v>
      </c>
    </row>
    <row r="5" ht="12.75">
      <c r="A5" s="24" t="s">
        <v>766</v>
      </c>
    </row>
    <row r="6" ht="12.75">
      <c r="A6" s="24"/>
    </row>
    <row r="7" ht="12.75">
      <c r="A7" s="26"/>
    </row>
    <row r="8" spans="1:9" ht="13.5">
      <c r="A8" s="27"/>
      <c r="B8" s="28" t="s">
        <v>114</v>
      </c>
      <c r="C8" s="29" t="s">
        <v>115</v>
      </c>
      <c r="D8" s="28"/>
      <c r="E8" s="28" t="s">
        <v>93</v>
      </c>
      <c r="F8" s="28" t="s">
        <v>116</v>
      </c>
      <c r="G8" s="8"/>
      <c r="H8" s="8"/>
      <c r="I8" s="8"/>
    </row>
    <row r="9" spans="1:9" ht="13.5">
      <c r="A9" s="27"/>
      <c r="B9" s="28" t="s">
        <v>117</v>
      </c>
      <c r="C9" s="29" t="s">
        <v>57</v>
      </c>
      <c r="D9" s="28" t="s">
        <v>115</v>
      </c>
      <c r="E9" s="28" t="s">
        <v>116</v>
      </c>
      <c r="F9" s="28" t="s">
        <v>118</v>
      </c>
      <c r="G9" s="8"/>
      <c r="H9" s="8"/>
      <c r="I9" s="8"/>
    </row>
    <row r="10" spans="1:9" ht="13.5">
      <c r="A10" s="30" t="s">
        <v>119</v>
      </c>
      <c r="B10" s="31" t="s">
        <v>120</v>
      </c>
      <c r="C10" s="32" t="s">
        <v>121</v>
      </c>
      <c r="D10" s="31" t="s">
        <v>122</v>
      </c>
      <c r="E10" s="31" t="s">
        <v>120</v>
      </c>
      <c r="F10" s="31" t="s">
        <v>122</v>
      </c>
      <c r="G10" s="8"/>
      <c r="H10" s="8"/>
      <c r="I10" s="8"/>
    </row>
    <row r="11" spans="1:9" ht="13.5">
      <c r="A11" s="30"/>
      <c r="B11" s="31"/>
      <c r="C11" s="32"/>
      <c r="D11" s="31"/>
      <c r="E11" s="31"/>
      <c r="F11" s="31"/>
      <c r="G11" s="8"/>
      <c r="H11" s="8"/>
      <c r="I11" s="8"/>
    </row>
    <row r="12" spans="1:9" ht="13.5">
      <c r="A12" s="28">
        <v>2006</v>
      </c>
      <c r="B12" s="27">
        <v>198.94</v>
      </c>
      <c r="C12" s="7">
        <v>0.0345</v>
      </c>
      <c r="D12" s="33"/>
      <c r="E12" s="34">
        <v>75.2532086799366</v>
      </c>
      <c r="F12" s="31"/>
      <c r="G12" s="8"/>
      <c r="H12" s="8"/>
      <c r="I12" s="8"/>
    </row>
    <row r="13" spans="1:9" ht="13.5">
      <c r="A13" s="28">
        <v>2005</v>
      </c>
      <c r="B13" s="27">
        <v>167.77</v>
      </c>
      <c r="C13" s="7">
        <v>0.0356</v>
      </c>
      <c r="D13" s="33">
        <f>(((B12)-(B13))/B13)+C13</f>
        <v>0.22139006973833214</v>
      </c>
      <c r="E13" s="34">
        <v>74.91085541615796</v>
      </c>
      <c r="F13" s="33">
        <f>SUM(E12-E13+4)/E13</f>
        <v>0.057966942703500626</v>
      </c>
      <c r="G13" s="8"/>
      <c r="H13" s="8"/>
      <c r="I13" s="8"/>
    </row>
    <row r="14" spans="1:9" ht="13.5">
      <c r="A14" s="28">
        <v>2004</v>
      </c>
      <c r="B14" s="27">
        <v>139.79</v>
      </c>
      <c r="C14" s="7">
        <v>0.0342</v>
      </c>
      <c r="D14" s="33">
        <f>(((B13)-(B14))/B14)+C14</f>
        <v>0.2343573789255313</v>
      </c>
      <c r="E14" s="34">
        <v>70.87460962715271</v>
      </c>
      <c r="F14" s="33">
        <f>SUM(E13-E14+4)/E14</f>
        <v>0.11338680849575347</v>
      </c>
      <c r="G14" s="8"/>
      <c r="H14" s="8"/>
      <c r="I14" s="8"/>
    </row>
    <row r="15" spans="1:9" ht="13.5">
      <c r="A15" s="28">
        <v>2003</v>
      </c>
      <c r="B15" s="27">
        <v>114.11</v>
      </c>
      <c r="C15" s="7">
        <v>0.05078847256810553</v>
      </c>
      <c r="D15" s="33">
        <f>(((B14)-(B15))/B15)+C15</f>
        <v>0.2758344808057709</v>
      </c>
      <c r="E15" s="34">
        <v>62.256083099221534</v>
      </c>
      <c r="F15" s="33">
        <f>SUM(E14-E15+4)/E15</f>
        <v>0.2026874467482995</v>
      </c>
      <c r="G15" s="8"/>
      <c r="H15" s="8"/>
      <c r="I15" s="8"/>
    </row>
    <row r="16" spans="1:9" ht="13.5">
      <c r="A16" s="28">
        <v>2002</v>
      </c>
      <c r="B16" s="27">
        <v>142.14</v>
      </c>
      <c r="C16" s="7">
        <v>0.0453551934064325</v>
      </c>
      <c r="D16" s="33">
        <f>(((B15)-(B16))/B16)+C16</f>
        <v>-0.15184475031102906</v>
      </c>
      <c r="E16" s="34">
        <v>57.4387267990784</v>
      </c>
      <c r="F16" s="33">
        <f>SUM(E15-E16+4)/E16</f>
        <v>0.1535089092588418</v>
      </c>
      <c r="G16" s="8"/>
      <c r="H16" s="8"/>
      <c r="I16" s="8"/>
    </row>
    <row r="17" spans="1:9" ht="13.5">
      <c r="A17" s="28"/>
      <c r="B17" s="27"/>
      <c r="C17" s="27"/>
      <c r="D17" s="27"/>
      <c r="E17" s="34"/>
      <c r="F17" s="27"/>
      <c r="G17" s="8"/>
      <c r="H17" s="8"/>
      <c r="I17" s="8"/>
    </row>
    <row r="18" spans="1:9" ht="13.5">
      <c r="A18" s="28">
        <v>2002</v>
      </c>
      <c r="B18" s="27">
        <v>243.79</v>
      </c>
      <c r="C18" s="27">
        <v>0.0362</v>
      </c>
      <c r="D18" s="35"/>
      <c r="E18" s="34">
        <v>57.4387267990784</v>
      </c>
      <c r="F18" s="33"/>
      <c r="G18" s="8"/>
      <c r="H18" s="8"/>
      <c r="I18" s="8"/>
    </row>
    <row r="19" spans="1:9" ht="13.5">
      <c r="A19" s="28">
        <v>2001</v>
      </c>
      <c r="B19" s="36">
        <v>307.7</v>
      </c>
      <c r="C19" s="27">
        <v>0.0287</v>
      </c>
      <c r="D19" s="33">
        <f aca="true" t="shared" si="0" ref="D19:D82">(((B18)-(B19))/B19)+C19</f>
        <v>-0.17900230744231393</v>
      </c>
      <c r="E19" s="34">
        <v>56.40035635814768</v>
      </c>
      <c r="F19" s="33">
        <f>SUM(E18-E19+4)/E19</f>
        <v>0.0893322447988907</v>
      </c>
      <c r="G19" s="8"/>
      <c r="H19" s="8"/>
      <c r="I19" s="8"/>
    </row>
    <row r="20" spans="1:9" ht="13.5">
      <c r="A20" s="28">
        <v>2000</v>
      </c>
      <c r="B20" s="36">
        <v>239.17</v>
      </c>
      <c r="C20" s="27">
        <v>0.0413</v>
      </c>
      <c r="D20" s="33">
        <f t="shared" si="0"/>
        <v>0.32783259188025254</v>
      </c>
      <c r="E20" s="34">
        <v>52.6024328472235</v>
      </c>
      <c r="F20" s="33">
        <f aca="true" t="shared" si="1" ref="F20:F83">SUM(E19-E20+4)/E20</f>
        <v>0.14824263990930187</v>
      </c>
      <c r="G20" s="8"/>
      <c r="H20" s="8"/>
      <c r="I20" s="8"/>
    </row>
    <row r="21" spans="1:9" ht="13.5">
      <c r="A21" s="28">
        <v>1999</v>
      </c>
      <c r="B21" s="27">
        <v>253.52</v>
      </c>
      <c r="C21" s="27">
        <v>0.0394</v>
      </c>
      <c r="D21" s="33">
        <f t="shared" si="0"/>
        <v>-0.01720302934679719</v>
      </c>
      <c r="E21" s="34">
        <v>63.033807243322705</v>
      </c>
      <c r="F21" s="33">
        <f t="shared" si="1"/>
        <v>-0.10203055594076457</v>
      </c>
      <c r="G21" s="8"/>
      <c r="H21" s="8"/>
      <c r="I21" s="8"/>
    </row>
    <row r="22" spans="1:9" ht="13.5">
      <c r="A22" s="28">
        <v>1998</v>
      </c>
      <c r="B22" s="27">
        <v>228.61</v>
      </c>
      <c r="C22" s="37">
        <v>0.0457</v>
      </c>
      <c r="D22" s="33">
        <f t="shared" si="0"/>
        <v>0.15466286251695024</v>
      </c>
      <c r="E22" s="38">
        <v>62.42760121293054</v>
      </c>
      <c r="F22" s="33">
        <f t="shared" si="1"/>
        <v>0.07378476732881559</v>
      </c>
      <c r="G22" s="8"/>
      <c r="H22" s="8"/>
      <c r="I22" s="8"/>
    </row>
    <row r="23" spans="1:9" ht="13.5">
      <c r="A23" s="28">
        <v>1997</v>
      </c>
      <c r="B23" s="36">
        <v>201.14</v>
      </c>
      <c r="C23" s="37">
        <v>0.0492</v>
      </c>
      <c r="D23" s="33">
        <f t="shared" si="0"/>
        <v>0.18577154220940653</v>
      </c>
      <c r="E23" s="38">
        <v>56.620296792312125</v>
      </c>
      <c r="F23" s="33">
        <f t="shared" si="1"/>
        <v>0.17321181583686163</v>
      </c>
      <c r="G23" s="8"/>
      <c r="H23" s="8"/>
      <c r="I23" s="8"/>
    </row>
    <row r="24" spans="1:9" ht="13.5">
      <c r="A24" s="28">
        <v>1996</v>
      </c>
      <c r="B24" s="36">
        <v>202.57</v>
      </c>
      <c r="C24" s="37">
        <v>0.0454</v>
      </c>
      <c r="D24" s="33">
        <f t="shared" si="0"/>
        <v>0.03834071185269287</v>
      </c>
      <c r="E24" s="34">
        <v>60.9103045373343</v>
      </c>
      <c r="F24" s="33">
        <f t="shared" si="1"/>
        <v>-0.0047612263183549825</v>
      </c>
      <c r="G24" s="8"/>
      <c r="H24" s="8"/>
      <c r="I24" s="8"/>
    </row>
    <row r="25" spans="1:9" ht="13.5">
      <c r="A25" s="28">
        <v>1995</v>
      </c>
      <c r="B25" s="36">
        <v>153.87</v>
      </c>
      <c r="C25" s="37">
        <v>0.0584</v>
      </c>
      <c r="D25" s="33">
        <f t="shared" si="0"/>
        <v>0.37490094235393506</v>
      </c>
      <c r="E25" s="34">
        <v>50.21812929141987</v>
      </c>
      <c r="F25" s="33">
        <f t="shared" si="1"/>
        <v>0.29256715559145074</v>
      </c>
      <c r="G25" s="8"/>
      <c r="H25" s="8"/>
      <c r="I25" s="8"/>
    </row>
    <row r="26" spans="1:9" ht="13.5">
      <c r="A26" s="28">
        <v>1994</v>
      </c>
      <c r="B26" s="36">
        <v>168.7</v>
      </c>
      <c r="C26" s="37">
        <v>0.049600000000000005</v>
      </c>
      <c r="D26" s="33">
        <f t="shared" si="0"/>
        <v>-0.03830752815649072</v>
      </c>
      <c r="E26" s="34">
        <v>60.011605655945054</v>
      </c>
      <c r="F26" s="33">
        <f t="shared" si="1"/>
        <v>-0.0965392660503036</v>
      </c>
      <c r="G26" s="8"/>
      <c r="H26" s="8"/>
      <c r="I26" s="8"/>
    </row>
    <row r="27" spans="1:9" ht="13.5">
      <c r="A27" s="28">
        <v>1993</v>
      </c>
      <c r="B27" s="36">
        <v>159.79</v>
      </c>
      <c r="C27" s="37">
        <v>0.0537</v>
      </c>
      <c r="D27" s="33">
        <f t="shared" si="0"/>
        <v>0.10946068590024405</v>
      </c>
      <c r="E27" s="34">
        <v>53.128375348905</v>
      </c>
      <c r="F27" s="33">
        <f t="shared" si="1"/>
        <v>0.20484779057457775</v>
      </c>
      <c r="G27" s="8"/>
      <c r="H27" s="8"/>
      <c r="I27" s="8"/>
    </row>
    <row r="28" spans="1:9" ht="13.5">
      <c r="A28" s="28">
        <v>1992</v>
      </c>
      <c r="B28" s="36">
        <v>149.7</v>
      </c>
      <c r="C28" s="37">
        <v>0.0572</v>
      </c>
      <c r="D28" s="33">
        <f t="shared" si="0"/>
        <v>0.12460146960587845</v>
      </c>
      <c r="E28" s="34">
        <v>49.5614481717093</v>
      </c>
      <c r="F28" s="33">
        <f t="shared" si="1"/>
        <v>0.15267768510273394</v>
      </c>
      <c r="G28" s="8"/>
      <c r="H28" s="8"/>
      <c r="I28" s="8"/>
    </row>
    <row r="29" spans="1:9" ht="13.5">
      <c r="A29" s="28">
        <v>1991</v>
      </c>
      <c r="B29" s="36">
        <v>138.38</v>
      </c>
      <c r="C29" s="37">
        <v>0.0607</v>
      </c>
      <c r="D29" s="33">
        <f t="shared" si="0"/>
        <v>0.14250372886255233</v>
      </c>
      <c r="E29" s="34">
        <v>44.84243972046885</v>
      </c>
      <c r="F29" s="33">
        <f t="shared" si="1"/>
        <v>0.19443653167828323</v>
      </c>
      <c r="G29" s="8"/>
      <c r="H29" s="8"/>
      <c r="I29" s="8"/>
    </row>
    <row r="30" spans="1:9" ht="13.5">
      <c r="A30" s="28">
        <v>1990</v>
      </c>
      <c r="B30" s="36">
        <v>146.04</v>
      </c>
      <c r="C30" s="37">
        <v>0.0558</v>
      </c>
      <c r="D30" s="33">
        <f t="shared" si="0"/>
        <v>0.00334861681731035</v>
      </c>
      <c r="E30" s="34">
        <v>45.599864541354115</v>
      </c>
      <c r="F30" s="33">
        <f t="shared" si="1"/>
        <v>0.07110931604136839</v>
      </c>
      <c r="G30" s="8"/>
      <c r="H30" s="8"/>
      <c r="I30" s="8"/>
    </row>
    <row r="31" spans="1:9" ht="13.5">
      <c r="A31" s="28">
        <v>1989</v>
      </c>
      <c r="B31" s="36">
        <v>114.37</v>
      </c>
      <c r="C31" s="37">
        <v>0.0699</v>
      </c>
      <c r="D31" s="33">
        <f t="shared" si="0"/>
        <v>0.34680828014339415</v>
      </c>
      <c r="E31" s="34">
        <v>43.06467064605262</v>
      </c>
      <c r="F31" s="33">
        <f t="shared" si="1"/>
        <v>0.15175302161286872</v>
      </c>
      <c r="G31" s="8"/>
      <c r="H31" s="8"/>
      <c r="I31" s="8"/>
    </row>
    <row r="32" spans="1:9" ht="13.5">
      <c r="A32" s="28">
        <v>1988</v>
      </c>
      <c r="B32" s="36">
        <v>106.13</v>
      </c>
      <c r="C32" s="37">
        <v>0.0704</v>
      </c>
      <c r="D32" s="33">
        <f t="shared" si="0"/>
        <v>0.14804062941675314</v>
      </c>
      <c r="E32" s="34">
        <v>40.10322647647999</v>
      </c>
      <c r="F32" s="33">
        <f t="shared" si="1"/>
        <v>0.1735881319587945</v>
      </c>
      <c r="G32" s="8"/>
      <c r="H32" s="8"/>
      <c r="I32" s="8"/>
    </row>
    <row r="33" spans="1:9" ht="13.5">
      <c r="A33" s="28">
        <v>1987</v>
      </c>
      <c r="B33" s="36">
        <v>120.09</v>
      </c>
      <c r="C33" s="37">
        <v>0.0588</v>
      </c>
      <c r="D33" s="33">
        <f t="shared" si="0"/>
        <v>-0.05744614872179205</v>
      </c>
      <c r="E33" s="34">
        <v>48.919084183517285</v>
      </c>
      <c r="F33" s="33">
        <f t="shared" si="1"/>
        <v>-0.09844537745168874</v>
      </c>
      <c r="G33" s="8"/>
      <c r="H33" s="8"/>
      <c r="I33" s="8"/>
    </row>
    <row r="34" spans="1:9" ht="13.5">
      <c r="A34" s="28">
        <v>1986</v>
      </c>
      <c r="B34" s="36">
        <v>92.06</v>
      </c>
      <c r="C34" s="37">
        <v>0.0742</v>
      </c>
      <c r="D34" s="33">
        <f t="shared" si="0"/>
        <v>0.3786753421681512</v>
      </c>
      <c r="E34" s="34">
        <v>39.98095011521439</v>
      </c>
      <c r="F34" s="33">
        <f t="shared" si="1"/>
        <v>0.3236074688324979</v>
      </c>
      <c r="G34" s="8"/>
      <c r="H34" s="8"/>
      <c r="I34" s="8"/>
    </row>
    <row r="35" spans="1:9" ht="13.5">
      <c r="A35" s="28">
        <v>1985</v>
      </c>
      <c r="B35" s="36">
        <v>75.83</v>
      </c>
      <c r="C35" s="37">
        <v>0.086</v>
      </c>
      <c r="D35" s="33">
        <f t="shared" si="0"/>
        <v>0.30003138599498885</v>
      </c>
      <c r="E35" s="34">
        <v>32.56690400983966</v>
      </c>
      <c r="F35" s="33">
        <f t="shared" si="1"/>
        <v>0.3504799259372683</v>
      </c>
      <c r="G35" s="8"/>
      <c r="H35" s="8"/>
      <c r="I35" s="8"/>
    </row>
    <row r="36" spans="1:9" ht="13.5">
      <c r="A36" s="28">
        <v>1984</v>
      </c>
      <c r="B36" s="36">
        <v>68.5</v>
      </c>
      <c r="C36" s="37">
        <v>0.0925</v>
      </c>
      <c r="D36" s="33">
        <f t="shared" si="0"/>
        <v>0.19950729927007296</v>
      </c>
      <c r="E36" s="34">
        <v>31.489787671250426</v>
      </c>
      <c r="F36" s="33">
        <f t="shared" si="1"/>
        <v>0.16123056756030607</v>
      </c>
      <c r="G36" s="8"/>
      <c r="H36" s="8"/>
      <c r="I36" s="8"/>
    </row>
    <row r="37" spans="1:9" ht="13.5">
      <c r="A37" s="28">
        <v>1983</v>
      </c>
      <c r="B37" s="36">
        <v>61.89</v>
      </c>
      <c r="C37" s="37">
        <v>0.0948</v>
      </c>
      <c r="D37" s="33">
        <f t="shared" si="0"/>
        <v>0.20160239133947325</v>
      </c>
      <c r="E37" s="34">
        <v>29.414973850512478</v>
      </c>
      <c r="F37" s="33">
        <f t="shared" si="1"/>
        <v>0.20652113619445253</v>
      </c>
      <c r="G37" s="8"/>
      <c r="H37" s="8"/>
      <c r="I37" s="8"/>
    </row>
    <row r="38" spans="1:9" ht="13.5">
      <c r="A38" s="28">
        <v>1982</v>
      </c>
      <c r="B38" s="36">
        <v>51.81</v>
      </c>
      <c r="C38" s="37">
        <v>0.1074</v>
      </c>
      <c r="D38" s="33">
        <f t="shared" si="0"/>
        <v>0.3019570353213665</v>
      </c>
      <c r="E38" s="34">
        <v>24.48406952166129</v>
      </c>
      <c r="F38" s="33">
        <f t="shared" si="1"/>
        <v>0.36476388538882115</v>
      </c>
      <c r="G38" s="8"/>
      <c r="H38" s="8"/>
      <c r="I38" s="8"/>
    </row>
    <row r="39" spans="1:9" ht="13.5">
      <c r="A39" s="28">
        <v>1981</v>
      </c>
      <c r="B39" s="36">
        <v>52.01</v>
      </c>
      <c r="C39" s="37">
        <v>0.0978</v>
      </c>
      <c r="D39" s="33">
        <f t="shared" si="0"/>
        <v>0.09395458565660458</v>
      </c>
      <c r="E39" s="34">
        <v>29.36935861795142</v>
      </c>
      <c r="F39" s="33">
        <f t="shared" si="1"/>
        <v>-0.030143290080193137</v>
      </c>
      <c r="G39" s="8"/>
      <c r="H39" s="8"/>
      <c r="I39" s="8"/>
    </row>
    <row r="40" spans="1:9" ht="13.5">
      <c r="A40" s="28">
        <v>1980</v>
      </c>
      <c r="B40" s="36">
        <v>50.26</v>
      </c>
      <c r="C40" s="37">
        <v>0.0953</v>
      </c>
      <c r="D40" s="33">
        <f t="shared" si="0"/>
        <v>0.13011894150417827</v>
      </c>
      <c r="E40" s="34">
        <v>34.69274080531126</v>
      </c>
      <c r="F40" s="33">
        <f t="shared" si="1"/>
        <v>-0.038145795248245074</v>
      </c>
      <c r="G40" s="8"/>
      <c r="H40" s="8"/>
      <c r="I40" s="8"/>
    </row>
    <row r="41" spans="1:9" ht="13.5">
      <c r="A41" s="28">
        <v>1979</v>
      </c>
      <c r="B41" s="36">
        <v>50.33</v>
      </c>
      <c r="C41" s="37">
        <v>0.0893</v>
      </c>
      <c r="D41" s="33">
        <f t="shared" si="0"/>
        <v>0.08790917941585535</v>
      </c>
      <c r="E41" s="34">
        <v>43.91387010169759</v>
      </c>
      <c r="F41" s="33">
        <f t="shared" si="1"/>
        <v>-0.11889476569236597</v>
      </c>
      <c r="G41" s="8"/>
      <c r="H41" s="8"/>
      <c r="I41" s="8"/>
    </row>
    <row r="42" spans="1:9" ht="13.5">
      <c r="A42" s="28">
        <v>1978</v>
      </c>
      <c r="B42" s="36">
        <v>52.4</v>
      </c>
      <c r="C42" s="37">
        <v>0.0791</v>
      </c>
      <c r="D42" s="33">
        <f t="shared" si="0"/>
        <v>0.03959618320610687</v>
      </c>
      <c r="E42" s="34">
        <v>49.09287649373885</v>
      </c>
      <c r="F42" s="33">
        <f t="shared" si="1"/>
        <v>-0.024015834398940263</v>
      </c>
      <c r="G42" s="8"/>
      <c r="H42" s="8"/>
      <c r="I42" s="8"/>
    </row>
    <row r="43" spans="1:9" ht="13.5">
      <c r="A43" s="28">
        <v>1977</v>
      </c>
      <c r="B43" s="36">
        <v>54.01</v>
      </c>
      <c r="C43" s="37">
        <v>0.0714</v>
      </c>
      <c r="D43" s="33">
        <f t="shared" si="0"/>
        <v>0.041590705424921326</v>
      </c>
      <c r="E43" s="34">
        <v>50.951300061671255</v>
      </c>
      <c r="F43" s="33">
        <f t="shared" si="1"/>
        <v>0.04203183097340871</v>
      </c>
      <c r="G43" s="8"/>
      <c r="H43" s="8"/>
      <c r="I43" s="8"/>
    </row>
    <row r="44" spans="1:9" ht="13.5">
      <c r="A44" s="28">
        <v>1976</v>
      </c>
      <c r="B44" s="36">
        <v>46.99</v>
      </c>
      <c r="C44" s="37">
        <v>0.0776</v>
      </c>
      <c r="D44" s="33">
        <f t="shared" si="0"/>
        <v>0.22699348797616506</v>
      </c>
      <c r="E44" s="34">
        <v>43.91387010169759</v>
      </c>
      <c r="F44" s="33">
        <f t="shared" si="1"/>
        <v>0.25134268363076906</v>
      </c>
      <c r="G44" s="8"/>
      <c r="H44" s="8"/>
      <c r="I44" s="8"/>
    </row>
    <row r="45" spans="1:9" ht="13.5">
      <c r="A45" s="28">
        <v>1975</v>
      </c>
      <c r="B45" s="36">
        <v>38.19</v>
      </c>
      <c r="C45" s="37">
        <v>0.092</v>
      </c>
      <c r="D45" s="33">
        <f t="shared" si="0"/>
        <v>0.3224268133019116</v>
      </c>
      <c r="E45" s="34">
        <v>41.755753115077155</v>
      </c>
      <c r="F45" s="33">
        <f t="shared" si="1"/>
        <v>0.14747948551302417</v>
      </c>
      <c r="G45" s="8"/>
      <c r="H45" s="8"/>
      <c r="I45" s="8"/>
    </row>
    <row r="46" spans="1:9" ht="13.5">
      <c r="A46" s="28">
        <v>1974</v>
      </c>
      <c r="B46" s="36">
        <v>48.6</v>
      </c>
      <c r="C46" s="37">
        <v>0.0713</v>
      </c>
      <c r="D46" s="33">
        <f t="shared" si="0"/>
        <v>-0.1428975308641976</v>
      </c>
      <c r="E46" s="34">
        <v>52.537294702219654</v>
      </c>
      <c r="F46" s="33">
        <f t="shared" si="1"/>
        <v>-0.12908052509327217</v>
      </c>
      <c r="G46" s="8"/>
      <c r="H46" s="8"/>
      <c r="I46" s="8"/>
    </row>
    <row r="47" spans="1:9" ht="13.5">
      <c r="A47" s="28">
        <v>1973</v>
      </c>
      <c r="B47" s="36">
        <v>60.01</v>
      </c>
      <c r="C47" s="37">
        <v>0.0556</v>
      </c>
      <c r="D47" s="33">
        <f t="shared" si="0"/>
        <v>-0.13453497750374932</v>
      </c>
      <c r="E47" s="34">
        <v>58.508250524830295</v>
      </c>
      <c r="F47" s="33">
        <f t="shared" si="1"/>
        <v>-0.033686801518260874</v>
      </c>
      <c r="G47" s="8"/>
      <c r="H47" s="8"/>
      <c r="I47" s="8"/>
    </row>
    <row r="48" spans="1:9" ht="13.5">
      <c r="A48" s="28">
        <v>1972</v>
      </c>
      <c r="B48" s="36">
        <v>60.19</v>
      </c>
      <c r="C48" s="37">
        <v>0.0542</v>
      </c>
      <c r="D48" s="33">
        <f t="shared" si="0"/>
        <v>0.05120947001162984</v>
      </c>
      <c r="E48" s="34">
        <v>56.47351593239872</v>
      </c>
      <c r="F48" s="33">
        <f t="shared" si="1"/>
        <v>0.10685955164639331</v>
      </c>
      <c r="G48" s="8"/>
      <c r="H48" s="8"/>
      <c r="I48" s="8"/>
    </row>
    <row r="49" spans="1:9" ht="13.5">
      <c r="A49" s="28">
        <v>1971</v>
      </c>
      <c r="B49" s="36">
        <v>63.43</v>
      </c>
      <c r="C49" s="37">
        <v>0.0504</v>
      </c>
      <c r="D49" s="33">
        <f t="shared" si="0"/>
        <v>-0.0006799306321930015</v>
      </c>
      <c r="E49" s="34">
        <v>53.93369874824125</v>
      </c>
      <c r="F49" s="33">
        <f t="shared" si="1"/>
        <v>0.12125660460790724</v>
      </c>
      <c r="G49" s="8"/>
      <c r="H49" s="8"/>
      <c r="I49" s="8"/>
    </row>
    <row r="50" spans="1:9" ht="13.5">
      <c r="A50" s="28">
        <v>1970</v>
      </c>
      <c r="B50" s="36">
        <v>55.72</v>
      </c>
      <c r="C50" s="37">
        <v>0.0561</v>
      </c>
      <c r="D50" s="33">
        <f t="shared" si="0"/>
        <v>0.19447042354630295</v>
      </c>
      <c r="E50" s="34">
        <v>50.46054862985039</v>
      </c>
      <c r="F50" s="33">
        <f t="shared" si="1"/>
        <v>0.14809886775527537</v>
      </c>
      <c r="G50" s="8"/>
      <c r="H50" s="8"/>
      <c r="I50" s="8"/>
    </row>
    <row r="51" spans="1:9" ht="13.5">
      <c r="A51" s="28">
        <v>1969</v>
      </c>
      <c r="B51" s="36">
        <v>68.65</v>
      </c>
      <c r="C51" s="37">
        <v>0.0445</v>
      </c>
      <c r="D51" s="33">
        <f t="shared" si="0"/>
        <v>-0.1438466860888566</v>
      </c>
      <c r="E51" s="34">
        <v>62.42760121293054</v>
      </c>
      <c r="F51" s="33">
        <f t="shared" si="1"/>
        <v>-0.1276206746420675</v>
      </c>
      <c r="G51" s="8"/>
      <c r="H51" s="8"/>
      <c r="I51" s="8"/>
    </row>
    <row r="52" spans="1:9" ht="13.5">
      <c r="A52" s="28">
        <v>1968</v>
      </c>
      <c r="B52" s="36">
        <v>68.02</v>
      </c>
      <c r="C52" s="37">
        <v>0.0435</v>
      </c>
      <c r="D52" s="33">
        <f t="shared" si="0"/>
        <v>0.052761981770067766</v>
      </c>
      <c r="E52" s="34">
        <v>66.96805495674093</v>
      </c>
      <c r="F52" s="33">
        <f t="shared" si="1"/>
        <v>-0.008070321650516852</v>
      </c>
      <c r="G52" s="8"/>
      <c r="H52" s="8"/>
      <c r="I52" s="8"/>
    </row>
    <row r="53" spans="1:9" ht="13.5">
      <c r="A53" s="28">
        <v>1967</v>
      </c>
      <c r="B53" s="36">
        <v>70.63</v>
      </c>
      <c r="C53" s="37">
        <v>0.0392</v>
      </c>
      <c r="D53" s="33">
        <f t="shared" si="0"/>
        <v>0.002246863938836191</v>
      </c>
      <c r="E53" s="34">
        <v>78.68666567209644</v>
      </c>
      <c r="F53" s="33">
        <f t="shared" si="1"/>
        <v>-0.09809299516541407</v>
      </c>
      <c r="G53" s="8"/>
      <c r="H53" s="8"/>
      <c r="I53" s="8"/>
    </row>
    <row r="54" spans="1:9" ht="13.5">
      <c r="A54" s="28">
        <v>1966</v>
      </c>
      <c r="B54" s="36">
        <v>74.5</v>
      </c>
      <c r="C54" s="37">
        <v>0.0347</v>
      </c>
      <c r="D54" s="33">
        <f t="shared" si="0"/>
        <v>-0.017246308724832272</v>
      </c>
      <c r="E54" s="34">
        <v>86.56606686126186</v>
      </c>
      <c r="F54" s="33">
        <f t="shared" si="1"/>
        <v>-0.0448143404202813</v>
      </c>
      <c r="G54" s="8"/>
      <c r="H54" s="8"/>
      <c r="I54" s="8"/>
    </row>
    <row r="55" spans="1:9" ht="13.5">
      <c r="A55" s="28">
        <v>1965</v>
      </c>
      <c r="B55" s="36">
        <v>75.87</v>
      </c>
      <c r="C55" s="37">
        <v>0.0315</v>
      </c>
      <c r="D55" s="33">
        <f t="shared" si="0"/>
        <v>0.013442796889416048</v>
      </c>
      <c r="E55" s="34">
        <v>91.39727744590006</v>
      </c>
      <c r="F55" s="33">
        <f t="shared" si="1"/>
        <v>-0.009094478608842702</v>
      </c>
      <c r="G55" s="8"/>
      <c r="H55" s="8"/>
      <c r="I55" s="8"/>
    </row>
    <row r="56" spans="1:9" ht="13.5">
      <c r="A56" s="28">
        <v>1964</v>
      </c>
      <c r="B56" s="36">
        <v>67.26</v>
      </c>
      <c r="C56" s="37">
        <v>0.0331</v>
      </c>
      <c r="D56" s="33">
        <f t="shared" si="0"/>
        <v>0.16111070472792147</v>
      </c>
      <c r="E56" s="34">
        <v>92.00904574162887</v>
      </c>
      <c r="F56" s="33">
        <f t="shared" si="1"/>
        <v>0.03682498472797669</v>
      </c>
      <c r="G56" s="8"/>
      <c r="H56" s="8"/>
      <c r="I56" s="8"/>
    </row>
    <row r="57" spans="1:9" ht="13.5">
      <c r="A57" s="28">
        <v>1963</v>
      </c>
      <c r="B57" s="36">
        <v>63.35</v>
      </c>
      <c r="C57" s="37">
        <v>0.033</v>
      </c>
      <c r="D57" s="33">
        <f t="shared" si="0"/>
        <v>0.09472059984214687</v>
      </c>
      <c r="E57" s="34">
        <v>93.56429569865587</v>
      </c>
      <c r="F57" s="33">
        <f t="shared" si="1"/>
        <v>0.026129091494974183</v>
      </c>
      <c r="G57" s="8"/>
      <c r="H57" s="8"/>
      <c r="I57" s="8"/>
    </row>
    <row r="58" spans="1:9" ht="13.5">
      <c r="A58" s="28">
        <v>1962</v>
      </c>
      <c r="B58" s="36">
        <v>62.69</v>
      </c>
      <c r="C58" s="37">
        <v>0.032</v>
      </c>
      <c r="D58" s="33">
        <f t="shared" si="0"/>
        <v>0.04252799489551769</v>
      </c>
      <c r="E58" s="34">
        <v>89.59656610550245</v>
      </c>
      <c r="F58" s="33">
        <f t="shared" si="1"/>
        <v>0.0889289616721605</v>
      </c>
      <c r="G58" s="8"/>
      <c r="H58" s="8"/>
      <c r="I58" s="8"/>
    </row>
    <row r="59" spans="1:9" ht="13.5">
      <c r="A59" s="28">
        <v>1961</v>
      </c>
      <c r="B59" s="36">
        <v>52.73</v>
      </c>
      <c r="C59" s="37">
        <v>0.0358</v>
      </c>
      <c r="D59" s="33">
        <f t="shared" si="0"/>
        <v>0.224686781718187</v>
      </c>
      <c r="E59" s="34">
        <v>89.74467037376492</v>
      </c>
      <c r="F59" s="33">
        <f t="shared" si="1"/>
        <v>0.042920607047697776</v>
      </c>
      <c r="G59" s="8"/>
      <c r="H59" s="8"/>
      <c r="I59" s="8"/>
    </row>
    <row r="60" spans="1:9" ht="13.5">
      <c r="A60" s="28">
        <v>1960</v>
      </c>
      <c r="B60" s="36">
        <v>44.5</v>
      </c>
      <c r="C60" s="37">
        <v>0.0403</v>
      </c>
      <c r="D60" s="33">
        <f t="shared" si="0"/>
        <v>0.22524382022471903</v>
      </c>
      <c r="E60" s="34">
        <v>84.3557842857882</v>
      </c>
      <c r="F60" s="33">
        <f t="shared" si="1"/>
        <v>0.11130103486641997</v>
      </c>
      <c r="G60" s="8"/>
      <c r="H60" s="8"/>
      <c r="I60" s="8"/>
    </row>
    <row r="61" spans="1:9" ht="13.5">
      <c r="A61" s="28">
        <v>1959</v>
      </c>
      <c r="B61" s="36">
        <v>43.96</v>
      </c>
      <c r="C61" s="37">
        <v>0.0377</v>
      </c>
      <c r="D61" s="33">
        <f t="shared" si="0"/>
        <v>0.04998389444949952</v>
      </c>
      <c r="E61" s="34">
        <v>91.54967257823718</v>
      </c>
      <c r="F61" s="33">
        <f t="shared" si="1"/>
        <v>-0.034886943912546695</v>
      </c>
      <c r="G61" s="8"/>
      <c r="H61" s="8"/>
      <c r="I61" s="8"/>
    </row>
    <row r="62" spans="1:9" ht="13.5">
      <c r="A62" s="28">
        <v>1958</v>
      </c>
      <c r="B62" s="36">
        <v>33.3</v>
      </c>
      <c r="C62" s="37">
        <v>0.0487</v>
      </c>
      <c r="D62" s="33">
        <f t="shared" si="0"/>
        <v>0.3688201201201203</v>
      </c>
      <c r="E62" s="34">
        <v>101.22079687805675</v>
      </c>
      <c r="F62" s="33">
        <f t="shared" si="1"/>
        <v>-0.056027263909527544</v>
      </c>
      <c r="G62" s="8"/>
      <c r="H62" s="8"/>
      <c r="I62" s="8"/>
    </row>
    <row r="63" spans="1:9" ht="13.5">
      <c r="A63" s="28">
        <v>1957</v>
      </c>
      <c r="B63" s="36">
        <v>32.32</v>
      </c>
      <c r="C63" s="37">
        <v>0.0487</v>
      </c>
      <c r="D63" s="33">
        <f t="shared" si="0"/>
        <v>0.07902178217821773</v>
      </c>
      <c r="E63" s="34">
        <v>100.69505304377618</v>
      </c>
      <c r="F63" s="33">
        <f t="shared" si="1"/>
        <v>0.044945046429570264</v>
      </c>
      <c r="G63" s="8"/>
      <c r="H63" s="8"/>
      <c r="I63" s="8"/>
    </row>
    <row r="64" spans="1:9" ht="13.5">
      <c r="A64" s="28">
        <v>1956</v>
      </c>
      <c r="B64" s="36">
        <v>31.55</v>
      </c>
      <c r="C64" s="37">
        <v>0.0472</v>
      </c>
      <c r="D64" s="33">
        <f t="shared" si="0"/>
        <v>0.07160570522979397</v>
      </c>
      <c r="E64" s="34">
        <v>112.99807945432754</v>
      </c>
      <c r="F64" s="33">
        <f t="shared" si="1"/>
        <v>-0.07347935868155474</v>
      </c>
      <c r="G64" s="8"/>
      <c r="H64" s="8"/>
      <c r="I64" s="8"/>
    </row>
    <row r="65" spans="1:9" ht="13.5">
      <c r="A65" s="28">
        <v>1955</v>
      </c>
      <c r="B65" s="36">
        <v>29.89</v>
      </c>
      <c r="C65" s="37">
        <v>0.0461</v>
      </c>
      <c r="D65" s="33">
        <f t="shared" si="0"/>
        <v>0.10163696888591503</v>
      </c>
      <c r="E65" s="34">
        <v>116.76936481141405</v>
      </c>
      <c r="F65" s="33">
        <f t="shared" si="1"/>
        <v>0.0019586870518895835</v>
      </c>
      <c r="G65" s="8"/>
      <c r="H65" s="8"/>
      <c r="I65" s="8"/>
    </row>
    <row r="66" spans="1:9" ht="13.5">
      <c r="A66" s="28">
        <v>1954</v>
      </c>
      <c r="B66" s="36">
        <v>25.51</v>
      </c>
      <c r="C66" s="37">
        <v>0.052</v>
      </c>
      <c r="D66" s="33">
        <f t="shared" si="0"/>
        <v>0.22369737357898858</v>
      </c>
      <c r="E66" s="34">
        <v>112.79347577083298</v>
      </c>
      <c r="F66" s="33">
        <f t="shared" si="1"/>
        <v>0.07071232609930382</v>
      </c>
      <c r="G66" s="8"/>
      <c r="H66" s="8"/>
      <c r="I66" s="8"/>
    </row>
    <row r="67" spans="1:9" ht="13.5">
      <c r="A67" s="28">
        <v>1953</v>
      </c>
      <c r="B67" s="36">
        <v>24.41</v>
      </c>
      <c r="C67" s="37">
        <v>0.0511</v>
      </c>
      <c r="D67" s="33">
        <f t="shared" si="0"/>
        <v>0.09616349856616146</v>
      </c>
      <c r="E67" s="34">
        <v>114.23643805742827</v>
      </c>
      <c r="F67" s="33">
        <f t="shared" si="1"/>
        <v>0.022383731118430457</v>
      </c>
      <c r="G67" s="8"/>
      <c r="H67" s="8"/>
      <c r="I67" s="8"/>
    </row>
    <row r="68" spans="1:9" ht="13.5">
      <c r="A68" s="28">
        <v>1952</v>
      </c>
      <c r="B68" s="36">
        <v>22.22</v>
      </c>
      <c r="C68" s="37">
        <v>0.055</v>
      </c>
      <c r="D68" s="33">
        <f t="shared" si="0"/>
        <v>0.15355985598559863</v>
      </c>
      <c r="E68" s="34">
        <v>113.40881486859843</v>
      </c>
      <c r="F68" s="33">
        <f t="shared" si="1"/>
        <v>0.04256832411504689</v>
      </c>
      <c r="G68" s="8"/>
      <c r="H68" s="8"/>
      <c r="I68" s="8"/>
    </row>
    <row r="69" spans="1:9" ht="13.5">
      <c r="A69" s="28">
        <v>1951</v>
      </c>
      <c r="B69" s="36">
        <v>20.01</v>
      </c>
      <c r="C69" s="37">
        <v>0.0606</v>
      </c>
      <c r="D69" s="33">
        <f t="shared" si="0"/>
        <v>0.17104477761119424</v>
      </c>
      <c r="E69" s="34">
        <v>123.4447624338745</v>
      </c>
      <c r="F69" s="33">
        <f t="shared" si="1"/>
        <v>-0.04889593893065608</v>
      </c>
      <c r="G69" s="8"/>
      <c r="H69" s="8"/>
      <c r="I69" s="8"/>
    </row>
    <row r="70" spans="1:9" ht="13.5">
      <c r="A70" s="28">
        <v>1950</v>
      </c>
      <c r="B70" s="36">
        <v>20.2</v>
      </c>
      <c r="C70" s="37">
        <v>0.0554</v>
      </c>
      <c r="D70" s="33">
        <f t="shared" si="0"/>
        <v>0.0459940594059407</v>
      </c>
      <c r="E70" s="34">
        <v>125.0762004579111</v>
      </c>
      <c r="F70" s="33">
        <f t="shared" si="1"/>
        <v>0.018936951772535158</v>
      </c>
      <c r="G70" s="8"/>
      <c r="H70" s="8"/>
      <c r="I70" s="8"/>
    </row>
    <row r="71" spans="1:9" ht="13.5">
      <c r="A71" s="28">
        <v>1949</v>
      </c>
      <c r="B71" s="36">
        <v>16.54</v>
      </c>
      <c r="C71" s="37">
        <v>0.057</v>
      </c>
      <c r="D71" s="33">
        <f t="shared" si="0"/>
        <v>0.2782817412333737</v>
      </c>
      <c r="E71" s="34">
        <v>119.82205973658691</v>
      </c>
      <c r="F71" s="33">
        <f t="shared" si="1"/>
        <v>0.0772323622350359</v>
      </c>
      <c r="G71" s="8"/>
      <c r="H71" s="8"/>
      <c r="I71" s="8"/>
    </row>
    <row r="72" spans="1:9" ht="13.5">
      <c r="A72" s="28">
        <v>1948</v>
      </c>
      <c r="B72" s="36">
        <v>16.53</v>
      </c>
      <c r="C72" s="37">
        <v>0.0535</v>
      </c>
      <c r="D72" s="33">
        <f t="shared" si="0"/>
        <v>0.05410496067755584</v>
      </c>
      <c r="E72" s="34">
        <v>118.50064686850043</v>
      </c>
      <c r="F72" s="33">
        <f t="shared" si="1"/>
        <v>0.04490619257118173</v>
      </c>
      <c r="G72" s="8"/>
      <c r="H72" s="8"/>
      <c r="I72" s="8"/>
    </row>
    <row r="73" spans="1:9" ht="13.5">
      <c r="A73" s="28">
        <v>1947</v>
      </c>
      <c r="B73" s="36">
        <v>19.21</v>
      </c>
      <c r="C73" s="37">
        <v>0.0354</v>
      </c>
      <c r="D73" s="33">
        <f t="shared" si="0"/>
        <v>-0.10411067152524724</v>
      </c>
      <c r="E73" s="34">
        <v>126.02148750581925</v>
      </c>
      <c r="F73" s="33">
        <f t="shared" si="1"/>
        <v>-0.02793841516238448</v>
      </c>
      <c r="G73" s="8"/>
      <c r="H73" s="8"/>
      <c r="I73" s="8"/>
    </row>
    <row r="74" spans="1:9" ht="13.5">
      <c r="A74" s="28">
        <v>1946</v>
      </c>
      <c r="B74" s="36">
        <v>21.34</v>
      </c>
      <c r="C74" s="37">
        <v>0.0298</v>
      </c>
      <c r="D74" s="33">
        <f t="shared" si="0"/>
        <v>-0.07001255857544514</v>
      </c>
      <c r="E74" s="34">
        <v>126.73675769138804</v>
      </c>
      <c r="F74" s="33">
        <f t="shared" si="1"/>
        <v>0.025917735898134144</v>
      </c>
      <c r="G74" s="8"/>
      <c r="H74" s="8"/>
      <c r="I74" s="8"/>
    </row>
    <row r="75" spans="1:9" ht="13.5">
      <c r="A75" s="28">
        <v>1945</v>
      </c>
      <c r="B75" s="36">
        <v>13.91</v>
      </c>
      <c r="C75" s="37">
        <v>0.0448</v>
      </c>
      <c r="D75" s="33">
        <f t="shared" si="0"/>
        <v>0.5789480948957584</v>
      </c>
      <c r="E75" s="34">
        <v>119.82205973658691</v>
      </c>
      <c r="F75" s="33">
        <f t="shared" si="1"/>
        <v>0.09109088909667935</v>
      </c>
      <c r="G75" s="8"/>
      <c r="H75" s="8"/>
      <c r="I75" s="8"/>
    </row>
    <row r="76" spans="1:9" ht="13.5">
      <c r="A76" s="28">
        <v>1944</v>
      </c>
      <c r="B76" s="36">
        <v>12.1</v>
      </c>
      <c r="C76" s="37">
        <v>0.0569</v>
      </c>
      <c r="D76" s="33">
        <f t="shared" si="0"/>
        <v>0.20648677685950417</v>
      </c>
      <c r="E76" s="34">
        <v>119.82205973658691</v>
      </c>
      <c r="F76" s="33">
        <f t="shared" si="1"/>
        <v>0.03338283458649831</v>
      </c>
      <c r="G76" s="8"/>
      <c r="H76" s="8"/>
      <c r="I76" s="8"/>
    </row>
    <row r="77" spans="1:9" ht="13.5">
      <c r="A77" s="28">
        <v>1943</v>
      </c>
      <c r="B77" s="36">
        <v>9.22</v>
      </c>
      <c r="C77" s="37">
        <v>0.0621</v>
      </c>
      <c r="D77" s="33">
        <f t="shared" si="0"/>
        <v>0.3744644251626897</v>
      </c>
      <c r="E77" s="34">
        <v>118.50064686850043</v>
      </c>
      <c r="F77" s="33">
        <f t="shared" si="1"/>
        <v>0.04490619257118173</v>
      </c>
      <c r="G77" s="8"/>
      <c r="H77" s="8"/>
      <c r="I77" s="8"/>
    </row>
    <row r="78" spans="1:9" ht="13.5">
      <c r="A78" s="28">
        <v>1942</v>
      </c>
      <c r="B78" s="36">
        <v>8.54</v>
      </c>
      <c r="C78" s="37">
        <v>0.094</v>
      </c>
      <c r="D78" s="33">
        <f t="shared" si="0"/>
        <v>0.173625292740047</v>
      </c>
      <c r="E78" s="34">
        <v>117.63067513199601</v>
      </c>
      <c r="F78" s="33">
        <f t="shared" si="1"/>
        <v>0.04140052525448576</v>
      </c>
      <c r="G78" s="8"/>
      <c r="H78" s="8"/>
      <c r="I78" s="8"/>
    </row>
    <row r="79" spans="1:9" ht="13.5">
      <c r="A79" s="28">
        <v>1941</v>
      </c>
      <c r="B79" s="36">
        <v>13.25</v>
      </c>
      <c r="C79" s="37">
        <v>0.0717</v>
      </c>
      <c r="D79" s="33">
        <f t="shared" si="0"/>
        <v>-0.2837716981132076</v>
      </c>
      <c r="E79" s="34">
        <v>116.34192732126922</v>
      </c>
      <c r="F79" s="33">
        <f t="shared" si="1"/>
        <v>0.045458657360233704</v>
      </c>
      <c r="G79" s="8"/>
      <c r="H79" s="8"/>
      <c r="I79" s="8"/>
    </row>
    <row r="80" spans="1:9" ht="13.5">
      <c r="A80" s="28">
        <v>1940</v>
      </c>
      <c r="B80" s="36">
        <v>16.97</v>
      </c>
      <c r="C80" s="37">
        <v>0.054</v>
      </c>
      <c r="D80" s="33">
        <f t="shared" si="0"/>
        <v>-0.1652103712433706</v>
      </c>
      <c r="E80" s="34">
        <v>112.38578932609771</v>
      </c>
      <c r="F80" s="33">
        <f t="shared" si="1"/>
        <v>0.07079309619907594</v>
      </c>
      <c r="G80" s="8"/>
      <c r="H80" s="8"/>
      <c r="I80" s="8"/>
    </row>
    <row r="81" spans="1:9" ht="13.5">
      <c r="A81" s="28">
        <v>1939</v>
      </c>
      <c r="B81" s="36">
        <v>16.05</v>
      </c>
      <c r="C81" s="37">
        <v>0.0553</v>
      </c>
      <c r="D81" s="33">
        <f t="shared" si="0"/>
        <v>0.11262087227414319</v>
      </c>
      <c r="E81" s="34">
        <v>105.7549401055668</v>
      </c>
      <c r="F81" s="33">
        <f t="shared" si="1"/>
        <v>0.10052342907025401</v>
      </c>
      <c r="G81" s="8"/>
      <c r="H81" s="8"/>
      <c r="I81" s="8"/>
    </row>
    <row r="82" spans="1:9" ht="13.5">
      <c r="A82" s="28">
        <v>1938</v>
      </c>
      <c r="B82" s="36">
        <v>14.3</v>
      </c>
      <c r="C82" s="37">
        <v>0.073</v>
      </c>
      <c r="D82" s="33">
        <f t="shared" si="0"/>
        <v>0.19537762237762235</v>
      </c>
      <c r="E82" s="34">
        <v>99.82728942926717</v>
      </c>
      <c r="F82" s="33">
        <f t="shared" si="1"/>
        <v>0.09944826442807397</v>
      </c>
      <c r="G82" s="8"/>
      <c r="H82" s="8"/>
      <c r="I82" s="8"/>
    </row>
    <row r="83" spans="1:9" ht="13.5">
      <c r="A83" s="28">
        <v>1937</v>
      </c>
      <c r="B83" s="36">
        <v>24.34</v>
      </c>
      <c r="C83" s="37">
        <v>0.0432</v>
      </c>
      <c r="D83" s="33">
        <f>(((B82)-(B83))/B83)+C83</f>
        <v>-0.36928972884141326</v>
      </c>
      <c r="E83" s="34">
        <v>103.18173544479107</v>
      </c>
      <c r="F83" s="33">
        <f t="shared" si="1"/>
        <v>0.006256475350925922</v>
      </c>
      <c r="G83" s="8"/>
      <c r="H83" s="8"/>
      <c r="I83" s="8"/>
    </row>
    <row r="84" spans="1:9" ht="13.5">
      <c r="A84" s="28"/>
      <c r="B84" s="27"/>
      <c r="C84" s="27"/>
      <c r="D84" s="27"/>
      <c r="E84" s="27"/>
      <c r="F84" s="33"/>
      <c r="G84" s="8"/>
      <c r="H84" s="8"/>
      <c r="I84" s="8"/>
    </row>
    <row r="85" spans="1:9" ht="13.5">
      <c r="A85" s="28"/>
      <c r="B85" s="27"/>
      <c r="C85" s="33"/>
      <c r="D85" s="39"/>
      <c r="E85" s="27"/>
      <c r="F85" s="33"/>
      <c r="G85" s="8"/>
      <c r="H85" s="8"/>
      <c r="I85" s="8"/>
    </row>
    <row r="86" spans="1:9" ht="13.5">
      <c r="A86" s="40" t="s">
        <v>178</v>
      </c>
      <c r="B86" s="27" t="s">
        <v>123</v>
      </c>
      <c r="C86" s="39">
        <f>AVERAGE(D13:D83)</f>
        <v>0.10919815036688019</v>
      </c>
      <c r="D86" s="39"/>
      <c r="E86" s="33"/>
      <c r="F86" s="33"/>
      <c r="G86" s="8"/>
      <c r="H86" s="8"/>
      <c r="I86" s="41"/>
    </row>
    <row r="87" spans="1:9" ht="13.5">
      <c r="A87" s="40"/>
      <c r="B87" s="27" t="s">
        <v>124</v>
      </c>
      <c r="C87" s="39">
        <f>AVERAGE(F13:F83)</f>
        <v>0.06465268764959498</v>
      </c>
      <c r="D87" s="39"/>
      <c r="E87" s="33"/>
      <c r="F87" s="33"/>
      <c r="G87" s="8"/>
      <c r="H87" s="8"/>
      <c r="I87" s="41"/>
    </row>
    <row r="88" spans="1:9" ht="13.5">
      <c r="A88" s="42" t="s">
        <v>125</v>
      </c>
      <c r="B88" s="43"/>
      <c r="C88" s="44">
        <f>C86-C87</f>
        <v>0.04454546271728521</v>
      </c>
      <c r="D88" s="44"/>
      <c r="E88" s="45"/>
      <c r="F88" s="45"/>
      <c r="G88" s="8"/>
      <c r="H88" s="8"/>
      <c r="I88" s="8"/>
    </row>
    <row r="89" spans="1:9" ht="13.5">
      <c r="A89" s="46"/>
      <c r="B89" s="43"/>
      <c r="C89" s="45"/>
      <c r="D89" s="44"/>
      <c r="E89" s="45"/>
      <c r="F89" s="45"/>
      <c r="G89" s="8"/>
      <c r="H89" s="8"/>
      <c r="I89" s="8"/>
    </row>
    <row r="90" spans="1:9" ht="13.5">
      <c r="A90" s="46">
        <f>COUNTA(A14:A83)</f>
        <v>69</v>
      </c>
      <c r="B90" s="43"/>
      <c r="C90" s="45"/>
      <c r="D90" s="44"/>
      <c r="E90" s="45"/>
      <c r="F90" s="45"/>
      <c r="G90" s="8"/>
      <c r="H90" s="8"/>
      <c r="I90" s="8"/>
    </row>
    <row r="91" spans="1:9" ht="13.5">
      <c r="A91" s="46"/>
      <c r="B91" s="43"/>
      <c r="C91" s="45"/>
      <c r="D91" s="44"/>
      <c r="E91" s="45"/>
      <c r="F91" s="45"/>
      <c r="G91" s="8"/>
      <c r="H91" s="8"/>
      <c r="I91" s="8"/>
    </row>
    <row r="92" spans="1:9" ht="13.5">
      <c r="A92" s="46"/>
      <c r="B92" s="43"/>
      <c r="C92" s="45"/>
      <c r="D92" s="44"/>
      <c r="E92" s="45"/>
      <c r="F92" s="45"/>
      <c r="G92" s="8"/>
      <c r="H92" s="8"/>
      <c r="I92" s="8"/>
    </row>
    <row r="93" spans="1:9" ht="13.5">
      <c r="A93" s="28"/>
      <c r="B93" s="27"/>
      <c r="C93" s="33"/>
      <c r="D93" s="33"/>
      <c r="E93" s="33"/>
      <c r="F93" s="33"/>
      <c r="G93" s="8"/>
      <c r="H93" s="8"/>
      <c r="I93" s="8"/>
    </row>
    <row r="94" spans="1:9" ht="13.5">
      <c r="A94" s="47"/>
      <c r="B94" s="8"/>
      <c r="C94" s="8"/>
      <c r="D94" s="8"/>
      <c r="E94" s="8"/>
      <c r="F94" s="8"/>
      <c r="G94" s="8"/>
      <c r="H94" s="8"/>
      <c r="I94" s="8"/>
    </row>
    <row r="95" spans="1:9" ht="13.5">
      <c r="A95" s="48" t="s">
        <v>129</v>
      </c>
      <c r="B95" s="8"/>
      <c r="C95" s="8"/>
      <c r="D95" s="8"/>
      <c r="E95" s="8"/>
      <c r="F95" s="8"/>
      <c r="G95" s="8"/>
      <c r="H95" s="8"/>
      <c r="I95" s="8"/>
    </row>
    <row r="96" spans="1:9" ht="13.5">
      <c r="A96" s="48" t="s">
        <v>188</v>
      </c>
      <c r="B96" s="8"/>
      <c r="C96" s="8"/>
      <c r="D96" s="8"/>
      <c r="E96" s="8"/>
      <c r="F96" s="8"/>
      <c r="G96" s="8"/>
      <c r="H96" s="8"/>
      <c r="I96" s="8"/>
    </row>
    <row r="97" spans="1:9" ht="13.5">
      <c r="A97" s="48" t="s">
        <v>130</v>
      </c>
      <c r="B97" s="8"/>
      <c r="C97" s="8"/>
      <c r="D97" s="8"/>
      <c r="E97" s="8"/>
      <c r="F97" s="8"/>
      <c r="G97" s="8"/>
      <c r="H97" s="8"/>
      <c r="I97" s="8"/>
    </row>
    <row r="98" spans="1:9" ht="13.5">
      <c r="A98" s="48" t="s">
        <v>189</v>
      </c>
      <c r="B98" s="8"/>
      <c r="C98" s="8"/>
      <c r="D98" s="8"/>
      <c r="E98" s="8"/>
      <c r="F98" s="8"/>
      <c r="G98" s="8"/>
      <c r="H98" s="8"/>
      <c r="I98" s="8"/>
    </row>
    <row r="99" spans="1:9" ht="13.5">
      <c r="A99" s="48" t="s">
        <v>190</v>
      </c>
      <c r="B99" s="8"/>
      <c r="C99" s="8"/>
      <c r="D99" s="8"/>
      <c r="E99" s="8"/>
      <c r="F99" s="8"/>
      <c r="G99" s="8"/>
      <c r="H99" s="8"/>
      <c r="I99" s="8"/>
    </row>
    <row r="100" spans="1:9" ht="13.5">
      <c r="A100" s="49" t="s">
        <v>179</v>
      </c>
      <c r="C100" s="25">
        <v>1</v>
      </c>
      <c r="D100" s="50">
        <f>C86</f>
        <v>0.10919815036688019</v>
      </c>
      <c r="F100" s="50">
        <f>C87</f>
        <v>0.06465268764959498</v>
      </c>
      <c r="G100" s="8"/>
      <c r="H100" s="8"/>
      <c r="I100" s="8"/>
    </row>
    <row r="101" spans="1:9" ht="13.5">
      <c r="A101" s="49" t="s">
        <v>180</v>
      </c>
      <c r="C101" s="25">
        <v>2</v>
      </c>
      <c r="D101" s="25">
        <v>1.65</v>
      </c>
      <c r="F101" s="25">
        <v>1.65</v>
      </c>
      <c r="G101" s="8"/>
      <c r="H101" s="8"/>
      <c r="I101" s="8"/>
    </row>
    <row r="102" spans="1:9" ht="13.5">
      <c r="A102" s="49" t="s">
        <v>181</v>
      </c>
      <c r="C102" s="25">
        <v>3</v>
      </c>
      <c r="D102" s="51">
        <f>STDEV(D13:D83)</f>
        <v>0.17009322693437476</v>
      </c>
      <c r="F102" s="51">
        <f>STDEV(F13:F83)</f>
        <v>0.11225194620941473</v>
      </c>
      <c r="G102" s="8"/>
      <c r="H102" s="8"/>
      <c r="I102" s="8"/>
    </row>
    <row r="103" spans="1:9" ht="13.5">
      <c r="A103" s="49" t="s">
        <v>182</v>
      </c>
      <c r="C103" s="25">
        <v>4</v>
      </c>
      <c r="D103" s="25">
        <f>COUNTA(D13:D83)</f>
        <v>69</v>
      </c>
      <c r="F103" s="25">
        <f>COUNTA(F13:F83)</f>
        <v>69</v>
      </c>
      <c r="G103" s="8"/>
      <c r="H103" s="8"/>
      <c r="I103" s="8"/>
    </row>
    <row r="104" spans="1:9" ht="13.5">
      <c r="A104" s="49" t="s">
        <v>183</v>
      </c>
      <c r="C104" s="25">
        <v>5</v>
      </c>
      <c r="D104" s="51">
        <f>D103^(1/2)</f>
        <v>8.306623862918075</v>
      </c>
      <c r="F104" s="51">
        <f>F103^(1/2)</f>
        <v>8.306623862918075</v>
      </c>
      <c r="G104" s="8"/>
      <c r="H104" s="8"/>
      <c r="I104" s="8"/>
    </row>
    <row r="105" spans="1:9" ht="13.5">
      <c r="A105" s="52" t="s">
        <v>184</v>
      </c>
      <c r="C105" s="25">
        <v>6</v>
      </c>
      <c r="D105" s="51">
        <f>D102/D104</f>
        <v>0.02047681822860604</v>
      </c>
      <c r="F105" s="51">
        <f>F102/F104</f>
        <v>0.013513546304958268</v>
      </c>
      <c r="G105" s="8"/>
      <c r="H105" s="8"/>
      <c r="I105" s="8"/>
    </row>
    <row r="106" spans="1:9" ht="13.5">
      <c r="A106" s="52" t="s">
        <v>185</v>
      </c>
      <c r="C106" s="25">
        <v>7</v>
      </c>
      <c r="D106" s="51">
        <f>D105*D101</f>
        <v>0.033786750077199966</v>
      </c>
      <c r="F106" s="51">
        <f>F105*F101</f>
        <v>0.02229735140318114</v>
      </c>
      <c r="G106" s="8"/>
      <c r="H106" s="8"/>
      <c r="I106" s="8"/>
    </row>
    <row r="107" spans="1:9" ht="13.5">
      <c r="A107" s="52" t="s">
        <v>186</v>
      </c>
      <c r="C107" s="25">
        <v>8</v>
      </c>
      <c r="D107" s="50">
        <f>D100+D106</f>
        <v>0.14298490044408016</v>
      </c>
      <c r="F107" s="50">
        <f>F100+F106</f>
        <v>0.08695003905277612</v>
      </c>
      <c r="G107" s="8"/>
      <c r="H107" s="8"/>
      <c r="I107" s="8"/>
    </row>
    <row r="108" spans="1:9" ht="13.5">
      <c r="A108" s="52" t="s">
        <v>187</v>
      </c>
      <c r="C108" s="25">
        <v>9</v>
      </c>
      <c r="D108" s="50">
        <f>D100-D106</f>
        <v>0.07541140028968021</v>
      </c>
      <c r="F108" s="50">
        <f>F100-F106</f>
        <v>0.042355336246413834</v>
      </c>
      <c r="G108" s="8"/>
      <c r="H108" s="8"/>
      <c r="I108" s="8"/>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6:I29"/>
  <sheetViews>
    <sheetView workbookViewId="0" topLeftCell="A1">
      <selection activeCell="A1" sqref="A1"/>
    </sheetView>
  </sheetViews>
  <sheetFormatPr defaultColWidth="9.140625" defaultRowHeight="12.75"/>
  <cols>
    <col min="1" max="1" width="18.7109375" style="27" bestFit="1" customWidth="1"/>
    <col min="2" max="2" width="11.57421875" style="27" bestFit="1" customWidth="1"/>
    <col min="3" max="3" width="13.8515625" style="27" bestFit="1" customWidth="1"/>
    <col min="4" max="4" width="9.7109375" style="27" bestFit="1" customWidth="1"/>
    <col min="5" max="5" width="9.140625" style="27" customWidth="1"/>
    <col min="6" max="6" width="13.7109375" style="27" bestFit="1" customWidth="1"/>
    <col min="7" max="7" width="10.8515625" style="27" bestFit="1" customWidth="1"/>
    <col min="8" max="8" width="12.28125" style="27" bestFit="1" customWidth="1"/>
    <col min="9" max="9" width="12.421875" style="27" bestFit="1" customWidth="1"/>
    <col min="10" max="16384" width="9.140625" style="27" customWidth="1"/>
  </cols>
  <sheetData>
    <row r="6" ht="12.75">
      <c r="A6" s="27" t="s">
        <v>23</v>
      </c>
    </row>
    <row r="9" spans="1:9" ht="12.75">
      <c r="A9" s="293" t="s">
        <v>1</v>
      </c>
      <c r="B9" s="293"/>
      <c r="C9" s="293"/>
      <c r="D9" s="293"/>
      <c r="E9" s="293"/>
      <c r="F9" s="293"/>
      <c r="G9" s="293"/>
      <c r="H9" s="293"/>
      <c r="I9" s="293"/>
    </row>
    <row r="10" spans="1:9" ht="13.5" thickBot="1">
      <c r="A10" s="293"/>
      <c r="B10" s="293"/>
      <c r="C10" s="293"/>
      <c r="D10" s="293"/>
      <c r="E10" s="293"/>
      <c r="F10" s="293"/>
      <c r="G10" s="293"/>
      <c r="H10" s="293"/>
      <c r="I10" s="293"/>
    </row>
    <row r="11" spans="1:9" ht="12.75">
      <c r="A11" s="294" t="s">
        <v>2</v>
      </c>
      <c r="B11" s="294"/>
      <c r="C11" s="293"/>
      <c r="D11" s="293"/>
      <c r="E11" s="293"/>
      <c r="F11" s="293"/>
      <c r="G11" s="293"/>
      <c r="H11" s="293"/>
      <c r="I11" s="293"/>
    </row>
    <row r="12" spans="1:9" ht="12.75">
      <c r="A12" s="295" t="s">
        <v>3</v>
      </c>
      <c r="B12" s="296">
        <v>0.14156031795390664</v>
      </c>
      <c r="C12" s="293"/>
      <c r="D12" s="293"/>
      <c r="E12" s="293"/>
      <c r="F12" s="293"/>
      <c r="G12" s="293"/>
      <c r="H12" s="293"/>
      <c r="I12" s="293"/>
    </row>
    <row r="13" spans="1:9" ht="12.75">
      <c r="A13" s="295" t="s">
        <v>4</v>
      </c>
      <c r="B13" s="296">
        <v>0.020039323619211142</v>
      </c>
      <c r="C13" s="293"/>
      <c r="D13" s="293"/>
      <c r="E13" s="293"/>
      <c r="F13" s="293"/>
      <c r="G13" s="293"/>
      <c r="H13" s="293"/>
      <c r="I13" s="293"/>
    </row>
    <row r="14" spans="1:9" ht="12.75">
      <c r="A14" s="295" t="s">
        <v>5</v>
      </c>
      <c r="B14" s="296">
        <v>0.005413044867259068</v>
      </c>
      <c r="C14" s="293"/>
      <c r="D14" s="293"/>
      <c r="E14" s="293"/>
      <c r="F14" s="293"/>
      <c r="G14" s="293"/>
      <c r="H14" s="293"/>
      <c r="I14" s="293"/>
    </row>
    <row r="15" spans="1:9" ht="12.75">
      <c r="A15" s="295" t="s">
        <v>6</v>
      </c>
      <c r="B15" s="296">
        <v>0.16484855453605488</v>
      </c>
      <c r="C15" s="293"/>
      <c r="D15" s="293"/>
      <c r="E15" s="293"/>
      <c r="F15" s="293"/>
      <c r="G15" s="293"/>
      <c r="H15" s="293"/>
      <c r="I15" s="293"/>
    </row>
    <row r="16" spans="1:9" ht="13.5" thickBot="1">
      <c r="A16" s="297" t="s">
        <v>7</v>
      </c>
      <c r="B16" s="298">
        <v>69</v>
      </c>
      <c r="C16" s="293"/>
      <c r="D16" s="293"/>
      <c r="E16" s="293"/>
      <c r="F16" s="293"/>
      <c r="G16" s="293"/>
      <c r="H16" s="293"/>
      <c r="I16" s="293"/>
    </row>
    <row r="17" spans="1:9" ht="12.75">
      <c r="A17" s="293"/>
      <c r="B17" s="299"/>
      <c r="C17" s="293"/>
      <c r="D17" s="293"/>
      <c r="E17" s="293"/>
      <c r="F17" s="293"/>
      <c r="G17" s="293"/>
      <c r="H17" s="293"/>
      <c r="I17" s="293"/>
    </row>
    <row r="18" spans="1:9" ht="13.5" thickBot="1">
      <c r="A18" s="293" t="s">
        <v>8</v>
      </c>
      <c r="B18" s="299"/>
      <c r="C18" s="293"/>
      <c r="D18" s="293"/>
      <c r="E18" s="293"/>
      <c r="F18" s="293"/>
      <c r="G18" s="293"/>
      <c r="H18" s="293"/>
      <c r="I18" s="293"/>
    </row>
    <row r="19" spans="1:9" ht="12.75">
      <c r="A19" s="300"/>
      <c r="B19" s="301" t="s">
        <v>9</v>
      </c>
      <c r="C19" s="300" t="s">
        <v>10</v>
      </c>
      <c r="D19" s="300" t="s">
        <v>591</v>
      </c>
      <c r="E19" s="300" t="s">
        <v>11</v>
      </c>
      <c r="F19" s="300" t="s">
        <v>12</v>
      </c>
      <c r="G19" s="293"/>
      <c r="H19" s="293"/>
      <c r="I19" s="293"/>
    </row>
    <row r="20" spans="1:9" ht="12.75">
      <c r="A20" s="295" t="s">
        <v>13</v>
      </c>
      <c r="B20" s="302">
        <v>1</v>
      </c>
      <c r="C20" s="296">
        <v>0.03723226864783724</v>
      </c>
      <c r="D20" s="296">
        <v>0.03723226864783724</v>
      </c>
      <c r="E20" s="296">
        <v>1.3700903667336866</v>
      </c>
      <c r="F20" s="296">
        <v>0.24594290738304436</v>
      </c>
      <c r="G20" s="293"/>
      <c r="H20" s="293"/>
      <c r="I20" s="293"/>
    </row>
    <row r="21" spans="1:9" ht="12.75">
      <c r="A21" s="295" t="s">
        <v>14</v>
      </c>
      <c r="B21" s="302">
        <v>67</v>
      </c>
      <c r="C21" s="296">
        <v>1.8207280774859864</v>
      </c>
      <c r="D21" s="296">
        <v>0.027175045932626662</v>
      </c>
      <c r="E21" s="296"/>
      <c r="F21" s="296"/>
      <c r="G21" s="293"/>
      <c r="H21" s="293"/>
      <c r="I21" s="293"/>
    </row>
    <row r="22" spans="1:9" ht="13.5" thickBot="1">
      <c r="A22" s="297" t="s">
        <v>100</v>
      </c>
      <c r="B22" s="298">
        <v>68</v>
      </c>
      <c r="C22" s="303">
        <v>1.8579603461338237</v>
      </c>
      <c r="D22" s="303"/>
      <c r="E22" s="303"/>
      <c r="F22" s="303"/>
      <c r="G22" s="293"/>
      <c r="H22" s="293"/>
      <c r="I22" s="293"/>
    </row>
    <row r="23" spans="1:9" ht="13.5" thickBot="1">
      <c r="A23" s="293"/>
      <c r="B23" s="293"/>
      <c r="C23" s="293"/>
      <c r="D23" s="293"/>
      <c r="E23" s="293"/>
      <c r="F23" s="293"/>
      <c r="G23" s="293"/>
      <c r="H23" s="293"/>
      <c r="I23" s="293"/>
    </row>
    <row r="24" spans="1:9" ht="12.75">
      <c r="A24" s="300"/>
      <c r="B24" s="300" t="s">
        <v>15</v>
      </c>
      <c r="C24" s="300" t="s">
        <v>6</v>
      </c>
      <c r="D24" s="300" t="s">
        <v>16</v>
      </c>
      <c r="E24" s="300" t="s">
        <v>17</v>
      </c>
      <c r="F24" s="300" t="s">
        <v>18</v>
      </c>
      <c r="G24" s="300" t="s">
        <v>19</v>
      </c>
      <c r="H24" s="300" t="s">
        <v>20</v>
      </c>
      <c r="I24" s="300" t="s">
        <v>21</v>
      </c>
    </row>
    <row r="25" spans="1:9" ht="12.75">
      <c r="A25" s="295" t="s">
        <v>22</v>
      </c>
      <c r="B25" s="296">
        <v>2.34979447602894</v>
      </c>
      <c r="C25" s="296">
        <v>1.9640680908520711</v>
      </c>
      <c r="D25" s="296">
        <v>1.1963915543322785</v>
      </c>
      <c r="E25" s="296">
        <v>0.2357603932136001</v>
      </c>
      <c r="F25" s="296">
        <v>-1.5705029229952765</v>
      </c>
      <c r="G25" s="296">
        <v>6.270091875053156</v>
      </c>
      <c r="H25" s="296">
        <v>-1.5705029229952765</v>
      </c>
      <c r="I25" s="296">
        <v>6.270091875053156</v>
      </c>
    </row>
    <row r="26" spans="1:9" ht="13.5" thickBot="1">
      <c r="A26" s="297" t="s">
        <v>119</v>
      </c>
      <c r="B26" s="303">
        <v>-0.0011663324291662249</v>
      </c>
      <c r="C26" s="303">
        <v>0.0009964321799523304</v>
      </c>
      <c r="D26" s="303">
        <v>-1.170508593190981</v>
      </c>
      <c r="E26" s="303">
        <v>0.2459429073830014</v>
      </c>
      <c r="F26" s="303">
        <v>-0.003155219933405692</v>
      </c>
      <c r="G26" s="303">
        <v>0.0008225550750732421</v>
      </c>
      <c r="H26" s="303">
        <v>-0.003155219933405692</v>
      </c>
      <c r="I26" s="303">
        <v>0.0008225550750732421</v>
      </c>
    </row>
    <row r="27" spans="1:9" ht="12.75">
      <c r="A27" s="293"/>
      <c r="B27" s="293"/>
      <c r="C27" s="293"/>
      <c r="D27" s="293"/>
      <c r="E27" s="293"/>
      <c r="F27" s="293"/>
      <c r="G27" s="293"/>
      <c r="H27" s="293"/>
      <c r="I27" s="293"/>
    </row>
    <row r="28" spans="1:9" ht="12.75">
      <c r="A28" s="293"/>
      <c r="B28" s="293"/>
      <c r="C28" s="293"/>
      <c r="D28" s="293"/>
      <c r="E28" s="293"/>
      <c r="F28" s="293"/>
      <c r="G28" s="293"/>
      <c r="H28" s="293"/>
      <c r="I28" s="293"/>
    </row>
    <row r="29" spans="1:9" ht="12.75">
      <c r="A29" s="293"/>
      <c r="B29" s="293"/>
      <c r="C29" s="293"/>
      <c r="D29" s="293"/>
      <c r="E29" s="293"/>
      <c r="F29" s="293"/>
      <c r="G29" s="293"/>
      <c r="H29" s="293"/>
      <c r="I29" s="293"/>
    </row>
  </sheetData>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6:I29"/>
  <sheetViews>
    <sheetView workbookViewId="0" topLeftCell="A1">
      <selection activeCell="A1" sqref="A1"/>
    </sheetView>
  </sheetViews>
  <sheetFormatPr defaultColWidth="9.140625" defaultRowHeight="12.75"/>
  <cols>
    <col min="1" max="1" width="18.7109375" style="27" bestFit="1" customWidth="1"/>
    <col min="2" max="2" width="11.57421875" style="27" bestFit="1" customWidth="1"/>
    <col min="3" max="3" width="13.8515625" style="27" bestFit="1" customWidth="1"/>
    <col min="4" max="4" width="7.28125" style="27" bestFit="1" customWidth="1"/>
    <col min="5" max="5" width="7.8515625" style="27" bestFit="1" customWidth="1"/>
    <col min="6" max="6" width="13.7109375" style="27" bestFit="1" customWidth="1"/>
    <col min="7" max="7" width="10.8515625" style="27" bestFit="1" customWidth="1"/>
    <col min="8" max="8" width="12.28125" style="27" bestFit="1" customWidth="1"/>
    <col min="9" max="9" width="12.421875" style="27" bestFit="1" customWidth="1"/>
    <col min="10" max="16384" width="9.140625" style="27" customWidth="1"/>
  </cols>
  <sheetData>
    <row r="6" ht="12.75">
      <c r="A6" s="27" t="s">
        <v>24</v>
      </c>
    </row>
    <row r="9" spans="1:9" ht="12.75">
      <c r="A9" s="304" t="s">
        <v>1</v>
      </c>
      <c r="B9" s="304"/>
      <c r="C9" s="304"/>
      <c r="D9" s="304"/>
      <c r="E9" s="304"/>
      <c r="F9" s="304"/>
      <c r="G9" s="304"/>
      <c r="H9" s="304"/>
      <c r="I9" s="304"/>
    </row>
    <row r="10" spans="1:9" ht="13.5" thickBot="1">
      <c r="A10" s="304"/>
      <c r="B10" s="304"/>
      <c r="C10" s="304"/>
      <c r="D10" s="304"/>
      <c r="E10" s="304"/>
      <c r="F10" s="304"/>
      <c r="G10" s="304"/>
      <c r="H10" s="304"/>
      <c r="I10" s="304"/>
    </row>
    <row r="11" spans="1:9" ht="12.75">
      <c r="A11" s="305" t="s">
        <v>2</v>
      </c>
      <c r="B11" s="305"/>
      <c r="C11" s="304"/>
      <c r="D11" s="304"/>
      <c r="E11" s="304"/>
      <c r="F11" s="304"/>
      <c r="G11" s="304"/>
      <c r="H11" s="304"/>
      <c r="I11" s="304"/>
    </row>
    <row r="12" spans="1:9" ht="12.75">
      <c r="A12" s="296" t="s">
        <v>3</v>
      </c>
      <c r="B12" s="296">
        <v>0.09134083625370507</v>
      </c>
      <c r="C12" s="304"/>
      <c r="D12" s="304"/>
      <c r="E12" s="304"/>
      <c r="F12" s="304"/>
      <c r="G12" s="304"/>
      <c r="H12" s="304"/>
      <c r="I12" s="304"/>
    </row>
    <row r="13" spans="1:9" ht="12.75">
      <c r="A13" s="296" t="s">
        <v>4</v>
      </c>
      <c r="B13" s="296">
        <v>0.008343148367526162</v>
      </c>
      <c r="C13" s="304"/>
      <c r="D13" s="304"/>
      <c r="E13" s="304"/>
      <c r="F13" s="304"/>
      <c r="G13" s="304"/>
      <c r="H13" s="304"/>
      <c r="I13" s="304"/>
    </row>
    <row r="14" spans="1:9" ht="12.75">
      <c r="A14" s="296" t="s">
        <v>5</v>
      </c>
      <c r="B14" s="296">
        <v>-0.006457700164301805</v>
      </c>
      <c r="C14" s="304"/>
      <c r="D14" s="304"/>
      <c r="E14" s="304"/>
      <c r="F14" s="304"/>
      <c r="G14" s="304"/>
      <c r="H14" s="304"/>
      <c r="I14" s="304"/>
    </row>
    <row r="15" spans="1:9" ht="12.75">
      <c r="A15" s="296" t="s">
        <v>6</v>
      </c>
      <c r="B15" s="296">
        <v>0.14958366597549816</v>
      </c>
      <c r="C15" s="304"/>
      <c r="D15" s="304"/>
      <c r="E15" s="304"/>
      <c r="F15" s="304"/>
      <c r="G15" s="304"/>
      <c r="H15" s="304"/>
      <c r="I15" s="304"/>
    </row>
    <row r="16" spans="1:9" ht="13.5" thickBot="1">
      <c r="A16" s="303" t="s">
        <v>7</v>
      </c>
      <c r="B16" s="298">
        <v>69</v>
      </c>
      <c r="C16" s="304"/>
      <c r="D16" s="304"/>
      <c r="E16" s="304"/>
      <c r="F16" s="304"/>
      <c r="G16" s="304"/>
      <c r="H16" s="304"/>
      <c r="I16" s="304"/>
    </row>
    <row r="17" spans="1:9" ht="12.75">
      <c r="A17" s="304"/>
      <c r="B17" s="299"/>
      <c r="C17" s="304"/>
      <c r="D17" s="304"/>
      <c r="E17" s="304"/>
      <c r="F17" s="304"/>
      <c r="G17" s="304"/>
      <c r="H17" s="304"/>
      <c r="I17" s="304"/>
    </row>
    <row r="18" spans="1:9" ht="13.5" thickBot="1">
      <c r="A18" s="304" t="s">
        <v>8</v>
      </c>
      <c r="B18" s="299"/>
      <c r="C18" s="304"/>
      <c r="D18" s="304"/>
      <c r="E18" s="304"/>
      <c r="F18" s="304"/>
      <c r="G18" s="304"/>
      <c r="H18" s="304"/>
      <c r="I18" s="304"/>
    </row>
    <row r="19" spans="1:9" ht="12.75">
      <c r="A19" s="306"/>
      <c r="B19" s="301" t="s">
        <v>9</v>
      </c>
      <c r="C19" s="306" t="s">
        <v>10</v>
      </c>
      <c r="D19" s="306" t="s">
        <v>591</v>
      </c>
      <c r="E19" s="306" t="s">
        <v>11</v>
      </c>
      <c r="F19" s="306" t="s">
        <v>12</v>
      </c>
      <c r="G19" s="304"/>
      <c r="H19" s="304"/>
      <c r="I19" s="304"/>
    </row>
    <row r="20" spans="1:9" ht="12.75">
      <c r="A20" s="296" t="s">
        <v>13</v>
      </c>
      <c r="B20" s="302">
        <v>1</v>
      </c>
      <c r="C20" s="296">
        <v>0.012612805479245592</v>
      </c>
      <c r="D20" s="296">
        <v>0.012612805479245592</v>
      </c>
      <c r="E20" s="296">
        <v>0.563693922654835</v>
      </c>
      <c r="F20" s="296">
        <v>0.4554045809346172</v>
      </c>
      <c r="G20" s="304"/>
      <c r="H20" s="304"/>
      <c r="I20" s="304"/>
    </row>
    <row r="21" spans="1:9" ht="12.75">
      <c r="A21" s="296" t="s">
        <v>14</v>
      </c>
      <c r="B21" s="302">
        <v>67</v>
      </c>
      <c r="C21" s="296">
        <v>1.4991432994868503</v>
      </c>
      <c r="D21" s="296">
        <v>0.02237527312666941</v>
      </c>
      <c r="E21" s="296"/>
      <c r="F21" s="296"/>
      <c r="G21" s="304"/>
      <c r="H21" s="304"/>
      <c r="I21" s="304"/>
    </row>
    <row r="22" spans="1:9" ht="13.5" thickBot="1">
      <c r="A22" s="303" t="s">
        <v>100</v>
      </c>
      <c r="B22" s="298">
        <v>68</v>
      </c>
      <c r="C22" s="303">
        <v>1.511756104966096</v>
      </c>
      <c r="D22" s="303"/>
      <c r="E22" s="303"/>
      <c r="F22" s="303"/>
      <c r="G22" s="304"/>
      <c r="H22" s="304"/>
      <c r="I22" s="304"/>
    </row>
    <row r="23" spans="1:9" ht="13.5" thickBot="1">
      <c r="A23" s="304"/>
      <c r="B23" s="304"/>
      <c r="C23" s="304"/>
      <c r="D23" s="304"/>
      <c r="E23" s="304"/>
      <c r="F23" s="304"/>
      <c r="G23" s="304"/>
      <c r="H23" s="304"/>
      <c r="I23" s="304"/>
    </row>
    <row r="24" spans="1:9" ht="12.75">
      <c r="A24" s="306"/>
      <c r="B24" s="306" t="s">
        <v>15</v>
      </c>
      <c r="C24" s="306" t="s">
        <v>6</v>
      </c>
      <c r="D24" s="306" t="s">
        <v>16</v>
      </c>
      <c r="E24" s="306" t="s">
        <v>17</v>
      </c>
      <c r="F24" s="306" t="s">
        <v>18</v>
      </c>
      <c r="G24" s="306" t="s">
        <v>19</v>
      </c>
      <c r="H24" s="306" t="s">
        <v>20</v>
      </c>
      <c r="I24" s="306" t="s">
        <v>21</v>
      </c>
    </row>
    <row r="25" spans="1:9" ht="12.75">
      <c r="A25" s="296" t="s">
        <v>22</v>
      </c>
      <c r="B25" s="296">
        <v>1.382542261970368</v>
      </c>
      <c r="C25" s="296">
        <v>1.7821964292134191</v>
      </c>
      <c r="D25" s="296">
        <v>0.7757518976629078</v>
      </c>
      <c r="E25" s="296">
        <v>0.44062519843141157</v>
      </c>
      <c r="F25" s="296">
        <v>-2.1747376808877013</v>
      </c>
      <c r="G25" s="296">
        <v>4.939822204828437</v>
      </c>
      <c r="H25" s="296">
        <v>-2.1747376808877013</v>
      </c>
      <c r="I25" s="296">
        <v>4.939822204828437</v>
      </c>
    </row>
    <row r="26" spans="1:9" ht="13.5" thickBot="1">
      <c r="A26" s="303" t="s">
        <v>119</v>
      </c>
      <c r="B26" s="303">
        <v>-0.0006788416028681292</v>
      </c>
      <c r="C26" s="303">
        <v>0.0009041630895260739</v>
      </c>
      <c r="D26" s="303">
        <v>-0.7507955265282404</v>
      </c>
      <c r="E26" s="303">
        <v>0.45540458093462777</v>
      </c>
      <c r="F26" s="303">
        <v>-0.0024835591809766458</v>
      </c>
      <c r="G26" s="303">
        <v>0.001125875975240387</v>
      </c>
      <c r="H26" s="303">
        <v>-0.0024835591809766458</v>
      </c>
      <c r="I26" s="303">
        <v>0.001125875975240387</v>
      </c>
    </row>
    <row r="27" spans="1:9" ht="12.75">
      <c r="A27" s="304"/>
      <c r="B27" s="304"/>
      <c r="C27" s="304"/>
      <c r="D27" s="304"/>
      <c r="E27" s="304"/>
      <c r="F27" s="304"/>
      <c r="G27" s="304"/>
      <c r="H27" s="304"/>
      <c r="I27" s="304"/>
    </row>
    <row r="28" spans="1:9" ht="12.75">
      <c r="A28" s="304"/>
      <c r="B28" s="304"/>
      <c r="C28" s="304"/>
      <c r="D28" s="304"/>
      <c r="E28" s="304"/>
      <c r="F28" s="304"/>
      <c r="G28" s="304"/>
      <c r="H28" s="304"/>
      <c r="I28" s="304"/>
    </row>
    <row r="29" spans="1:9" ht="12.75">
      <c r="A29" s="304"/>
      <c r="B29" s="304"/>
      <c r="C29" s="304"/>
      <c r="D29" s="304"/>
      <c r="E29" s="304"/>
      <c r="F29" s="304"/>
      <c r="G29" s="304"/>
      <c r="H29" s="304"/>
      <c r="I29" s="304"/>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40"/>
  <sheetViews>
    <sheetView workbookViewId="0" topLeftCell="A1">
      <selection activeCell="A1" sqref="A1"/>
    </sheetView>
  </sheetViews>
  <sheetFormatPr defaultColWidth="9.140625" defaultRowHeight="12.75"/>
  <cols>
    <col min="1" max="6" width="15.7109375" style="8" customWidth="1"/>
    <col min="7" max="16384" width="9.140625" style="8" customWidth="1"/>
  </cols>
  <sheetData>
    <row r="1" ht="12.75">
      <c r="A1" s="80" t="s">
        <v>106</v>
      </c>
    </row>
    <row r="2" spans="1:9" ht="13.5">
      <c r="A2" s="80" t="s">
        <v>784</v>
      </c>
      <c r="I2" s="24"/>
    </row>
    <row r="3" spans="1:9" ht="13.5">
      <c r="A3" s="80" t="s">
        <v>768</v>
      </c>
      <c r="I3" s="24"/>
    </row>
    <row r="4" ht="13.5">
      <c r="I4" s="24"/>
    </row>
    <row r="5" ht="13.5" thickBot="1"/>
    <row r="6" spans="1:3" ht="14.25" thickBot="1" thickTop="1">
      <c r="A6" s="8" t="s">
        <v>769</v>
      </c>
      <c r="B6" s="12" t="s">
        <v>770</v>
      </c>
      <c r="C6" s="12" t="s">
        <v>771</v>
      </c>
    </row>
    <row r="7" spans="2:3" ht="12.75">
      <c r="B7" s="13">
        <v>1.3</v>
      </c>
      <c r="C7" s="14">
        <v>0.5</v>
      </c>
    </row>
    <row r="8" spans="2:3" ht="13.5" thickBot="1">
      <c r="B8" s="15">
        <v>0.9</v>
      </c>
      <c r="C8" s="16">
        <v>0.5</v>
      </c>
    </row>
    <row r="9" ht="13.5" thickTop="1"/>
    <row r="16" ht="13.5" thickBot="1"/>
    <row r="17" spans="1:6" ht="14.25" thickBot="1" thickTop="1">
      <c r="A17" s="8" t="s">
        <v>772</v>
      </c>
      <c r="B17" s="12" t="s">
        <v>770</v>
      </c>
      <c r="C17" s="12"/>
      <c r="D17" s="12"/>
      <c r="E17" s="12" t="s">
        <v>771</v>
      </c>
      <c r="F17" s="12" t="s">
        <v>773</v>
      </c>
    </row>
    <row r="18" spans="2:6" ht="12.75">
      <c r="B18" s="14" t="s">
        <v>774</v>
      </c>
      <c r="C18" s="14" t="s">
        <v>296</v>
      </c>
      <c r="D18" s="17">
        <f>1.3*1.3</f>
        <v>1.6900000000000002</v>
      </c>
      <c r="E18" s="18">
        <v>0.25</v>
      </c>
      <c r="F18" s="17">
        <f>D18*E18</f>
        <v>0.42250000000000004</v>
      </c>
    </row>
    <row r="19" spans="2:6" ht="12.75">
      <c r="B19" s="14" t="s">
        <v>775</v>
      </c>
      <c r="C19" s="14" t="s">
        <v>296</v>
      </c>
      <c r="D19" s="17">
        <f>1.3*0.9</f>
        <v>1.1700000000000002</v>
      </c>
      <c r="E19" s="18">
        <v>0.5</v>
      </c>
      <c r="F19" s="17">
        <f>D19*E19</f>
        <v>0.5850000000000001</v>
      </c>
    </row>
    <row r="20" spans="2:6" ht="13.5" thickBot="1">
      <c r="B20" s="14" t="s">
        <v>776</v>
      </c>
      <c r="C20" s="14" t="s">
        <v>296</v>
      </c>
      <c r="D20" s="17">
        <f>0.9*0.9</f>
        <v>0.81</v>
      </c>
      <c r="E20" s="18">
        <v>0.25</v>
      </c>
      <c r="F20" s="17">
        <f>D20*E20</f>
        <v>0.2025</v>
      </c>
    </row>
    <row r="21" spans="2:6" ht="13.5" thickBot="1">
      <c r="B21" s="19" t="s">
        <v>777</v>
      </c>
      <c r="C21" s="19" t="s">
        <v>296</v>
      </c>
      <c r="D21" s="19"/>
      <c r="E21" s="19"/>
      <c r="F21" s="20">
        <f>SUM(F18:F20)</f>
        <v>1.21</v>
      </c>
    </row>
    <row r="22" ht="13.5" thickTop="1"/>
    <row r="26" spans="1:2" ht="18.75">
      <c r="A26" s="8" t="s">
        <v>778</v>
      </c>
      <c r="B26" s="21" t="s">
        <v>785</v>
      </c>
    </row>
    <row r="29" spans="1:4" ht="18.75">
      <c r="A29" s="8" t="s">
        <v>778</v>
      </c>
      <c r="B29" s="21" t="s">
        <v>786</v>
      </c>
      <c r="D29" s="22">
        <f>(1.21/1)^0.5-1</f>
        <v>0.10000000000000009</v>
      </c>
    </row>
    <row r="32" spans="1:4" ht="15.75">
      <c r="A32" s="8" t="s">
        <v>779</v>
      </c>
      <c r="B32" s="21" t="s">
        <v>780</v>
      </c>
      <c r="D32" s="22">
        <f>(0.3*0.5)+(-0.1*0.5)</f>
        <v>0.09999999999999999</v>
      </c>
    </row>
    <row r="36" spans="1:4" ht="18.75">
      <c r="A36" s="8" t="s">
        <v>781</v>
      </c>
      <c r="B36" s="21" t="s">
        <v>787</v>
      </c>
      <c r="D36" s="23">
        <f>(1.3*0.9)^0.5-1</f>
        <v>0.08166538263919687</v>
      </c>
    </row>
    <row r="39" ht="15.75">
      <c r="A39" s="21" t="s">
        <v>782</v>
      </c>
    </row>
    <row r="40" ht="15.75">
      <c r="A40" s="21" t="s">
        <v>783</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D28"/>
  <sheetViews>
    <sheetView workbookViewId="0" topLeftCell="A1">
      <selection activeCell="A1" sqref="A1"/>
    </sheetView>
  </sheetViews>
  <sheetFormatPr defaultColWidth="9.140625" defaultRowHeight="12.75"/>
  <cols>
    <col min="1" max="1" width="8.7109375" style="8" customWidth="1"/>
    <col min="2" max="2" width="24.421875" style="8" customWidth="1"/>
    <col min="3" max="3" width="7.7109375" style="8" customWidth="1"/>
    <col min="4" max="4" width="51.8515625" style="8" customWidth="1"/>
    <col min="5" max="6" width="11.421875" style="8" bestFit="1" customWidth="1"/>
    <col min="7" max="7" width="11.7109375" style="8" bestFit="1" customWidth="1"/>
    <col min="8" max="8" width="11.421875" style="8" bestFit="1" customWidth="1"/>
    <col min="9" max="16384" width="9.140625" style="8" customWidth="1"/>
  </cols>
  <sheetData>
    <row r="1" ht="12.75">
      <c r="A1" s="80" t="s">
        <v>759</v>
      </c>
    </row>
    <row r="2" ht="12.75">
      <c r="A2" s="80" t="s">
        <v>757</v>
      </c>
    </row>
    <row r="3" ht="12.75">
      <c r="A3" s="178" t="s">
        <v>321</v>
      </c>
    </row>
    <row r="11" spans="1:2" ht="12.75">
      <c r="A11" s="8" t="s">
        <v>171</v>
      </c>
      <c r="B11" s="11" t="s">
        <v>47</v>
      </c>
    </row>
    <row r="12" spans="1:4" ht="12.75">
      <c r="A12" s="47">
        <v>1</v>
      </c>
      <c r="B12" s="11" t="s">
        <v>322</v>
      </c>
      <c r="C12" s="179">
        <v>0.052</v>
      </c>
      <c r="D12" s="180" t="s">
        <v>325</v>
      </c>
    </row>
    <row r="13" spans="1:4" ht="12.75">
      <c r="A13" s="47">
        <v>2</v>
      </c>
      <c r="B13" s="8" t="s">
        <v>140</v>
      </c>
      <c r="C13" s="181">
        <v>0.86</v>
      </c>
      <c r="D13" s="180" t="s">
        <v>367</v>
      </c>
    </row>
    <row r="14" spans="1:4" ht="12.75">
      <c r="A14" s="47">
        <v>3</v>
      </c>
      <c r="B14" s="8" t="s">
        <v>125</v>
      </c>
      <c r="C14" s="179">
        <v>0.071</v>
      </c>
      <c r="D14" s="180" t="s">
        <v>756</v>
      </c>
    </row>
    <row r="15" spans="1:4" ht="12.75">
      <c r="A15" s="47">
        <v>4</v>
      </c>
      <c r="B15" s="8" t="s">
        <v>323</v>
      </c>
      <c r="C15" s="179">
        <f>C13*C14</f>
        <v>0.061059999999999996</v>
      </c>
      <c r="D15" s="180"/>
    </row>
    <row r="16" spans="1:4" ht="12.75">
      <c r="A16" s="47">
        <v>5</v>
      </c>
      <c r="B16" s="8" t="s">
        <v>368</v>
      </c>
      <c r="C16" s="179">
        <v>0.0025</v>
      </c>
      <c r="D16" s="180"/>
    </row>
    <row r="17" spans="1:4" ht="12.75">
      <c r="A17" s="47">
        <v>6</v>
      </c>
      <c r="B17" s="8" t="s">
        <v>324</v>
      </c>
      <c r="C17" s="182">
        <f>SUM(C12+C15+C16)</f>
        <v>0.11556</v>
      </c>
      <c r="D17" s="11"/>
    </row>
    <row r="18" spans="1:4" ht="12.75">
      <c r="A18" s="47"/>
      <c r="C18" s="179"/>
      <c r="D18" s="11"/>
    </row>
    <row r="19" spans="1:4" ht="12.75">
      <c r="A19" s="47"/>
      <c r="C19" s="179"/>
      <c r="D19" s="11"/>
    </row>
    <row r="20" spans="2:4" ht="12.75">
      <c r="B20" s="11" t="s">
        <v>369</v>
      </c>
      <c r="D20" s="11"/>
    </row>
    <row r="21" spans="1:4" ht="12.75">
      <c r="A21" s="47">
        <v>1</v>
      </c>
      <c r="B21" s="11" t="s">
        <v>322</v>
      </c>
      <c r="C21" s="179">
        <f>C12</f>
        <v>0.052</v>
      </c>
      <c r="D21" s="180" t="s">
        <v>325</v>
      </c>
    </row>
    <row r="22" spans="1:4" ht="12.75">
      <c r="A22" s="47">
        <v>2</v>
      </c>
      <c r="B22" s="8" t="s">
        <v>140</v>
      </c>
      <c r="C22" s="181">
        <v>0.87</v>
      </c>
      <c r="D22" s="180" t="s">
        <v>367</v>
      </c>
    </row>
    <row r="23" spans="1:4" ht="12.75">
      <c r="A23" s="47">
        <v>3</v>
      </c>
      <c r="B23" s="8" t="s">
        <v>125</v>
      </c>
      <c r="C23" s="179">
        <v>0.071</v>
      </c>
      <c r="D23" s="180" t="s">
        <v>756</v>
      </c>
    </row>
    <row r="24" spans="1:4" ht="12.75">
      <c r="A24" s="47">
        <v>4</v>
      </c>
      <c r="B24" s="8" t="s">
        <v>323</v>
      </c>
      <c r="C24" s="179">
        <f>C22*C23</f>
        <v>0.06176999999999999</v>
      </c>
      <c r="D24" s="180"/>
    </row>
    <row r="25" spans="1:4" ht="12.75">
      <c r="A25" s="47">
        <v>5</v>
      </c>
      <c r="B25" s="8" t="s">
        <v>368</v>
      </c>
      <c r="C25" s="179">
        <v>0.0025</v>
      </c>
      <c r="D25" s="180"/>
    </row>
    <row r="26" spans="1:4" ht="12.75">
      <c r="A26" s="47">
        <v>6</v>
      </c>
      <c r="B26" s="8" t="s">
        <v>324</v>
      </c>
      <c r="C26" s="182">
        <f>SUM(C21+C24+C25)</f>
        <v>0.11626999999999998</v>
      </c>
      <c r="D26" s="11"/>
    </row>
    <row r="27" spans="1:4" ht="12.75">
      <c r="A27" s="47"/>
      <c r="C27" s="179"/>
      <c r="D27" s="11"/>
    </row>
    <row r="28" spans="2:4" ht="12.75">
      <c r="B28" s="8" t="s">
        <v>763</v>
      </c>
      <c r="C28" s="109">
        <f>AVERAGE(C17,C26)</f>
        <v>0.11591499999999999</v>
      </c>
      <c r="D28" s="11"/>
    </row>
  </sheetData>
  <printOptions/>
  <pageMargins left="0.75" right="0.75" top="1" bottom="1" header="0.5" footer="0.5"/>
  <pageSetup fitToHeight="1" fitToWidth="1" horizontalDpi="600" verticalDpi="600" orientation="portrait" scale="98" r:id="rId1"/>
</worksheet>
</file>

<file path=xl/worksheets/sheet16.xml><?xml version="1.0" encoding="utf-8"?>
<worksheet xmlns="http://schemas.openxmlformats.org/spreadsheetml/2006/main" xmlns:r="http://schemas.openxmlformats.org/officeDocument/2006/relationships">
  <dimension ref="A4:D39"/>
  <sheetViews>
    <sheetView workbookViewId="0" topLeftCell="A4">
      <selection activeCell="A4" sqref="A4"/>
    </sheetView>
  </sheetViews>
  <sheetFormatPr defaultColWidth="9.140625" defaultRowHeight="12.75"/>
  <cols>
    <col min="1" max="1" width="6.7109375" style="8" bestFit="1" customWidth="1"/>
    <col min="2" max="2" width="17.00390625" style="8" bestFit="1" customWidth="1"/>
    <col min="3" max="3" width="4.00390625" style="176" bestFit="1" customWidth="1"/>
    <col min="4" max="4" width="13.7109375" style="110" bestFit="1" customWidth="1"/>
    <col min="5" max="16384" width="9.140625" style="8" customWidth="1"/>
  </cols>
  <sheetData>
    <row r="4" ht="12.75">
      <c r="A4" s="80" t="s">
        <v>106</v>
      </c>
    </row>
    <row r="5" ht="12.75">
      <c r="A5" s="80" t="s">
        <v>37</v>
      </c>
    </row>
    <row r="6" ht="12.75">
      <c r="A6" s="80" t="s">
        <v>38</v>
      </c>
    </row>
    <row r="12" spans="1:4" ht="12.75">
      <c r="A12" s="8" t="s">
        <v>171</v>
      </c>
      <c r="B12" s="8" t="s">
        <v>48</v>
      </c>
      <c r="C12" s="176" t="s">
        <v>140</v>
      </c>
      <c r="D12" s="110" t="s">
        <v>58</v>
      </c>
    </row>
    <row r="13" spans="1:4" ht="12.75">
      <c r="A13" s="8">
        <v>1</v>
      </c>
      <c r="B13" s="8" t="s">
        <v>76</v>
      </c>
      <c r="C13" s="176">
        <v>0.8</v>
      </c>
      <c r="D13" s="110">
        <v>630.41</v>
      </c>
    </row>
    <row r="14" spans="1:4" ht="12.75">
      <c r="A14" s="8">
        <v>2</v>
      </c>
      <c r="B14" s="8" t="s">
        <v>77</v>
      </c>
      <c r="C14" s="176">
        <v>0.9</v>
      </c>
      <c r="D14" s="110">
        <v>2873.19</v>
      </c>
    </row>
    <row r="15" spans="1:4" ht="12.75">
      <c r="A15" s="8">
        <v>3</v>
      </c>
      <c r="B15" s="8" t="s">
        <v>78</v>
      </c>
      <c r="C15" s="176">
        <v>0.9</v>
      </c>
      <c r="D15" s="110">
        <v>781.66</v>
      </c>
    </row>
    <row r="16" spans="1:4" ht="12.75">
      <c r="A16" s="8">
        <v>4</v>
      </c>
      <c r="B16" s="8" t="s">
        <v>90</v>
      </c>
      <c r="C16" s="176">
        <v>0.9</v>
      </c>
      <c r="D16" s="110">
        <v>293.02</v>
      </c>
    </row>
    <row r="17" spans="1:4" ht="12.75">
      <c r="A17" s="8">
        <v>5</v>
      </c>
      <c r="B17" s="8" t="s">
        <v>89</v>
      </c>
      <c r="C17" s="176">
        <v>0.85</v>
      </c>
      <c r="D17" s="110">
        <v>210.13</v>
      </c>
    </row>
    <row r="18" spans="1:4" ht="12.75">
      <c r="A18" s="8">
        <v>6</v>
      </c>
      <c r="B18" s="8" t="s">
        <v>132</v>
      </c>
      <c r="C18" s="176">
        <v>0.75</v>
      </c>
      <c r="D18" s="110">
        <v>635.45</v>
      </c>
    </row>
    <row r="19" spans="1:4" ht="12.75">
      <c r="A19" s="8">
        <v>7</v>
      </c>
      <c r="B19" s="8" t="s">
        <v>91</v>
      </c>
      <c r="C19" s="176">
        <v>0.55</v>
      </c>
      <c r="D19" s="110">
        <v>183.01</v>
      </c>
    </row>
    <row r="20" spans="1:3" ht="12.75">
      <c r="A20" s="8">
        <v>8</v>
      </c>
      <c r="B20" s="8" t="s">
        <v>94</v>
      </c>
      <c r="C20" s="176">
        <f>SUMPRODUCT(D13:D19,C13:C19)/SUM(D13:D19)</f>
        <v>0.8584583733883608</v>
      </c>
    </row>
    <row r="26" spans="1:4" ht="12.75">
      <c r="A26" s="8" t="s">
        <v>171</v>
      </c>
      <c r="B26" s="8" t="s">
        <v>74</v>
      </c>
      <c r="C26" s="176" t="s">
        <v>140</v>
      </c>
      <c r="D26" s="110" t="s">
        <v>139</v>
      </c>
    </row>
    <row r="27" spans="1:4" ht="12.75">
      <c r="A27" s="8">
        <v>1</v>
      </c>
      <c r="B27" s="8" t="s">
        <v>65</v>
      </c>
      <c r="C27" s="176">
        <v>0.95</v>
      </c>
      <c r="D27" s="110">
        <v>2988.3</v>
      </c>
    </row>
    <row r="28" spans="1:4" ht="12.75">
      <c r="A28" s="8">
        <v>2</v>
      </c>
      <c r="B28" s="8" t="s">
        <v>66</v>
      </c>
      <c r="C28" s="176">
        <v>0.8</v>
      </c>
      <c r="D28" s="110">
        <v>2672</v>
      </c>
    </row>
    <row r="29" spans="1:4" ht="12.75">
      <c r="A29" s="8">
        <v>3</v>
      </c>
      <c r="B29" s="8" t="s">
        <v>67</v>
      </c>
      <c r="C29" s="176">
        <v>0.85</v>
      </c>
      <c r="D29" s="110">
        <v>3237.6</v>
      </c>
    </row>
    <row r="30" spans="1:4" ht="12.75">
      <c r="A30" s="8">
        <v>4</v>
      </c>
      <c r="B30" s="8" t="s">
        <v>68</v>
      </c>
      <c r="C30" s="176">
        <v>0.8</v>
      </c>
      <c r="D30" s="110">
        <v>5237</v>
      </c>
    </row>
    <row r="31" spans="1:4" ht="12.75">
      <c r="A31" s="8">
        <v>5</v>
      </c>
      <c r="B31" s="8" t="s">
        <v>151</v>
      </c>
      <c r="C31" s="176">
        <v>0.95</v>
      </c>
      <c r="D31" s="110">
        <v>3157.4</v>
      </c>
    </row>
    <row r="32" spans="1:4" ht="12.75">
      <c r="A32" s="8">
        <v>6</v>
      </c>
      <c r="B32" s="8" t="s">
        <v>69</v>
      </c>
      <c r="C32" s="176">
        <v>0.8</v>
      </c>
      <c r="D32" s="110">
        <v>1429.6</v>
      </c>
    </row>
    <row r="33" spans="1:4" ht="12.75">
      <c r="A33" s="8">
        <v>7</v>
      </c>
      <c r="B33" s="8" t="s">
        <v>70</v>
      </c>
      <c r="C33" s="176">
        <v>0.75</v>
      </c>
      <c r="D33" s="110">
        <v>1134.3</v>
      </c>
    </row>
    <row r="34" spans="1:4" ht="12.75">
      <c r="A34" s="8">
        <v>8</v>
      </c>
      <c r="B34" s="8" t="s">
        <v>153</v>
      </c>
      <c r="C34" s="176">
        <v>1</v>
      </c>
      <c r="D34" s="110">
        <v>4763.7</v>
      </c>
    </row>
    <row r="35" spans="1:4" ht="12.75">
      <c r="A35" s="8">
        <v>9</v>
      </c>
      <c r="B35" s="8" t="s">
        <v>155</v>
      </c>
      <c r="C35" s="176">
        <v>0.8</v>
      </c>
      <c r="D35" s="110">
        <v>2099.9</v>
      </c>
    </row>
    <row r="36" spans="1:4" ht="12.75">
      <c r="A36" s="8">
        <v>10</v>
      </c>
      <c r="B36" s="8" t="s">
        <v>157</v>
      </c>
      <c r="C36" s="176">
        <v>0.9</v>
      </c>
      <c r="D36" s="110">
        <v>7405.9</v>
      </c>
    </row>
    <row r="37" spans="1:4" ht="12.75">
      <c r="A37" s="8">
        <v>11</v>
      </c>
      <c r="B37" s="8" t="s">
        <v>159</v>
      </c>
      <c r="C37" s="176">
        <v>0.7</v>
      </c>
      <c r="D37" s="110">
        <v>975.2</v>
      </c>
    </row>
    <row r="38" spans="1:4" ht="12.75">
      <c r="A38" s="8">
        <v>12</v>
      </c>
      <c r="B38" s="8" t="s">
        <v>72</v>
      </c>
      <c r="C38" s="176">
        <v>0.85</v>
      </c>
      <c r="D38" s="110">
        <v>1611.6</v>
      </c>
    </row>
    <row r="39" spans="1:3" ht="12.75">
      <c r="A39" s="8">
        <v>13</v>
      </c>
      <c r="B39" s="8" t="s">
        <v>94</v>
      </c>
      <c r="C39" s="176">
        <f>SUMPRODUCT(D27:D38,C27:C38)/SUM(D27:D38)</f>
        <v>0.873637316990126</v>
      </c>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 sqref="A1"/>
    </sheetView>
  </sheetViews>
  <sheetFormatPr defaultColWidth="9.140625" defaultRowHeight="12.75"/>
  <cols>
    <col min="1" max="1" width="25.7109375" style="8" customWidth="1"/>
    <col min="2" max="2" width="27.140625" style="8" bestFit="1" customWidth="1"/>
    <col min="3" max="3" width="9.140625" style="8" customWidth="1"/>
    <col min="4" max="4" width="51.8515625" style="8" bestFit="1" customWidth="1"/>
    <col min="5" max="16384" width="9.140625" style="8" customWidth="1"/>
  </cols>
  <sheetData>
    <row r="1" ht="12.75">
      <c r="A1" s="80" t="s">
        <v>106</v>
      </c>
    </row>
    <row r="2" ht="12.75">
      <c r="A2" s="80" t="s">
        <v>760</v>
      </c>
    </row>
    <row r="3" spans="1:4" ht="12.75">
      <c r="A3" s="80" t="s">
        <v>761</v>
      </c>
      <c r="D3" s="183"/>
    </row>
    <row r="4" ht="12.75">
      <c r="A4" s="178" t="s">
        <v>321</v>
      </c>
    </row>
    <row r="11" spans="1:4" ht="12.75">
      <c r="A11" s="8" t="s">
        <v>171</v>
      </c>
      <c r="B11" s="11" t="s">
        <v>47</v>
      </c>
      <c r="C11" s="179"/>
      <c r="D11" s="80"/>
    </row>
    <row r="12" spans="1:4" ht="12.75">
      <c r="A12" s="47">
        <v>1</v>
      </c>
      <c r="B12" s="11" t="s">
        <v>322</v>
      </c>
      <c r="C12" s="179">
        <v>0.052</v>
      </c>
      <c r="D12" s="180" t="s">
        <v>325</v>
      </c>
    </row>
    <row r="13" spans="1:4" ht="12.75">
      <c r="A13" s="47">
        <v>2</v>
      </c>
      <c r="B13" s="8" t="s">
        <v>140</v>
      </c>
      <c r="C13" s="181">
        <v>0.86</v>
      </c>
      <c r="D13" s="180" t="s">
        <v>367</v>
      </c>
    </row>
    <row r="14" spans="1:4" ht="12.75">
      <c r="A14" s="47">
        <v>3</v>
      </c>
      <c r="B14" s="8" t="s">
        <v>326</v>
      </c>
      <c r="C14" s="41">
        <v>0.1378</v>
      </c>
      <c r="D14" s="184" t="s">
        <v>327</v>
      </c>
    </row>
    <row r="15" spans="1:10" ht="12.75">
      <c r="A15" s="47">
        <v>4</v>
      </c>
      <c r="B15" s="8" t="s">
        <v>125</v>
      </c>
      <c r="C15" s="41">
        <f>C14-C12</f>
        <v>0.08580000000000002</v>
      </c>
      <c r="D15" s="185" t="s">
        <v>328</v>
      </c>
      <c r="J15" s="41"/>
    </row>
    <row r="16" spans="1:4" ht="12.75">
      <c r="A16" s="47">
        <v>5</v>
      </c>
      <c r="B16" s="8" t="s">
        <v>329</v>
      </c>
      <c r="C16" s="41">
        <f>C13*C15</f>
        <v>0.073788</v>
      </c>
      <c r="D16" s="184" t="s">
        <v>330</v>
      </c>
    </row>
    <row r="17" spans="1:4" ht="12.75">
      <c r="A17" s="47">
        <v>6</v>
      </c>
      <c r="B17" s="8" t="s">
        <v>99</v>
      </c>
      <c r="C17" s="39">
        <f>SUM(C12+C16)</f>
        <v>0.125788</v>
      </c>
      <c r="D17" s="184" t="s">
        <v>331</v>
      </c>
    </row>
    <row r="20" ht="12.75">
      <c r="B20" s="8" t="s">
        <v>262</v>
      </c>
    </row>
    <row r="21" spans="1:4" ht="12.75">
      <c r="A21" s="47">
        <v>1</v>
      </c>
      <c r="B21" s="11" t="s">
        <v>322</v>
      </c>
      <c r="C21" s="179">
        <f>C12</f>
        <v>0.052</v>
      </c>
      <c r="D21" s="180" t="s">
        <v>325</v>
      </c>
    </row>
    <row r="22" spans="1:4" ht="12.75">
      <c r="A22" s="47">
        <v>2</v>
      </c>
      <c r="B22" s="8" t="s">
        <v>140</v>
      </c>
      <c r="C22" s="181">
        <v>0.87</v>
      </c>
      <c r="D22" s="180" t="s">
        <v>367</v>
      </c>
    </row>
    <row r="23" spans="1:4" ht="12.75">
      <c r="A23" s="47">
        <v>3</v>
      </c>
      <c r="B23" s="8" t="s">
        <v>326</v>
      </c>
      <c r="C23" s="41">
        <f>C14</f>
        <v>0.1378</v>
      </c>
      <c r="D23" s="184" t="s">
        <v>327</v>
      </c>
    </row>
    <row r="24" spans="1:4" ht="12.75">
      <c r="A24" s="47">
        <v>4</v>
      </c>
      <c r="B24" s="8" t="s">
        <v>125</v>
      </c>
      <c r="C24" s="41">
        <f>C23-C21</f>
        <v>0.08580000000000002</v>
      </c>
      <c r="D24" s="185" t="s">
        <v>328</v>
      </c>
    </row>
    <row r="25" spans="1:4" ht="12.75">
      <c r="A25" s="47">
        <v>5</v>
      </c>
      <c r="B25" s="8" t="s">
        <v>329</v>
      </c>
      <c r="C25" s="41">
        <f>C22*C24</f>
        <v>0.07464600000000002</v>
      </c>
      <c r="D25" s="184" t="s">
        <v>330</v>
      </c>
    </row>
    <row r="26" spans="1:4" ht="12.75">
      <c r="A26" s="47">
        <v>6</v>
      </c>
      <c r="B26" s="8" t="s">
        <v>99</v>
      </c>
      <c r="C26" s="39">
        <f>SUM(C21+C25)</f>
        <v>0.126646</v>
      </c>
      <c r="D26" s="184" t="s">
        <v>331</v>
      </c>
    </row>
    <row r="28" spans="2:3" ht="12.75">
      <c r="B28" s="8" t="s">
        <v>762</v>
      </c>
      <c r="C28" s="109">
        <f>AVERAGE(C17,C26)</f>
        <v>0.12621700000000002</v>
      </c>
    </row>
  </sheetData>
  <printOptions/>
  <pageMargins left="0.75" right="0.75" top="1" bottom="1" header="0.5" footer="0.5"/>
  <pageSetup fitToHeight="1" fitToWidth="1" horizontalDpi="600" verticalDpi="600" orientation="portrait" scale="80" r:id="rId1"/>
</worksheet>
</file>

<file path=xl/worksheets/sheet18.xml><?xml version="1.0" encoding="utf-8"?>
<worksheet xmlns="http://schemas.openxmlformats.org/spreadsheetml/2006/main" xmlns:r="http://schemas.openxmlformats.org/officeDocument/2006/relationships">
  <dimension ref="A1:O200"/>
  <sheetViews>
    <sheetView workbookViewId="0" topLeftCell="A1">
      <selection activeCell="A1" sqref="A1"/>
    </sheetView>
  </sheetViews>
  <sheetFormatPr defaultColWidth="9.140625" defaultRowHeight="12.75"/>
  <cols>
    <col min="1" max="1" width="23.28125" style="25" customWidth="1"/>
    <col min="2" max="2" width="5.00390625" style="25" customWidth="1"/>
    <col min="3" max="3" width="5.140625" style="25" customWidth="1"/>
    <col min="4" max="4" width="5.28125" style="25" bestFit="1" customWidth="1"/>
    <col min="5" max="6" width="5.140625" style="25" bestFit="1" customWidth="1"/>
    <col min="7" max="8" width="5.421875" style="25" bestFit="1" customWidth="1"/>
    <col min="9" max="9" width="5.140625" style="25" bestFit="1" customWidth="1"/>
    <col min="10" max="10" width="3.7109375" style="25" bestFit="1" customWidth="1"/>
    <col min="11" max="11" width="5.57421875" style="25" bestFit="1" customWidth="1"/>
    <col min="12" max="12" width="5.28125" style="135" bestFit="1" customWidth="1"/>
    <col min="13" max="13" width="8.00390625" style="25" bestFit="1" customWidth="1"/>
    <col min="14" max="14" width="3.7109375" style="25" bestFit="1" customWidth="1"/>
    <col min="15" max="15" width="6.7109375" style="25" bestFit="1" customWidth="1"/>
    <col min="16" max="16384" width="9.140625" style="25" customWidth="1"/>
  </cols>
  <sheetData>
    <row r="1" spans="1:15" ht="12.75">
      <c r="A1" s="24" t="s">
        <v>106</v>
      </c>
      <c r="C1" s="119"/>
      <c r="D1" s="119"/>
      <c r="E1" s="119"/>
      <c r="F1" s="119"/>
      <c r="G1" s="119"/>
      <c r="H1" s="119"/>
      <c r="I1" s="119"/>
      <c r="J1" s="119"/>
      <c r="K1" s="50"/>
      <c r="L1" s="120"/>
      <c r="M1" s="76"/>
      <c r="O1" s="25">
        <f>COUNTA(L12:L22)</f>
        <v>11</v>
      </c>
    </row>
    <row r="2" spans="1:13" ht="12.75">
      <c r="A2" s="24" t="s">
        <v>760</v>
      </c>
      <c r="C2" s="119"/>
      <c r="D2" s="119"/>
      <c r="E2" s="119"/>
      <c r="F2" s="119"/>
      <c r="G2" s="119"/>
      <c r="H2" s="119"/>
      <c r="I2" s="119"/>
      <c r="J2" s="119"/>
      <c r="K2" s="50"/>
      <c r="L2" s="120"/>
      <c r="M2" s="76"/>
    </row>
    <row r="3" spans="1:13" ht="12.75">
      <c r="A3" s="24" t="s">
        <v>370</v>
      </c>
      <c r="C3" s="119"/>
      <c r="D3" s="119"/>
      <c r="E3" s="119"/>
      <c r="F3" s="119"/>
      <c r="G3" s="119"/>
      <c r="H3" s="119"/>
      <c r="I3" s="119"/>
      <c r="J3" s="119"/>
      <c r="K3" s="50"/>
      <c r="L3" s="120"/>
      <c r="M3" s="76"/>
    </row>
    <row r="4" spans="3:13" ht="12.75">
      <c r="C4" s="119"/>
      <c r="D4" s="119"/>
      <c r="E4" s="119"/>
      <c r="F4" s="119"/>
      <c r="G4" s="119"/>
      <c r="H4" s="119"/>
      <c r="I4" s="119"/>
      <c r="J4" s="119"/>
      <c r="K4" s="50"/>
      <c r="L4" s="120"/>
      <c r="M4" s="76"/>
    </row>
    <row r="5" spans="1:13" ht="12.75">
      <c r="A5" s="121"/>
      <c r="C5" s="119"/>
      <c r="D5" s="119"/>
      <c r="E5" s="119"/>
      <c r="F5" s="119"/>
      <c r="G5" s="119"/>
      <c r="H5" s="119"/>
      <c r="I5" s="119"/>
      <c r="J5" s="119"/>
      <c r="K5" s="50"/>
      <c r="L5" s="120"/>
      <c r="M5" s="76"/>
    </row>
    <row r="6" spans="1:13" ht="12.75">
      <c r="A6" s="122"/>
      <c r="C6" s="119"/>
      <c r="D6" s="119"/>
      <c r="E6" s="119"/>
      <c r="F6" s="119"/>
      <c r="G6" s="119"/>
      <c r="H6" s="119"/>
      <c r="I6" s="119"/>
      <c r="J6" s="119"/>
      <c r="K6" s="50"/>
      <c r="L6" s="120"/>
      <c r="M6" s="76"/>
    </row>
    <row r="7" spans="1:13" ht="12.75">
      <c r="A7" s="121"/>
      <c r="D7" s="123"/>
      <c r="E7" s="123"/>
      <c r="F7" s="123"/>
      <c r="G7" s="123"/>
      <c r="H7" s="123"/>
      <c r="I7" s="119"/>
      <c r="J7" s="119"/>
      <c r="K7" s="50"/>
      <c r="L7" s="120"/>
      <c r="M7" s="76"/>
    </row>
    <row r="8" spans="1:13" ht="12.75">
      <c r="A8" s="121"/>
      <c r="C8" s="119"/>
      <c r="D8" s="119"/>
      <c r="E8" s="119"/>
      <c r="F8" s="119"/>
      <c r="G8" s="119"/>
      <c r="H8" s="119"/>
      <c r="I8" s="119"/>
      <c r="J8" s="119"/>
      <c r="K8" s="50"/>
      <c r="L8" s="120"/>
      <c r="M8" s="76"/>
    </row>
    <row r="9" spans="3:13" ht="12.75">
      <c r="C9" s="119"/>
      <c r="D9" s="119"/>
      <c r="E9" s="119"/>
      <c r="F9" s="119"/>
      <c r="G9" s="119"/>
      <c r="H9" s="119"/>
      <c r="I9" s="119"/>
      <c r="J9" s="119"/>
      <c r="K9" s="50"/>
      <c r="L9" s="120"/>
      <c r="M9" s="76"/>
    </row>
    <row r="10" spans="1:15" ht="12.75">
      <c r="A10" s="124"/>
      <c r="C10" s="125"/>
      <c r="D10" s="125"/>
      <c r="E10" s="125"/>
      <c r="F10" s="125"/>
      <c r="G10" s="125"/>
      <c r="H10" s="112"/>
      <c r="I10" s="126"/>
      <c r="J10" s="125"/>
      <c r="K10" s="127"/>
      <c r="L10" s="128"/>
      <c r="M10" s="129"/>
      <c r="N10" s="82"/>
      <c r="O10" s="124"/>
    </row>
    <row r="11" spans="1:15" ht="25.5">
      <c r="A11" s="116" t="s">
        <v>371</v>
      </c>
      <c r="B11" s="104" t="s">
        <v>75</v>
      </c>
      <c r="C11" s="137">
        <v>39114</v>
      </c>
      <c r="D11" s="137">
        <v>39114</v>
      </c>
      <c r="E11" s="137">
        <v>39083</v>
      </c>
      <c r="F11" s="137">
        <v>39083</v>
      </c>
      <c r="G11" s="137">
        <v>39052</v>
      </c>
      <c r="H11" s="137">
        <v>39052</v>
      </c>
      <c r="I11" s="112" t="s">
        <v>32</v>
      </c>
      <c r="J11" s="112" t="s">
        <v>33</v>
      </c>
      <c r="K11" s="130" t="s">
        <v>173</v>
      </c>
      <c r="L11" s="113" t="s">
        <v>99</v>
      </c>
      <c r="M11" s="114" t="s">
        <v>372</v>
      </c>
      <c r="N11" s="115" t="s">
        <v>59</v>
      </c>
      <c r="O11" s="116" t="s">
        <v>373</v>
      </c>
    </row>
    <row r="12" spans="1:15" ht="12.75">
      <c r="A12" s="25" t="s">
        <v>374</v>
      </c>
      <c r="B12" s="25" t="s">
        <v>375</v>
      </c>
      <c r="C12" s="119">
        <v>77.43</v>
      </c>
      <c r="D12" s="119">
        <v>73.52</v>
      </c>
      <c r="E12" s="119">
        <v>79.88</v>
      </c>
      <c r="F12" s="119">
        <v>73.09</v>
      </c>
      <c r="G12" s="119">
        <v>81.55</v>
      </c>
      <c r="H12" s="119">
        <v>77.35</v>
      </c>
      <c r="I12" s="119">
        <f aca="true" t="shared" si="0" ref="I12:I75">AVERAGE(C12:H12)</f>
        <v>77.13666666666666</v>
      </c>
      <c r="J12" s="119">
        <v>1.92</v>
      </c>
      <c r="K12" s="77">
        <v>0.1121</v>
      </c>
      <c r="L12" s="117">
        <f aca="true" t="shared" si="1" ref="L12:L75">+((((((J12/4)*(N12)^0.25))/(I12*0.95))+(N12)^0.25)^4)-1</f>
        <v>0.14152560137869896</v>
      </c>
      <c r="M12" s="76">
        <v>53581</v>
      </c>
      <c r="N12" s="131">
        <f aca="true" t="shared" si="2" ref="N12:N75">1+(K12)</f>
        <v>1.1121</v>
      </c>
      <c r="O12" s="122">
        <v>7</v>
      </c>
    </row>
    <row r="13" spans="1:15" ht="12.75">
      <c r="A13" s="25" t="s">
        <v>376</v>
      </c>
      <c r="B13" s="25" t="s">
        <v>377</v>
      </c>
      <c r="C13" s="119">
        <v>55.06</v>
      </c>
      <c r="D13" s="119">
        <v>52.06</v>
      </c>
      <c r="E13" s="119">
        <v>53.85</v>
      </c>
      <c r="F13" s="119">
        <v>48.75</v>
      </c>
      <c r="G13" s="119">
        <v>49.1</v>
      </c>
      <c r="H13" s="119">
        <v>46.25</v>
      </c>
      <c r="I13" s="119">
        <f t="shared" si="0"/>
        <v>50.845</v>
      </c>
      <c r="J13" s="119">
        <v>1.3</v>
      </c>
      <c r="K13" s="77">
        <v>0.1074</v>
      </c>
      <c r="L13" s="117">
        <f t="shared" si="1"/>
        <v>0.13750625237572467</v>
      </c>
      <c r="M13" s="76">
        <v>81798.25</v>
      </c>
      <c r="N13" s="131">
        <f t="shared" si="2"/>
        <v>1.1074</v>
      </c>
      <c r="O13" s="122">
        <v>9</v>
      </c>
    </row>
    <row r="14" spans="1:15" ht="12.75">
      <c r="A14" s="25" t="s">
        <v>378</v>
      </c>
      <c r="B14" s="25" t="s">
        <v>379</v>
      </c>
      <c r="C14" s="119">
        <v>59.96</v>
      </c>
      <c r="D14" s="119">
        <v>55.66</v>
      </c>
      <c r="E14" s="119">
        <v>61.03</v>
      </c>
      <c r="F14" s="119">
        <v>57.4</v>
      </c>
      <c r="G14" s="119">
        <v>61.9</v>
      </c>
      <c r="H14" s="119">
        <v>55.91</v>
      </c>
      <c r="I14" s="119">
        <f t="shared" si="0"/>
        <v>58.64333333333334</v>
      </c>
      <c r="J14" s="119">
        <v>1</v>
      </c>
      <c r="K14" s="77">
        <v>0.12119999999999999</v>
      </c>
      <c r="L14" s="117">
        <f t="shared" si="1"/>
        <v>0.1414611008074529</v>
      </c>
      <c r="M14" s="76">
        <v>18107.15</v>
      </c>
      <c r="N14" s="131">
        <f t="shared" si="2"/>
        <v>1.1212</v>
      </c>
      <c r="O14" s="122">
        <v>9</v>
      </c>
    </row>
    <row r="15" spans="1:15" ht="12.75">
      <c r="A15" s="25" t="s">
        <v>380</v>
      </c>
      <c r="B15" s="25" t="s">
        <v>381</v>
      </c>
      <c r="C15" s="119">
        <v>78.63</v>
      </c>
      <c r="D15" s="119">
        <v>73.35</v>
      </c>
      <c r="E15" s="119">
        <v>75</v>
      </c>
      <c r="F15" s="119">
        <v>68.58</v>
      </c>
      <c r="G15" s="119">
        <v>72.45</v>
      </c>
      <c r="H15" s="119">
        <v>68.76</v>
      </c>
      <c r="I15" s="119">
        <f t="shared" si="0"/>
        <v>72.795</v>
      </c>
      <c r="J15" s="119">
        <v>1.36</v>
      </c>
      <c r="K15" s="77">
        <v>0.11710000000000001</v>
      </c>
      <c r="L15" s="117">
        <f t="shared" si="1"/>
        <v>0.1392313181931375</v>
      </c>
      <c r="M15" s="76">
        <v>15781.22</v>
      </c>
      <c r="N15" s="131">
        <f t="shared" si="2"/>
        <v>1.1171</v>
      </c>
      <c r="O15" s="122">
        <v>6</v>
      </c>
    </row>
    <row r="16" spans="1:15" ht="12.75">
      <c r="A16" s="25" t="s">
        <v>382</v>
      </c>
      <c r="B16" s="25" t="s">
        <v>167</v>
      </c>
      <c r="C16" s="119">
        <v>36.05</v>
      </c>
      <c r="D16" s="119">
        <v>32.07</v>
      </c>
      <c r="E16" s="119">
        <v>32.62</v>
      </c>
      <c r="F16" s="119">
        <v>28.09</v>
      </c>
      <c r="G16" s="119">
        <v>31.33</v>
      </c>
      <c r="H16" s="119">
        <v>28.86</v>
      </c>
      <c r="I16" s="119">
        <f t="shared" si="0"/>
        <v>31.50333333333334</v>
      </c>
      <c r="J16" s="119">
        <v>0.68</v>
      </c>
      <c r="K16" s="77">
        <v>0.11779999999999999</v>
      </c>
      <c r="L16" s="117">
        <f t="shared" si="1"/>
        <v>0.14341483166731117</v>
      </c>
      <c r="M16" s="76">
        <v>28433.85</v>
      </c>
      <c r="N16" s="131">
        <f t="shared" si="2"/>
        <v>1.1178</v>
      </c>
      <c r="O16" s="122">
        <v>6</v>
      </c>
    </row>
    <row r="17" spans="1:15" ht="12.75">
      <c r="A17" s="25" t="s">
        <v>383</v>
      </c>
      <c r="B17" s="25" t="s">
        <v>384</v>
      </c>
      <c r="C17" s="119">
        <v>62.44</v>
      </c>
      <c r="D17" s="119">
        <v>59.52</v>
      </c>
      <c r="E17" s="119">
        <v>65.85</v>
      </c>
      <c r="F17" s="119">
        <v>60.05</v>
      </c>
      <c r="G17" s="119">
        <v>66.14</v>
      </c>
      <c r="H17" s="119">
        <v>62.67</v>
      </c>
      <c r="I17" s="119">
        <f t="shared" si="0"/>
        <v>62.778333333333336</v>
      </c>
      <c r="J17" s="119">
        <v>1.52</v>
      </c>
      <c r="K17" s="77">
        <v>0.0947</v>
      </c>
      <c r="L17" s="117">
        <f t="shared" si="1"/>
        <v>0.12286785935371669</v>
      </c>
      <c r="M17" s="76">
        <v>36876.77</v>
      </c>
      <c r="N17" s="131">
        <f t="shared" si="2"/>
        <v>1.0947</v>
      </c>
      <c r="O17" s="122">
        <v>10</v>
      </c>
    </row>
    <row r="18" spans="1:15" ht="12.75">
      <c r="A18" s="25" t="s">
        <v>385</v>
      </c>
      <c r="B18" s="25" t="s">
        <v>386</v>
      </c>
      <c r="C18" s="119">
        <v>87.85</v>
      </c>
      <c r="D18" s="119">
        <v>81.17</v>
      </c>
      <c r="E18" s="119">
        <v>90.5</v>
      </c>
      <c r="F18" s="119">
        <v>86</v>
      </c>
      <c r="G18" s="119">
        <v>86.56</v>
      </c>
      <c r="H18" s="119">
        <v>83.43</v>
      </c>
      <c r="I18" s="119">
        <f t="shared" si="0"/>
        <v>85.91833333333334</v>
      </c>
      <c r="J18" s="119">
        <v>3.44</v>
      </c>
      <c r="K18" s="77">
        <v>0.075</v>
      </c>
      <c r="L18" s="117">
        <f t="shared" si="1"/>
        <v>0.1210272647951447</v>
      </c>
      <c r="M18" s="76">
        <v>174964.1</v>
      </c>
      <c r="N18" s="131">
        <f t="shared" si="2"/>
        <v>1.075</v>
      </c>
      <c r="O18" s="122">
        <v>4</v>
      </c>
    </row>
    <row r="19" spans="1:15" ht="12.75">
      <c r="A19" s="25" t="s">
        <v>387</v>
      </c>
      <c r="B19" s="25" t="s">
        <v>388</v>
      </c>
      <c r="C19" s="119">
        <v>91.83</v>
      </c>
      <c r="D19" s="119">
        <v>86.49</v>
      </c>
      <c r="E19" s="119">
        <v>90.49</v>
      </c>
      <c r="F19" s="119">
        <v>86.11</v>
      </c>
      <c r="G19" s="119">
        <v>90.75</v>
      </c>
      <c r="H19" s="119">
        <v>84.15</v>
      </c>
      <c r="I19" s="119">
        <f t="shared" si="0"/>
        <v>88.30333333333334</v>
      </c>
      <c r="J19" s="119">
        <v>0.72</v>
      </c>
      <c r="K19" s="77">
        <v>0.115</v>
      </c>
      <c r="L19" s="117">
        <f t="shared" si="1"/>
        <v>0.12460072914631115</v>
      </c>
      <c r="M19" s="76">
        <v>9005.54</v>
      </c>
      <c r="N19" s="131">
        <f t="shared" si="2"/>
        <v>1.115</v>
      </c>
      <c r="O19" s="122">
        <v>6</v>
      </c>
    </row>
    <row r="20" spans="1:15" ht="12.75">
      <c r="A20" s="25" t="s">
        <v>389</v>
      </c>
      <c r="B20" s="25" t="s">
        <v>390</v>
      </c>
      <c r="C20" s="119">
        <v>55.3</v>
      </c>
      <c r="D20" s="119">
        <v>51.52</v>
      </c>
      <c r="E20" s="119">
        <v>49.47</v>
      </c>
      <c r="F20" s="119">
        <v>45.21</v>
      </c>
      <c r="G20" s="119">
        <v>46.8</v>
      </c>
      <c r="H20" s="119">
        <v>44.36</v>
      </c>
      <c r="I20" s="119">
        <f t="shared" si="0"/>
        <v>48.77666666666667</v>
      </c>
      <c r="J20" s="119">
        <v>0.72</v>
      </c>
      <c r="K20" s="77">
        <v>0.1313</v>
      </c>
      <c r="L20" s="117">
        <f t="shared" si="1"/>
        <v>0.14898089614125753</v>
      </c>
      <c r="M20" s="76">
        <v>10510.39</v>
      </c>
      <c r="N20" s="131">
        <f t="shared" si="2"/>
        <v>1.1313</v>
      </c>
      <c r="O20" s="122">
        <v>8</v>
      </c>
    </row>
    <row r="21" spans="1:15" ht="12.75">
      <c r="A21" s="25" t="s">
        <v>391</v>
      </c>
      <c r="B21" s="25" t="s">
        <v>392</v>
      </c>
      <c r="C21" s="119">
        <v>59.15</v>
      </c>
      <c r="D21" s="119">
        <v>54.5</v>
      </c>
      <c r="E21" s="119">
        <v>61.9</v>
      </c>
      <c r="F21" s="119">
        <v>57.14</v>
      </c>
      <c r="G21" s="119">
        <v>62.5</v>
      </c>
      <c r="H21" s="119">
        <v>58</v>
      </c>
      <c r="I21" s="119">
        <f t="shared" si="0"/>
        <v>58.865</v>
      </c>
      <c r="J21" s="119">
        <v>0.6</v>
      </c>
      <c r="K21" s="77">
        <v>0.12380000000000001</v>
      </c>
      <c r="L21" s="117">
        <f t="shared" si="1"/>
        <v>0.1359061627393301</v>
      </c>
      <c r="M21" s="76">
        <v>66103.25</v>
      </c>
      <c r="N21" s="131">
        <f t="shared" si="2"/>
        <v>1.1238</v>
      </c>
      <c r="O21" s="122">
        <v>9</v>
      </c>
    </row>
    <row r="22" spans="1:15" ht="12.75">
      <c r="A22" s="25" t="s">
        <v>393</v>
      </c>
      <c r="B22" s="25" t="s">
        <v>394</v>
      </c>
      <c r="C22" s="119">
        <v>70.19</v>
      </c>
      <c r="D22" s="119">
        <v>65.38</v>
      </c>
      <c r="E22" s="119">
        <v>72.45</v>
      </c>
      <c r="F22" s="119">
        <v>67.94</v>
      </c>
      <c r="G22" s="119">
        <v>72.97</v>
      </c>
      <c r="H22" s="119">
        <v>69.17</v>
      </c>
      <c r="I22" s="119">
        <f t="shared" si="0"/>
        <v>69.68333333333332</v>
      </c>
      <c r="J22" s="119">
        <v>0.66</v>
      </c>
      <c r="K22" s="77">
        <v>0.1257</v>
      </c>
      <c r="L22" s="117">
        <f t="shared" si="1"/>
        <v>0.13696516210495258</v>
      </c>
      <c r="M22" s="76">
        <v>180784.5</v>
      </c>
      <c r="N22" s="131">
        <f t="shared" si="2"/>
        <v>1.1257</v>
      </c>
      <c r="O22" s="122">
        <v>7</v>
      </c>
    </row>
    <row r="23" spans="1:15" ht="12.75">
      <c r="A23" s="25" t="s">
        <v>395</v>
      </c>
      <c r="B23" s="25" t="s">
        <v>396</v>
      </c>
      <c r="C23" s="119">
        <v>55.52</v>
      </c>
      <c r="D23" s="119">
        <v>51.95</v>
      </c>
      <c r="E23" s="119">
        <v>54.4</v>
      </c>
      <c r="F23" s="119">
        <v>45.08</v>
      </c>
      <c r="G23" s="119">
        <v>48.02</v>
      </c>
      <c r="H23" s="119">
        <v>44.29</v>
      </c>
      <c r="I23" s="119">
        <f t="shared" si="0"/>
        <v>49.876666666666665</v>
      </c>
      <c r="J23" s="119">
        <v>0.2</v>
      </c>
      <c r="K23" s="77">
        <v>0.135</v>
      </c>
      <c r="L23" s="117">
        <f t="shared" si="1"/>
        <v>0.13979835299380117</v>
      </c>
      <c r="M23" s="76">
        <v>9927.15</v>
      </c>
      <c r="N23" s="131">
        <f t="shared" si="2"/>
        <v>1.135</v>
      </c>
      <c r="O23" s="122">
        <v>6</v>
      </c>
    </row>
    <row r="24" spans="1:15" ht="12.75">
      <c r="A24" s="25" t="s">
        <v>397</v>
      </c>
      <c r="B24" s="25" t="s">
        <v>398</v>
      </c>
      <c r="C24" s="119">
        <v>36.55</v>
      </c>
      <c r="D24" s="119">
        <v>32.99</v>
      </c>
      <c r="E24" s="119">
        <v>33</v>
      </c>
      <c r="F24" s="119">
        <v>30.2</v>
      </c>
      <c r="G24" s="119">
        <v>35.23</v>
      </c>
      <c r="H24" s="119">
        <v>31.2</v>
      </c>
      <c r="I24" s="119">
        <f t="shared" si="0"/>
        <v>33.19499999999999</v>
      </c>
      <c r="J24" s="119">
        <v>0.46</v>
      </c>
      <c r="K24" s="77">
        <v>0.10400000000000001</v>
      </c>
      <c r="L24" s="117">
        <f t="shared" si="1"/>
        <v>0.12019218746073834</v>
      </c>
      <c r="M24" s="76">
        <v>22029.6</v>
      </c>
      <c r="N24" s="131">
        <f t="shared" si="2"/>
        <v>1.104</v>
      </c>
      <c r="O24" s="122">
        <v>5</v>
      </c>
    </row>
    <row r="25" spans="1:15" ht="12.75">
      <c r="A25" s="25" t="s">
        <v>399</v>
      </c>
      <c r="B25" s="25" t="s">
        <v>400</v>
      </c>
      <c r="C25" s="119">
        <v>38.18</v>
      </c>
      <c r="D25" s="119">
        <v>35.19</v>
      </c>
      <c r="E25" s="119">
        <v>37.88</v>
      </c>
      <c r="F25" s="119">
        <v>32.7</v>
      </c>
      <c r="G25" s="119">
        <v>36.21</v>
      </c>
      <c r="H25" s="119">
        <v>33.74</v>
      </c>
      <c r="I25" s="119">
        <f t="shared" si="0"/>
        <v>35.65</v>
      </c>
      <c r="J25" s="119">
        <v>1.42</v>
      </c>
      <c r="K25" s="77">
        <v>0.0827</v>
      </c>
      <c r="L25" s="117">
        <f t="shared" si="1"/>
        <v>0.12881431309114633</v>
      </c>
      <c r="M25" s="76">
        <v>227339.8</v>
      </c>
      <c r="N25" s="131">
        <f t="shared" si="2"/>
        <v>1.0827</v>
      </c>
      <c r="O25" s="122">
        <v>9</v>
      </c>
    </row>
    <row r="26" spans="1:15" ht="12.75">
      <c r="A26" s="25" t="s">
        <v>401</v>
      </c>
      <c r="B26" s="25" t="s">
        <v>402</v>
      </c>
      <c r="C26" s="119">
        <v>51.5</v>
      </c>
      <c r="D26" s="119">
        <v>48.15</v>
      </c>
      <c r="E26" s="119">
        <v>49.28</v>
      </c>
      <c r="F26" s="119">
        <v>46.85</v>
      </c>
      <c r="G26" s="119">
        <v>49.78</v>
      </c>
      <c r="H26" s="119">
        <v>47.52</v>
      </c>
      <c r="I26" s="119">
        <f t="shared" si="0"/>
        <v>48.846666666666664</v>
      </c>
      <c r="J26" s="119">
        <v>0.92</v>
      </c>
      <c r="K26" s="77">
        <v>0.12300000000000001</v>
      </c>
      <c r="L26" s="117">
        <f t="shared" si="1"/>
        <v>0.14543037494653888</v>
      </c>
      <c r="M26" s="76">
        <v>26788.01</v>
      </c>
      <c r="N26" s="131">
        <f t="shared" si="2"/>
        <v>1.123</v>
      </c>
      <c r="O26" s="122">
        <v>10</v>
      </c>
    </row>
    <row r="27" spans="1:15" ht="12.75">
      <c r="A27" s="25" t="s">
        <v>403</v>
      </c>
      <c r="B27" s="25" t="s">
        <v>404</v>
      </c>
      <c r="C27" s="119">
        <v>69.16</v>
      </c>
      <c r="D27" s="119">
        <v>65.21</v>
      </c>
      <c r="E27" s="119">
        <v>71.35</v>
      </c>
      <c r="F27" s="119">
        <v>67.08</v>
      </c>
      <c r="G27" s="119">
        <v>69.31</v>
      </c>
      <c r="H27" s="119">
        <v>66.45</v>
      </c>
      <c r="I27" s="119">
        <f t="shared" si="0"/>
        <v>68.09333333333333</v>
      </c>
      <c r="J27" s="119">
        <v>1.6</v>
      </c>
      <c r="K27" s="77">
        <v>0.11</v>
      </c>
      <c r="L27" s="117">
        <f t="shared" si="1"/>
        <v>0.13771027522246415</v>
      </c>
      <c r="M27" s="76">
        <v>7127.43</v>
      </c>
      <c r="N27" s="131">
        <f t="shared" si="2"/>
        <v>1.11</v>
      </c>
      <c r="O27" s="122">
        <v>5</v>
      </c>
    </row>
    <row r="28" spans="1:15" ht="12.75">
      <c r="A28" s="25" t="s">
        <v>405</v>
      </c>
      <c r="B28" s="25" t="s">
        <v>406</v>
      </c>
      <c r="C28" s="119">
        <v>40.13</v>
      </c>
      <c r="D28" s="119">
        <v>34.29</v>
      </c>
      <c r="E28" s="119">
        <v>35.14</v>
      </c>
      <c r="F28" s="119">
        <v>32.55</v>
      </c>
      <c r="G28" s="119">
        <v>34.25</v>
      </c>
      <c r="H28" s="119">
        <v>32.04</v>
      </c>
      <c r="I28" s="119">
        <f t="shared" si="0"/>
        <v>34.733333333333334</v>
      </c>
      <c r="J28" s="119">
        <v>0.74</v>
      </c>
      <c r="K28" s="77">
        <v>0.1065</v>
      </c>
      <c r="L28" s="117">
        <f t="shared" si="1"/>
        <v>0.13152440402258136</v>
      </c>
      <c r="M28" s="76">
        <v>16203.8</v>
      </c>
      <c r="N28" s="131">
        <f t="shared" si="2"/>
        <v>1.1065</v>
      </c>
      <c r="O28" s="122">
        <v>7</v>
      </c>
    </row>
    <row r="29" spans="1:15" ht="12.75">
      <c r="A29" s="25" t="s">
        <v>407</v>
      </c>
      <c r="B29" s="25" t="s">
        <v>408</v>
      </c>
      <c r="C29" s="119">
        <v>49.2</v>
      </c>
      <c r="D29" s="119">
        <v>45.28</v>
      </c>
      <c r="E29" s="119">
        <v>47.55</v>
      </c>
      <c r="F29" s="119">
        <v>43.51</v>
      </c>
      <c r="G29" s="119">
        <v>44.08</v>
      </c>
      <c r="H29" s="119">
        <v>42.4</v>
      </c>
      <c r="I29" s="119">
        <f t="shared" si="0"/>
        <v>45.336666666666666</v>
      </c>
      <c r="J29" s="119">
        <v>0.4</v>
      </c>
      <c r="K29" s="77">
        <v>0.125</v>
      </c>
      <c r="L29" s="117">
        <f t="shared" si="1"/>
        <v>0.1354845924524435</v>
      </c>
      <c r="M29" s="76">
        <v>4694.63</v>
      </c>
      <c r="N29" s="131">
        <f t="shared" si="2"/>
        <v>1.125</v>
      </c>
      <c r="O29" s="122">
        <v>4</v>
      </c>
    </row>
    <row r="30" spans="1:15" ht="12.75">
      <c r="A30" s="25" t="s">
        <v>409</v>
      </c>
      <c r="B30" s="25" t="s">
        <v>410</v>
      </c>
      <c r="C30" s="119">
        <v>54.21</v>
      </c>
      <c r="D30" s="119">
        <v>49</v>
      </c>
      <c r="E30" s="119">
        <v>54.18</v>
      </c>
      <c r="F30" s="119">
        <v>51.35</v>
      </c>
      <c r="G30" s="119">
        <v>55</v>
      </c>
      <c r="H30" s="119">
        <v>51.32</v>
      </c>
      <c r="I30" s="119">
        <f t="shared" si="0"/>
        <v>52.51</v>
      </c>
      <c r="J30" s="119">
        <v>2.24</v>
      </c>
      <c r="K30" s="77">
        <v>0.0866</v>
      </c>
      <c r="L30" s="117">
        <f t="shared" si="1"/>
        <v>0.13622016664953218</v>
      </c>
      <c r="M30" s="76">
        <v>224579.3</v>
      </c>
      <c r="N30" s="131">
        <f t="shared" si="2"/>
        <v>1.0866</v>
      </c>
      <c r="O30" s="122">
        <v>14</v>
      </c>
    </row>
    <row r="31" spans="1:15" ht="12.75">
      <c r="A31" s="25" t="s">
        <v>411</v>
      </c>
      <c r="B31" s="25" t="s">
        <v>412</v>
      </c>
      <c r="C31" s="119">
        <v>43.46</v>
      </c>
      <c r="D31" s="119">
        <v>39.47</v>
      </c>
      <c r="E31" s="119">
        <v>41.39</v>
      </c>
      <c r="F31" s="119">
        <v>39.05</v>
      </c>
      <c r="G31" s="119">
        <v>40.55</v>
      </c>
      <c r="H31" s="119">
        <v>35.13</v>
      </c>
      <c r="I31" s="119">
        <f t="shared" si="0"/>
        <v>39.84166666666667</v>
      </c>
      <c r="J31" s="119">
        <v>0.88</v>
      </c>
      <c r="K31" s="77">
        <v>0.1131</v>
      </c>
      <c r="L31" s="117">
        <f t="shared" si="1"/>
        <v>0.13920600399842598</v>
      </c>
      <c r="M31" s="76">
        <v>29930.82</v>
      </c>
      <c r="N31" s="131">
        <f t="shared" si="2"/>
        <v>1.1131</v>
      </c>
      <c r="O31" s="122">
        <v>13</v>
      </c>
    </row>
    <row r="32" spans="1:15" ht="12.75">
      <c r="A32" s="25" t="s">
        <v>413</v>
      </c>
      <c r="B32" s="25" t="s">
        <v>414</v>
      </c>
      <c r="C32" s="119">
        <v>50.99</v>
      </c>
      <c r="D32" s="119">
        <v>48.1</v>
      </c>
      <c r="E32" s="119">
        <v>49.98</v>
      </c>
      <c r="F32" s="119">
        <v>46.07</v>
      </c>
      <c r="G32" s="119">
        <v>48.54</v>
      </c>
      <c r="H32" s="119">
        <v>44.28</v>
      </c>
      <c r="I32" s="119">
        <f t="shared" si="0"/>
        <v>47.99333333333333</v>
      </c>
      <c r="J32" s="119">
        <v>0.67</v>
      </c>
      <c r="K32" s="77">
        <v>0.1303</v>
      </c>
      <c r="L32" s="117">
        <f t="shared" si="1"/>
        <v>0.14700153980664177</v>
      </c>
      <c r="M32" s="76">
        <v>31950.58</v>
      </c>
      <c r="N32" s="131">
        <f t="shared" si="2"/>
        <v>1.1303</v>
      </c>
      <c r="O32" s="122">
        <v>4</v>
      </c>
    </row>
    <row r="33" spans="1:15" ht="12.75">
      <c r="A33" s="25" t="s">
        <v>415</v>
      </c>
      <c r="B33" s="25" t="s">
        <v>416</v>
      </c>
      <c r="C33" s="119">
        <v>44.19</v>
      </c>
      <c r="D33" s="119">
        <v>42.1</v>
      </c>
      <c r="E33" s="119">
        <v>44.3</v>
      </c>
      <c r="F33" s="119">
        <v>41.92</v>
      </c>
      <c r="G33" s="119">
        <v>44.74</v>
      </c>
      <c r="H33" s="119">
        <v>42.74</v>
      </c>
      <c r="I33" s="119">
        <f t="shared" si="0"/>
        <v>43.33166666666667</v>
      </c>
      <c r="J33" s="119">
        <v>1.68</v>
      </c>
      <c r="K33" s="77">
        <v>0.08529999999999999</v>
      </c>
      <c r="L33" s="117">
        <f t="shared" si="1"/>
        <v>0.13027497402609245</v>
      </c>
      <c r="M33" s="76">
        <v>22541.19</v>
      </c>
      <c r="N33" s="131">
        <f t="shared" si="2"/>
        <v>1.0853</v>
      </c>
      <c r="O33" s="122">
        <v>12</v>
      </c>
    </row>
    <row r="34" spans="1:15" ht="12.75">
      <c r="A34" s="25" t="s">
        <v>417</v>
      </c>
      <c r="B34" s="25" t="s">
        <v>418</v>
      </c>
      <c r="C34" s="119">
        <v>170.23</v>
      </c>
      <c r="D34" s="119">
        <v>149.1</v>
      </c>
      <c r="E34" s="119">
        <v>172.61</v>
      </c>
      <c r="F34" s="119">
        <v>160.91</v>
      </c>
      <c r="G34" s="119">
        <v>166.2</v>
      </c>
      <c r="H34" s="119">
        <v>149.728</v>
      </c>
      <c r="I34" s="119">
        <f t="shared" si="0"/>
        <v>161.463</v>
      </c>
      <c r="J34" s="119">
        <v>1.28</v>
      </c>
      <c r="K34" s="77">
        <v>0.1157</v>
      </c>
      <c r="L34" s="117">
        <f t="shared" si="1"/>
        <v>0.12503941282802122</v>
      </c>
      <c r="M34" s="76">
        <v>17665.02</v>
      </c>
      <c r="N34" s="131">
        <f t="shared" si="2"/>
        <v>1.1157</v>
      </c>
      <c r="O34" s="122">
        <v>7</v>
      </c>
    </row>
    <row r="35" spans="1:15" ht="12.75">
      <c r="A35" s="25" t="s">
        <v>419</v>
      </c>
      <c r="B35" s="25" t="s">
        <v>420</v>
      </c>
      <c r="C35" s="119">
        <v>78.83</v>
      </c>
      <c r="D35" s="119">
        <v>74.6</v>
      </c>
      <c r="E35" s="119">
        <v>77.3</v>
      </c>
      <c r="F35" s="119">
        <v>69.3</v>
      </c>
      <c r="G35" s="119">
        <v>73.3</v>
      </c>
      <c r="H35" s="119">
        <v>69.98</v>
      </c>
      <c r="I35" s="119">
        <f t="shared" si="0"/>
        <v>73.885</v>
      </c>
      <c r="J35" s="119">
        <v>0.98</v>
      </c>
      <c r="K35" s="77">
        <v>0.1245</v>
      </c>
      <c r="L35" s="117">
        <f t="shared" si="1"/>
        <v>0.14028261049752766</v>
      </c>
      <c r="M35" s="76">
        <v>18312.52</v>
      </c>
      <c r="N35" s="131">
        <f t="shared" si="2"/>
        <v>1.1245</v>
      </c>
      <c r="O35" s="122">
        <v>10</v>
      </c>
    </row>
    <row r="36" spans="1:15" ht="12.75">
      <c r="A36" s="25" t="s">
        <v>421</v>
      </c>
      <c r="B36" s="25" t="s">
        <v>422</v>
      </c>
      <c r="C36" s="119">
        <v>34.84</v>
      </c>
      <c r="D36" s="119">
        <v>33</v>
      </c>
      <c r="E36" s="119">
        <v>36.53</v>
      </c>
      <c r="F36" s="119">
        <v>32.01</v>
      </c>
      <c r="G36" s="119">
        <v>34.99</v>
      </c>
      <c r="H36" s="119">
        <v>33.76</v>
      </c>
      <c r="I36" s="119">
        <f t="shared" si="0"/>
        <v>34.18833333333333</v>
      </c>
      <c r="J36" s="119">
        <v>0.84</v>
      </c>
      <c r="K36" s="77">
        <v>0.1067</v>
      </c>
      <c r="L36" s="117">
        <f t="shared" si="1"/>
        <v>0.13560130313519858</v>
      </c>
      <c r="M36" s="76">
        <v>3448.05</v>
      </c>
      <c r="N36" s="131">
        <f t="shared" si="2"/>
        <v>1.1067</v>
      </c>
      <c r="O36" s="122">
        <v>3</v>
      </c>
    </row>
    <row r="37" spans="1:15" ht="12.75">
      <c r="A37" s="25" t="s">
        <v>423</v>
      </c>
      <c r="B37" s="25" t="s">
        <v>424</v>
      </c>
      <c r="C37" s="119">
        <v>90.91</v>
      </c>
      <c r="D37" s="119">
        <v>83.37</v>
      </c>
      <c r="E37" s="119">
        <v>87.39</v>
      </c>
      <c r="F37" s="119">
        <v>78.81</v>
      </c>
      <c r="G37" s="119">
        <v>87.66</v>
      </c>
      <c r="H37" s="119">
        <v>76.8548</v>
      </c>
      <c r="I37" s="119">
        <f t="shared" si="0"/>
        <v>84.1658</v>
      </c>
      <c r="J37" s="119">
        <v>1.68</v>
      </c>
      <c r="K37" s="77">
        <v>0.096</v>
      </c>
      <c r="L37" s="117">
        <f t="shared" si="1"/>
        <v>0.11921031078126432</v>
      </c>
      <c r="M37" s="76">
        <v>5435.61</v>
      </c>
      <c r="N37" s="131">
        <f t="shared" si="2"/>
        <v>1.096</v>
      </c>
      <c r="O37" s="122">
        <v>5</v>
      </c>
    </row>
    <row r="38" spans="1:15" ht="12.75">
      <c r="A38" s="25" t="s">
        <v>425</v>
      </c>
      <c r="B38" s="25" t="s">
        <v>426</v>
      </c>
      <c r="C38" s="119">
        <v>68.25</v>
      </c>
      <c r="D38" s="119">
        <v>64.53</v>
      </c>
      <c r="E38" s="119">
        <v>68.14</v>
      </c>
      <c r="F38" s="119">
        <v>64.2</v>
      </c>
      <c r="G38" s="119">
        <v>69.8</v>
      </c>
      <c r="H38" s="119">
        <v>65.27</v>
      </c>
      <c r="I38" s="119">
        <f t="shared" si="0"/>
        <v>66.69833333333334</v>
      </c>
      <c r="J38" s="119">
        <v>1.21</v>
      </c>
      <c r="K38" s="77">
        <v>0.10400000000000001</v>
      </c>
      <c r="L38" s="117">
        <f t="shared" si="1"/>
        <v>0.12523364868271258</v>
      </c>
      <c r="M38" s="76">
        <v>4253.82</v>
      </c>
      <c r="N38" s="131">
        <f t="shared" si="2"/>
        <v>1.104</v>
      </c>
      <c r="O38" s="122">
        <v>3</v>
      </c>
    </row>
    <row r="39" spans="1:15" ht="12.75">
      <c r="A39" s="25" t="s">
        <v>427</v>
      </c>
      <c r="B39" s="25" t="s">
        <v>428</v>
      </c>
      <c r="C39" s="119">
        <v>34.86</v>
      </c>
      <c r="D39" s="119">
        <v>32</v>
      </c>
      <c r="E39" s="119">
        <v>34.64</v>
      </c>
      <c r="F39" s="119">
        <v>29.67</v>
      </c>
      <c r="G39" s="119">
        <v>32.87</v>
      </c>
      <c r="H39" s="119">
        <v>31.25</v>
      </c>
      <c r="I39" s="119">
        <f t="shared" si="0"/>
        <v>32.54833333333334</v>
      </c>
      <c r="J39" s="119">
        <v>0.6</v>
      </c>
      <c r="K39" s="77">
        <v>0.0983</v>
      </c>
      <c r="L39" s="117">
        <f t="shared" si="1"/>
        <v>0.11976736741042959</v>
      </c>
      <c r="M39" s="76">
        <v>2917.81</v>
      </c>
      <c r="N39" s="131">
        <f t="shared" si="2"/>
        <v>1.0983</v>
      </c>
      <c r="O39" s="122">
        <v>8</v>
      </c>
    </row>
    <row r="40" spans="1:15" ht="12.75">
      <c r="A40" s="25" t="s">
        <v>429</v>
      </c>
      <c r="B40" s="25" t="s">
        <v>429</v>
      </c>
      <c r="C40" s="119">
        <v>27.46</v>
      </c>
      <c r="D40" s="119">
        <v>24.5</v>
      </c>
      <c r="E40" s="119">
        <v>25.77</v>
      </c>
      <c r="F40" s="119">
        <v>22.98</v>
      </c>
      <c r="G40" s="119">
        <v>23.35</v>
      </c>
      <c r="H40" s="119">
        <v>21.29</v>
      </c>
      <c r="I40" s="119">
        <f t="shared" si="0"/>
        <v>24.224999999999998</v>
      </c>
      <c r="J40" s="119">
        <v>0.16</v>
      </c>
      <c r="K40" s="77">
        <v>0.1361</v>
      </c>
      <c r="L40" s="117">
        <f t="shared" si="1"/>
        <v>0.144019198927557</v>
      </c>
      <c r="M40" s="76">
        <v>13442.37</v>
      </c>
      <c r="N40" s="131">
        <f t="shared" si="2"/>
        <v>1.1360999999999999</v>
      </c>
      <c r="O40" s="122">
        <v>7</v>
      </c>
    </row>
    <row r="41" spans="1:15" ht="12.75">
      <c r="A41" s="25" t="s">
        <v>430</v>
      </c>
      <c r="B41" s="25" t="s">
        <v>431</v>
      </c>
      <c r="C41" s="119">
        <v>83.84</v>
      </c>
      <c r="D41" s="119">
        <v>75.78</v>
      </c>
      <c r="E41" s="119">
        <v>80.73</v>
      </c>
      <c r="F41" s="119">
        <v>75.3</v>
      </c>
      <c r="G41" s="119">
        <v>78.74</v>
      </c>
      <c r="H41" s="119">
        <v>75.75</v>
      </c>
      <c r="I41" s="119">
        <f t="shared" si="0"/>
        <v>78.35666666666667</v>
      </c>
      <c r="J41" s="119">
        <v>0.11</v>
      </c>
      <c r="K41" s="77">
        <v>0.12560000000000002</v>
      </c>
      <c r="L41" s="117">
        <f t="shared" si="1"/>
        <v>0.12726424732258623</v>
      </c>
      <c r="M41" s="76">
        <v>23399</v>
      </c>
      <c r="N41" s="131">
        <f t="shared" si="2"/>
        <v>1.1256</v>
      </c>
      <c r="O41" s="122">
        <v>12</v>
      </c>
    </row>
    <row r="42" spans="1:15" ht="12.75">
      <c r="A42" s="25" t="s">
        <v>432</v>
      </c>
      <c r="B42" s="25" t="s">
        <v>433</v>
      </c>
      <c r="C42" s="119">
        <v>73.1</v>
      </c>
      <c r="D42" s="119">
        <v>69.5</v>
      </c>
      <c r="E42" s="119">
        <v>73.34</v>
      </c>
      <c r="F42" s="119">
        <v>63.32</v>
      </c>
      <c r="G42" s="119">
        <v>66.99</v>
      </c>
      <c r="H42" s="119">
        <v>64.05</v>
      </c>
      <c r="I42" s="119">
        <f t="shared" si="0"/>
        <v>68.38333333333334</v>
      </c>
      <c r="J42" s="119">
        <v>0.36</v>
      </c>
      <c r="K42" s="77">
        <v>0.14150000000000001</v>
      </c>
      <c r="L42" s="117">
        <f t="shared" si="1"/>
        <v>0.14783879831994162</v>
      </c>
      <c r="M42" s="76">
        <v>27848.51</v>
      </c>
      <c r="N42" s="131">
        <f t="shared" si="2"/>
        <v>1.1415</v>
      </c>
      <c r="O42" s="122">
        <v>10</v>
      </c>
    </row>
    <row r="43" spans="1:15" ht="12.75">
      <c r="A43" s="25" t="s">
        <v>434</v>
      </c>
      <c r="B43" s="25" t="s">
        <v>435</v>
      </c>
      <c r="C43" s="119">
        <v>32.27</v>
      </c>
      <c r="D43" s="119">
        <v>28.45</v>
      </c>
      <c r="E43" s="119">
        <v>31.97</v>
      </c>
      <c r="F43" s="119">
        <v>30.5</v>
      </c>
      <c r="G43" s="119">
        <v>32.04</v>
      </c>
      <c r="H43" s="119">
        <v>29.45</v>
      </c>
      <c r="I43" s="119">
        <f t="shared" si="0"/>
        <v>30.779999999999998</v>
      </c>
      <c r="J43" s="119">
        <v>0.88</v>
      </c>
      <c r="K43" s="77">
        <v>0.1002</v>
      </c>
      <c r="L43" s="117">
        <f t="shared" si="1"/>
        <v>0.13368576590065984</v>
      </c>
      <c r="M43" s="76">
        <v>21248.91</v>
      </c>
      <c r="N43" s="131">
        <f t="shared" si="2"/>
        <v>1.1002</v>
      </c>
      <c r="O43" s="122">
        <v>6</v>
      </c>
    </row>
    <row r="44" spans="1:15" ht="12.75">
      <c r="A44" s="25" t="s">
        <v>436</v>
      </c>
      <c r="B44" s="25" t="s">
        <v>437</v>
      </c>
      <c r="C44" s="119">
        <v>55.62</v>
      </c>
      <c r="D44" s="119">
        <v>45.94</v>
      </c>
      <c r="E44" s="119">
        <v>56.45</v>
      </c>
      <c r="F44" s="119">
        <v>50.56</v>
      </c>
      <c r="G44" s="119">
        <v>58.42</v>
      </c>
      <c r="H44" s="119">
        <v>54.38</v>
      </c>
      <c r="I44" s="119">
        <f t="shared" si="0"/>
        <v>53.56166666666667</v>
      </c>
      <c r="J44" s="119">
        <v>0.16</v>
      </c>
      <c r="K44" s="77">
        <v>0.1333</v>
      </c>
      <c r="L44" s="117">
        <f t="shared" si="1"/>
        <v>0.13686778975288827</v>
      </c>
      <c r="M44" s="76">
        <v>5504.88</v>
      </c>
      <c r="N44" s="131">
        <f t="shared" si="2"/>
        <v>1.1333</v>
      </c>
      <c r="O44" s="122">
        <v>3</v>
      </c>
    </row>
    <row r="45" spans="1:15" ht="12.75">
      <c r="A45" s="25" t="s">
        <v>438</v>
      </c>
      <c r="B45" s="25" t="s">
        <v>439</v>
      </c>
      <c r="C45" s="119">
        <v>53.6</v>
      </c>
      <c r="D45" s="119">
        <v>50.6</v>
      </c>
      <c r="E45" s="119">
        <v>53.86</v>
      </c>
      <c r="F45" s="119">
        <v>51.57</v>
      </c>
      <c r="G45" s="119">
        <v>53.68</v>
      </c>
      <c r="H45" s="119">
        <v>51.01</v>
      </c>
      <c r="I45" s="119">
        <f t="shared" si="0"/>
        <v>52.38666666666666</v>
      </c>
      <c r="J45" s="119">
        <v>1.16</v>
      </c>
      <c r="K45" s="77">
        <v>0.09820000000000001</v>
      </c>
      <c r="L45" s="117">
        <f t="shared" si="1"/>
        <v>0.12402196154657608</v>
      </c>
      <c r="M45" s="76">
        <v>20845.75</v>
      </c>
      <c r="N45" s="131">
        <f t="shared" si="2"/>
        <v>1.0982</v>
      </c>
      <c r="O45" s="122">
        <v>9</v>
      </c>
    </row>
    <row r="46" spans="1:15" ht="12.75">
      <c r="A46" s="25" t="s">
        <v>440</v>
      </c>
      <c r="B46" s="25" t="s">
        <v>441</v>
      </c>
      <c r="C46" s="119">
        <v>146.7</v>
      </c>
      <c r="D46" s="119">
        <v>131.99</v>
      </c>
      <c r="E46" s="119">
        <v>132.99</v>
      </c>
      <c r="F46" s="119">
        <v>127</v>
      </c>
      <c r="G46" s="119">
        <v>132.65</v>
      </c>
      <c r="H46" s="119">
        <v>124.12</v>
      </c>
      <c r="I46" s="119">
        <f t="shared" si="0"/>
        <v>132.57500000000002</v>
      </c>
      <c r="J46" s="119">
        <v>0.1</v>
      </c>
      <c r="K46" s="77">
        <v>0.11939999999999999</v>
      </c>
      <c r="L46" s="117">
        <f t="shared" si="1"/>
        <v>0.12028905651502075</v>
      </c>
      <c r="M46" s="76">
        <v>14463.11</v>
      </c>
      <c r="N46" s="131">
        <f t="shared" si="2"/>
        <v>1.1194</v>
      </c>
      <c r="O46" s="122">
        <v>10</v>
      </c>
    </row>
    <row r="47" spans="1:15" ht="12.75">
      <c r="A47" s="25" t="s">
        <v>442</v>
      </c>
      <c r="B47" s="25" t="s">
        <v>443</v>
      </c>
      <c r="C47" s="119">
        <v>42.89</v>
      </c>
      <c r="D47" s="119">
        <v>40.16</v>
      </c>
      <c r="E47" s="119">
        <v>42.05</v>
      </c>
      <c r="F47" s="119">
        <v>39.675</v>
      </c>
      <c r="G47" s="119">
        <v>43.24</v>
      </c>
      <c r="H47" s="119">
        <v>38.48</v>
      </c>
      <c r="I47" s="119">
        <f t="shared" si="0"/>
        <v>41.082499999999996</v>
      </c>
      <c r="J47" s="119">
        <v>0.39</v>
      </c>
      <c r="K47" s="77">
        <v>0.1389</v>
      </c>
      <c r="L47" s="117">
        <f t="shared" si="1"/>
        <v>0.15032343753833421</v>
      </c>
      <c r="M47" s="76">
        <v>6284.51</v>
      </c>
      <c r="N47" s="131">
        <f t="shared" si="2"/>
        <v>1.1389</v>
      </c>
      <c r="O47" s="122">
        <v>9</v>
      </c>
    </row>
    <row r="48" spans="1:15" ht="12.75">
      <c r="A48" s="25" t="s">
        <v>444</v>
      </c>
      <c r="B48" s="25" t="s">
        <v>145</v>
      </c>
      <c r="C48" s="119">
        <v>55.5</v>
      </c>
      <c r="D48" s="119">
        <v>49.56</v>
      </c>
      <c r="E48" s="119">
        <v>56.28</v>
      </c>
      <c r="F48" s="119">
        <v>53.5</v>
      </c>
      <c r="G48" s="119">
        <v>57</v>
      </c>
      <c r="H48" s="119">
        <v>48.83</v>
      </c>
      <c r="I48" s="119">
        <f t="shared" si="0"/>
        <v>53.445</v>
      </c>
      <c r="J48" s="119">
        <v>2.16</v>
      </c>
      <c r="K48" s="77">
        <v>0.0981</v>
      </c>
      <c r="L48" s="117">
        <f t="shared" si="1"/>
        <v>0.14556650346157118</v>
      </c>
      <c r="M48" s="76">
        <v>245535.8</v>
      </c>
      <c r="N48" s="131">
        <f t="shared" si="2"/>
        <v>1.0981</v>
      </c>
      <c r="O48" s="122">
        <v>13</v>
      </c>
    </row>
    <row r="49" spans="1:15" ht="12.75">
      <c r="A49" s="25" t="s">
        <v>445</v>
      </c>
      <c r="B49" s="25" t="s">
        <v>446</v>
      </c>
      <c r="C49" s="119">
        <v>37.14</v>
      </c>
      <c r="D49" s="119">
        <v>35.61</v>
      </c>
      <c r="E49" s="119">
        <v>37.55</v>
      </c>
      <c r="F49" s="119">
        <v>35.31</v>
      </c>
      <c r="G49" s="119">
        <v>35.78</v>
      </c>
      <c r="H49" s="119">
        <v>35.16</v>
      </c>
      <c r="I49" s="119">
        <f t="shared" si="0"/>
        <v>36.09166666666667</v>
      </c>
      <c r="J49" s="119">
        <v>0.75</v>
      </c>
      <c r="K49" s="77">
        <v>0.1201</v>
      </c>
      <c r="L49" s="117">
        <f t="shared" si="1"/>
        <v>0.14480292131566253</v>
      </c>
      <c r="M49" s="76">
        <v>17867.21</v>
      </c>
      <c r="N49" s="131">
        <f t="shared" si="2"/>
        <v>1.1201</v>
      </c>
      <c r="O49" s="122">
        <v>5</v>
      </c>
    </row>
    <row r="50" spans="1:15" ht="12.75">
      <c r="A50" s="25" t="s">
        <v>447</v>
      </c>
      <c r="B50" s="25" t="s">
        <v>448</v>
      </c>
      <c r="C50" s="119">
        <v>67.5</v>
      </c>
      <c r="D50" s="119">
        <v>62.5</v>
      </c>
      <c r="E50" s="119">
        <v>66.2</v>
      </c>
      <c r="F50" s="119">
        <v>62.84</v>
      </c>
      <c r="G50" s="119">
        <v>64.9</v>
      </c>
      <c r="H50" s="119">
        <v>63.21</v>
      </c>
      <c r="I50" s="119">
        <f t="shared" si="0"/>
        <v>64.52499999999999</v>
      </c>
      <c r="J50" s="119">
        <v>1.24</v>
      </c>
      <c r="K50" s="77">
        <v>0.10300000000000001</v>
      </c>
      <c r="L50" s="117">
        <f t="shared" si="1"/>
        <v>0.12548219210203349</v>
      </c>
      <c r="M50" s="76">
        <v>9513.94</v>
      </c>
      <c r="N50" s="131">
        <f t="shared" si="2"/>
        <v>1.103</v>
      </c>
      <c r="O50" s="122">
        <v>10</v>
      </c>
    </row>
    <row r="51" spans="1:15" ht="12.75">
      <c r="A51" s="25" t="s">
        <v>449</v>
      </c>
      <c r="B51" s="25" t="s">
        <v>450</v>
      </c>
      <c r="C51" s="119">
        <v>69</v>
      </c>
      <c r="D51" s="119">
        <v>66.67</v>
      </c>
      <c r="E51" s="119">
        <v>68.56</v>
      </c>
      <c r="F51" s="119">
        <v>65.01</v>
      </c>
      <c r="G51" s="119">
        <v>66.48</v>
      </c>
      <c r="H51" s="119">
        <v>64.16</v>
      </c>
      <c r="I51" s="119">
        <f t="shared" si="0"/>
        <v>66.64666666666666</v>
      </c>
      <c r="J51" s="119">
        <v>1.28</v>
      </c>
      <c r="K51" s="77">
        <v>0.1023</v>
      </c>
      <c r="L51" s="117">
        <f t="shared" si="1"/>
        <v>0.12475426417280966</v>
      </c>
      <c r="M51" s="76">
        <v>34219.01</v>
      </c>
      <c r="N51" s="131">
        <f t="shared" si="2"/>
        <v>1.1023</v>
      </c>
      <c r="O51" s="122">
        <v>11</v>
      </c>
    </row>
    <row r="52" spans="1:15" ht="12.75">
      <c r="A52" s="25" t="s">
        <v>451</v>
      </c>
      <c r="B52" s="25" t="s">
        <v>452</v>
      </c>
      <c r="C52" s="119">
        <v>35.01</v>
      </c>
      <c r="D52" s="119">
        <v>33</v>
      </c>
      <c r="E52" s="119">
        <v>36.15</v>
      </c>
      <c r="F52" s="119">
        <v>30.45</v>
      </c>
      <c r="G52" s="119">
        <v>36.66</v>
      </c>
      <c r="H52" s="119">
        <v>34.25</v>
      </c>
      <c r="I52" s="119">
        <f t="shared" si="0"/>
        <v>34.25333333333333</v>
      </c>
      <c r="J52" s="119">
        <v>0.52</v>
      </c>
      <c r="K52" s="77">
        <v>0.1373</v>
      </c>
      <c r="L52" s="117">
        <f t="shared" si="1"/>
        <v>0.15558325755434455</v>
      </c>
      <c r="M52" s="76">
        <v>6143.71</v>
      </c>
      <c r="N52" s="131">
        <f t="shared" si="2"/>
        <v>1.1373</v>
      </c>
      <c r="O52" s="122">
        <v>11</v>
      </c>
    </row>
    <row r="53" spans="1:15" ht="12.75">
      <c r="A53" s="25" t="s">
        <v>453</v>
      </c>
      <c r="B53" s="25" t="s">
        <v>454</v>
      </c>
      <c r="C53" s="119">
        <v>70.74</v>
      </c>
      <c r="D53" s="119">
        <v>60.74</v>
      </c>
      <c r="E53" s="119">
        <v>61.08</v>
      </c>
      <c r="F53" s="119">
        <v>58.61</v>
      </c>
      <c r="G53" s="119">
        <v>60.88</v>
      </c>
      <c r="H53" s="119">
        <v>56.81</v>
      </c>
      <c r="I53" s="119">
        <f t="shared" si="0"/>
        <v>61.47666666666667</v>
      </c>
      <c r="J53" s="119">
        <v>1.72</v>
      </c>
      <c r="K53" s="77">
        <v>0.1014</v>
      </c>
      <c r="L53" s="117">
        <f t="shared" si="1"/>
        <v>0.13419691388509847</v>
      </c>
      <c r="M53" s="76">
        <v>8722.04</v>
      </c>
      <c r="N53" s="131">
        <f t="shared" si="2"/>
        <v>1.1014</v>
      </c>
      <c r="O53" s="122">
        <v>7</v>
      </c>
    </row>
    <row r="54" spans="1:15" ht="12.75">
      <c r="A54" s="25" t="s">
        <v>455</v>
      </c>
      <c r="B54" s="25" t="s">
        <v>146</v>
      </c>
      <c r="C54" s="119">
        <v>83.16</v>
      </c>
      <c r="D54" s="119">
        <v>72.55</v>
      </c>
      <c r="E54" s="119">
        <v>72.65</v>
      </c>
      <c r="F54" s="119">
        <v>68.78</v>
      </c>
      <c r="G54" s="119">
        <v>70.2</v>
      </c>
      <c r="H54" s="119">
        <v>67.7</v>
      </c>
      <c r="I54" s="119">
        <f t="shared" si="0"/>
        <v>72.50666666666666</v>
      </c>
      <c r="J54" s="119">
        <v>1.74</v>
      </c>
      <c r="K54" s="77">
        <v>0.125</v>
      </c>
      <c r="L54" s="117">
        <f t="shared" si="1"/>
        <v>0.15368877717816964</v>
      </c>
      <c r="M54" s="76">
        <v>14006.42</v>
      </c>
      <c r="N54" s="131">
        <f t="shared" si="2"/>
        <v>1.125</v>
      </c>
      <c r="O54" s="122">
        <v>4</v>
      </c>
    </row>
    <row r="55" spans="1:15" ht="12.75">
      <c r="A55" s="25" t="s">
        <v>456</v>
      </c>
      <c r="B55" s="25" t="s">
        <v>457</v>
      </c>
      <c r="C55" s="119">
        <v>96.23</v>
      </c>
      <c r="D55" s="119">
        <v>89.74</v>
      </c>
      <c r="E55" s="119">
        <v>95.66</v>
      </c>
      <c r="F55" s="119">
        <v>88.32</v>
      </c>
      <c r="G55" s="119">
        <v>94.49</v>
      </c>
      <c r="H55" s="119">
        <v>88.28</v>
      </c>
      <c r="I55" s="119">
        <f t="shared" si="0"/>
        <v>92.12</v>
      </c>
      <c r="J55" s="119">
        <v>1.68</v>
      </c>
      <c r="K55" s="77">
        <v>0.1243</v>
      </c>
      <c r="L55" s="117">
        <f t="shared" si="1"/>
        <v>0.14603897792355958</v>
      </c>
      <c r="M55" s="76">
        <v>8268.53</v>
      </c>
      <c r="N55" s="131">
        <f t="shared" si="2"/>
        <v>1.1243</v>
      </c>
      <c r="O55" s="122">
        <v>7</v>
      </c>
    </row>
    <row r="56" spans="1:15" ht="12.75">
      <c r="A56" s="25" t="s">
        <v>458</v>
      </c>
      <c r="B56" s="25" t="s">
        <v>459</v>
      </c>
      <c r="C56" s="119">
        <v>58.7</v>
      </c>
      <c r="D56" s="119">
        <v>55.05</v>
      </c>
      <c r="E56" s="119">
        <v>57.25</v>
      </c>
      <c r="F56" s="119">
        <v>52.43</v>
      </c>
      <c r="G56" s="119">
        <v>55.12</v>
      </c>
      <c r="H56" s="119">
        <v>51.73</v>
      </c>
      <c r="I56" s="119">
        <f t="shared" si="0"/>
        <v>55.046666666666674</v>
      </c>
      <c r="J56" s="119">
        <v>0.52</v>
      </c>
      <c r="K56" s="77">
        <v>0.12990000000000002</v>
      </c>
      <c r="L56" s="117">
        <f t="shared" si="1"/>
        <v>0.14117736983228824</v>
      </c>
      <c r="M56" s="76">
        <v>25216.5</v>
      </c>
      <c r="N56" s="131">
        <f t="shared" si="2"/>
        <v>1.1299000000000001</v>
      </c>
      <c r="O56" s="122">
        <v>16</v>
      </c>
    </row>
    <row r="57" spans="1:15" ht="12.75">
      <c r="A57" s="25" t="s">
        <v>460</v>
      </c>
      <c r="B57" s="25" t="s">
        <v>461</v>
      </c>
      <c r="C57" s="119">
        <v>45.19</v>
      </c>
      <c r="D57" s="119">
        <v>36.93</v>
      </c>
      <c r="E57" s="119">
        <v>45.26</v>
      </c>
      <c r="F57" s="119">
        <v>39.86</v>
      </c>
      <c r="G57" s="119">
        <v>43.1</v>
      </c>
      <c r="H57" s="119">
        <v>39.21</v>
      </c>
      <c r="I57" s="119">
        <f t="shared" si="0"/>
        <v>41.59166666666667</v>
      </c>
      <c r="J57" s="119">
        <v>0.6</v>
      </c>
      <c r="K57" s="77">
        <v>0.10830000000000001</v>
      </c>
      <c r="L57" s="117">
        <f t="shared" si="1"/>
        <v>0.1252258677020479</v>
      </c>
      <c r="M57" s="76">
        <v>22992.18</v>
      </c>
      <c r="N57" s="131">
        <f t="shared" si="2"/>
        <v>1.1083</v>
      </c>
      <c r="O57" s="122">
        <v>9</v>
      </c>
    </row>
    <row r="58" spans="1:15" ht="12.75">
      <c r="A58" s="25" t="s">
        <v>462</v>
      </c>
      <c r="B58" s="25" t="s">
        <v>463</v>
      </c>
      <c r="C58" s="119">
        <v>146.8</v>
      </c>
      <c r="D58" s="119">
        <v>133.02</v>
      </c>
      <c r="E58" s="119">
        <v>135</v>
      </c>
      <c r="F58" s="119">
        <v>112.64</v>
      </c>
      <c r="G58" s="119">
        <v>124.27</v>
      </c>
      <c r="H58" s="119">
        <v>117.55</v>
      </c>
      <c r="I58" s="119">
        <f t="shared" si="0"/>
        <v>128.21333333333334</v>
      </c>
      <c r="J58" s="119">
        <v>1.44</v>
      </c>
      <c r="K58" s="77">
        <v>0.12560000000000002</v>
      </c>
      <c r="L58" s="117">
        <f t="shared" si="1"/>
        <v>0.1389664077595114</v>
      </c>
      <c r="M58" s="76">
        <v>7020.2</v>
      </c>
      <c r="N58" s="131">
        <f t="shared" si="2"/>
        <v>1.1256</v>
      </c>
      <c r="O58" s="122">
        <v>5</v>
      </c>
    </row>
    <row r="59" spans="1:15" ht="12.75">
      <c r="A59" s="25" t="s">
        <v>464</v>
      </c>
      <c r="B59" s="25" t="s">
        <v>464</v>
      </c>
      <c r="C59" s="119">
        <v>33.58</v>
      </c>
      <c r="D59" s="119">
        <v>30.76</v>
      </c>
      <c r="E59" s="119">
        <v>33.72</v>
      </c>
      <c r="F59" s="119">
        <v>30.46</v>
      </c>
      <c r="G59" s="119">
        <v>31.83</v>
      </c>
      <c r="H59" s="119">
        <v>28.47</v>
      </c>
      <c r="I59" s="119">
        <f t="shared" si="0"/>
        <v>31.470000000000002</v>
      </c>
      <c r="J59" s="119">
        <v>0.19</v>
      </c>
      <c r="K59" s="77">
        <v>0.13949999999999999</v>
      </c>
      <c r="L59" s="117">
        <f t="shared" si="1"/>
        <v>0.1467590947519588</v>
      </c>
      <c r="M59" s="76">
        <v>25613.29</v>
      </c>
      <c r="N59" s="131">
        <f t="shared" si="2"/>
        <v>1.1395</v>
      </c>
      <c r="O59" s="122">
        <v>6</v>
      </c>
    </row>
    <row r="60" spans="1:15" ht="12.75">
      <c r="A60" s="25" t="s">
        <v>465</v>
      </c>
      <c r="B60" s="25" t="s">
        <v>466</v>
      </c>
      <c r="C60" s="119">
        <v>75</v>
      </c>
      <c r="D60" s="119">
        <v>70.04</v>
      </c>
      <c r="E60" s="119">
        <v>75.97</v>
      </c>
      <c r="F60" s="119">
        <v>70.47</v>
      </c>
      <c r="G60" s="119">
        <v>74.4</v>
      </c>
      <c r="H60" s="119">
        <v>71.37</v>
      </c>
      <c r="I60" s="119">
        <f t="shared" si="0"/>
        <v>72.875</v>
      </c>
      <c r="J60" s="119">
        <v>0.08</v>
      </c>
      <c r="K60" s="77">
        <v>0.1489</v>
      </c>
      <c r="L60" s="117">
        <f t="shared" si="1"/>
        <v>0.1502281839621249</v>
      </c>
      <c r="M60" s="76">
        <v>21599.9</v>
      </c>
      <c r="N60" s="131">
        <f t="shared" si="2"/>
        <v>1.1489</v>
      </c>
      <c r="O60" s="122">
        <v>12</v>
      </c>
    </row>
    <row r="61" spans="1:15" ht="12.75">
      <c r="A61" s="25" t="s">
        <v>467</v>
      </c>
      <c r="B61" s="25" t="s">
        <v>468</v>
      </c>
      <c r="C61" s="119">
        <v>43.23</v>
      </c>
      <c r="D61" s="119">
        <v>38.98</v>
      </c>
      <c r="E61" s="119">
        <v>40.68</v>
      </c>
      <c r="F61" s="119">
        <v>38.15</v>
      </c>
      <c r="G61" s="119">
        <v>41.62</v>
      </c>
      <c r="H61" s="119">
        <v>39.51</v>
      </c>
      <c r="I61" s="119">
        <f t="shared" si="0"/>
        <v>40.361666666666665</v>
      </c>
      <c r="J61" s="119">
        <v>0.46</v>
      </c>
      <c r="K61" s="77">
        <v>0.12050000000000001</v>
      </c>
      <c r="L61" s="117">
        <f t="shared" si="1"/>
        <v>0.1340030012801523</v>
      </c>
      <c r="M61" s="76">
        <v>5777.07</v>
      </c>
      <c r="N61" s="131">
        <f t="shared" si="2"/>
        <v>1.1205</v>
      </c>
      <c r="O61" s="122">
        <v>16</v>
      </c>
    </row>
    <row r="62" spans="1:15" ht="12.75">
      <c r="A62" s="25" t="s">
        <v>164</v>
      </c>
      <c r="B62" s="25" t="s">
        <v>165</v>
      </c>
      <c r="C62" s="119">
        <v>71.24</v>
      </c>
      <c r="D62" s="119">
        <v>64.78</v>
      </c>
      <c r="E62" s="119">
        <v>70.91</v>
      </c>
      <c r="F62" s="119">
        <v>63.24</v>
      </c>
      <c r="G62" s="119">
        <v>74.49</v>
      </c>
      <c r="H62" s="119">
        <v>66.23</v>
      </c>
      <c r="I62" s="119">
        <f t="shared" si="0"/>
        <v>68.48166666666667</v>
      </c>
      <c r="J62" s="119">
        <v>0.45</v>
      </c>
      <c r="K62" s="77">
        <v>0.1119</v>
      </c>
      <c r="L62" s="117">
        <f t="shared" si="1"/>
        <v>0.11961092807222262</v>
      </c>
      <c r="M62" s="76">
        <v>28486.96</v>
      </c>
      <c r="N62" s="131">
        <f t="shared" si="2"/>
        <v>1.1118999999999999</v>
      </c>
      <c r="O62" s="122">
        <v>5</v>
      </c>
    </row>
    <row r="63" spans="1:15" ht="12.75">
      <c r="A63" s="25" t="s">
        <v>469</v>
      </c>
      <c r="B63" s="25" t="s">
        <v>470</v>
      </c>
      <c r="C63" s="119">
        <v>18.01</v>
      </c>
      <c r="D63" s="119">
        <v>16.38</v>
      </c>
      <c r="E63" s="119">
        <v>17.88</v>
      </c>
      <c r="F63" s="119">
        <v>16.16</v>
      </c>
      <c r="G63" s="119">
        <v>16.17</v>
      </c>
      <c r="H63" s="119">
        <v>15.01</v>
      </c>
      <c r="I63" s="119">
        <f t="shared" si="0"/>
        <v>16.601666666666667</v>
      </c>
      <c r="J63" s="119">
        <v>0.2</v>
      </c>
      <c r="K63" s="77">
        <v>0.12119999999999999</v>
      </c>
      <c r="L63" s="117">
        <f t="shared" si="1"/>
        <v>0.13548573143160736</v>
      </c>
      <c r="M63" s="76">
        <v>5123.58</v>
      </c>
      <c r="N63" s="131">
        <f t="shared" si="2"/>
        <v>1.1212</v>
      </c>
      <c r="O63" s="122">
        <v>11</v>
      </c>
    </row>
    <row r="64" spans="1:15" ht="12.75">
      <c r="A64" s="25" t="s">
        <v>471</v>
      </c>
      <c r="B64" s="25" t="s">
        <v>472</v>
      </c>
      <c r="C64" s="119">
        <v>38.71</v>
      </c>
      <c r="D64" s="119">
        <v>35.4</v>
      </c>
      <c r="E64" s="119">
        <v>37.48</v>
      </c>
      <c r="F64" s="119">
        <v>35.22</v>
      </c>
      <c r="G64" s="119">
        <v>36</v>
      </c>
      <c r="H64" s="119">
        <v>34.93</v>
      </c>
      <c r="I64" s="119">
        <f t="shared" si="0"/>
        <v>36.29</v>
      </c>
      <c r="J64" s="119">
        <v>1.04</v>
      </c>
      <c r="K64" s="77">
        <v>0.1</v>
      </c>
      <c r="L64" s="117">
        <f t="shared" si="1"/>
        <v>0.13356025445466524</v>
      </c>
      <c r="M64" s="76">
        <v>7770.63</v>
      </c>
      <c r="N64" s="131">
        <f t="shared" si="2"/>
        <v>1.1</v>
      </c>
      <c r="O64" s="122">
        <v>4</v>
      </c>
    </row>
    <row r="65" spans="1:15" ht="12.75">
      <c r="A65" s="25" t="s">
        <v>473</v>
      </c>
      <c r="B65" s="25" t="s">
        <v>474</v>
      </c>
      <c r="C65" s="119">
        <v>50.92</v>
      </c>
      <c r="D65" s="119">
        <v>47.13</v>
      </c>
      <c r="E65" s="119">
        <v>50</v>
      </c>
      <c r="F65" s="119">
        <v>47.12</v>
      </c>
      <c r="G65" s="119">
        <v>50.4</v>
      </c>
      <c r="H65" s="119">
        <v>48.29</v>
      </c>
      <c r="I65" s="119">
        <f t="shared" si="0"/>
        <v>48.97666666666667</v>
      </c>
      <c r="J65" s="119">
        <v>0.74</v>
      </c>
      <c r="K65" s="77">
        <v>0.1267</v>
      </c>
      <c r="L65" s="117">
        <f t="shared" si="1"/>
        <v>0.14472671240856738</v>
      </c>
      <c r="M65" s="76">
        <v>9632.4</v>
      </c>
      <c r="N65" s="131">
        <f t="shared" si="2"/>
        <v>1.1267</v>
      </c>
      <c r="O65" s="122">
        <v>3</v>
      </c>
    </row>
    <row r="66" spans="1:15" ht="12.75">
      <c r="A66" s="25" t="s">
        <v>475</v>
      </c>
      <c r="B66" s="25" t="s">
        <v>476</v>
      </c>
      <c r="C66" s="119">
        <v>47.26</v>
      </c>
      <c r="D66" s="119">
        <v>41.1</v>
      </c>
      <c r="E66" s="119">
        <v>42.68</v>
      </c>
      <c r="F66" s="119">
        <v>39.02</v>
      </c>
      <c r="G66" s="119">
        <v>40.65</v>
      </c>
      <c r="H66" s="119">
        <v>39.45</v>
      </c>
      <c r="I66" s="119">
        <f t="shared" si="0"/>
        <v>41.693333333333335</v>
      </c>
      <c r="J66" s="119">
        <v>1.5</v>
      </c>
      <c r="K66" s="77">
        <v>0.098</v>
      </c>
      <c r="L66" s="117">
        <f t="shared" si="1"/>
        <v>0.1401760661937994</v>
      </c>
      <c r="M66" s="76">
        <v>40630.34</v>
      </c>
      <c r="N66" s="131">
        <f t="shared" si="2"/>
        <v>1.098</v>
      </c>
      <c r="O66" s="122">
        <v>4</v>
      </c>
    </row>
    <row r="67" spans="1:15" ht="12.75">
      <c r="A67" s="25" t="s">
        <v>477</v>
      </c>
      <c r="B67" s="25" t="s">
        <v>478</v>
      </c>
      <c r="C67" s="119">
        <v>84.89</v>
      </c>
      <c r="D67" s="119">
        <v>76.78</v>
      </c>
      <c r="E67" s="119">
        <v>78.58</v>
      </c>
      <c r="F67" s="119">
        <v>71.91</v>
      </c>
      <c r="G67" s="119">
        <v>78.84</v>
      </c>
      <c r="H67" s="119">
        <v>74.32</v>
      </c>
      <c r="I67" s="119">
        <f t="shared" si="0"/>
        <v>77.55333333333333</v>
      </c>
      <c r="J67" s="119">
        <v>1.72</v>
      </c>
      <c r="K67" s="77">
        <v>0.10869999999999999</v>
      </c>
      <c r="L67" s="117">
        <f t="shared" si="1"/>
        <v>0.13481070684503593</v>
      </c>
      <c r="M67" s="76">
        <v>11879.77</v>
      </c>
      <c r="N67" s="131">
        <f t="shared" si="2"/>
        <v>1.1087</v>
      </c>
      <c r="O67" s="122">
        <v>9</v>
      </c>
    </row>
    <row r="68" spans="1:15" ht="12.75">
      <c r="A68" s="25" t="s">
        <v>479</v>
      </c>
      <c r="B68" s="25" t="s">
        <v>166</v>
      </c>
      <c r="C68" s="119">
        <v>15.66</v>
      </c>
      <c r="D68" s="119">
        <v>14.23</v>
      </c>
      <c r="E68" s="119">
        <v>15.63</v>
      </c>
      <c r="F68" s="119">
        <v>14.26</v>
      </c>
      <c r="G68" s="119">
        <v>15.84</v>
      </c>
      <c r="H68" s="119">
        <v>14.4</v>
      </c>
      <c r="I68" s="119">
        <f t="shared" si="0"/>
        <v>15.003333333333336</v>
      </c>
      <c r="J68" s="119">
        <v>0.16</v>
      </c>
      <c r="K68" s="77">
        <v>0.12</v>
      </c>
      <c r="L68" s="117">
        <f t="shared" si="1"/>
        <v>0.1326256694551471</v>
      </c>
      <c r="M68" s="76">
        <v>9769.69</v>
      </c>
      <c r="N68" s="131">
        <f t="shared" si="2"/>
        <v>1.12</v>
      </c>
      <c r="O68" s="122">
        <v>4</v>
      </c>
    </row>
    <row r="69" spans="1:15" ht="12.75">
      <c r="A69" s="25" t="s">
        <v>480</v>
      </c>
      <c r="B69" s="25" t="s">
        <v>481</v>
      </c>
      <c r="C69" s="119">
        <v>55.2</v>
      </c>
      <c r="D69" s="119">
        <v>52.3</v>
      </c>
      <c r="E69" s="119">
        <v>54.37</v>
      </c>
      <c r="F69" s="119">
        <v>51.57</v>
      </c>
      <c r="G69" s="119">
        <v>54.92</v>
      </c>
      <c r="H69" s="119">
        <v>51.13</v>
      </c>
      <c r="I69" s="119">
        <f t="shared" si="0"/>
        <v>53.248333333333335</v>
      </c>
      <c r="J69" s="119">
        <v>1.7</v>
      </c>
      <c r="K69" s="77">
        <v>0.0824</v>
      </c>
      <c r="L69" s="117">
        <f t="shared" si="1"/>
        <v>0.11923632836522247</v>
      </c>
      <c r="M69" s="76">
        <v>58582.26</v>
      </c>
      <c r="N69" s="131">
        <f t="shared" si="2"/>
        <v>1.0824</v>
      </c>
      <c r="O69" s="122">
        <v>13</v>
      </c>
    </row>
    <row r="70" spans="1:15" ht="12.75">
      <c r="A70" s="25" t="s">
        <v>482</v>
      </c>
      <c r="B70" s="25" t="s">
        <v>483</v>
      </c>
      <c r="C70" s="119">
        <v>46.08</v>
      </c>
      <c r="D70" s="119">
        <v>42.73</v>
      </c>
      <c r="E70" s="119">
        <v>45.2</v>
      </c>
      <c r="F70" s="119">
        <v>43.11</v>
      </c>
      <c r="G70" s="119">
        <v>44.65</v>
      </c>
      <c r="H70" s="119">
        <v>41.95</v>
      </c>
      <c r="I70" s="119">
        <f t="shared" si="0"/>
        <v>43.95333333333334</v>
      </c>
      <c r="J70" s="119">
        <v>1.05</v>
      </c>
      <c r="K70" s="77">
        <v>0.1043</v>
      </c>
      <c r="L70" s="117">
        <f t="shared" si="1"/>
        <v>0.1323320026533259</v>
      </c>
      <c r="M70" s="76">
        <v>34132.77</v>
      </c>
      <c r="N70" s="131">
        <f t="shared" si="2"/>
        <v>1.1043</v>
      </c>
      <c r="O70" s="122">
        <v>7</v>
      </c>
    </row>
    <row r="71" spans="1:15" ht="12.75">
      <c r="A71" s="25" t="s">
        <v>484</v>
      </c>
      <c r="B71" s="25" t="s">
        <v>485</v>
      </c>
      <c r="C71" s="119">
        <v>48.73</v>
      </c>
      <c r="D71" s="119">
        <v>45.6</v>
      </c>
      <c r="E71" s="119">
        <v>48.15</v>
      </c>
      <c r="F71" s="119">
        <v>39.52</v>
      </c>
      <c r="G71" s="119">
        <v>42.15</v>
      </c>
      <c r="H71" s="119">
        <v>40.28</v>
      </c>
      <c r="I71" s="119">
        <f t="shared" si="0"/>
        <v>44.071666666666665</v>
      </c>
      <c r="J71" s="119">
        <v>0.5</v>
      </c>
      <c r="K71" s="77">
        <v>0.1144</v>
      </c>
      <c r="L71" s="117">
        <f t="shared" si="1"/>
        <v>0.12776818558078196</v>
      </c>
      <c r="M71" s="76">
        <v>5693.48</v>
      </c>
      <c r="N71" s="131">
        <f t="shared" si="2"/>
        <v>1.1144</v>
      </c>
      <c r="O71" s="122">
        <v>10</v>
      </c>
    </row>
    <row r="72" spans="1:15" ht="12.75">
      <c r="A72" s="25" t="s">
        <v>486</v>
      </c>
      <c r="B72" s="25" t="s">
        <v>147</v>
      </c>
      <c r="C72" s="119">
        <v>72.31</v>
      </c>
      <c r="D72" s="119">
        <v>59.93</v>
      </c>
      <c r="E72" s="119">
        <v>62.99</v>
      </c>
      <c r="F72" s="119">
        <v>58.74</v>
      </c>
      <c r="G72" s="119">
        <v>62.82</v>
      </c>
      <c r="H72" s="119">
        <v>60.82</v>
      </c>
      <c r="I72" s="119">
        <f t="shared" si="0"/>
        <v>62.935</v>
      </c>
      <c r="J72" s="119">
        <v>1.76</v>
      </c>
      <c r="K72" s="77">
        <v>0.0875</v>
      </c>
      <c r="L72" s="117">
        <f t="shared" si="1"/>
        <v>0.11986810607435094</v>
      </c>
      <c r="M72" s="76">
        <v>43037.45</v>
      </c>
      <c r="N72" s="131">
        <f t="shared" si="2"/>
        <v>1.0875</v>
      </c>
      <c r="O72" s="122">
        <v>4</v>
      </c>
    </row>
    <row r="73" spans="1:15" ht="12.75">
      <c r="A73" s="25" t="s">
        <v>487</v>
      </c>
      <c r="B73" s="25" t="s">
        <v>488</v>
      </c>
      <c r="C73" s="119">
        <v>33.31</v>
      </c>
      <c r="D73" s="119">
        <v>28.76</v>
      </c>
      <c r="E73" s="119">
        <v>32.74</v>
      </c>
      <c r="F73" s="119">
        <v>28.59</v>
      </c>
      <c r="G73" s="119">
        <v>29.99</v>
      </c>
      <c r="H73" s="119">
        <v>27.77</v>
      </c>
      <c r="I73" s="119">
        <f t="shared" si="0"/>
        <v>30.19333333333334</v>
      </c>
      <c r="J73" s="119">
        <v>0.46</v>
      </c>
      <c r="K73" s="77">
        <v>0.1175</v>
      </c>
      <c r="L73" s="117">
        <f t="shared" si="1"/>
        <v>0.1355294140868999</v>
      </c>
      <c r="M73" s="76">
        <v>4354.93</v>
      </c>
      <c r="N73" s="131">
        <f t="shared" si="2"/>
        <v>1.1175</v>
      </c>
      <c r="O73" s="122">
        <v>12</v>
      </c>
    </row>
    <row r="74" spans="1:15" ht="12.75">
      <c r="A74" s="25" t="s">
        <v>489</v>
      </c>
      <c r="B74" s="25" t="s">
        <v>490</v>
      </c>
      <c r="C74" s="119">
        <v>60.25</v>
      </c>
      <c r="D74" s="119">
        <v>55.85</v>
      </c>
      <c r="E74" s="119">
        <v>60.44</v>
      </c>
      <c r="F74" s="119">
        <v>54.97</v>
      </c>
      <c r="G74" s="119">
        <v>61.5</v>
      </c>
      <c r="H74" s="119">
        <v>56.34</v>
      </c>
      <c r="I74" s="119">
        <f t="shared" si="0"/>
        <v>58.225</v>
      </c>
      <c r="J74" s="119">
        <v>1.6</v>
      </c>
      <c r="K74" s="77">
        <v>0.0922</v>
      </c>
      <c r="L74" s="117">
        <f t="shared" si="1"/>
        <v>0.12413721762131513</v>
      </c>
      <c r="M74" s="76">
        <v>53481.63</v>
      </c>
      <c r="N74" s="131">
        <f t="shared" si="2"/>
        <v>1.0922</v>
      </c>
      <c r="O74" s="122">
        <v>5</v>
      </c>
    </row>
    <row r="75" spans="1:15" ht="12.75">
      <c r="A75" s="25" t="s">
        <v>491</v>
      </c>
      <c r="B75" s="25" t="s">
        <v>207</v>
      </c>
      <c r="C75" s="119">
        <v>45</v>
      </c>
      <c r="D75" s="119">
        <v>40.88</v>
      </c>
      <c r="E75" s="119">
        <v>41.61</v>
      </c>
      <c r="F75" s="119">
        <v>36.12</v>
      </c>
      <c r="G75" s="119">
        <v>41.6</v>
      </c>
      <c r="H75" s="119">
        <v>37.39</v>
      </c>
      <c r="I75" s="119">
        <f t="shared" si="0"/>
        <v>40.43333333333333</v>
      </c>
      <c r="J75" s="119">
        <v>0.51</v>
      </c>
      <c r="K75" s="77">
        <v>0.1216</v>
      </c>
      <c r="L75" s="117">
        <f t="shared" si="1"/>
        <v>0.1365660350613358</v>
      </c>
      <c r="M75" s="76">
        <v>23238.63</v>
      </c>
      <c r="N75" s="131">
        <f t="shared" si="2"/>
        <v>1.1216</v>
      </c>
      <c r="O75" s="122">
        <v>8</v>
      </c>
    </row>
    <row r="76" spans="1:15" ht="12.75">
      <c r="A76" s="25" t="s">
        <v>492</v>
      </c>
      <c r="B76" s="25" t="s">
        <v>493</v>
      </c>
      <c r="C76" s="119">
        <v>38.4</v>
      </c>
      <c r="D76" s="119">
        <v>35.02</v>
      </c>
      <c r="E76" s="119">
        <v>36.9</v>
      </c>
      <c r="F76" s="119">
        <v>33.37</v>
      </c>
      <c r="G76" s="119">
        <v>34.2</v>
      </c>
      <c r="H76" s="119">
        <v>32.44</v>
      </c>
      <c r="I76" s="119">
        <f aca="true" t="shared" si="3" ref="I76:I139">AVERAGE(C76:H76)</f>
        <v>35.055</v>
      </c>
      <c r="J76" s="119">
        <v>0.72</v>
      </c>
      <c r="K76" s="77">
        <v>0.1125</v>
      </c>
      <c r="L76" s="117">
        <f aca="true" t="shared" si="4" ref="L76:L139">+((((((J76/4)*(N76)^0.25))/(I76*0.95))+(N76)^0.25)^4)-1</f>
        <v>0.13674813903573946</v>
      </c>
      <c r="M76" s="76">
        <v>3707.16</v>
      </c>
      <c r="N76" s="131">
        <f aca="true" t="shared" si="5" ref="N76:N139">1+(K76)</f>
        <v>1.1125</v>
      </c>
      <c r="O76" s="122">
        <v>8</v>
      </c>
    </row>
    <row r="77" spans="1:15" ht="12.75">
      <c r="A77" s="25" t="s">
        <v>494</v>
      </c>
      <c r="B77" s="25" t="s">
        <v>495</v>
      </c>
      <c r="C77" s="119">
        <v>121.42</v>
      </c>
      <c r="D77" s="119">
        <v>110.3</v>
      </c>
      <c r="E77" s="119">
        <v>112.9</v>
      </c>
      <c r="F77" s="119">
        <v>106.63</v>
      </c>
      <c r="G77" s="119">
        <v>117.74</v>
      </c>
      <c r="H77" s="119">
        <v>106.69</v>
      </c>
      <c r="I77" s="119">
        <f t="shared" si="3"/>
        <v>112.61333333333334</v>
      </c>
      <c r="J77" s="119">
        <v>0.36</v>
      </c>
      <c r="K77" s="77">
        <v>0.1354</v>
      </c>
      <c r="L77" s="117">
        <f t="shared" si="4"/>
        <v>0.1392254802454247</v>
      </c>
      <c r="M77" s="76">
        <v>34550.76</v>
      </c>
      <c r="N77" s="131">
        <f t="shared" si="5"/>
        <v>1.1354</v>
      </c>
      <c r="O77" s="122">
        <v>7</v>
      </c>
    </row>
    <row r="78" spans="1:15" ht="12.75">
      <c r="A78" s="25" t="s">
        <v>496</v>
      </c>
      <c r="B78" s="25" t="s">
        <v>497</v>
      </c>
      <c r="C78" s="119">
        <v>47.75</v>
      </c>
      <c r="D78" s="119">
        <v>42.42</v>
      </c>
      <c r="E78" s="119">
        <v>42.6</v>
      </c>
      <c r="F78" s="119">
        <v>39.99</v>
      </c>
      <c r="G78" s="119">
        <v>41.87</v>
      </c>
      <c r="H78" s="119">
        <v>39.35</v>
      </c>
      <c r="I78" s="119">
        <f t="shared" si="3"/>
        <v>42.330000000000005</v>
      </c>
      <c r="J78" s="119">
        <v>0.2</v>
      </c>
      <c r="K78" s="77">
        <v>0.1288</v>
      </c>
      <c r="L78" s="117">
        <f t="shared" si="4"/>
        <v>0.13442451419932167</v>
      </c>
      <c r="M78" s="76">
        <v>12978.84</v>
      </c>
      <c r="N78" s="131">
        <f t="shared" si="5"/>
        <v>1.1288</v>
      </c>
      <c r="O78" s="122">
        <v>8</v>
      </c>
    </row>
    <row r="79" spans="1:15" ht="12.75">
      <c r="A79" s="25" t="s">
        <v>498</v>
      </c>
      <c r="B79" s="25" t="s">
        <v>499</v>
      </c>
      <c r="C79" s="119">
        <v>41.3</v>
      </c>
      <c r="D79" s="119">
        <v>39.57</v>
      </c>
      <c r="E79" s="119">
        <v>41.41</v>
      </c>
      <c r="F79" s="119">
        <v>38.86</v>
      </c>
      <c r="G79" s="119">
        <v>41.57</v>
      </c>
      <c r="H79" s="119">
        <v>39.14</v>
      </c>
      <c r="I79" s="119">
        <f t="shared" si="3"/>
        <v>40.30833333333333</v>
      </c>
      <c r="J79" s="119">
        <v>1.6</v>
      </c>
      <c r="K79" s="77">
        <v>0.1045</v>
      </c>
      <c r="L79" s="117">
        <f t="shared" si="4"/>
        <v>0.15137767878683683</v>
      </c>
      <c r="M79" s="76">
        <v>22317.05</v>
      </c>
      <c r="N79" s="131">
        <f t="shared" si="5"/>
        <v>1.1045</v>
      </c>
      <c r="O79" s="122">
        <v>10</v>
      </c>
    </row>
    <row r="80" spans="1:15" ht="12.75">
      <c r="A80" s="25" t="s">
        <v>500</v>
      </c>
      <c r="B80" s="25" t="s">
        <v>501</v>
      </c>
      <c r="C80" s="119">
        <v>25.96</v>
      </c>
      <c r="D80" s="119">
        <v>24.19</v>
      </c>
      <c r="E80" s="119">
        <v>26.5</v>
      </c>
      <c r="F80" s="119">
        <v>24.34</v>
      </c>
      <c r="G80" s="119">
        <v>25.74</v>
      </c>
      <c r="H80" s="119">
        <v>23.29</v>
      </c>
      <c r="I80" s="119">
        <f t="shared" si="3"/>
        <v>25.003333333333334</v>
      </c>
      <c r="J80" s="119">
        <v>0.12</v>
      </c>
      <c r="K80" s="77">
        <v>0.1167</v>
      </c>
      <c r="L80" s="117">
        <f t="shared" si="4"/>
        <v>0.12235221825677756</v>
      </c>
      <c r="M80" s="76">
        <v>18613.95</v>
      </c>
      <c r="N80" s="131">
        <f t="shared" si="5"/>
        <v>1.1167</v>
      </c>
      <c r="O80" s="122">
        <v>12</v>
      </c>
    </row>
    <row r="81" spans="1:15" ht="12.75">
      <c r="A81" s="25" t="s">
        <v>502</v>
      </c>
      <c r="B81" s="25" t="s">
        <v>503</v>
      </c>
      <c r="C81" s="119">
        <v>45.44</v>
      </c>
      <c r="D81" s="119">
        <v>42.49</v>
      </c>
      <c r="E81" s="119">
        <v>44.05</v>
      </c>
      <c r="F81" s="119">
        <v>39.75</v>
      </c>
      <c r="G81" s="119">
        <v>42</v>
      </c>
      <c r="H81" s="119">
        <v>39.61</v>
      </c>
      <c r="I81" s="119">
        <f t="shared" si="3"/>
        <v>42.223333333333336</v>
      </c>
      <c r="J81" s="119">
        <v>1.8</v>
      </c>
      <c r="K81" s="77">
        <v>0.0733</v>
      </c>
      <c r="L81" s="117">
        <f t="shared" si="4"/>
        <v>0.12228000566759833</v>
      </c>
      <c r="M81" s="76">
        <v>5355.82</v>
      </c>
      <c r="N81" s="131">
        <f t="shared" si="5"/>
        <v>1.0733</v>
      </c>
      <c r="O81" s="122">
        <v>9</v>
      </c>
    </row>
    <row r="82" spans="1:15" ht="12.75">
      <c r="A82" s="25" t="s">
        <v>504</v>
      </c>
      <c r="B82" s="25" t="s">
        <v>217</v>
      </c>
      <c r="C82" s="119">
        <v>84.21</v>
      </c>
      <c r="D82" s="119">
        <v>78.95</v>
      </c>
      <c r="E82" s="119">
        <v>86.9</v>
      </c>
      <c r="F82" s="119">
        <v>79.5</v>
      </c>
      <c r="G82" s="119">
        <v>85.96</v>
      </c>
      <c r="H82" s="119">
        <v>79.97</v>
      </c>
      <c r="I82" s="119">
        <f t="shared" si="3"/>
        <v>82.58166666666666</v>
      </c>
      <c r="J82" s="119">
        <v>1.56</v>
      </c>
      <c r="K82" s="77">
        <v>0.1056</v>
      </c>
      <c r="L82" s="117">
        <f t="shared" si="4"/>
        <v>0.1277489146444588</v>
      </c>
      <c r="M82" s="76">
        <v>12060.76</v>
      </c>
      <c r="N82" s="131">
        <f t="shared" si="5"/>
        <v>1.1056</v>
      </c>
      <c r="O82" s="122">
        <v>6</v>
      </c>
    </row>
    <row r="83" spans="1:15" ht="12.75">
      <c r="A83" s="25" t="s">
        <v>505</v>
      </c>
      <c r="B83" s="25" t="s">
        <v>506</v>
      </c>
      <c r="C83" s="119">
        <v>126.71</v>
      </c>
      <c r="D83" s="119">
        <v>115.16</v>
      </c>
      <c r="E83" s="119">
        <v>121.77</v>
      </c>
      <c r="F83" s="119">
        <v>111.31</v>
      </c>
      <c r="G83" s="119">
        <v>114.7</v>
      </c>
      <c r="H83" s="119">
        <v>104.49</v>
      </c>
      <c r="I83" s="119">
        <f t="shared" si="3"/>
        <v>115.69</v>
      </c>
      <c r="J83" s="119">
        <v>0.6</v>
      </c>
      <c r="K83" s="77">
        <v>0.1487</v>
      </c>
      <c r="L83" s="117">
        <f t="shared" si="4"/>
        <v>0.15498387355130205</v>
      </c>
      <c r="M83" s="76">
        <v>29033.57</v>
      </c>
      <c r="N83" s="131">
        <f t="shared" si="5"/>
        <v>1.1487</v>
      </c>
      <c r="O83" s="122">
        <v>8</v>
      </c>
    </row>
    <row r="84" spans="1:15" ht="12.75">
      <c r="A84" s="25" t="s">
        <v>507</v>
      </c>
      <c r="B84" s="25" t="s">
        <v>508</v>
      </c>
      <c r="C84" s="119">
        <v>66.97</v>
      </c>
      <c r="D84" s="119">
        <v>62.82</v>
      </c>
      <c r="E84" s="119">
        <v>68.55</v>
      </c>
      <c r="F84" s="119">
        <v>63.71</v>
      </c>
      <c r="G84" s="119">
        <v>69.85</v>
      </c>
      <c r="H84" s="119">
        <v>66.3</v>
      </c>
      <c r="I84" s="119">
        <f t="shared" si="3"/>
        <v>66.36666666666666</v>
      </c>
      <c r="J84" s="119">
        <v>2</v>
      </c>
      <c r="K84" s="77">
        <v>0.0964</v>
      </c>
      <c r="L84" s="117">
        <f t="shared" si="4"/>
        <v>0.13159558431827523</v>
      </c>
      <c r="M84" s="76">
        <v>43154.92</v>
      </c>
      <c r="N84" s="131">
        <f t="shared" si="5"/>
        <v>1.0964</v>
      </c>
      <c r="O84" s="122">
        <v>6</v>
      </c>
    </row>
    <row r="85" spans="1:15" ht="12.75">
      <c r="A85" s="25" t="s">
        <v>509</v>
      </c>
      <c r="B85" s="25" t="s">
        <v>510</v>
      </c>
      <c r="C85" s="119">
        <v>20.26</v>
      </c>
      <c r="D85" s="119">
        <v>18.21</v>
      </c>
      <c r="E85" s="119">
        <v>21.04</v>
      </c>
      <c r="F85" s="119">
        <v>18.5</v>
      </c>
      <c r="G85" s="119">
        <v>20.7</v>
      </c>
      <c r="H85" s="119">
        <v>18.56</v>
      </c>
      <c r="I85" s="119">
        <f t="shared" si="3"/>
        <v>19.544999999999998</v>
      </c>
      <c r="J85" s="119">
        <v>0.32</v>
      </c>
      <c r="K85" s="77">
        <v>0.1063</v>
      </c>
      <c r="L85" s="117">
        <f t="shared" si="4"/>
        <v>0.1254897521275644</v>
      </c>
      <c r="M85" s="76">
        <v>14915.45</v>
      </c>
      <c r="N85" s="131">
        <f t="shared" si="5"/>
        <v>1.1063</v>
      </c>
      <c r="O85" s="122">
        <v>13</v>
      </c>
    </row>
    <row r="86" spans="1:15" ht="12.75">
      <c r="A86" s="25" t="s">
        <v>511</v>
      </c>
      <c r="B86" s="25" t="s">
        <v>512</v>
      </c>
      <c r="C86" s="119">
        <v>36.6</v>
      </c>
      <c r="D86" s="119">
        <v>34.5</v>
      </c>
      <c r="E86" s="119">
        <v>38.28</v>
      </c>
      <c r="F86" s="119">
        <v>35.76</v>
      </c>
      <c r="G86" s="119">
        <v>38.49</v>
      </c>
      <c r="H86" s="119">
        <v>34.96</v>
      </c>
      <c r="I86" s="119">
        <f t="shared" si="3"/>
        <v>36.431666666666665</v>
      </c>
      <c r="J86" s="119">
        <v>1.12</v>
      </c>
      <c r="K86" s="77">
        <v>0.1067</v>
      </c>
      <c r="L86" s="117">
        <f t="shared" si="4"/>
        <v>0.14295032903094684</v>
      </c>
      <c r="M86" s="76">
        <v>359443.4</v>
      </c>
      <c r="N86" s="131">
        <f t="shared" si="5"/>
        <v>1.1067</v>
      </c>
      <c r="O86" s="122">
        <v>11</v>
      </c>
    </row>
    <row r="87" spans="1:15" ht="12.75">
      <c r="A87" s="25" t="s">
        <v>513</v>
      </c>
      <c r="B87" s="25" t="s">
        <v>514</v>
      </c>
      <c r="C87" s="119">
        <v>50.75</v>
      </c>
      <c r="D87" s="119">
        <v>47.46</v>
      </c>
      <c r="E87" s="119">
        <v>48.6</v>
      </c>
      <c r="F87" s="119">
        <v>46.19</v>
      </c>
      <c r="G87" s="119">
        <v>48.34</v>
      </c>
      <c r="H87" s="119">
        <v>46.29</v>
      </c>
      <c r="I87" s="119">
        <f t="shared" si="3"/>
        <v>47.93833333333333</v>
      </c>
      <c r="J87" s="119">
        <v>1.46</v>
      </c>
      <c r="K87" s="77">
        <v>0.09630000000000001</v>
      </c>
      <c r="L87" s="117">
        <f t="shared" si="4"/>
        <v>0.1318707741794669</v>
      </c>
      <c r="M87" s="76">
        <v>8215.12</v>
      </c>
      <c r="N87" s="131">
        <f t="shared" si="5"/>
        <v>1.0963</v>
      </c>
      <c r="O87" s="122">
        <v>4</v>
      </c>
    </row>
    <row r="88" spans="1:15" ht="12.75">
      <c r="A88" s="25" t="s">
        <v>515</v>
      </c>
      <c r="B88" s="25" t="s">
        <v>516</v>
      </c>
      <c r="C88" s="119">
        <v>80.37</v>
      </c>
      <c r="D88" s="119">
        <v>76.28</v>
      </c>
      <c r="E88" s="119">
        <v>77.87</v>
      </c>
      <c r="F88" s="119">
        <v>68.77</v>
      </c>
      <c r="G88" s="119">
        <v>74.42</v>
      </c>
      <c r="H88" s="119">
        <v>69.68</v>
      </c>
      <c r="I88" s="119">
        <f t="shared" si="3"/>
        <v>74.56500000000001</v>
      </c>
      <c r="J88" s="119">
        <v>1.16</v>
      </c>
      <c r="K88" s="77">
        <v>0.12210000000000001</v>
      </c>
      <c r="L88" s="117">
        <f t="shared" si="4"/>
        <v>0.14058829920637583</v>
      </c>
      <c r="M88" s="76">
        <v>6518.16</v>
      </c>
      <c r="N88" s="131">
        <f t="shared" si="5"/>
        <v>1.1221</v>
      </c>
      <c r="O88" s="122">
        <v>8</v>
      </c>
    </row>
    <row r="89" spans="1:15" ht="12.75">
      <c r="A89" s="25" t="s">
        <v>517</v>
      </c>
      <c r="B89" s="25" t="s">
        <v>518</v>
      </c>
      <c r="C89" s="119">
        <v>70.32</v>
      </c>
      <c r="D89" s="119">
        <v>65.23</v>
      </c>
      <c r="E89" s="119">
        <v>74.03</v>
      </c>
      <c r="F89" s="119">
        <v>68.26</v>
      </c>
      <c r="G89" s="119">
        <v>74.74</v>
      </c>
      <c r="H89" s="119">
        <v>67.64</v>
      </c>
      <c r="I89" s="119">
        <f t="shared" si="3"/>
        <v>70.03666666666668</v>
      </c>
      <c r="J89" s="119">
        <v>0.84</v>
      </c>
      <c r="K89" s="77">
        <v>0.12890000000000001</v>
      </c>
      <c r="L89" s="117">
        <f t="shared" si="4"/>
        <v>0.1432199417262281</v>
      </c>
      <c r="M89" s="76">
        <v>16424.15</v>
      </c>
      <c r="N89" s="131">
        <f t="shared" si="5"/>
        <v>1.1289</v>
      </c>
      <c r="O89" s="122">
        <v>9</v>
      </c>
    </row>
    <row r="90" spans="1:15" ht="12.75">
      <c r="A90" s="25" t="s">
        <v>519</v>
      </c>
      <c r="B90" s="25" t="s">
        <v>520</v>
      </c>
      <c r="C90" s="119">
        <v>97.95</v>
      </c>
      <c r="D90" s="119">
        <v>92.55</v>
      </c>
      <c r="E90" s="119">
        <v>95.04</v>
      </c>
      <c r="F90" s="119">
        <v>90.3</v>
      </c>
      <c r="G90" s="119">
        <v>93.75</v>
      </c>
      <c r="H90" s="119">
        <v>83.78</v>
      </c>
      <c r="I90" s="119">
        <f t="shared" si="3"/>
        <v>92.22833333333334</v>
      </c>
      <c r="J90" s="119">
        <v>2</v>
      </c>
      <c r="K90" s="77">
        <v>0.1072</v>
      </c>
      <c r="L90" s="117">
        <f t="shared" si="4"/>
        <v>0.13269082466672333</v>
      </c>
      <c r="M90" s="76">
        <v>30174.13</v>
      </c>
      <c r="N90" s="131">
        <f t="shared" si="5"/>
        <v>1.1072</v>
      </c>
      <c r="O90" s="122">
        <v>8</v>
      </c>
    </row>
    <row r="91" spans="1:15" ht="12.75">
      <c r="A91" s="25" t="s">
        <v>521</v>
      </c>
      <c r="B91" s="25" t="s">
        <v>522</v>
      </c>
      <c r="C91" s="119">
        <v>29.8</v>
      </c>
      <c r="D91" s="119">
        <v>27.61</v>
      </c>
      <c r="E91" s="119">
        <v>28.94</v>
      </c>
      <c r="F91" s="119">
        <v>27.04</v>
      </c>
      <c r="G91" s="119">
        <v>27.69</v>
      </c>
      <c r="H91" s="119">
        <v>26.14</v>
      </c>
      <c r="I91" s="119">
        <f t="shared" si="3"/>
        <v>27.869999999999994</v>
      </c>
      <c r="J91" s="119">
        <v>0.64</v>
      </c>
      <c r="K91" s="77">
        <v>0.105</v>
      </c>
      <c r="L91" s="117">
        <f t="shared" si="4"/>
        <v>0.13195357695450016</v>
      </c>
      <c r="M91" s="76">
        <v>4571.13</v>
      </c>
      <c r="N91" s="131">
        <f t="shared" si="5"/>
        <v>1.105</v>
      </c>
      <c r="O91" s="122">
        <v>4</v>
      </c>
    </row>
    <row r="92" spans="1:15" ht="12.75">
      <c r="A92" s="25" t="s">
        <v>523</v>
      </c>
      <c r="B92" s="25" t="s">
        <v>524</v>
      </c>
      <c r="C92" s="119">
        <v>43.24</v>
      </c>
      <c r="D92" s="119">
        <v>38.47</v>
      </c>
      <c r="E92" s="119">
        <v>43.72</v>
      </c>
      <c r="F92" s="119">
        <v>41.05</v>
      </c>
      <c r="G92" s="119">
        <v>41.7</v>
      </c>
      <c r="H92" s="119">
        <v>39.21</v>
      </c>
      <c r="I92" s="119">
        <f t="shared" si="3"/>
        <v>41.23166666666667</v>
      </c>
      <c r="J92" s="119">
        <v>0.32</v>
      </c>
      <c r="K92" s="77">
        <v>0.1288</v>
      </c>
      <c r="L92" s="117">
        <f t="shared" si="4"/>
        <v>0.13805002155934432</v>
      </c>
      <c r="M92" s="76">
        <v>105213.5</v>
      </c>
      <c r="N92" s="131">
        <f t="shared" si="5"/>
        <v>1.1288</v>
      </c>
      <c r="O92" s="122">
        <v>13</v>
      </c>
    </row>
    <row r="93" spans="1:15" ht="12.75">
      <c r="A93" s="25" t="s">
        <v>525</v>
      </c>
      <c r="B93" s="25" t="s">
        <v>526</v>
      </c>
      <c r="C93" s="119">
        <v>37.82</v>
      </c>
      <c r="D93" s="119">
        <v>34.11</v>
      </c>
      <c r="E93" s="119">
        <v>36.49</v>
      </c>
      <c r="F93" s="119">
        <v>33.15</v>
      </c>
      <c r="G93" s="119">
        <v>35.79</v>
      </c>
      <c r="H93" s="119">
        <v>32.37</v>
      </c>
      <c r="I93" s="119">
        <f t="shared" si="3"/>
        <v>34.955000000000005</v>
      </c>
      <c r="J93" s="119">
        <v>0.16</v>
      </c>
      <c r="K93" s="77">
        <v>0.1349</v>
      </c>
      <c r="L93" s="117">
        <f t="shared" si="4"/>
        <v>0.14037809155405712</v>
      </c>
      <c r="M93" s="76">
        <v>13492.8</v>
      </c>
      <c r="N93" s="131">
        <f t="shared" si="5"/>
        <v>1.1349</v>
      </c>
      <c r="O93" s="122">
        <v>10</v>
      </c>
    </row>
    <row r="94" spans="1:15" ht="12.75">
      <c r="A94" s="25" t="s">
        <v>527</v>
      </c>
      <c r="B94" s="25" t="s">
        <v>528</v>
      </c>
      <c r="C94" s="119">
        <v>42.01</v>
      </c>
      <c r="D94" s="119">
        <v>39.29</v>
      </c>
      <c r="E94" s="119">
        <v>41.84</v>
      </c>
      <c r="F94" s="119">
        <v>39.06</v>
      </c>
      <c r="G94" s="119">
        <v>40.37</v>
      </c>
      <c r="H94" s="119">
        <v>38.18</v>
      </c>
      <c r="I94" s="119">
        <f t="shared" si="3"/>
        <v>40.125</v>
      </c>
      <c r="J94" s="119">
        <v>0.9</v>
      </c>
      <c r="K94" s="77">
        <v>0.1261</v>
      </c>
      <c r="L94" s="117">
        <f t="shared" si="4"/>
        <v>0.15292403574637325</v>
      </c>
      <c r="M94" s="76">
        <v>79614.31</v>
      </c>
      <c r="N94" s="131">
        <f t="shared" si="5"/>
        <v>1.1261</v>
      </c>
      <c r="O94" s="122">
        <v>13</v>
      </c>
    </row>
    <row r="95" spans="1:15" ht="12.75">
      <c r="A95" s="25" t="s">
        <v>529</v>
      </c>
      <c r="B95" s="25" t="s">
        <v>530</v>
      </c>
      <c r="C95" s="119">
        <v>48.5</v>
      </c>
      <c r="D95" s="119">
        <v>45.51</v>
      </c>
      <c r="E95" s="119">
        <v>45.99</v>
      </c>
      <c r="F95" s="119">
        <v>43.14</v>
      </c>
      <c r="G95" s="119">
        <v>45.77</v>
      </c>
      <c r="H95" s="119">
        <v>41.49</v>
      </c>
      <c r="I95" s="119">
        <f t="shared" si="3"/>
        <v>45.06666666666666</v>
      </c>
      <c r="J95" s="119">
        <v>1</v>
      </c>
      <c r="K95" s="77">
        <v>0.11130000000000001</v>
      </c>
      <c r="L95" s="117">
        <f t="shared" si="4"/>
        <v>0.13748510836844696</v>
      </c>
      <c r="M95" s="76">
        <v>36724.68</v>
      </c>
      <c r="N95" s="131">
        <f t="shared" si="5"/>
        <v>1.1113</v>
      </c>
      <c r="O95" s="122">
        <v>8</v>
      </c>
    </row>
    <row r="96" spans="1:15" ht="12.75">
      <c r="A96" s="25" t="s">
        <v>531</v>
      </c>
      <c r="B96" s="25" t="s">
        <v>532</v>
      </c>
      <c r="C96" s="119">
        <v>53.65</v>
      </c>
      <c r="D96" s="119">
        <v>50.82</v>
      </c>
      <c r="E96" s="119">
        <v>51.2</v>
      </c>
      <c r="F96" s="119">
        <v>45.6</v>
      </c>
      <c r="G96" s="119">
        <v>48.09</v>
      </c>
      <c r="H96" s="119">
        <v>45.93</v>
      </c>
      <c r="I96" s="119">
        <f t="shared" si="3"/>
        <v>49.215</v>
      </c>
      <c r="J96" s="119">
        <v>0.84</v>
      </c>
      <c r="K96" s="77">
        <v>0.1268</v>
      </c>
      <c r="L96" s="117">
        <f t="shared" si="4"/>
        <v>0.1471812082180357</v>
      </c>
      <c r="M96" s="76">
        <v>28444.08</v>
      </c>
      <c r="N96" s="131">
        <f t="shared" si="5"/>
        <v>1.1268</v>
      </c>
      <c r="O96" s="122">
        <v>11</v>
      </c>
    </row>
    <row r="97" spans="1:15" ht="12.75">
      <c r="A97" s="25" t="s">
        <v>533</v>
      </c>
      <c r="B97" s="25" t="s">
        <v>534</v>
      </c>
      <c r="C97" s="119">
        <v>30.07</v>
      </c>
      <c r="D97" s="119">
        <v>28.05</v>
      </c>
      <c r="E97" s="119">
        <v>28.86</v>
      </c>
      <c r="F97" s="119">
        <v>26.26</v>
      </c>
      <c r="G97" s="119">
        <v>27.98</v>
      </c>
      <c r="H97" s="119">
        <v>26.97</v>
      </c>
      <c r="I97" s="119">
        <f t="shared" si="3"/>
        <v>28.031666666666666</v>
      </c>
      <c r="J97" s="119">
        <v>0.12</v>
      </c>
      <c r="K97" s="77">
        <v>0.1245</v>
      </c>
      <c r="L97" s="117">
        <f t="shared" si="4"/>
        <v>0.12957577064929993</v>
      </c>
      <c r="M97" s="76">
        <v>5571.38</v>
      </c>
      <c r="N97" s="131">
        <f t="shared" si="5"/>
        <v>1.1245</v>
      </c>
      <c r="O97" s="122">
        <v>6</v>
      </c>
    </row>
    <row r="98" spans="1:15" ht="12.75">
      <c r="A98" s="25" t="s">
        <v>535</v>
      </c>
      <c r="B98" s="25" t="s">
        <v>536</v>
      </c>
      <c r="C98" s="119">
        <v>45.62</v>
      </c>
      <c r="D98" s="119">
        <v>41.1</v>
      </c>
      <c r="E98" s="119">
        <v>43.89</v>
      </c>
      <c r="F98" s="119">
        <v>38.25</v>
      </c>
      <c r="G98" s="119">
        <v>41.6</v>
      </c>
      <c r="H98" s="119">
        <v>37.83</v>
      </c>
      <c r="I98" s="119">
        <f t="shared" si="3"/>
        <v>41.38166666666667</v>
      </c>
      <c r="J98" s="119">
        <v>0.72</v>
      </c>
      <c r="K98" s="77">
        <v>0.11960000000000001</v>
      </c>
      <c r="L98" s="117">
        <f t="shared" si="4"/>
        <v>0.14024645086938015</v>
      </c>
      <c r="M98" s="76">
        <v>13115.39</v>
      </c>
      <c r="N98" s="131">
        <f t="shared" si="5"/>
        <v>1.1196</v>
      </c>
      <c r="O98" s="122">
        <v>9</v>
      </c>
    </row>
    <row r="99" spans="1:15" ht="12.75">
      <c r="A99" s="25" t="s">
        <v>537</v>
      </c>
      <c r="B99" s="25" t="s">
        <v>538</v>
      </c>
      <c r="C99" s="119">
        <v>21.67</v>
      </c>
      <c r="D99" s="119">
        <v>19.8</v>
      </c>
      <c r="E99" s="119">
        <v>22.3</v>
      </c>
      <c r="F99" s="119">
        <v>20.14</v>
      </c>
      <c r="G99" s="119">
        <v>21.45</v>
      </c>
      <c r="H99" s="119">
        <v>20.03</v>
      </c>
      <c r="I99" s="119">
        <f t="shared" si="3"/>
        <v>20.898333333333333</v>
      </c>
      <c r="J99" s="119">
        <v>0.45</v>
      </c>
      <c r="K99" s="77">
        <v>0.1258</v>
      </c>
      <c r="L99" s="117">
        <f t="shared" si="4"/>
        <v>0.15153523643412536</v>
      </c>
      <c r="M99" s="76">
        <v>110822.4</v>
      </c>
      <c r="N99" s="131">
        <f t="shared" si="5"/>
        <v>1.1258</v>
      </c>
      <c r="O99" s="122">
        <v>15</v>
      </c>
    </row>
    <row r="100" spans="1:15" ht="12.75">
      <c r="A100" s="25" t="s">
        <v>539</v>
      </c>
      <c r="B100" s="25" t="s">
        <v>540</v>
      </c>
      <c r="C100" s="119">
        <v>100.44</v>
      </c>
      <c r="D100" s="119">
        <v>92.47</v>
      </c>
      <c r="E100" s="119">
        <v>100.9</v>
      </c>
      <c r="F100" s="119">
        <v>94.55</v>
      </c>
      <c r="G100" s="119">
        <v>97.88</v>
      </c>
      <c r="H100" s="119">
        <v>90.55</v>
      </c>
      <c r="I100" s="119">
        <f t="shared" si="3"/>
        <v>96.13166666666666</v>
      </c>
      <c r="J100" s="119">
        <v>1.2</v>
      </c>
      <c r="K100" s="77">
        <v>0.1056</v>
      </c>
      <c r="L100" s="117">
        <f t="shared" si="4"/>
        <v>0.12019918381000783</v>
      </c>
      <c r="M100" s="76">
        <v>136927.3</v>
      </c>
      <c r="N100" s="131">
        <f t="shared" si="5"/>
        <v>1.1056</v>
      </c>
      <c r="O100" s="122">
        <v>9</v>
      </c>
    </row>
    <row r="101" spans="1:15" ht="12.75">
      <c r="A101" s="25" t="s">
        <v>541</v>
      </c>
      <c r="B101" s="25" t="s">
        <v>541</v>
      </c>
      <c r="C101" s="119">
        <v>61.71</v>
      </c>
      <c r="D101" s="119">
        <v>58.1</v>
      </c>
      <c r="E101" s="119">
        <v>60.26</v>
      </c>
      <c r="F101" s="119">
        <v>56.3</v>
      </c>
      <c r="G101" s="119">
        <v>57.44</v>
      </c>
      <c r="H101" s="119">
        <v>52.5</v>
      </c>
      <c r="I101" s="119">
        <f t="shared" si="3"/>
        <v>57.718333333333334</v>
      </c>
      <c r="J101" s="119">
        <v>0.56</v>
      </c>
      <c r="K101" s="77">
        <v>0.1233</v>
      </c>
      <c r="L101" s="117">
        <f t="shared" si="4"/>
        <v>0.13481620340751954</v>
      </c>
      <c r="M101" s="76">
        <v>10614.62</v>
      </c>
      <c r="N101" s="131">
        <f t="shared" si="5"/>
        <v>1.1233</v>
      </c>
      <c r="O101" s="122">
        <v>3</v>
      </c>
    </row>
    <row r="102" spans="1:15" ht="12.75">
      <c r="A102" s="25" t="s">
        <v>542</v>
      </c>
      <c r="B102" s="25" t="s">
        <v>543</v>
      </c>
      <c r="C102" s="119">
        <v>51.95</v>
      </c>
      <c r="D102" s="119">
        <v>47.6</v>
      </c>
      <c r="E102" s="119">
        <v>51.16</v>
      </c>
      <c r="F102" s="119">
        <v>47.32</v>
      </c>
      <c r="G102" s="119">
        <v>49</v>
      </c>
      <c r="H102" s="119">
        <v>45.51</v>
      </c>
      <c r="I102" s="119">
        <f t="shared" si="3"/>
        <v>48.75666666666667</v>
      </c>
      <c r="J102" s="119">
        <v>1.36</v>
      </c>
      <c r="K102" s="77">
        <v>0.1036</v>
      </c>
      <c r="L102" s="117">
        <f t="shared" si="4"/>
        <v>0.13636211285643518</v>
      </c>
      <c r="M102" s="76">
        <v>167168.9</v>
      </c>
      <c r="N102" s="131">
        <f t="shared" si="5"/>
        <v>1.1036</v>
      </c>
      <c r="O102" s="122">
        <v>9</v>
      </c>
    </row>
    <row r="103" spans="1:15" ht="12.75">
      <c r="A103" s="25" t="s">
        <v>544</v>
      </c>
      <c r="B103" s="25" t="s">
        <v>545</v>
      </c>
      <c r="C103" s="119">
        <v>56.08</v>
      </c>
      <c r="D103" s="119">
        <v>48.65</v>
      </c>
      <c r="E103" s="119">
        <v>54.41</v>
      </c>
      <c r="F103" s="119">
        <v>47.69</v>
      </c>
      <c r="G103" s="119">
        <v>53.7</v>
      </c>
      <c r="H103" s="119">
        <v>49.61</v>
      </c>
      <c r="I103" s="119">
        <f t="shared" si="3"/>
        <v>51.69</v>
      </c>
      <c r="J103" s="119">
        <v>1</v>
      </c>
      <c r="K103" s="77">
        <v>0.12</v>
      </c>
      <c r="L103" s="117">
        <f t="shared" si="4"/>
        <v>0.14298280395755913</v>
      </c>
      <c r="M103" s="76">
        <v>4411.5</v>
      </c>
      <c r="N103" s="131">
        <f t="shared" si="5"/>
        <v>1.12</v>
      </c>
      <c r="O103" s="122">
        <v>6</v>
      </c>
    </row>
    <row r="104" spans="1:15" ht="12.75">
      <c r="A104" s="25" t="s">
        <v>546</v>
      </c>
      <c r="B104" s="25" t="s">
        <v>547</v>
      </c>
      <c r="C104" s="119">
        <v>110.17</v>
      </c>
      <c r="D104" s="119">
        <v>100.55</v>
      </c>
      <c r="E104" s="119">
        <v>109.68</v>
      </c>
      <c r="F104" s="119">
        <v>95.63</v>
      </c>
      <c r="G104" s="119">
        <v>98.75</v>
      </c>
      <c r="H104" s="119">
        <v>93.83</v>
      </c>
      <c r="I104" s="119">
        <f t="shared" si="3"/>
        <v>101.435</v>
      </c>
      <c r="J104" s="119">
        <v>0.84</v>
      </c>
      <c r="K104" s="77">
        <v>0.135</v>
      </c>
      <c r="L104" s="117">
        <f t="shared" si="4"/>
        <v>0.14492620196474837</v>
      </c>
      <c r="M104" s="76">
        <v>13066.89</v>
      </c>
      <c r="N104" s="131">
        <f t="shared" si="5"/>
        <v>1.135</v>
      </c>
      <c r="O104" s="122">
        <v>7</v>
      </c>
    </row>
    <row r="105" spans="1:15" ht="12.75">
      <c r="A105" s="25" t="s">
        <v>548</v>
      </c>
      <c r="B105" s="25" t="s">
        <v>549</v>
      </c>
      <c r="C105" s="119">
        <v>86.18</v>
      </c>
      <c r="D105" s="119">
        <v>72.8</v>
      </c>
      <c r="E105" s="119">
        <v>84.13</v>
      </c>
      <c r="F105" s="119">
        <v>76.2</v>
      </c>
      <c r="G105" s="119">
        <v>78.88</v>
      </c>
      <c r="H105" s="119">
        <v>72.26</v>
      </c>
      <c r="I105" s="119">
        <f t="shared" si="3"/>
        <v>78.40833333333333</v>
      </c>
      <c r="J105" s="119">
        <v>0.6</v>
      </c>
      <c r="K105" s="77">
        <v>0.1263</v>
      </c>
      <c r="L105" s="117">
        <f t="shared" si="4"/>
        <v>0.13539978489820603</v>
      </c>
      <c r="M105" s="76">
        <v>37930.94</v>
      </c>
      <c r="N105" s="131">
        <f t="shared" si="5"/>
        <v>1.1263</v>
      </c>
      <c r="O105" s="122">
        <v>8</v>
      </c>
    </row>
    <row r="106" spans="1:15" ht="12.75">
      <c r="A106" s="25" t="s">
        <v>550</v>
      </c>
      <c r="B106" s="25" t="s">
        <v>551</v>
      </c>
      <c r="C106" s="119">
        <v>56.54</v>
      </c>
      <c r="D106" s="119">
        <v>48.76</v>
      </c>
      <c r="E106" s="119">
        <v>54.62</v>
      </c>
      <c r="F106" s="119">
        <v>48.33</v>
      </c>
      <c r="G106" s="119">
        <v>54.61</v>
      </c>
      <c r="H106" s="119">
        <v>50.57</v>
      </c>
      <c r="I106" s="119">
        <f t="shared" si="3"/>
        <v>52.23833333333334</v>
      </c>
      <c r="J106" s="119">
        <v>0.64</v>
      </c>
      <c r="K106" s="77">
        <v>0.1121</v>
      </c>
      <c r="L106" s="117">
        <f t="shared" si="4"/>
        <v>0.1265115481581851</v>
      </c>
      <c r="M106" s="76">
        <v>6199.65</v>
      </c>
      <c r="N106" s="131">
        <f t="shared" si="5"/>
        <v>1.1121</v>
      </c>
      <c r="O106" s="122">
        <v>7</v>
      </c>
    </row>
    <row r="107" spans="1:15" ht="12.75">
      <c r="A107" s="25" t="s">
        <v>552</v>
      </c>
      <c r="B107" s="25" t="s">
        <v>553</v>
      </c>
      <c r="C107" s="119">
        <v>71.18</v>
      </c>
      <c r="D107" s="119">
        <v>65.69</v>
      </c>
      <c r="E107" s="119">
        <v>67.51</v>
      </c>
      <c r="F107" s="119">
        <v>64.29</v>
      </c>
      <c r="G107" s="119">
        <v>66.72</v>
      </c>
      <c r="H107" s="119">
        <v>62.52</v>
      </c>
      <c r="I107" s="119">
        <f t="shared" si="3"/>
        <v>66.31833333333333</v>
      </c>
      <c r="J107" s="119">
        <v>1.58</v>
      </c>
      <c r="K107" s="77">
        <v>0.10710000000000001</v>
      </c>
      <c r="L107" s="117">
        <f t="shared" si="4"/>
        <v>0.13512649972883728</v>
      </c>
      <c r="M107" s="76">
        <v>18767.52</v>
      </c>
      <c r="N107" s="131">
        <f t="shared" si="5"/>
        <v>1.1071</v>
      </c>
      <c r="O107" s="122">
        <v>12</v>
      </c>
    </row>
    <row r="108" spans="1:15" ht="12.75">
      <c r="A108" s="25" t="s">
        <v>554</v>
      </c>
      <c r="B108" s="25" t="s">
        <v>555</v>
      </c>
      <c r="C108" s="119">
        <v>46.84</v>
      </c>
      <c r="D108" s="119">
        <v>43.4</v>
      </c>
      <c r="E108" s="119">
        <v>46.18</v>
      </c>
      <c r="F108" s="119">
        <v>43.15</v>
      </c>
      <c r="G108" s="119">
        <v>44.5</v>
      </c>
      <c r="H108" s="119">
        <v>42.19</v>
      </c>
      <c r="I108" s="119">
        <f t="shared" si="3"/>
        <v>44.376666666666665</v>
      </c>
      <c r="J108" s="119">
        <v>0.22</v>
      </c>
      <c r="K108" s="77">
        <v>0.1367</v>
      </c>
      <c r="L108" s="117">
        <f t="shared" si="4"/>
        <v>0.14264346966382058</v>
      </c>
      <c r="M108" s="76">
        <v>4509.38</v>
      </c>
      <c r="N108" s="131">
        <f t="shared" si="5"/>
        <v>1.1367</v>
      </c>
      <c r="O108" s="122">
        <v>6</v>
      </c>
    </row>
    <row r="109" spans="1:15" ht="12.75">
      <c r="A109" s="25" t="s">
        <v>556</v>
      </c>
      <c r="B109" s="25" t="s">
        <v>557</v>
      </c>
      <c r="C109" s="119">
        <v>103.5</v>
      </c>
      <c r="D109" s="119">
        <v>95.84</v>
      </c>
      <c r="E109" s="119">
        <v>98.75</v>
      </c>
      <c r="F109" s="119">
        <v>91.08</v>
      </c>
      <c r="G109" s="119">
        <v>93.24</v>
      </c>
      <c r="H109" s="119">
        <v>89.85</v>
      </c>
      <c r="I109" s="119">
        <f t="shared" si="3"/>
        <v>95.37666666666667</v>
      </c>
      <c r="J109" s="119">
        <v>1.4</v>
      </c>
      <c r="K109" s="77">
        <v>0.1124</v>
      </c>
      <c r="L109" s="117">
        <f t="shared" si="4"/>
        <v>0.1296877648591208</v>
      </c>
      <c r="M109" s="76">
        <v>40456.63</v>
      </c>
      <c r="N109" s="131">
        <f t="shared" si="5"/>
        <v>1.1124</v>
      </c>
      <c r="O109" s="122">
        <v>9</v>
      </c>
    </row>
    <row r="110" spans="1:15" ht="12.75">
      <c r="A110" s="25" t="s">
        <v>558</v>
      </c>
      <c r="B110" s="25" t="s">
        <v>559</v>
      </c>
      <c r="C110" s="119">
        <v>30.49</v>
      </c>
      <c r="D110" s="119">
        <v>28.95</v>
      </c>
      <c r="E110" s="119">
        <v>31.75</v>
      </c>
      <c r="F110" s="119">
        <v>29.37</v>
      </c>
      <c r="G110" s="119">
        <v>32.08</v>
      </c>
      <c r="H110" s="119">
        <v>29.75</v>
      </c>
      <c r="I110" s="119">
        <f t="shared" si="3"/>
        <v>30.39833333333333</v>
      </c>
      <c r="J110" s="119">
        <v>0.76</v>
      </c>
      <c r="K110" s="77">
        <v>0.1108</v>
      </c>
      <c r="L110" s="117">
        <f t="shared" si="4"/>
        <v>0.14032295031260555</v>
      </c>
      <c r="M110" s="76">
        <v>16169.91</v>
      </c>
      <c r="N110" s="131">
        <f t="shared" si="5"/>
        <v>1.1108</v>
      </c>
      <c r="O110" s="122">
        <v>6</v>
      </c>
    </row>
    <row r="111" spans="1:15" ht="12.75">
      <c r="A111" s="25" t="s">
        <v>560</v>
      </c>
      <c r="B111" s="25" t="s">
        <v>561</v>
      </c>
      <c r="C111" s="119">
        <v>49.26</v>
      </c>
      <c r="D111" s="119">
        <v>46.4</v>
      </c>
      <c r="E111" s="119">
        <v>48.74</v>
      </c>
      <c r="F111" s="119">
        <v>46.13</v>
      </c>
      <c r="G111" s="119">
        <v>48.62</v>
      </c>
      <c r="H111" s="119">
        <v>45.48</v>
      </c>
      <c r="I111" s="119">
        <f t="shared" si="3"/>
        <v>47.43833333333333</v>
      </c>
      <c r="J111" s="119">
        <v>1.08</v>
      </c>
      <c r="K111" s="77">
        <v>0.0967</v>
      </c>
      <c r="L111" s="117">
        <f t="shared" si="4"/>
        <v>0.12321914396819356</v>
      </c>
      <c r="M111" s="76">
        <v>12122.73</v>
      </c>
      <c r="N111" s="131">
        <f t="shared" si="5"/>
        <v>1.0967</v>
      </c>
      <c r="O111" s="122">
        <v>12</v>
      </c>
    </row>
    <row r="112" spans="1:15" ht="12.75">
      <c r="A112" s="25" t="s">
        <v>562</v>
      </c>
      <c r="B112" s="25" t="s">
        <v>563</v>
      </c>
      <c r="C112" s="119">
        <v>27.47</v>
      </c>
      <c r="D112" s="119">
        <v>24.43</v>
      </c>
      <c r="E112" s="119">
        <v>24.78</v>
      </c>
      <c r="F112" s="119">
        <v>22.62</v>
      </c>
      <c r="G112" s="119">
        <v>23.17</v>
      </c>
      <c r="H112" s="119">
        <v>21.52</v>
      </c>
      <c r="I112" s="119">
        <f t="shared" si="3"/>
        <v>23.998333333333335</v>
      </c>
      <c r="J112" s="119">
        <v>0.65</v>
      </c>
      <c r="K112" s="77">
        <v>0.1</v>
      </c>
      <c r="L112" s="117">
        <f t="shared" si="4"/>
        <v>0.13169872914624614</v>
      </c>
      <c r="M112" s="76">
        <v>10379.73</v>
      </c>
      <c r="N112" s="131">
        <f t="shared" si="5"/>
        <v>1.1</v>
      </c>
      <c r="O112" s="122">
        <v>4</v>
      </c>
    </row>
    <row r="113" spans="1:15" ht="12.75">
      <c r="A113" s="25" t="s">
        <v>564</v>
      </c>
      <c r="B113" s="25" t="s">
        <v>565</v>
      </c>
      <c r="C113" s="119">
        <v>73.48</v>
      </c>
      <c r="D113" s="119">
        <v>65.38</v>
      </c>
      <c r="E113" s="119">
        <v>76.02</v>
      </c>
      <c r="F113" s="119">
        <v>70.23</v>
      </c>
      <c r="G113" s="119">
        <v>73.49</v>
      </c>
      <c r="H113" s="119">
        <v>68.34</v>
      </c>
      <c r="I113" s="119">
        <f t="shared" si="3"/>
        <v>71.15666666666668</v>
      </c>
      <c r="J113" s="119">
        <v>1.36</v>
      </c>
      <c r="K113" s="77">
        <v>0.1033</v>
      </c>
      <c r="L113" s="117">
        <f t="shared" si="4"/>
        <v>0.12566497846207914</v>
      </c>
      <c r="M113" s="76">
        <v>8954.82</v>
      </c>
      <c r="N113" s="131">
        <f t="shared" si="5"/>
        <v>1.1033</v>
      </c>
      <c r="O113" s="122">
        <v>6</v>
      </c>
    </row>
    <row r="114" spans="1:15" ht="12.75">
      <c r="A114" s="25" t="s">
        <v>566</v>
      </c>
      <c r="B114" s="25" t="s">
        <v>567</v>
      </c>
      <c r="C114" s="119">
        <v>39.59</v>
      </c>
      <c r="D114" s="119">
        <v>37.94</v>
      </c>
      <c r="E114" s="119">
        <v>39.36</v>
      </c>
      <c r="F114" s="119">
        <v>37.15</v>
      </c>
      <c r="G114" s="119">
        <v>39.82</v>
      </c>
      <c r="H114" s="119">
        <v>38.44</v>
      </c>
      <c r="I114" s="119">
        <f t="shared" si="3"/>
        <v>38.71666666666666</v>
      </c>
      <c r="J114" s="119">
        <v>0.8</v>
      </c>
      <c r="K114" s="77">
        <v>0.0959</v>
      </c>
      <c r="L114" s="117">
        <f t="shared" si="4"/>
        <v>0.11993145268953764</v>
      </c>
      <c r="M114" s="76">
        <v>4427.96</v>
      </c>
      <c r="N114" s="131">
        <f t="shared" si="5"/>
        <v>1.0959</v>
      </c>
      <c r="O114" s="122">
        <v>7</v>
      </c>
    </row>
    <row r="115" spans="1:15" ht="12.75">
      <c r="A115" s="25" t="s">
        <v>568</v>
      </c>
      <c r="B115" s="25" t="s">
        <v>569</v>
      </c>
      <c r="C115" s="119">
        <v>69.86</v>
      </c>
      <c r="D115" s="119">
        <v>62.77</v>
      </c>
      <c r="E115" s="119">
        <v>69.98</v>
      </c>
      <c r="F115" s="119">
        <v>65.01</v>
      </c>
      <c r="G115" s="119">
        <v>69.25</v>
      </c>
      <c r="H115" s="119">
        <v>65.92</v>
      </c>
      <c r="I115" s="119">
        <f t="shared" si="3"/>
        <v>67.13166666666667</v>
      </c>
      <c r="J115" s="119">
        <v>0.82</v>
      </c>
      <c r="K115" s="77">
        <v>0.12380000000000001</v>
      </c>
      <c r="L115" s="117">
        <f t="shared" si="4"/>
        <v>0.13831928703356722</v>
      </c>
      <c r="M115" s="76">
        <v>22721.93</v>
      </c>
      <c r="N115" s="131">
        <f t="shared" si="5"/>
        <v>1.1238</v>
      </c>
      <c r="O115" s="122">
        <v>5</v>
      </c>
    </row>
    <row r="116" spans="1:15" ht="12.75">
      <c r="A116" s="25" t="s">
        <v>570</v>
      </c>
      <c r="B116" s="25" t="s">
        <v>571</v>
      </c>
      <c r="C116" s="119">
        <v>58.07</v>
      </c>
      <c r="D116" s="119">
        <v>55.06</v>
      </c>
      <c r="E116" s="119">
        <v>56.93</v>
      </c>
      <c r="F116" s="119">
        <v>50.8</v>
      </c>
      <c r="G116" s="119">
        <v>51.45</v>
      </c>
      <c r="H116" s="119">
        <v>48.43</v>
      </c>
      <c r="I116" s="119">
        <f t="shared" si="3"/>
        <v>53.45666666666667</v>
      </c>
      <c r="J116" s="119">
        <v>0.24</v>
      </c>
      <c r="K116" s="77">
        <v>0.1425</v>
      </c>
      <c r="L116" s="117">
        <f t="shared" si="4"/>
        <v>0.14790893246699</v>
      </c>
      <c r="M116" s="76">
        <v>16143.44</v>
      </c>
      <c r="N116" s="131">
        <f t="shared" si="5"/>
        <v>1.1425</v>
      </c>
      <c r="O116" s="122">
        <v>8</v>
      </c>
    </row>
    <row r="117" spans="1:15" ht="12.75">
      <c r="A117" s="25" t="s">
        <v>572</v>
      </c>
      <c r="B117" s="25" t="s">
        <v>573</v>
      </c>
      <c r="C117" s="119">
        <v>54.69</v>
      </c>
      <c r="D117" s="119">
        <v>49.69</v>
      </c>
      <c r="E117" s="119">
        <v>54.86</v>
      </c>
      <c r="F117" s="119">
        <v>52.21</v>
      </c>
      <c r="G117" s="119">
        <v>54.66</v>
      </c>
      <c r="H117" s="119">
        <v>51.4</v>
      </c>
      <c r="I117" s="119">
        <f t="shared" si="3"/>
        <v>52.91833333333333</v>
      </c>
      <c r="J117" s="119">
        <v>0.44</v>
      </c>
      <c r="K117" s="77">
        <v>0.1381</v>
      </c>
      <c r="L117" s="117">
        <f t="shared" si="4"/>
        <v>0.14809375002491731</v>
      </c>
      <c r="M117" s="76">
        <v>56578.17</v>
      </c>
      <c r="N117" s="131">
        <f t="shared" si="5"/>
        <v>1.1381000000000001</v>
      </c>
      <c r="O117" s="122">
        <v>11</v>
      </c>
    </row>
    <row r="118" spans="1:15" ht="12.75">
      <c r="A118" s="25" t="s">
        <v>574</v>
      </c>
      <c r="B118" s="25" t="s">
        <v>575</v>
      </c>
      <c r="C118" s="119">
        <v>46.24</v>
      </c>
      <c r="D118" s="119">
        <v>42.5</v>
      </c>
      <c r="E118" s="119">
        <v>44.24</v>
      </c>
      <c r="F118" s="119">
        <v>41.8</v>
      </c>
      <c r="G118" s="119">
        <v>43.08</v>
      </c>
      <c r="H118" s="119">
        <v>39.59</v>
      </c>
      <c r="I118" s="119">
        <f t="shared" si="3"/>
        <v>42.90833333333334</v>
      </c>
      <c r="J118" s="119">
        <v>0.88</v>
      </c>
      <c r="K118" s="77">
        <v>0.1151</v>
      </c>
      <c r="L118" s="117">
        <f t="shared" si="4"/>
        <v>0.13936864442910157</v>
      </c>
      <c r="M118" s="76">
        <v>17624.73</v>
      </c>
      <c r="N118" s="131">
        <f t="shared" si="5"/>
        <v>1.1151</v>
      </c>
      <c r="O118" s="122">
        <v>12</v>
      </c>
    </row>
    <row r="119" spans="1:15" ht="12.75">
      <c r="A119" s="25" t="s">
        <v>576</v>
      </c>
      <c r="B119" s="25" t="s">
        <v>577</v>
      </c>
      <c r="C119" s="119">
        <v>60.39</v>
      </c>
      <c r="D119" s="119">
        <v>57.35</v>
      </c>
      <c r="E119" s="119">
        <v>59.05</v>
      </c>
      <c r="F119" s="119">
        <v>55.68</v>
      </c>
      <c r="G119" s="119">
        <v>57.29</v>
      </c>
      <c r="H119" s="119">
        <v>53.6</v>
      </c>
      <c r="I119" s="119">
        <f t="shared" si="3"/>
        <v>57.22666666666668</v>
      </c>
      <c r="J119" s="119">
        <v>0.74</v>
      </c>
      <c r="K119" s="77">
        <v>0.1188</v>
      </c>
      <c r="L119" s="117">
        <f t="shared" si="4"/>
        <v>0.13410658420544586</v>
      </c>
      <c r="M119" s="76">
        <v>2232.18</v>
      </c>
      <c r="N119" s="131">
        <f t="shared" si="5"/>
        <v>1.1188</v>
      </c>
      <c r="O119" s="122">
        <v>4</v>
      </c>
    </row>
    <row r="120" spans="1:15" ht="12.75">
      <c r="A120" s="25" t="s">
        <v>578</v>
      </c>
      <c r="B120" s="25" t="s">
        <v>579</v>
      </c>
      <c r="C120" s="119">
        <v>95.18</v>
      </c>
      <c r="D120" s="119">
        <v>82.5</v>
      </c>
      <c r="E120" s="119">
        <v>98.68</v>
      </c>
      <c r="F120" s="119">
        <v>91.27</v>
      </c>
      <c r="G120" s="119">
        <v>93.93</v>
      </c>
      <c r="H120" s="119">
        <v>85.82</v>
      </c>
      <c r="I120" s="119">
        <f t="shared" si="3"/>
        <v>91.23</v>
      </c>
      <c r="J120" s="119">
        <v>1.4</v>
      </c>
      <c r="K120" s="77">
        <v>0.1275</v>
      </c>
      <c r="L120" s="117">
        <f t="shared" si="4"/>
        <v>0.14582370046747806</v>
      </c>
      <c r="M120" s="76">
        <v>72440.5</v>
      </c>
      <c r="N120" s="131">
        <f t="shared" si="5"/>
        <v>1.1275</v>
      </c>
      <c r="O120" s="122">
        <v>7</v>
      </c>
    </row>
    <row r="121" spans="1:15" ht="12.75">
      <c r="A121" s="25" t="s">
        <v>580</v>
      </c>
      <c r="B121" s="25" t="s">
        <v>581</v>
      </c>
      <c r="C121" s="119">
        <v>66.25</v>
      </c>
      <c r="D121" s="119">
        <v>62.12</v>
      </c>
      <c r="E121" s="119">
        <v>62.87</v>
      </c>
      <c r="F121" s="119">
        <v>58.74</v>
      </c>
      <c r="G121" s="119">
        <v>59.72</v>
      </c>
      <c r="H121" s="119">
        <v>57.21</v>
      </c>
      <c r="I121" s="119">
        <f t="shared" si="3"/>
        <v>61.15166666666667</v>
      </c>
      <c r="J121" s="119">
        <v>0.59</v>
      </c>
      <c r="K121" s="77">
        <v>0.1101</v>
      </c>
      <c r="L121" s="117">
        <f t="shared" si="4"/>
        <v>0.12141711843312675</v>
      </c>
      <c r="M121" s="76">
        <v>47499.39</v>
      </c>
      <c r="N121" s="131">
        <f t="shared" si="5"/>
        <v>1.1101</v>
      </c>
      <c r="O121" s="122">
        <v>10</v>
      </c>
    </row>
    <row r="122" spans="1:15" ht="12.75">
      <c r="A122" s="25" t="s">
        <v>582</v>
      </c>
      <c r="B122" s="25" t="s">
        <v>583</v>
      </c>
      <c r="C122" s="119">
        <v>70.1</v>
      </c>
      <c r="D122" s="119">
        <v>59.55</v>
      </c>
      <c r="E122" s="119">
        <v>63.83</v>
      </c>
      <c r="F122" s="119">
        <v>58.55</v>
      </c>
      <c r="G122" s="119">
        <v>63.5</v>
      </c>
      <c r="H122" s="119">
        <v>57.45</v>
      </c>
      <c r="I122" s="119">
        <f t="shared" si="3"/>
        <v>62.16333333333333</v>
      </c>
      <c r="J122" s="119">
        <v>1</v>
      </c>
      <c r="K122" s="77">
        <v>0.10279999999999999</v>
      </c>
      <c r="L122" s="117">
        <f t="shared" si="4"/>
        <v>0.12159297987238848</v>
      </c>
      <c r="M122" s="76">
        <v>4785.54</v>
      </c>
      <c r="N122" s="131">
        <f t="shared" si="5"/>
        <v>1.1028</v>
      </c>
      <c r="O122" s="122">
        <v>7</v>
      </c>
    </row>
    <row r="123" spans="1:15" ht="12.75">
      <c r="A123" s="25" t="s">
        <v>584</v>
      </c>
      <c r="B123" s="25" t="s">
        <v>585</v>
      </c>
      <c r="C123" s="119">
        <v>30.94</v>
      </c>
      <c r="D123" s="119">
        <v>27.79</v>
      </c>
      <c r="E123" s="119">
        <v>31.48</v>
      </c>
      <c r="F123" s="119">
        <v>29.4</v>
      </c>
      <c r="G123" s="119">
        <v>30.26</v>
      </c>
      <c r="H123" s="119">
        <v>28.8</v>
      </c>
      <c r="I123" s="119">
        <f t="shared" si="3"/>
        <v>29.778333333333336</v>
      </c>
      <c r="J123" s="119">
        <v>0.4</v>
      </c>
      <c r="K123" s="77">
        <v>0.1364</v>
      </c>
      <c r="L123" s="117">
        <f t="shared" si="4"/>
        <v>0.15255359978296412</v>
      </c>
      <c r="M123" s="76">
        <v>271834.5</v>
      </c>
      <c r="N123" s="131">
        <f t="shared" si="5"/>
        <v>1.1364</v>
      </c>
      <c r="O123" s="122">
        <v>16</v>
      </c>
    </row>
    <row r="124" spans="1:15" ht="12.75">
      <c r="A124" s="25" t="s">
        <v>586</v>
      </c>
      <c r="B124" s="25" t="s">
        <v>587</v>
      </c>
      <c r="C124" s="119">
        <v>88.06</v>
      </c>
      <c r="D124" s="119">
        <v>80.3</v>
      </c>
      <c r="E124" s="119">
        <v>81.3</v>
      </c>
      <c r="F124" s="119">
        <v>75.11</v>
      </c>
      <c r="G124" s="119">
        <v>76.99</v>
      </c>
      <c r="H124" s="119">
        <v>70.9</v>
      </c>
      <c r="I124" s="119">
        <f t="shared" si="3"/>
        <v>78.77666666666669</v>
      </c>
      <c r="J124" s="119">
        <v>1.28</v>
      </c>
      <c r="K124" s="77">
        <v>0.1107</v>
      </c>
      <c r="L124" s="117">
        <f t="shared" si="4"/>
        <v>0.12981921455103396</v>
      </c>
      <c r="M124" s="76">
        <v>5406.68</v>
      </c>
      <c r="N124" s="131">
        <f t="shared" si="5"/>
        <v>1.1107</v>
      </c>
      <c r="O124" s="122">
        <v>6</v>
      </c>
    </row>
    <row r="125" spans="1:15" ht="12.75">
      <c r="A125" s="25" t="s">
        <v>588</v>
      </c>
      <c r="B125" s="25" t="s">
        <v>589</v>
      </c>
      <c r="C125" s="119">
        <v>76.09</v>
      </c>
      <c r="D125" s="119">
        <v>63.51</v>
      </c>
      <c r="E125" s="119">
        <v>72.6</v>
      </c>
      <c r="F125" s="119">
        <v>67.54</v>
      </c>
      <c r="G125" s="119">
        <v>71.7</v>
      </c>
      <c r="H125" s="119">
        <v>68.81</v>
      </c>
      <c r="I125" s="119">
        <f t="shared" si="3"/>
        <v>70.04166666666667</v>
      </c>
      <c r="J125" s="119">
        <v>0.32</v>
      </c>
      <c r="K125" s="77">
        <v>0.1407</v>
      </c>
      <c r="L125" s="117">
        <f t="shared" si="4"/>
        <v>0.146195718601839</v>
      </c>
      <c r="M125" s="76">
        <v>18494.77</v>
      </c>
      <c r="N125" s="131">
        <f t="shared" si="5"/>
        <v>1.1407</v>
      </c>
      <c r="O125" s="122">
        <v>7</v>
      </c>
    </row>
    <row r="126" spans="1:15" ht="12.75">
      <c r="A126" s="25" t="s">
        <v>590</v>
      </c>
      <c r="B126" s="25" t="s">
        <v>591</v>
      </c>
      <c r="C126" s="119">
        <v>84.39</v>
      </c>
      <c r="D126" s="119">
        <v>73.04</v>
      </c>
      <c r="E126" s="119">
        <v>84.66</v>
      </c>
      <c r="F126" s="119">
        <v>79.6</v>
      </c>
      <c r="G126" s="119">
        <v>83.4</v>
      </c>
      <c r="H126" s="119">
        <v>74.51</v>
      </c>
      <c r="I126" s="119">
        <f t="shared" si="3"/>
        <v>79.93333333333334</v>
      </c>
      <c r="J126" s="119">
        <v>1.08</v>
      </c>
      <c r="K126" s="77">
        <v>0.1319</v>
      </c>
      <c r="L126" s="117">
        <f t="shared" si="4"/>
        <v>0.14808437229049787</v>
      </c>
      <c r="M126" s="76">
        <v>78275</v>
      </c>
      <c r="N126" s="131">
        <f t="shared" si="5"/>
        <v>1.1319</v>
      </c>
      <c r="O126" s="122">
        <v>9</v>
      </c>
    </row>
    <row r="127" spans="1:15" ht="12.75">
      <c r="A127" s="25" t="s">
        <v>592</v>
      </c>
      <c r="B127" s="25" t="s">
        <v>593</v>
      </c>
      <c r="C127" s="119">
        <v>19.98</v>
      </c>
      <c r="D127" s="119">
        <v>18.25</v>
      </c>
      <c r="E127" s="119">
        <v>20.91</v>
      </c>
      <c r="F127" s="119">
        <v>17.9</v>
      </c>
      <c r="G127" s="119">
        <v>22.55</v>
      </c>
      <c r="H127" s="119">
        <v>20.17</v>
      </c>
      <c r="I127" s="119">
        <f t="shared" si="3"/>
        <v>19.959999999999997</v>
      </c>
      <c r="J127" s="119">
        <v>0.2</v>
      </c>
      <c r="K127" s="77">
        <v>0.11810000000000001</v>
      </c>
      <c r="L127" s="117">
        <f t="shared" si="4"/>
        <v>0.1299397866964611</v>
      </c>
      <c r="M127" s="76">
        <v>45061.53</v>
      </c>
      <c r="N127" s="131">
        <f t="shared" si="5"/>
        <v>1.1181</v>
      </c>
      <c r="O127" s="122">
        <v>12</v>
      </c>
    </row>
    <row r="128" spans="1:15" ht="12.75">
      <c r="A128" s="25" t="s">
        <v>594</v>
      </c>
      <c r="B128" s="25" t="s">
        <v>595</v>
      </c>
      <c r="C128" s="119">
        <v>38.52</v>
      </c>
      <c r="D128" s="119">
        <v>37.43</v>
      </c>
      <c r="E128" s="119">
        <v>38.35</v>
      </c>
      <c r="F128" s="119">
        <v>34.82</v>
      </c>
      <c r="G128" s="119">
        <v>37.4286</v>
      </c>
      <c r="H128" s="119">
        <v>35.29</v>
      </c>
      <c r="I128" s="119">
        <f t="shared" si="3"/>
        <v>36.9731</v>
      </c>
      <c r="J128" s="119">
        <v>1.56</v>
      </c>
      <c r="K128" s="77">
        <v>0.0721</v>
      </c>
      <c r="L128" s="117">
        <f t="shared" si="4"/>
        <v>0.12051465720335885</v>
      </c>
      <c r="M128" s="76">
        <v>24081.7</v>
      </c>
      <c r="N128" s="131">
        <f t="shared" si="5"/>
        <v>1.0721</v>
      </c>
      <c r="O128" s="122">
        <v>7</v>
      </c>
    </row>
    <row r="129" spans="1:15" ht="12.75">
      <c r="A129" s="25" t="s">
        <v>596</v>
      </c>
      <c r="B129" s="25" t="s">
        <v>597</v>
      </c>
      <c r="C129" s="119">
        <v>26.15</v>
      </c>
      <c r="D129" s="119">
        <v>22.2</v>
      </c>
      <c r="E129" s="119">
        <v>23.62</v>
      </c>
      <c r="F129" s="119">
        <v>21.65</v>
      </c>
      <c r="G129" s="119">
        <v>25.18</v>
      </c>
      <c r="H129" s="119">
        <v>22.42</v>
      </c>
      <c r="I129" s="119">
        <f t="shared" si="3"/>
        <v>23.536666666666672</v>
      </c>
      <c r="J129" s="119">
        <v>0.16</v>
      </c>
      <c r="K129" s="77">
        <v>0.1386</v>
      </c>
      <c r="L129" s="117">
        <f t="shared" si="4"/>
        <v>0.14676935567245297</v>
      </c>
      <c r="M129" s="76">
        <v>7954.14</v>
      </c>
      <c r="N129" s="131">
        <f t="shared" si="5"/>
        <v>1.1386</v>
      </c>
      <c r="O129" s="122">
        <v>7</v>
      </c>
    </row>
    <row r="130" spans="1:15" ht="12.75">
      <c r="A130" s="25" t="s">
        <v>598</v>
      </c>
      <c r="B130" s="25" t="s">
        <v>599</v>
      </c>
      <c r="C130" s="119">
        <v>31.95</v>
      </c>
      <c r="D130" s="119">
        <v>29.54</v>
      </c>
      <c r="E130" s="119">
        <v>30.65</v>
      </c>
      <c r="F130" s="119">
        <v>28.66</v>
      </c>
      <c r="G130" s="119">
        <v>29.5</v>
      </c>
      <c r="H130" s="119">
        <v>28.31</v>
      </c>
      <c r="I130" s="119">
        <f t="shared" si="3"/>
        <v>29.76833333333333</v>
      </c>
      <c r="J130" s="119">
        <v>0.84</v>
      </c>
      <c r="K130" s="77">
        <v>0.09380000000000001</v>
      </c>
      <c r="L130" s="117">
        <f t="shared" si="4"/>
        <v>0.12665288526404472</v>
      </c>
      <c r="M130" s="76">
        <v>8413.01</v>
      </c>
      <c r="N130" s="131">
        <f t="shared" si="5"/>
        <v>1.0938</v>
      </c>
      <c r="O130" s="122">
        <v>8</v>
      </c>
    </row>
    <row r="131" spans="1:15" ht="12.75">
      <c r="A131" s="25" t="s">
        <v>600</v>
      </c>
      <c r="B131" s="25" t="s">
        <v>601</v>
      </c>
      <c r="C131" s="119">
        <v>108.9</v>
      </c>
      <c r="D131" s="119">
        <v>98.44</v>
      </c>
      <c r="E131" s="119">
        <v>100.35</v>
      </c>
      <c r="F131" s="119">
        <v>94.92</v>
      </c>
      <c r="G131" s="119">
        <v>101.2</v>
      </c>
      <c r="H131" s="119">
        <v>94.79</v>
      </c>
      <c r="I131" s="119">
        <f t="shared" si="3"/>
        <v>99.76666666666667</v>
      </c>
      <c r="J131" s="119">
        <v>1.48</v>
      </c>
      <c r="K131" s="77">
        <v>0.1356</v>
      </c>
      <c r="L131" s="117">
        <f t="shared" si="4"/>
        <v>0.15343693909221057</v>
      </c>
      <c r="M131" s="76">
        <v>19534.91</v>
      </c>
      <c r="N131" s="131">
        <f t="shared" si="5"/>
        <v>1.1356</v>
      </c>
      <c r="O131" s="122">
        <v>9</v>
      </c>
    </row>
    <row r="132" spans="1:15" ht="12.75">
      <c r="A132" s="25" t="s">
        <v>602</v>
      </c>
      <c r="B132" s="25" t="s">
        <v>603</v>
      </c>
      <c r="C132" s="119">
        <v>59.7</v>
      </c>
      <c r="D132" s="119">
        <v>51.12</v>
      </c>
      <c r="E132" s="119">
        <v>55.99</v>
      </c>
      <c r="F132" s="119">
        <v>50</v>
      </c>
      <c r="G132" s="119">
        <v>51.4</v>
      </c>
      <c r="H132" s="119">
        <v>47.26</v>
      </c>
      <c r="I132" s="119">
        <f t="shared" si="3"/>
        <v>52.578333333333326</v>
      </c>
      <c r="J132" s="119">
        <v>0.54</v>
      </c>
      <c r="K132" s="77">
        <v>0.138</v>
      </c>
      <c r="L132" s="117">
        <f t="shared" si="4"/>
        <v>0.15035281329652683</v>
      </c>
      <c r="M132" s="76">
        <v>13471.46</v>
      </c>
      <c r="N132" s="131">
        <f t="shared" si="5"/>
        <v>1.138</v>
      </c>
      <c r="O132" s="122">
        <v>14</v>
      </c>
    </row>
    <row r="133" spans="1:15" ht="12.75">
      <c r="A133" s="25" t="s">
        <v>604</v>
      </c>
      <c r="B133" s="25" t="s">
        <v>605</v>
      </c>
      <c r="C133" s="119">
        <v>63.49</v>
      </c>
      <c r="D133" s="119">
        <v>59.72</v>
      </c>
      <c r="E133" s="119">
        <v>62.69</v>
      </c>
      <c r="F133" s="119">
        <v>58.66</v>
      </c>
      <c r="G133" s="119">
        <v>61.4025</v>
      </c>
      <c r="H133" s="119">
        <v>56</v>
      </c>
      <c r="I133" s="119">
        <f t="shared" si="3"/>
        <v>60.32708333333333</v>
      </c>
      <c r="J133" s="119">
        <v>1</v>
      </c>
      <c r="K133" s="77">
        <v>0.12050000000000001</v>
      </c>
      <c r="L133" s="117">
        <f t="shared" si="4"/>
        <v>0.14017961503212706</v>
      </c>
      <c r="M133" s="76">
        <v>12972.57</v>
      </c>
      <c r="N133" s="131">
        <f t="shared" si="5"/>
        <v>1.1205</v>
      </c>
      <c r="O133" s="122">
        <v>14</v>
      </c>
    </row>
    <row r="134" spans="1:15" ht="12.75">
      <c r="A134" s="25" t="s">
        <v>606</v>
      </c>
      <c r="B134" s="25" t="s">
        <v>607</v>
      </c>
      <c r="C134" s="119">
        <v>75.72</v>
      </c>
      <c r="D134" s="119">
        <v>70.5</v>
      </c>
      <c r="E134" s="119">
        <v>71.92</v>
      </c>
      <c r="F134" s="119">
        <v>66.23</v>
      </c>
      <c r="G134" s="119">
        <v>68.77</v>
      </c>
      <c r="H134" s="119">
        <v>66.04</v>
      </c>
      <c r="I134" s="119">
        <f t="shared" si="3"/>
        <v>69.86333333333333</v>
      </c>
      <c r="J134" s="119">
        <v>1.48</v>
      </c>
      <c r="K134" s="77">
        <v>0.1167</v>
      </c>
      <c r="L134" s="117">
        <f t="shared" si="4"/>
        <v>0.14181049535563806</v>
      </c>
      <c r="M134" s="76">
        <v>25152.3</v>
      </c>
      <c r="N134" s="131">
        <f t="shared" si="5"/>
        <v>1.1167</v>
      </c>
      <c r="O134" s="122">
        <v>10</v>
      </c>
    </row>
    <row r="135" spans="1:15" ht="12.75">
      <c r="A135" s="25" t="s">
        <v>608</v>
      </c>
      <c r="B135" s="25" t="s">
        <v>609</v>
      </c>
      <c r="C135" s="119">
        <v>106.9</v>
      </c>
      <c r="D135" s="119">
        <v>100.61</v>
      </c>
      <c r="E135" s="119">
        <v>105.3</v>
      </c>
      <c r="F135" s="119">
        <v>100.57</v>
      </c>
      <c r="G135" s="119">
        <v>106.06</v>
      </c>
      <c r="H135" s="119">
        <v>102.4</v>
      </c>
      <c r="I135" s="119">
        <f t="shared" si="3"/>
        <v>103.64</v>
      </c>
      <c r="J135" s="119">
        <v>1</v>
      </c>
      <c r="K135" s="77">
        <v>0.1142</v>
      </c>
      <c r="L135" s="117">
        <f t="shared" si="4"/>
        <v>0.1255596749457375</v>
      </c>
      <c r="M135" s="76">
        <v>17231.35</v>
      </c>
      <c r="N135" s="131">
        <f t="shared" si="5"/>
        <v>1.1142</v>
      </c>
      <c r="O135" s="122">
        <v>11</v>
      </c>
    </row>
    <row r="136" spans="1:15" ht="12.75">
      <c r="A136" s="25" t="s">
        <v>610</v>
      </c>
      <c r="B136" s="25" t="s">
        <v>611</v>
      </c>
      <c r="C136" s="119">
        <v>74.23</v>
      </c>
      <c r="D136" s="119">
        <v>66.7</v>
      </c>
      <c r="E136" s="119">
        <v>69.72</v>
      </c>
      <c r="F136" s="119">
        <v>63.23</v>
      </c>
      <c r="G136" s="119">
        <v>69.25</v>
      </c>
      <c r="H136" s="119">
        <v>63.42</v>
      </c>
      <c r="I136" s="119">
        <f t="shared" si="3"/>
        <v>67.75833333333334</v>
      </c>
      <c r="J136" s="119">
        <v>0.8</v>
      </c>
      <c r="K136" s="77">
        <v>0.1131</v>
      </c>
      <c r="L136" s="117">
        <f t="shared" si="4"/>
        <v>0.12699828984321537</v>
      </c>
      <c r="M136" s="76">
        <v>16981.18</v>
      </c>
      <c r="N136" s="131">
        <f t="shared" si="5"/>
        <v>1.1131</v>
      </c>
      <c r="O136" s="122">
        <v>7</v>
      </c>
    </row>
    <row r="137" spans="1:15" ht="12.75">
      <c r="A137" s="25" t="s">
        <v>612</v>
      </c>
      <c r="B137" s="25" t="s">
        <v>613</v>
      </c>
      <c r="C137" s="119">
        <v>36.34</v>
      </c>
      <c r="D137" s="119">
        <v>34.36</v>
      </c>
      <c r="E137" s="119">
        <v>35.19</v>
      </c>
      <c r="F137" s="119">
        <v>33.23</v>
      </c>
      <c r="G137" s="119">
        <v>35.57</v>
      </c>
      <c r="H137" s="119">
        <v>30.81</v>
      </c>
      <c r="I137" s="119">
        <f t="shared" si="3"/>
        <v>34.25</v>
      </c>
      <c r="J137" s="119">
        <v>0.48</v>
      </c>
      <c r="K137" s="77">
        <v>0.11</v>
      </c>
      <c r="L137" s="117">
        <f t="shared" si="4"/>
        <v>0.12646576242917762</v>
      </c>
      <c r="M137" s="76">
        <v>4453.32</v>
      </c>
      <c r="N137" s="131">
        <f t="shared" si="5"/>
        <v>1.11</v>
      </c>
      <c r="O137" s="122">
        <v>4</v>
      </c>
    </row>
    <row r="138" spans="1:15" ht="12.75">
      <c r="A138" s="25" t="s">
        <v>614</v>
      </c>
      <c r="B138" s="25" t="s">
        <v>615</v>
      </c>
      <c r="C138" s="119">
        <v>88.19</v>
      </c>
      <c r="D138" s="119">
        <v>81.81</v>
      </c>
      <c r="E138" s="119">
        <v>84.65</v>
      </c>
      <c r="F138" s="119">
        <v>75.62</v>
      </c>
      <c r="G138" s="119">
        <v>84.89</v>
      </c>
      <c r="H138" s="119">
        <v>76.73</v>
      </c>
      <c r="I138" s="119">
        <f t="shared" si="3"/>
        <v>81.98166666666667</v>
      </c>
      <c r="J138" s="119">
        <v>1.04</v>
      </c>
      <c r="K138" s="77">
        <v>0.1128</v>
      </c>
      <c r="L138" s="117">
        <f t="shared" si="4"/>
        <v>0.12773427853431718</v>
      </c>
      <c r="M138" s="76">
        <v>9730.84</v>
      </c>
      <c r="N138" s="131">
        <f t="shared" si="5"/>
        <v>1.1128</v>
      </c>
      <c r="O138" s="122">
        <v>7</v>
      </c>
    </row>
    <row r="139" spans="1:15" ht="12.75">
      <c r="A139" s="25" t="s">
        <v>616</v>
      </c>
      <c r="B139" s="25" t="s">
        <v>617</v>
      </c>
      <c r="C139" s="119">
        <v>65.39</v>
      </c>
      <c r="D139" s="119">
        <v>62.5</v>
      </c>
      <c r="E139" s="119">
        <v>65.54</v>
      </c>
      <c r="F139" s="119">
        <v>62.29</v>
      </c>
      <c r="G139" s="119">
        <v>64.17</v>
      </c>
      <c r="H139" s="119">
        <v>61.46</v>
      </c>
      <c r="I139" s="119">
        <f t="shared" si="3"/>
        <v>63.55833333333333</v>
      </c>
      <c r="J139" s="119">
        <v>1.2</v>
      </c>
      <c r="K139" s="77">
        <v>0.11019999999999999</v>
      </c>
      <c r="L139" s="117">
        <f t="shared" si="4"/>
        <v>0.1324290910022703</v>
      </c>
      <c r="M139" s="76">
        <v>103064.4</v>
      </c>
      <c r="N139" s="131">
        <f t="shared" si="5"/>
        <v>1.1102</v>
      </c>
      <c r="O139" s="122">
        <v>8</v>
      </c>
    </row>
    <row r="140" spans="1:15" ht="12.75">
      <c r="A140" s="25" t="s">
        <v>618</v>
      </c>
      <c r="B140" s="25" t="s">
        <v>619</v>
      </c>
      <c r="C140" s="119">
        <v>24.66</v>
      </c>
      <c r="D140" s="119">
        <v>23.35</v>
      </c>
      <c r="E140" s="119">
        <v>23.94</v>
      </c>
      <c r="F140" s="119">
        <v>21.28</v>
      </c>
      <c r="G140" s="119">
        <v>22.58</v>
      </c>
      <c r="H140" s="119">
        <v>21.12</v>
      </c>
      <c r="I140" s="119">
        <f aca="true" t="shared" si="6" ref="I140:I190">AVERAGE(C140:H140)</f>
        <v>22.82166666666667</v>
      </c>
      <c r="J140" s="119">
        <v>0.28</v>
      </c>
      <c r="K140" s="77">
        <v>0.13</v>
      </c>
      <c r="L140" s="117">
        <f aca="true" t="shared" si="7" ref="L140:L190">+((((((J140/4)*(N140)^0.25))/(I140*0.95))+(N140)^0.25)^4)-1</f>
        <v>0.1446645334639578</v>
      </c>
      <c r="M140" s="76">
        <v>2833.76</v>
      </c>
      <c r="N140" s="131">
        <f aca="true" t="shared" si="8" ref="N140:N190">1+(K140)</f>
        <v>1.13</v>
      </c>
      <c r="O140" s="122">
        <v>3</v>
      </c>
    </row>
    <row r="141" spans="1:15" ht="12.75">
      <c r="A141" s="25" t="s">
        <v>620</v>
      </c>
      <c r="B141" s="25" t="s">
        <v>621</v>
      </c>
      <c r="C141" s="119">
        <v>48.95</v>
      </c>
      <c r="D141" s="119">
        <v>47.16</v>
      </c>
      <c r="E141" s="119">
        <v>48.5</v>
      </c>
      <c r="F141" s="119">
        <v>45.87</v>
      </c>
      <c r="G141" s="119">
        <v>47.05</v>
      </c>
      <c r="H141" s="119">
        <v>45.96</v>
      </c>
      <c r="I141" s="119">
        <f t="shared" si="6"/>
        <v>47.248333333333335</v>
      </c>
      <c r="J141" s="119">
        <v>1.32</v>
      </c>
      <c r="K141" s="77">
        <v>0.1</v>
      </c>
      <c r="L141" s="117">
        <f t="shared" si="7"/>
        <v>0.13270716810379768</v>
      </c>
      <c r="M141" s="76">
        <v>10348.48</v>
      </c>
      <c r="N141" s="131">
        <f t="shared" si="8"/>
        <v>1.1</v>
      </c>
      <c r="O141" s="122">
        <v>3</v>
      </c>
    </row>
    <row r="142" spans="1:15" ht="12.75">
      <c r="A142" s="25" t="s">
        <v>622</v>
      </c>
      <c r="B142" s="25" t="s">
        <v>623</v>
      </c>
      <c r="C142" s="119">
        <v>76.41</v>
      </c>
      <c r="D142" s="119">
        <v>72.8</v>
      </c>
      <c r="E142" s="119">
        <v>75.65</v>
      </c>
      <c r="F142" s="119">
        <v>72.02</v>
      </c>
      <c r="G142" s="119">
        <v>75.15</v>
      </c>
      <c r="H142" s="119">
        <v>70.55</v>
      </c>
      <c r="I142" s="119">
        <f t="shared" si="6"/>
        <v>73.76333333333334</v>
      </c>
      <c r="J142" s="119">
        <v>2.2</v>
      </c>
      <c r="K142" s="77">
        <v>0.0967</v>
      </c>
      <c r="L142" s="117">
        <f t="shared" si="7"/>
        <v>0.1315382230181732</v>
      </c>
      <c r="M142" s="76">
        <v>21521.73</v>
      </c>
      <c r="N142" s="131">
        <f t="shared" si="8"/>
        <v>1.0967</v>
      </c>
      <c r="O142" s="122">
        <v>9</v>
      </c>
    </row>
    <row r="143" spans="1:15" ht="12.75">
      <c r="A143" s="25" t="s">
        <v>624</v>
      </c>
      <c r="B143" s="25" t="s">
        <v>625</v>
      </c>
      <c r="C143" s="119">
        <v>69.09</v>
      </c>
      <c r="D143" s="119">
        <v>64.84</v>
      </c>
      <c r="E143" s="119">
        <v>67.88</v>
      </c>
      <c r="F143" s="119">
        <v>64.01</v>
      </c>
      <c r="G143" s="119">
        <v>66.69</v>
      </c>
      <c r="H143" s="119">
        <v>63.02</v>
      </c>
      <c r="I143" s="119">
        <f t="shared" si="6"/>
        <v>65.92166666666667</v>
      </c>
      <c r="J143" s="119">
        <v>2</v>
      </c>
      <c r="K143" s="77">
        <v>0.0904</v>
      </c>
      <c r="L143" s="117">
        <f t="shared" si="7"/>
        <v>0.1256420894782122</v>
      </c>
      <c r="M143" s="76">
        <v>10738.85</v>
      </c>
      <c r="N143" s="131">
        <f t="shared" si="8"/>
        <v>1.0904</v>
      </c>
      <c r="O143" s="122">
        <v>6</v>
      </c>
    </row>
    <row r="144" spans="1:15" ht="12.75">
      <c r="A144" s="25" t="s">
        <v>149</v>
      </c>
      <c r="B144" s="25" t="s">
        <v>149</v>
      </c>
      <c r="C144" s="119">
        <v>39.68</v>
      </c>
      <c r="D144" s="119">
        <v>35.14</v>
      </c>
      <c r="E144" s="119">
        <v>36.66</v>
      </c>
      <c r="F144" s="119">
        <v>34.43</v>
      </c>
      <c r="G144" s="119">
        <v>37.34</v>
      </c>
      <c r="H144" s="119">
        <v>35.5</v>
      </c>
      <c r="I144" s="119">
        <f t="shared" si="6"/>
        <v>36.458333333333336</v>
      </c>
      <c r="J144" s="119">
        <v>1.22</v>
      </c>
      <c r="K144" s="77">
        <v>0.115</v>
      </c>
      <c r="L144" s="117">
        <f t="shared" si="7"/>
        <v>0.15479666145105342</v>
      </c>
      <c r="M144" s="76">
        <v>14442.26</v>
      </c>
      <c r="N144" s="131">
        <f t="shared" si="8"/>
        <v>1.115</v>
      </c>
      <c r="O144" s="122">
        <v>6</v>
      </c>
    </row>
    <row r="145" spans="1:15" ht="12.75">
      <c r="A145" s="25" t="s">
        <v>626</v>
      </c>
      <c r="B145" s="25" t="s">
        <v>627</v>
      </c>
      <c r="C145" s="119">
        <v>65</v>
      </c>
      <c r="D145" s="119">
        <v>60.23</v>
      </c>
      <c r="E145" s="119">
        <v>63.35</v>
      </c>
      <c r="F145" s="119">
        <v>57.97</v>
      </c>
      <c r="G145" s="119">
        <v>63.27</v>
      </c>
      <c r="H145" s="119">
        <v>58.51</v>
      </c>
      <c r="I145" s="119">
        <f t="shared" si="6"/>
        <v>61.38833333333333</v>
      </c>
      <c r="J145" s="119">
        <v>1.2</v>
      </c>
      <c r="K145" s="77">
        <v>0.1155</v>
      </c>
      <c r="L145" s="117">
        <f t="shared" si="7"/>
        <v>0.13863081998667215</v>
      </c>
      <c r="M145" s="76">
        <v>19554.75</v>
      </c>
      <c r="N145" s="131">
        <f t="shared" si="8"/>
        <v>1.1155</v>
      </c>
      <c r="O145" s="122">
        <v>8</v>
      </c>
    </row>
    <row r="146" spans="1:15" ht="12.75">
      <c r="A146" s="25" t="s">
        <v>628</v>
      </c>
      <c r="B146" s="25" t="s">
        <v>629</v>
      </c>
      <c r="C146" s="119">
        <v>64.17</v>
      </c>
      <c r="D146" s="119">
        <v>59.71</v>
      </c>
      <c r="E146" s="119">
        <v>61.86</v>
      </c>
      <c r="F146" s="119">
        <v>58.19</v>
      </c>
      <c r="G146" s="119">
        <v>59.4</v>
      </c>
      <c r="H146" s="119">
        <v>56.85</v>
      </c>
      <c r="I146" s="119">
        <f t="shared" si="6"/>
        <v>60.03</v>
      </c>
      <c r="J146" s="119">
        <v>0.8</v>
      </c>
      <c r="K146" s="77">
        <v>0.1213</v>
      </c>
      <c r="L146" s="117">
        <f t="shared" si="7"/>
        <v>0.13711261906299343</v>
      </c>
      <c r="M146" s="76">
        <v>16083.39</v>
      </c>
      <c r="N146" s="131">
        <f t="shared" si="8"/>
        <v>1.1213</v>
      </c>
      <c r="O146" s="122">
        <v>9</v>
      </c>
    </row>
    <row r="147" spans="1:15" ht="12.75">
      <c r="A147" s="25" t="s">
        <v>630</v>
      </c>
      <c r="B147" s="25" t="s">
        <v>631</v>
      </c>
      <c r="C147" s="119">
        <v>65.64</v>
      </c>
      <c r="D147" s="119">
        <v>61.25</v>
      </c>
      <c r="E147" s="119">
        <v>66.3</v>
      </c>
      <c r="F147" s="119">
        <v>63.11</v>
      </c>
      <c r="G147" s="119">
        <v>64.73</v>
      </c>
      <c r="H147" s="119">
        <v>62.21</v>
      </c>
      <c r="I147" s="119">
        <f t="shared" si="6"/>
        <v>63.873333333333335</v>
      </c>
      <c r="J147" s="119">
        <v>1.24</v>
      </c>
      <c r="K147" s="77">
        <v>0.11449999999999999</v>
      </c>
      <c r="L147" s="117">
        <f t="shared" si="7"/>
        <v>0.13745013422930974</v>
      </c>
      <c r="M147" s="76">
        <v>199293.8</v>
      </c>
      <c r="N147" s="131">
        <f t="shared" si="8"/>
        <v>1.1145</v>
      </c>
      <c r="O147" s="122">
        <v>12</v>
      </c>
    </row>
    <row r="148" spans="1:15" ht="12.75">
      <c r="A148" s="25" t="s">
        <v>632</v>
      </c>
      <c r="B148" s="25" t="s">
        <v>633</v>
      </c>
      <c r="C148" s="119">
        <v>93.26</v>
      </c>
      <c r="D148" s="119">
        <v>89.05</v>
      </c>
      <c r="E148" s="119">
        <v>89.33</v>
      </c>
      <c r="F148" s="119">
        <v>85.38</v>
      </c>
      <c r="G148" s="119">
        <v>87.18</v>
      </c>
      <c r="H148" s="119">
        <v>81</v>
      </c>
      <c r="I148" s="119">
        <f t="shared" si="6"/>
        <v>87.53333333333335</v>
      </c>
      <c r="J148" s="119">
        <v>0.95</v>
      </c>
      <c r="K148" s="77">
        <v>0.1335</v>
      </c>
      <c r="L148" s="117">
        <f t="shared" si="7"/>
        <v>0.1465049344232947</v>
      </c>
      <c r="M148" s="76">
        <v>43606.34</v>
      </c>
      <c r="N148" s="131">
        <f t="shared" si="8"/>
        <v>1.1335</v>
      </c>
      <c r="O148" s="122">
        <v>9</v>
      </c>
    </row>
    <row r="149" spans="1:15" ht="12.75">
      <c r="A149" s="25" t="s">
        <v>634</v>
      </c>
      <c r="B149" s="25" t="s">
        <v>150</v>
      </c>
      <c r="C149" s="119">
        <v>78.03</v>
      </c>
      <c r="D149" s="119">
        <v>66.48</v>
      </c>
      <c r="E149" s="119">
        <v>67.75</v>
      </c>
      <c r="F149" s="119">
        <v>64.32</v>
      </c>
      <c r="G149" s="119">
        <v>68.099</v>
      </c>
      <c r="H149" s="119">
        <v>65.7</v>
      </c>
      <c r="I149" s="119">
        <f t="shared" si="6"/>
        <v>68.39649999999999</v>
      </c>
      <c r="J149" s="119">
        <v>2.34</v>
      </c>
      <c r="K149" s="77">
        <v>0.0867</v>
      </c>
      <c r="L149" s="117">
        <f t="shared" si="7"/>
        <v>0.12636693834611767</v>
      </c>
      <c r="M149" s="76">
        <v>18630.22</v>
      </c>
      <c r="N149" s="131">
        <f t="shared" si="8"/>
        <v>1.0867</v>
      </c>
      <c r="O149" s="122">
        <v>3</v>
      </c>
    </row>
    <row r="150" spans="1:15" s="132" customFormat="1" ht="12.75">
      <c r="A150" s="25" t="s">
        <v>635</v>
      </c>
      <c r="B150" s="25" t="s">
        <v>636</v>
      </c>
      <c r="C150" s="119">
        <v>35.56</v>
      </c>
      <c r="D150" s="119">
        <v>29.31</v>
      </c>
      <c r="E150" s="119">
        <v>34.9</v>
      </c>
      <c r="F150" s="119">
        <v>31.03</v>
      </c>
      <c r="G150" s="119">
        <v>35.31</v>
      </c>
      <c r="H150" s="119">
        <v>32</v>
      </c>
      <c r="I150" s="119">
        <f t="shared" si="6"/>
        <v>33.01833333333334</v>
      </c>
      <c r="J150" s="119">
        <v>0.16</v>
      </c>
      <c r="K150" s="77">
        <v>0.1325</v>
      </c>
      <c r="L150" s="117">
        <f t="shared" si="7"/>
        <v>0.13828775416492567</v>
      </c>
      <c r="M150" s="76">
        <v>7552.44</v>
      </c>
      <c r="N150" s="131">
        <f t="shared" si="8"/>
        <v>1.1325</v>
      </c>
      <c r="O150" s="122">
        <v>4</v>
      </c>
    </row>
    <row r="151" spans="1:15" ht="12.75">
      <c r="A151" s="25" t="s">
        <v>637</v>
      </c>
      <c r="B151" s="25" t="s">
        <v>638</v>
      </c>
      <c r="C151" s="119">
        <v>54.29</v>
      </c>
      <c r="D151" s="119">
        <v>50.3</v>
      </c>
      <c r="E151" s="119">
        <v>52.91</v>
      </c>
      <c r="F151" s="119">
        <v>48.82</v>
      </c>
      <c r="G151" s="119">
        <v>54.2</v>
      </c>
      <c r="H151" s="119">
        <v>51.34</v>
      </c>
      <c r="I151" s="119">
        <f t="shared" si="6"/>
        <v>51.97666666666667</v>
      </c>
      <c r="J151" s="119">
        <v>0.4</v>
      </c>
      <c r="K151" s="77">
        <v>0.13</v>
      </c>
      <c r="L151" s="117">
        <f t="shared" si="7"/>
        <v>0.1391817503917383</v>
      </c>
      <c r="M151" s="76">
        <v>9665.6</v>
      </c>
      <c r="N151" s="131">
        <f t="shared" si="8"/>
        <v>1.13</v>
      </c>
      <c r="O151" s="122">
        <v>9</v>
      </c>
    </row>
    <row r="152" spans="1:15" ht="12.75">
      <c r="A152" s="25" t="s">
        <v>639</v>
      </c>
      <c r="B152" s="25" t="s">
        <v>158</v>
      </c>
      <c r="C152" s="119">
        <v>86.32</v>
      </c>
      <c r="D152" s="119">
        <v>79.33</v>
      </c>
      <c r="E152" s="119">
        <v>82.81</v>
      </c>
      <c r="F152" s="119">
        <v>75.96</v>
      </c>
      <c r="G152" s="119">
        <v>89.56</v>
      </c>
      <c r="H152" s="119">
        <v>82.45</v>
      </c>
      <c r="I152" s="119">
        <f t="shared" si="6"/>
        <v>82.73833333333333</v>
      </c>
      <c r="J152" s="119">
        <v>0.94</v>
      </c>
      <c r="K152" s="77">
        <v>0.1182</v>
      </c>
      <c r="L152" s="117">
        <f t="shared" si="7"/>
        <v>0.13163272552759286</v>
      </c>
      <c r="M152" s="76">
        <v>7080.51</v>
      </c>
      <c r="N152" s="131">
        <f t="shared" si="8"/>
        <v>1.1182</v>
      </c>
      <c r="O152" s="122">
        <v>5</v>
      </c>
    </row>
    <row r="153" spans="1:15" ht="12.75">
      <c r="A153" s="25" t="s">
        <v>640</v>
      </c>
      <c r="B153" s="25" t="s">
        <v>641</v>
      </c>
      <c r="C153" s="119">
        <v>37.61</v>
      </c>
      <c r="D153" s="119">
        <v>35.31</v>
      </c>
      <c r="E153" s="119">
        <v>38.17</v>
      </c>
      <c r="F153" s="119">
        <v>35.76</v>
      </c>
      <c r="G153" s="119">
        <v>37.99</v>
      </c>
      <c r="H153" s="119">
        <v>36.4</v>
      </c>
      <c r="I153" s="119">
        <f t="shared" si="6"/>
        <v>36.873333333333335</v>
      </c>
      <c r="J153" s="119">
        <v>1.44</v>
      </c>
      <c r="K153" s="77">
        <v>0.0783</v>
      </c>
      <c r="L153" s="117">
        <f t="shared" si="7"/>
        <v>0.12331478387427564</v>
      </c>
      <c r="M153" s="76">
        <v>25867.07</v>
      </c>
      <c r="N153" s="131">
        <f t="shared" si="8"/>
        <v>1.0783</v>
      </c>
      <c r="O153" s="122">
        <v>9</v>
      </c>
    </row>
    <row r="154" spans="1:15" ht="12.75">
      <c r="A154" s="25" t="s">
        <v>642</v>
      </c>
      <c r="B154" s="25" t="s">
        <v>643</v>
      </c>
      <c r="C154" s="119">
        <v>65.31</v>
      </c>
      <c r="D154" s="119">
        <v>61.01</v>
      </c>
      <c r="E154" s="119">
        <v>63.01</v>
      </c>
      <c r="F154" s="119">
        <v>56.73</v>
      </c>
      <c r="G154" s="119">
        <v>65.69</v>
      </c>
      <c r="H154" s="119">
        <v>60.34</v>
      </c>
      <c r="I154" s="119">
        <f t="shared" si="6"/>
        <v>62.01500000000001</v>
      </c>
      <c r="J154" s="119">
        <v>1.16</v>
      </c>
      <c r="K154" s="77">
        <v>0.1183</v>
      </c>
      <c r="L154" s="117">
        <f t="shared" si="7"/>
        <v>0.140482030657892</v>
      </c>
      <c r="M154" s="76">
        <v>10070.95</v>
      </c>
      <c r="N154" s="131">
        <f t="shared" si="8"/>
        <v>1.1183</v>
      </c>
      <c r="O154" s="122">
        <v>6</v>
      </c>
    </row>
    <row r="155" spans="1:15" ht="12.75">
      <c r="A155" s="25" t="s">
        <v>644</v>
      </c>
      <c r="B155" s="25" t="s">
        <v>645</v>
      </c>
      <c r="C155" s="119">
        <v>69.91</v>
      </c>
      <c r="D155" s="119">
        <v>64.39</v>
      </c>
      <c r="E155" s="119">
        <v>69.75</v>
      </c>
      <c r="F155" s="119">
        <v>62.45</v>
      </c>
      <c r="G155" s="119">
        <v>64.31</v>
      </c>
      <c r="H155" s="119">
        <v>59.8</v>
      </c>
      <c r="I155" s="119">
        <f t="shared" si="6"/>
        <v>65.10166666666667</v>
      </c>
      <c r="J155" s="119">
        <v>0.64</v>
      </c>
      <c r="K155" s="77">
        <v>0.1346</v>
      </c>
      <c r="L155" s="117">
        <f t="shared" si="7"/>
        <v>0.1463866934027549</v>
      </c>
      <c r="M155" s="76">
        <v>11000.61</v>
      </c>
      <c r="N155" s="131">
        <f t="shared" si="8"/>
        <v>1.1346</v>
      </c>
      <c r="O155" s="122">
        <v>12</v>
      </c>
    </row>
    <row r="156" spans="1:15" ht="12.75">
      <c r="A156" s="25" t="s">
        <v>646</v>
      </c>
      <c r="B156" s="25" t="s">
        <v>647</v>
      </c>
      <c r="C156" s="119">
        <v>55.95</v>
      </c>
      <c r="D156" s="119">
        <v>51.59</v>
      </c>
      <c r="E156" s="119">
        <v>57.54</v>
      </c>
      <c r="F156" s="119">
        <v>50.13</v>
      </c>
      <c r="G156" s="119">
        <v>52.99</v>
      </c>
      <c r="H156" s="119">
        <v>50.32</v>
      </c>
      <c r="I156" s="119">
        <f t="shared" si="6"/>
        <v>53.086666666666666</v>
      </c>
      <c r="J156" s="119">
        <v>1.32</v>
      </c>
      <c r="K156" s="77">
        <v>0.1153</v>
      </c>
      <c r="L156" s="117">
        <f t="shared" si="7"/>
        <v>0.14477928118215044</v>
      </c>
      <c r="M156" s="76">
        <v>11320.79</v>
      </c>
      <c r="N156" s="131">
        <f t="shared" si="8"/>
        <v>1.1153</v>
      </c>
      <c r="O156" s="122">
        <v>9</v>
      </c>
    </row>
    <row r="157" spans="1:15" ht="12.75">
      <c r="A157" s="25" t="s">
        <v>648</v>
      </c>
      <c r="B157" s="25" t="s">
        <v>649</v>
      </c>
      <c r="C157" s="119">
        <v>55.62</v>
      </c>
      <c r="D157" s="119">
        <v>51.2</v>
      </c>
      <c r="E157" s="119">
        <v>54.75</v>
      </c>
      <c r="F157" s="119">
        <v>51.55</v>
      </c>
      <c r="G157" s="119">
        <v>52.89</v>
      </c>
      <c r="H157" s="119">
        <v>50.36</v>
      </c>
      <c r="I157" s="119">
        <f t="shared" si="6"/>
        <v>52.72833333333333</v>
      </c>
      <c r="J157" s="119">
        <v>0.84</v>
      </c>
      <c r="K157" s="77">
        <v>0.1142</v>
      </c>
      <c r="L157" s="117">
        <f t="shared" si="7"/>
        <v>0.13300203545779943</v>
      </c>
      <c r="M157" s="76">
        <v>3057.81</v>
      </c>
      <c r="N157" s="131">
        <f t="shared" si="8"/>
        <v>1.1142</v>
      </c>
      <c r="O157" s="122">
        <v>5</v>
      </c>
    </row>
    <row r="158" spans="1:15" ht="12.75">
      <c r="A158" s="25" t="s">
        <v>650</v>
      </c>
      <c r="B158" s="25" t="s">
        <v>651</v>
      </c>
      <c r="C158" s="119">
        <v>32.61</v>
      </c>
      <c r="D158" s="119">
        <v>32.1</v>
      </c>
      <c r="E158" s="119">
        <v>32.47</v>
      </c>
      <c r="F158" s="119">
        <v>31.82</v>
      </c>
      <c r="G158" s="119">
        <v>32.12</v>
      </c>
      <c r="H158" s="119">
        <v>27.17</v>
      </c>
      <c r="I158" s="119">
        <f t="shared" si="6"/>
        <v>31.38166666666667</v>
      </c>
      <c r="J158" s="119">
        <v>0.52</v>
      </c>
      <c r="K158" s="77">
        <v>0.1066</v>
      </c>
      <c r="L158" s="117">
        <f t="shared" si="7"/>
        <v>0.12602826518914267</v>
      </c>
      <c r="M158" s="76">
        <v>4327.09</v>
      </c>
      <c r="N158" s="131">
        <f t="shared" si="8"/>
        <v>1.1066</v>
      </c>
      <c r="O158" s="122">
        <v>3</v>
      </c>
    </row>
    <row r="159" spans="1:15" ht="12.75">
      <c r="A159" s="25" t="s">
        <v>652</v>
      </c>
      <c r="B159" s="25" t="s">
        <v>653</v>
      </c>
      <c r="C159" s="119">
        <v>69.15</v>
      </c>
      <c r="D159" s="119">
        <v>64.07</v>
      </c>
      <c r="E159" s="119">
        <v>64.61</v>
      </c>
      <c r="F159" s="119">
        <v>57.43</v>
      </c>
      <c r="G159" s="119">
        <v>64.85</v>
      </c>
      <c r="H159" s="119">
        <v>60.37</v>
      </c>
      <c r="I159" s="119">
        <f t="shared" si="6"/>
        <v>63.413333333333334</v>
      </c>
      <c r="J159" s="119">
        <v>1.2</v>
      </c>
      <c r="K159" s="77">
        <v>0.09880000000000001</v>
      </c>
      <c r="L159" s="117">
        <f t="shared" si="7"/>
        <v>0.12085151561131391</v>
      </c>
      <c r="M159" s="76">
        <v>7617.65</v>
      </c>
      <c r="N159" s="131">
        <f t="shared" si="8"/>
        <v>1.0988</v>
      </c>
      <c r="O159" s="122">
        <v>8</v>
      </c>
    </row>
    <row r="160" spans="1:15" ht="12.75">
      <c r="A160" s="25" t="s">
        <v>654</v>
      </c>
      <c r="B160" s="25" t="s">
        <v>655</v>
      </c>
      <c r="C160" s="119">
        <v>49.42</v>
      </c>
      <c r="D160" s="119">
        <v>44.35</v>
      </c>
      <c r="E160" s="119">
        <v>53.39</v>
      </c>
      <c r="F160" s="119">
        <v>48.37</v>
      </c>
      <c r="G160" s="119">
        <v>50.9</v>
      </c>
      <c r="H160" s="119">
        <v>48.65</v>
      </c>
      <c r="I160" s="119">
        <f t="shared" si="6"/>
        <v>49.18000000000001</v>
      </c>
      <c r="J160" s="119">
        <v>0.48</v>
      </c>
      <c r="K160" s="77">
        <v>0.1081</v>
      </c>
      <c r="L160" s="117">
        <f t="shared" si="7"/>
        <v>0.11952828049951836</v>
      </c>
      <c r="M160" s="76">
        <v>5693.9</v>
      </c>
      <c r="N160" s="131">
        <f t="shared" si="8"/>
        <v>1.1081</v>
      </c>
      <c r="O160" s="122">
        <v>7</v>
      </c>
    </row>
    <row r="161" spans="1:15" ht="12.75">
      <c r="A161" s="25" t="s">
        <v>656</v>
      </c>
      <c r="B161" s="25" t="s">
        <v>657</v>
      </c>
      <c r="C161" s="119">
        <v>67.74</v>
      </c>
      <c r="D161" s="119">
        <v>63.56</v>
      </c>
      <c r="E161" s="119">
        <v>66.32</v>
      </c>
      <c r="F161" s="119">
        <v>63.02</v>
      </c>
      <c r="G161" s="119">
        <v>65.76</v>
      </c>
      <c r="H161" s="119">
        <v>58.55</v>
      </c>
      <c r="I161" s="119">
        <f t="shared" si="6"/>
        <v>64.15833333333333</v>
      </c>
      <c r="J161" s="119">
        <v>0.8</v>
      </c>
      <c r="K161" s="77">
        <v>0.114</v>
      </c>
      <c r="L161" s="117">
        <f t="shared" si="7"/>
        <v>0.12869384737672807</v>
      </c>
      <c r="M161" s="76">
        <v>5082.28</v>
      </c>
      <c r="N161" s="131">
        <f t="shared" si="8"/>
        <v>1.114</v>
      </c>
      <c r="O161" s="122">
        <v>5</v>
      </c>
    </row>
    <row r="162" spans="1:15" ht="12.75">
      <c r="A162" s="25" t="s">
        <v>658</v>
      </c>
      <c r="B162" s="25" t="s">
        <v>659</v>
      </c>
      <c r="C162" s="119">
        <v>71.11</v>
      </c>
      <c r="D162" s="119">
        <v>64.65</v>
      </c>
      <c r="E162" s="119">
        <v>69.27</v>
      </c>
      <c r="F162" s="119">
        <v>61.28</v>
      </c>
      <c r="G162" s="119">
        <v>64.76</v>
      </c>
      <c r="H162" s="119">
        <v>61.434</v>
      </c>
      <c r="I162" s="119">
        <f t="shared" si="6"/>
        <v>65.41733333333332</v>
      </c>
      <c r="J162" s="119">
        <v>1.26</v>
      </c>
      <c r="K162" s="77">
        <v>0.1117</v>
      </c>
      <c r="L162" s="117">
        <f t="shared" si="7"/>
        <v>0.1344113134361835</v>
      </c>
      <c r="M162" s="76">
        <v>8745.96</v>
      </c>
      <c r="N162" s="131">
        <f t="shared" si="8"/>
        <v>1.1117</v>
      </c>
      <c r="O162" s="122">
        <v>3</v>
      </c>
    </row>
    <row r="163" spans="1:15" ht="12.75">
      <c r="A163" s="25" t="s">
        <v>660</v>
      </c>
      <c r="B163" s="25" t="s">
        <v>661</v>
      </c>
      <c r="C163" s="119">
        <v>51.66</v>
      </c>
      <c r="D163" s="119">
        <v>48.5</v>
      </c>
      <c r="E163" s="119">
        <v>48.42</v>
      </c>
      <c r="F163" s="119">
        <v>46.46</v>
      </c>
      <c r="G163" s="119">
        <v>48.65</v>
      </c>
      <c r="H163" s="119">
        <v>46.76</v>
      </c>
      <c r="I163" s="119">
        <f t="shared" si="6"/>
        <v>48.40833333333333</v>
      </c>
      <c r="J163" s="119">
        <v>1.08</v>
      </c>
      <c r="K163" s="77">
        <v>0.1067</v>
      </c>
      <c r="L163" s="117">
        <f t="shared" si="7"/>
        <v>0.13292000268789583</v>
      </c>
      <c r="M163" s="76">
        <v>2892.58</v>
      </c>
      <c r="N163" s="131">
        <f t="shared" si="8"/>
        <v>1.1067</v>
      </c>
      <c r="O163" s="122">
        <v>3</v>
      </c>
    </row>
    <row r="164" spans="1:15" ht="12.75">
      <c r="A164" s="25" t="s">
        <v>662</v>
      </c>
      <c r="B164" s="25" t="s">
        <v>663</v>
      </c>
      <c r="C164" s="119">
        <v>58.99</v>
      </c>
      <c r="D164" s="119">
        <v>55.05</v>
      </c>
      <c r="E164" s="119">
        <v>57.54</v>
      </c>
      <c r="F164" s="119">
        <v>49.95</v>
      </c>
      <c r="G164" s="119">
        <v>51.96</v>
      </c>
      <c r="H164" s="119">
        <v>48.61</v>
      </c>
      <c r="I164" s="119">
        <f t="shared" si="6"/>
        <v>53.68333333333333</v>
      </c>
      <c r="J164" s="119">
        <v>1.2</v>
      </c>
      <c r="K164" s="77">
        <v>0.1157</v>
      </c>
      <c r="L164" s="117">
        <f t="shared" si="7"/>
        <v>0.1421847441971953</v>
      </c>
      <c r="M164" s="76">
        <v>4504.25</v>
      </c>
      <c r="N164" s="131">
        <f t="shared" si="8"/>
        <v>1.1157</v>
      </c>
      <c r="O164" s="122">
        <v>7</v>
      </c>
    </row>
    <row r="165" spans="1:15" ht="12.75">
      <c r="A165" s="25" t="s">
        <v>664</v>
      </c>
      <c r="B165" s="25" t="s">
        <v>665</v>
      </c>
      <c r="C165" s="119">
        <v>72.14</v>
      </c>
      <c r="D165" s="119">
        <v>64.78</v>
      </c>
      <c r="E165" s="119">
        <v>72.82</v>
      </c>
      <c r="F165" s="119">
        <v>67.31</v>
      </c>
      <c r="G165" s="119">
        <v>68.564</v>
      </c>
      <c r="H165" s="119">
        <v>60.96</v>
      </c>
      <c r="I165" s="119">
        <f t="shared" si="6"/>
        <v>67.76233333333333</v>
      </c>
      <c r="J165" s="119">
        <v>0.84</v>
      </c>
      <c r="K165" s="77">
        <v>0.126</v>
      </c>
      <c r="L165" s="117">
        <f t="shared" si="7"/>
        <v>0.1407648913980546</v>
      </c>
      <c r="M165" s="76">
        <v>21726.63</v>
      </c>
      <c r="N165" s="131">
        <f t="shared" si="8"/>
        <v>1.126</v>
      </c>
      <c r="O165" s="122">
        <v>12</v>
      </c>
    </row>
    <row r="166" spans="1:15" ht="12.75">
      <c r="A166" s="25" t="s">
        <v>666</v>
      </c>
      <c r="B166" s="25" t="s">
        <v>667</v>
      </c>
      <c r="C166" s="119">
        <v>87.43</v>
      </c>
      <c r="D166" s="119">
        <v>83.09</v>
      </c>
      <c r="E166" s="119">
        <v>85.54</v>
      </c>
      <c r="F166" s="119">
        <v>81.33</v>
      </c>
      <c r="G166" s="119">
        <v>85.64</v>
      </c>
      <c r="H166" s="119">
        <v>81.11</v>
      </c>
      <c r="I166" s="119">
        <f t="shared" si="6"/>
        <v>84.02333333333333</v>
      </c>
      <c r="J166" s="119">
        <v>2.92</v>
      </c>
      <c r="K166" s="77">
        <v>0.084</v>
      </c>
      <c r="L166" s="117">
        <f t="shared" si="7"/>
        <v>0.12420144736563032</v>
      </c>
      <c r="M166" s="76">
        <v>30222.39</v>
      </c>
      <c r="N166" s="131">
        <f t="shared" si="8"/>
        <v>1.084</v>
      </c>
      <c r="O166" s="122">
        <v>13</v>
      </c>
    </row>
    <row r="167" spans="1:15" ht="12.75">
      <c r="A167" s="25" t="s">
        <v>668</v>
      </c>
      <c r="B167" s="25" t="s">
        <v>669</v>
      </c>
      <c r="C167" s="119">
        <v>33.82</v>
      </c>
      <c r="D167" s="119">
        <v>31.86</v>
      </c>
      <c r="E167" s="119">
        <v>32.1</v>
      </c>
      <c r="F167" s="119">
        <v>30.39</v>
      </c>
      <c r="G167" s="119">
        <v>31.13</v>
      </c>
      <c r="H167" s="119">
        <v>29.69</v>
      </c>
      <c r="I167" s="119">
        <f t="shared" si="6"/>
        <v>31.498333333333335</v>
      </c>
      <c r="J167" s="119">
        <v>0.78</v>
      </c>
      <c r="K167" s="77">
        <v>0.1222</v>
      </c>
      <c r="L167" s="117">
        <f t="shared" si="7"/>
        <v>0.15173905347954886</v>
      </c>
      <c r="M167" s="76">
        <v>10448.15</v>
      </c>
      <c r="N167" s="131">
        <f t="shared" si="8"/>
        <v>1.1222</v>
      </c>
      <c r="O167" s="122">
        <v>9</v>
      </c>
    </row>
    <row r="168" spans="1:15" ht="12.75">
      <c r="A168" s="25" t="s">
        <v>670</v>
      </c>
      <c r="B168" s="25" t="s">
        <v>671</v>
      </c>
      <c r="C168" s="119">
        <v>50.3</v>
      </c>
      <c r="D168" s="119">
        <v>45.57</v>
      </c>
      <c r="E168" s="119">
        <v>48.94</v>
      </c>
      <c r="F168" s="119">
        <v>45.03</v>
      </c>
      <c r="G168" s="119">
        <v>45.22</v>
      </c>
      <c r="H168" s="119">
        <v>42.63</v>
      </c>
      <c r="I168" s="119">
        <f t="shared" si="6"/>
        <v>46.281666666666666</v>
      </c>
      <c r="J168" s="119">
        <v>0.68</v>
      </c>
      <c r="K168" s="77">
        <v>0.1285</v>
      </c>
      <c r="L168" s="117">
        <f t="shared" si="7"/>
        <v>0.14605479877513572</v>
      </c>
      <c r="M168" s="76">
        <v>12164.27</v>
      </c>
      <c r="N168" s="131">
        <f t="shared" si="8"/>
        <v>1.1285</v>
      </c>
      <c r="O168" s="122">
        <v>8</v>
      </c>
    </row>
    <row r="169" spans="1:15" ht="12.75">
      <c r="A169" s="25" t="s">
        <v>672</v>
      </c>
      <c r="B169" s="25" t="s">
        <v>673</v>
      </c>
      <c r="C169" s="119">
        <v>29.5</v>
      </c>
      <c r="D169" s="119">
        <v>28.01</v>
      </c>
      <c r="E169" s="119">
        <v>29.7</v>
      </c>
      <c r="F169" s="119">
        <v>27.78</v>
      </c>
      <c r="G169" s="119">
        <v>31.62</v>
      </c>
      <c r="H169" s="119">
        <v>26.4</v>
      </c>
      <c r="I169" s="119">
        <f t="shared" si="6"/>
        <v>28.835000000000004</v>
      </c>
      <c r="J169" s="119">
        <v>0.24</v>
      </c>
      <c r="K169" s="77">
        <v>0.1275</v>
      </c>
      <c r="L169" s="117">
        <f t="shared" si="7"/>
        <v>0.13741084847728602</v>
      </c>
      <c r="M169" s="76">
        <v>2311.77</v>
      </c>
      <c r="N169" s="131">
        <f t="shared" si="8"/>
        <v>1.1275</v>
      </c>
      <c r="O169" s="122">
        <v>6</v>
      </c>
    </row>
    <row r="170" spans="1:15" ht="12.75">
      <c r="A170" s="25" t="s">
        <v>674</v>
      </c>
      <c r="B170" s="25" t="s">
        <v>675</v>
      </c>
      <c r="C170" s="119">
        <v>98.43</v>
      </c>
      <c r="D170" s="119">
        <v>89.52</v>
      </c>
      <c r="E170" s="119">
        <v>98.8</v>
      </c>
      <c r="F170" s="119">
        <v>90.78</v>
      </c>
      <c r="G170" s="119">
        <v>98.5</v>
      </c>
      <c r="H170" s="119">
        <v>92.7</v>
      </c>
      <c r="I170" s="119">
        <f t="shared" si="6"/>
        <v>94.78833333333334</v>
      </c>
      <c r="J170" s="119">
        <v>1.55</v>
      </c>
      <c r="K170" s="77">
        <v>0.1288</v>
      </c>
      <c r="L170" s="117">
        <f t="shared" si="7"/>
        <v>0.1483556606269707</v>
      </c>
      <c r="M170" s="76">
        <v>11221.5</v>
      </c>
      <c r="N170" s="131">
        <f t="shared" si="8"/>
        <v>1.1288</v>
      </c>
      <c r="O170" s="122">
        <v>8</v>
      </c>
    </row>
    <row r="171" spans="1:15" s="132" customFormat="1" ht="12.75">
      <c r="A171" s="25" t="s">
        <v>676</v>
      </c>
      <c r="B171" s="25" t="s">
        <v>677</v>
      </c>
      <c r="C171" s="119">
        <v>54.33</v>
      </c>
      <c r="D171" s="119">
        <v>50.45</v>
      </c>
      <c r="E171" s="119">
        <v>54.64</v>
      </c>
      <c r="F171" s="119">
        <v>50.3</v>
      </c>
      <c r="G171" s="119">
        <v>55</v>
      </c>
      <c r="H171" s="119">
        <v>50.96</v>
      </c>
      <c r="I171" s="119">
        <f t="shared" si="6"/>
        <v>52.61333333333334</v>
      </c>
      <c r="J171" s="119">
        <v>1.04</v>
      </c>
      <c r="K171" s="77">
        <v>0.09970000000000001</v>
      </c>
      <c r="L171" s="117">
        <f t="shared" si="7"/>
        <v>0.12276085136899062</v>
      </c>
      <c r="M171" s="76">
        <v>34901.09</v>
      </c>
      <c r="N171" s="131">
        <f t="shared" si="8"/>
        <v>1.0997</v>
      </c>
      <c r="O171" s="122">
        <v>7</v>
      </c>
    </row>
    <row r="172" spans="1:15" ht="12.75">
      <c r="A172" s="25" t="s">
        <v>678</v>
      </c>
      <c r="B172" s="25" t="s">
        <v>679</v>
      </c>
      <c r="C172" s="119">
        <v>45.98</v>
      </c>
      <c r="D172" s="119">
        <v>39.13</v>
      </c>
      <c r="E172" s="119">
        <v>40.5</v>
      </c>
      <c r="F172" s="119">
        <v>38.17</v>
      </c>
      <c r="G172" s="119">
        <v>40.8</v>
      </c>
      <c r="H172" s="119">
        <v>37.45</v>
      </c>
      <c r="I172" s="119">
        <f t="shared" si="6"/>
        <v>40.33833333333333</v>
      </c>
      <c r="J172" s="119">
        <v>0.4</v>
      </c>
      <c r="K172" s="77">
        <v>0.1191</v>
      </c>
      <c r="L172" s="117">
        <f t="shared" si="7"/>
        <v>0.13082699938511477</v>
      </c>
      <c r="M172" s="76">
        <v>5809.09</v>
      </c>
      <c r="N172" s="131">
        <f t="shared" si="8"/>
        <v>1.1191</v>
      </c>
      <c r="O172" s="122">
        <v>11</v>
      </c>
    </row>
    <row r="173" spans="1:15" s="132" customFormat="1" ht="12.75">
      <c r="A173" s="25" t="s">
        <v>680</v>
      </c>
      <c r="B173" s="25" t="s">
        <v>681</v>
      </c>
      <c r="C173" s="119">
        <v>29.43</v>
      </c>
      <c r="D173" s="119">
        <v>27.22</v>
      </c>
      <c r="E173" s="119">
        <v>30.24</v>
      </c>
      <c r="F173" s="119">
        <v>27.81</v>
      </c>
      <c r="G173" s="119">
        <v>29.46</v>
      </c>
      <c r="H173" s="119">
        <v>26.67</v>
      </c>
      <c r="I173" s="119">
        <f t="shared" si="6"/>
        <v>28.471666666666664</v>
      </c>
      <c r="J173" s="119">
        <v>0.28</v>
      </c>
      <c r="K173" s="77">
        <v>0.12140000000000001</v>
      </c>
      <c r="L173" s="117">
        <f t="shared" si="7"/>
        <v>0.1330538022223513</v>
      </c>
      <c r="M173" s="76">
        <v>12424.19</v>
      </c>
      <c r="N173" s="131">
        <f t="shared" si="8"/>
        <v>1.1214</v>
      </c>
      <c r="O173" s="122">
        <v>7</v>
      </c>
    </row>
    <row r="174" spans="1:15" ht="12.75">
      <c r="A174" s="25" t="s">
        <v>682</v>
      </c>
      <c r="B174" s="25" t="s">
        <v>683</v>
      </c>
      <c r="C174" s="119">
        <v>33.29</v>
      </c>
      <c r="D174" s="119">
        <v>30.5</v>
      </c>
      <c r="E174" s="119">
        <v>32.32</v>
      </c>
      <c r="F174" s="119">
        <v>29.28</v>
      </c>
      <c r="G174" s="119">
        <v>31.86</v>
      </c>
      <c r="H174" s="119">
        <v>29.4</v>
      </c>
      <c r="I174" s="119">
        <f t="shared" si="6"/>
        <v>31.108333333333334</v>
      </c>
      <c r="J174" s="119">
        <v>0.4</v>
      </c>
      <c r="K174" s="77">
        <v>0.12710000000000002</v>
      </c>
      <c r="L174" s="117">
        <f t="shared" si="7"/>
        <v>0.14243295253322308</v>
      </c>
      <c r="M174" s="76">
        <v>59455.2</v>
      </c>
      <c r="N174" s="131">
        <f t="shared" si="8"/>
        <v>1.1271</v>
      </c>
      <c r="O174" s="122">
        <v>7</v>
      </c>
    </row>
    <row r="175" spans="1:15" ht="12.75">
      <c r="A175" s="25" t="s">
        <v>684</v>
      </c>
      <c r="B175" s="25" t="s">
        <v>685</v>
      </c>
      <c r="C175" s="119">
        <v>75.32</v>
      </c>
      <c r="D175" s="119">
        <v>69.93</v>
      </c>
      <c r="E175" s="119">
        <v>75.98</v>
      </c>
      <c r="F175" s="119">
        <v>70.38</v>
      </c>
      <c r="G175" s="119">
        <v>78.77</v>
      </c>
      <c r="H175" s="119">
        <v>73.62</v>
      </c>
      <c r="I175" s="119">
        <f t="shared" si="6"/>
        <v>74</v>
      </c>
      <c r="J175" s="119">
        <v>1.68</v>
      </c>
      <c r="K175" s="77">
        <v>0.12029999999999999</v>
      </c>
      <c r="L175" s="117">
        <f t="shared" si="7"/>
        <v>0.14731334181203914</v>
      </c>
      <c r="M175" s="76">
        <v>46252.73</v>
      </c>
      <c r="N175" s="131">
        <f t="shared" si="8"/>
        <v>1.1203</v>
      </c>
      <c r="O175" s="122">
        <v>6</v>
      </c>
    </row>
    <row r="176" spans="1:15" ht="12.75">
      <c r="A176" s="25" t="s">
        <v>686</v>
      </c>
      <c r="B176" s="25" t="s">
        <v>687</v>
      </c>
      <c r="C176" s="119">
        <v>69.49</v>
      </c>
      <c r="D176" s="119">
        <v>64.75</v>
      </c>
      <c r="E176" s="119">
        <v>68.24</v>
      </c>
      <c r="F176" s="119">
        <v>61.85</v>
      </c>
      <c r="G176" s="119">
        <v>65.49</v>
      </c>
      <c r="H176" s="119">
        <v>61.8</v>
      </c>
      <c r="I176" s="119">
        <f t="shared" si="6"/>
        <v>65.27000000000001</v>
      </c>
      <c r="J176" s="119">
        <v>1.06</v>
      </c>
      <c r="K176" s="77">
        <v>0.12029999999999999</v>
      </c>
      <c r="L176" s="117">
        <f t="shared" si="7"/>
        <v>0.13957463149227145</v>
      </c>
      <c r="M176" s="76">
        <v>64078.8</v>
      </c>
      <c r="N176" s="131">
        <f t="shared" si="8"/>
        <v>1.1203</v>
      </c>
      <c r="O176" s="122">
        <v>8</v>
      </c>
    </row>
    <row r="177" spans="1:15" ht="12.75">
      <c r="A177" s="25" t="s">
        <v>688</v>
      </c>
      <c r="B177" s="25" t="s">
        <v>689</v>
      </c>
      <c r="C177" s="119">
        <v>36.84</v>
      </c>
      <c r="D177" s="119">
        <v>34.77</v>
      </c>
      <c r="E177" s="119">
        <v>36.29</v>
      </c>
      <c r="F177" s="119">
        <v>35.01</v>
      </c>
      <c r="G177" s="119">
        <v>36.85</v>
      </c>
      <c r="H177" s="119">
        <v>33.45</v>
      </c>
      <c r="I177" s="119">
        <f t="shared" si="6"/>
        <v>35.535</v>
      </c>
      <c r="J177" s="119">
        <v>1.6</v>
      </c>
      <c r="K177" s="77">
        <v>0.0909</v>
      </c>
      <c r="L177" s="117">
        <f t="shared" si="7"/>
        <v>0.1435303420032188</v>
      </c>
      <c r="M177" s="76">
        <v>62284.96</v>
      </c>
      <c r="N177" s="131">
        <f t="shared" si="8"/>
        <v>1.0909</v>
      </c>
      <c r="O177" s="122">
        <v>10</v>
      </c>
    </row>
    <row r="178" spans="1:15" ht="12.75">
      <c r="A178" s="25" t="s">
        <v>690</v>
      </c>
      <c r="B178" s="25" t="s">
        <v>691</v>
      </c>
      <c r="C178" s="119">
        <v>80.97</v>
      </c>
      <c r="D178" s="119">
        <v>74.64</v>
      </c>
      <c r="E178" s="119">
        <v>83.29</v>
      </c>
      <c r="F178" s="119">
        <v>73.59</v>
      </c>
      <c r="G178" s="119">
        <v>83.1</v>
      </c>
      <c r="H178" s="119">
        <v>76.92</v>
      </c>
      <c r="I178" s="119">
        <f t="shared" si="6"/>
        <v>78.75166666666668</v>
      </c>
      <c r="J178" s="119">
        <v>2.2</v>
      </c>
      <c r="K178" s="77">
        <v>0.0967</v>
      </c>
      <c r="L178" s="117">
        <f t="shared" si="7"/>
        <v>0.12930718600016444</v>
      </c>
      <c r="M178" s="76">
        <v>8913.46</v>
      </c>
      <c r="N178" s="131">
        <f t="shared" si="8"/>
        <v>1.0967</v>
      </c>
      <c r="O178" s="122">
        <v>9</v>
      </c>
    </row>
    <row r="179" spans="1:15" ht="12.75">
      <c r="A179" s="25" t="s">
        <v>692</v>
      </c>
      <c r="B179" s="25" t="s">
        <v>693</v>
      </c>
      <c r="C179" s="119">
        <v>125.79</v>
      </c>
      <c r="D179" s="119">
        <v>102.33</v>
      </c>
      <c r="E179" s="119">
        <v>102.83</v>
      </c>
      <c r="F179" s="119">
        <v>87.27</v>
      </c>
      <c r="G179" s="119">
        <v>92</v>
      </c>
      <c r="H179" s="119">
        <v>86.74</v>
      </c>
      <c r="I179" s="119">
        <f t="shared" si="6"/>
        <v>99.49333333333333</v>
      </c>
      <c r="J179" s="119">
        <v>1.84</v>
      </c>
      <c r="K179" s="77">
        <v>0.1133</v>
      </c>
      <c r="L179" s="117">
        <f t="shared" si="7"/>
        <v>0.13513139895953263</v>
      </c>
      <c r="M179" s="76">
        <v>11124.83</v>
      </c>
      <c r="N179" s="131">
        <f t="shared" si="8"/>
        <v>1.1133</v>
      </c>
      <c r="O179" s="122">
        <v>3</v>
      </c>
    </row>
    <row r="180" spans="1:15" ht="12.75">
      <c r="A180" s="25" t="s">
        <v>694</v>
      </c>
      <c r="B180" s="25" t="s">
        <v>695</v>
      </c>
      <c r="C180" s="119">
        <v>58.8</v>
      </c>
      <c r="D180" s="119">
        <v>54.4</v>
      </c>
      <c r="E180" s="119">
        <v>57.57</v>
      </c>
      <c r="F180" s="119">
        <v>55.62</v>
      </c>
      <c r="G180" s="119">
        <v>57.67</v>
      </c>
      <c r="H180" s="119">
        <v>53.63</v>
      </c>
      <c r="I180" s="119">
        <f t="shared" si="6"/>
        <v>56.281666666666666</v>
      </c>
      <c r="J180" s="119">
        <v>2.24</v>
      </c>
      <c r="K180" s="77">
        <v>0.0919</v>
      </c>
      <c r="L180" s="117">
        <f t="shared" si="7"/>
        <v>0.13836835257197233</v>
      </c>
      <c r="M180" s="76">
        <v>86601.81</v>
      </c>
      <c r="N180" s="131">
        <f t="shared" si="8"/>
        <v>1.0919</v>
      </c>
      <c r="O180" s="122">
        <v>14</v>
      </c>
    </row>
    <row r="181" spans="1:15" ht="12.75">
      <c r="A181" s="25" t="s">
        <v>696</v>
      </c>
      <c r="B181" s="25" t="s">
        <v>697</v>
      </c>
      <c r="C181" s="119">
        <v>50.42</v>
      </c>
      <c r="D181" s="119">
        <v>47.44</v>
      </c>
      <c r="E181" s="119">
        <v>48.78</v>
      </c>
      <c r="F181" s="119">
        <v>46.51</v>
      </c>
      <c r="G181" s="119">
        <v>46.89</v>
      </c>
      <c r="H181" s="119">
        <v>44.8</v>
      </c>
      <c r="I181" s="119">
        <f t="shared" si="6"/>
        <v>47.47333333333333</v>
      </c>
      <c r="J181" s="119">
        <v>0.67</v>
      </c>
      <c r="K181" s="77">
        <v>0.12560000000000002</v>
      </c>
      <c r="L181" s="117">
        <f t="shared" si="7"/>
        <v>0.14241528589980956</v>
      </c>
      <c r="M181" s="76">
        <v>199273.1</v>
      </c>
      <c r="N181" s="131">
        <f t="shared" si="8"/>
        <v>1.1256</v>
      </c>
      <c r="O181" s="122">
        <v>16</v>
      </c>
    </row>
    <row r="182" spans="1:15" ht="12.75">
      <c r="A182" s="25" t="s">
        <v>698</v>
      </c>
      <c r="B182" s="25" t="s">
        <v>699</v>
      </c>
      <c r="C182" s="119">
        <v>36.09</v>
      </c>
      <c r="D182" s="119">
        <v>32.65</v>
      </c>
      <c r="E182" s="119">
        <v>35.97</v>
      </c>
      <c r="F182" s="119">
        <v>33.95</v>
      </c>
      <c r="G182" s="119">
        <v>34.89</v>
      </c>
      <c r="H182" s="119">
        <v>32.76</v>
      </c>
      <c r="I182" s="119">
        <f t="shared" si="6"/>
        <v>34.385</v>
      </c>
      <c r="J182" s="119">
        <v>0.31</v>
      </c>
      <c r="K182" s="77">
        <v>0.1359</v>
      </c>
      <c r="L182" s="117">
        <f t="shared" si="7"/>
        <v>0.14671818511881352</v>
      </c>
      <c r="M182" s="76">
        <v>70224.06</v>
      </c>
      <c r="N182" s="131">
        <f t="shared" si="8"/>
        <v>1.1359</v>
      </c>
      <c r="O182" s="122">
        <v>12</v>
      </c>
    </row>
    <row r="183" spans="1:15" ht="12.75">
      <c r="A183" s="25" t="s">
        <v>700</v>
      </c>
      <c r="B183" s="25" t="s">
        <v>701</v>
      </c>
      <c r="C183" s="119">
        <v>38.7</v>
      </c>
      <c r="D183" s="119">
        <v>33.45</v>
      </c>
      <c r="E183" s="119">
        <v>38.07</v>
      </c>
      <c r="F183" s="119">
        <v>35.5</v>
      </c>
      <c r="G183" s="119">
        <v>37.9</v>
      </c>
      <c r="H183" s="119">
        <v>35.67</v>
      </c>
      <c r="I183" s="119">
        <f t="shared" si="6"/>
        <v>36.54833333333334</v>
      </c>
      <c r="J183" s="119">
        <v>0.96</v>
      </c>
      <c r="K183" s="77">
        <v>0.1033</v>
      </c>
      <c r="L183" s="117">
        <f t="shared" si="7"/>
        <v>0.1341229350858535</v>
      </c>
      <c r="M183" s="76">
        <v>17799.44</v>
      </c>
      <c r="N183" s="131">
        <f t="shared" si="8"/>
        <v>1.1033</v>
      </c>
      <c r="O183" s="122">
        <v>3</v>
      </c>
    </row>
    <row r="184" spans="1:15" ht="12.75">
      <c r="A184" s="25" t="s">
        <v>702</v>
      </c>
      <c r="B184" s="25" t="s">
        <v>703</v>
      </c>
      <c r="C184" s="119">
        <v>36.36</v>
      </c>
      <c r="D184" s="119">
        <v>33.8</v>
      </c>
      <c r="E184" s="119">
        <v>36.64</v>
      </c>
      <c r="F184" s="119">
        <v>35.37</v>
      </c>
      <c r="G184" s="119">
        <v>36.16</v>
      </c>
      <c r="H184" s="119">
        <v>35.01</v>
      </c>
      <c r="I184" s="119">
        <f t="shared" si="6"/>
        <v>35.556666666666665</v>
      </c>
      <c r="J184" s="119">
        <v>1.12</v>
      </c>
      <c r="K184" s="77">
        <v>0.1119</v>
      </c>
      <c r="L184" s="117">
        <f t="shared" si="7"/>
        <v>0.14922804858464112</v>
      </c>
      <c r="M184" s="76">
        <v>116268.1</v>
      </c>
      <c r="N184" s="131">
        <f t="shared" si="8"/>
        <v>1.1118999999999999</v>
      </c>
      <c r="O184" s="122">
        <v>16</v>
      </c>
    </row>
    <row r="185" spans="1:15" ht="12.75">
      <c r="A185" s="25" t="s">
        <v>704</v>
      </c>
      <c r="B185" s="25" t="s">
        <v>705</v>
      </c>
      <c r="C185" s="119">
        <v>34.42</v>
      </c>
      <c r="D185" s="119">
        <v>31.27</v>
      </c>
      <c r="E185" s="119">
        <v>34.54</v>
      </c>
      <c r="F185" s="119">
        <v>32.68</v>
      </c>
      <c r="G185" s="119">
        <v>35.33</v>
      </c>
      <c r="H185" s="119">
        <v>32.12</v>
      </c>
      <c r="I185" s="119">
        <f t="shared" si="6"/>
        <v>33.39333333333334</v>
      </c>
      <c r="J185" s="119">
        <v>0.34</v>
      </c>
      <c r="K185" s="77">
        <v>0.1259</v>
      </c>
      <c r="L185" s="117">
        <f t="shared" si="7"/>
        <v>0.1380154746259219</v>
      </c>
      <c r="M185" s="76">
        <v>3697.37</v>
      </c>
      <c r="N185" s="131">
        <f t="shared" si="8"/>
        <v>1.1259000000000001</v>
      </c>
      <c r="O185" s="122">
        <v>11</v>
      </c>
    </row>
    <row r="186" spans="1:15" ht="12.75">
      <c r="A186" s="25" t="s">
        <v>706</v>
      </c>
      <c r="B186" s="25" t="s">
        <v>131</v>
      </c>
      <c r="C186" s="119">
        <v>23.56</v>
      </c>
      <c r="D186" s="119">
        <v>21.42</v>
      </c>
      <c r="E186" s="119">
        <v>23.34</v>
      </c>
      <c r="F186" s="119">
        <v>20.74</v>
      </c>
      <c r="G186" s="119">
        <v>24.14</v>
      </c>
      <c r="H186" s="119">
        <v>21.92</v>
      </c>
      <c r="I186" s="119">
        <f t="shared" si="6"/>
        <v>22.52</v>
      </c>
      <c r="J186" s="119">
        <v>0.04</v>
      </c>
      <c r="K186" s="77">
        <v>0.1241</v>
      </c>
      <c r="L186" s="117">
        <f t="shared" si="7"/>
        <v>0.12620318479416515</v>
      </c>
      <c r="M186" s="76">
        <v>16129.64</v>
      </c>
      <c r="N186" s="131">
        <f t="shared" si="8"/>
        <v>1.1241</v>
      </c>
      <c r="O186" s="122">
        <v>17</v>
      </c>
    </row>
    <row r="187" spans="1:15" ht="12.75">
      <c r="A187" s="25" t="s">
        <v>707</v>
      </c>
      <c r="B187" s="25" t="s">
        <v>708</v>
      </c>
      <c r="C187" s="119">
        <v>53.45</v>
      </c>
      <c r="D187" s="119">
        <v>48.52</v>
      </c>
      <c r="E187" s="119">
        <v>52.56</v>
      </c>
      <c r="F187" s="119">
        <v>49.54</v>
      </c>
      <c r="G187" s="119">
        <v>53.3</v>
      </c>
      <c r="H187" s="119">
        <v>50.88</v>
      </c>
      <c r="I187" s="119">
        <f t="shared" si="6"/>
        <v>51.375</v>
      </c>
      <c r="J187" s="119">
        <v>1.16</v>
      </c>
      <c r="K187" s="77">
        <v>0.1042</v>
      </c>
      <c r="L187" s="117">
        <f t="shared" si="7"/>
        <v>0.13067885129867474</v>
      </c>
      <c r="M187" s="76">
        <v>10771.95</v>
      </c>
      <c r="N187" s="131">
        <f t="shared" si="8"/>
        <v>1.1042</v>
      </c>
      <c r="O187" s="122">
        <v>9</v>
      </c>
    </row>
    <row r="188" spans="1:15" ht="12.75">
      <c r="A188" s="25" t="s">
        <v>709</v>
      </c>
      <c r="B188" s="25" t="s">
        <v>710</v>
      </c>
      <c r="C188" s="119">
        <v>74.4</v>
      </c>
      <c r="D188" s="119">
        <v>69.04</v>
      </c>
      <c r="E188" s="119">
        <v>72.8</v>
      </c>
      <c r="F188" s="119">
        <v>66.93</v>
      </c>
      <c r="G188" s="119">
        <v>72.62</v>
      </c>
      <c r="H188" s="119">
        <v>70</v>
      </c>
      <c r="I188" s="119">
        <f t="shared" si="6"/>
        <v>70.965</v>
      </c>
      <c r="J188" s="119">
        <v>1.52</v>
      </c>
      <c r="K188" s="77">
        <v>0.1176</v>
      </c>
      <c r="L188" s="117">
        <f t="shared" si="7"/>
        <v>0.14301161919124916</v>
      </c>
      <c r="M188" s="76">
        <v>12584.13</v>
      </c>
      <c r="N188" s="131">
        <f t="shared" si="8"/>
        <v>1.1176</v>
      </c>
      <c r="O188" s="122">
        <v>10</v>
      </c>
    </row>
    <row r="189" spans="1:15" ht="12.75">
      <c r="A189" s="25" t="s">
        <v>711</v>
      </c>
      <c r="B189" s="25" t="s">
        <v>712</v>
      </c>
      <c r="C189" s="119">
        <v>62.22</v>
      </c>
      <c r="D189" s="119">
        <v>56.47</v>
      </c>
      <c r="E189" s="119">
        <v>60.38</v>
      </c>
      <c r="F189" s="119">
        <v>57.4</v>
      </c>
      <c r="G189" s="119">
        <v>63.48</v>
      </c>
      <c r="H189" s="119">
        <v>57.82</v>
      </c>
      <c r="I189" s="119">
        <f t="shared" si="6"/>
        <v>59.62833333333333</v>
      </c>
      <c r="J189" s="119">
        <v>1.2</v>
      </c>
      <c r="K189" s="77">
        <v>0.1151</v>
      </c>
      <c r="L189" s="117">
        <f t="shared" si="7"/>
        <v>0.13891043155613336</v>
      </c>
      <c r="M189" s="76">
        <v>14897.5</v>
      </c>
      <c r="N189" s="131">
        <f t="shared" si="8"/>
        <v>1.1151</v>
      </c>
      <c r="O189" s="122">
        <v>12</v>
      </c>
    </row>
    <row r="190" spans="1:15" ht="12.75">
      <c r="A190" s="25" t="s">
        <v>713</v>
      </c>
      <c r="B190" s="25" t="s">
        <v>714</v>
      </c>
      <c r="C190" s="119">
        <v>88.56</v>
      </c>
      <c r="D190" s="119">
        <v>84.18</v>
      </c>
      <c r="E190" s="119">
        <v>84.95</v>
      </c>
      <c r="F190" s="119">
        <v>81.18</v>
      </c>
      <c r="G190" s="119">
        <v>83.15</v>
      </c>
      <c r="H190" s="119">
        <v>77.37</v>
      </c>
      <c r="I190" s="119">
        <f t="shared" si="6"/>
        <v>83.23166666666667</v>
      </c>
      <c r="J190" s="119">
        <v>1.56</v>
      </c>
      <c r="K190" s="77">
        <v>0.099</v>
      </c>
      <c r="L190" s="117">
        <f t="shared" si="7"/>
        <v>0.12084348329295325</v>
      </c>
      <c r="M190" s="76">
        <v>9082.29</v>
      </c>
      <c r="N190" s="131">
        <f t="shared" si="8"/>
        <v>1.099</v>
      </c>
      <c r="O190" s="122">
        <v>12</v>
      </c>
    </row>
    <row r="191" spans="1:15" ht="12.75">
      <c r="A191" s="25" t="s">
        <v>715</v>
      </c>
      <c r="K191" s="133"/>
      <c r="L191" s="117">
        <f>SUMPRODUCT($M12:$M190,L12:L190)/SUM($M12:$M190)</f>
        <v>0.13777564592923605</v>
      </c>
      <c r="M191" s="134"/>
      <c r="O191" s="122"/>
    </row>
    <row r="195" ht="12.75">
      <c r="A195" s="25" t="s">
        <v>34</v>
      </c>
    </row>
    <row r="196" spans="1:3" ht="12.75">
      <c r="A196" s="136" t="s">
        <v>33</v>
      </c>
      <c r="B196" s="136" t="s">
        <v>296</v>
      </c>
      <c r="C196" s="136" t="s">
        <v>25</v>
      </c>
    </row>
    <row r="197" spans="1:3" ht="12.75">
      <c r="A197" s="136" t="s">
        <v>32</v>
      </c>
      <c r="B197" s="136" t="s">
        <v>296</v>
      </c>
      <c r="C197" s="136" t="s">
        <v>26</v>
      </c>
    </row>
    <row r="198" spans="1:3" ht="12.75">
      <c r="A198" s="136" t="s">
        <v>206</v>
      </c>
      <c r="B198" s="136" t="s">
        <v>296</v>
      </c>
      <c r="C198" s="136" t="s">
        <v>27</v>
      </c>
    </row>
    <row r="199" spans="1:3" ht="12.75">
      <c r="A199" s="136" t="s">
        <v>28</v>
      </c>
      <c r="B199" s="136" t="s">
        <v>296</v>
      </c>
      <c r="C199" s="136" t="s">
        <v>29</v>
      </c>
    </row>
    <row r="200" spans="1:3" ht="12.75">
      <c r="A200" s="136" t="s">
        <v>30</v>
      </c>
      <c r="B200" s="136" t="s">
        <v>296</v>
      </c>
      <c r="C200" s="136" t="s">
        <v>31</v>
      </c>
    </row>
  </sheetData>
  <printOptions/>
  <pageMargins left="0.75" right="0.75" top="1" bottom="1" header="0.5" footer="0.5"/>
  <pageSetup horizontalDpi="600" verticalDpi="600" orientation="portrait" scale="92" r:id="rId3"/>
  <legacyDrawing r:id="rId2"/>
  <oleObjects>
    <oleObject progId="Equation.3" shapeId="1290915" r:id="rId1"/>
  </oleObjects>
</worksheet>
</file>

<file path=xl/worksheets/sheet19.xml><?xml version="1.0" encoding="utf-8"?>
<worksheet xmlns="http://schemas.openxmlformats.org/spreadsheetml/2006/main" xmlns:r="http://schemas.openxmlformats.org/officeDocument/2006/relationships">
  <dimension ref="A1:L37"/>
  <sheetViews>
    <sheetView workbookViewId="0" topLeftCell="A1">
      <selection activeCell="B1" sqref="B1"/>
    </sheetView>
  </sheetViews>
  <sheetFormatPr defaultColWidth="9.140625" defaultRowHeight="12.75"/>
  <cols>
    <col min="1" max="1" width="3.7109375" style="25" customWidth="1"/>
    <col min="2" max="2" width="19.140625" style="25" bestFit="1" customWidth="1"/>
    <col min="3" max="3" width="6.28125" style="25" bestFit="1" customWidth="1"/>
    <col min="4" max="4" width="7.140625" style="25" bestFit="1" customWidth="1"/>
    <col min="5" max="5" width="8.7109375" style="25" bestFit="1" customWidth="1"/>
    <col min="6" max="6" width="7.28125" style="25" bestFit="1" customWidth="1"/>
    <col min="7" max="9" width="7.00390625" style="25" customWidth="1"/>
    <col min="10" max="10" width="7.7109375" style="25" customWidth="1"/>
    <col min="11" max="11" width="8.28125" style="25" customWidth="1"/>
    <col min="12" max="12" width="2.7109375" style="25" customWidth="1"/>
    <col min="13" max="16384" width="9.140625" style="25" customWidth="1"/>
  </cols>
  <sheetData>
    <row r="1" ht="12.75">
      <c r="B1" s="24" t="s">
        <v>106</v>
      </c>
    </row>
    <row r="2" ht="12.75">
      <c r="B2" s="24" t="s">
        <v>107</v>
      </c>
    </row>
    <row r="3" ht="12.75">
      <c r="B3" s="24" t="s">
        <v>736</v>
      </c>
    </row>
    <row r="4" ht="12.75">
      <c r="D4" s="25" t="s">
        <v>716</v>
      </c>
    </row>
    <row r="6" ht="12.75">
      <c r="B6" s="24"/>
    </row>
    <row r="7" ht="12.75">
      <c r="B7" s="24" t="s">
        <v>112</v>
      </c>
    </row>
    <row r="9" spans="1:11" s="74" customFormat="1" ht="38.25">
      <c r="A9" s="74" t="s">
        <v>171</v>
      </c>
      <c r="B9" s="74" t="s">
        <v>74</v>
      </c>
      <c r="C9" s="74" t="s">
        <v>101</v>
      </c>
      <c r="D9" s="74" t="s">
        <v>62</v>
      </c>
      <c r="E9" s="74" t="s">
        <v>61</v>
      </c>
      <c r="F9" s="74" t="s">
        <v>139</v>
      </c>
      <c r="G9" s="74" t="s">
        <v>63</v>
      </c>
      <c r="H9" s="74" t="s">
        <v>102</v>
      </c>
      <c r="I9" s="74" t="s">
        <v>103</v>
      </c>
      <c r="J9" s="74" t="s">
        <v>143</v>
      </c>
      <c r="K9" s="74" t="s">
        <v>64</v>
      </c>
    </row>
    <row r="10" spans="1:12" ht="13.5">
      <c r="A10" s="25">
        <v>1</v>
      </c>
      <c r="B10" s="75" t="s">
        <v>76</v>
      </c>
      <c r="C10" s="76">
        <v>25.6</v>
      </c>
      <c r="D10" s="76">
        <v>268.2</v>
      </c>
      <c r="E10" s="76">
        <v>0</v>
      </c>
      <c r="F10" s="76">
        <v>630.41</v>
      </c>
      <c r="G10" s="76">
        <f>SUM(C10:F10)</f>
        <v>924.21</v>
      </c>
      <c r="H10" s="77">
        <f>C10/G10</f>
        <v>0.027699332402808887</v>
      </c>
      <c r="I10" s="77">
        <f>D10/G10</f>
        <v>0.29019378712630245</v>
      </c>
      <c r="J10" s="77">
        <f>E10/G10</f>
        <v>0</v>
      </c>
      <c r="K10" s="77">
        <f>F10/G10</f>
        <v>0.6821068804708886</v>
      </c>
      <c r="L10" s="76"/>
    </row>
    <row r="11" spans="1:12" ht="13.5">
      <c r="A11" s="25">
        <f>A10+1</f>
        <v>2</v>
      </c>
      <c r="B11" s="75" t="s">
        <v>77</v>
      </c>
      <c r="C11" s="76">
        <v>151.6</v>
      </c>
      <c r="D11" s="76">
        <v>917.3</v>
      </c>
      <c r="E11" s="76">
        <v>0</v>
      </c>
      <c r="F11" s="76">
        <v>2873.19</v>
      </c>
      <c r="G11" s="76">
        <f aca="true" t="shared" si="0" ref="G11:G16">SUM(C11:F11)</f>
        <v>3942.09</v>
      </c>
      <c r="H11" s="77">
        <f aca="true" t="shared" si="1" ref="H11:H16">C11/G11</f>
        <v>0.0384567577097428</v>
      </c>
      <c r="I11" s="77">
        <f aca="true" t="shared" si="2" ref="I11:I16">D11/G11</f>
        <v>0.23269382484925508</v>
      </c>
      <c r="J11" s="77">
        <f aca="true" t="shared" si="3" ref="J11:J16">E11/G11</f>
        <v>0</v>
      </c>
      <c r="K11" s="77">
        <f aca="true" t="shared" si="4" ref="K11:K16">F11/G11</f>
        <v>0.7288494174410021</v>
      </c>
      <c r="L11" s="76"/>
    </row>
    <row r="12" spans="1:12" ht="13.5">
      <c r="A12" s="25">
        <f aca="true" t="shared" si="5" ref="A12:A18">A11+1</f>
        <v>3</v>
      </c>
      <c r="B12" s="75" t="s">
        <v>78</v>
      </c>
      <c r="C12" s="76">
        <v>2.8999999999999773</v>
      </c>
      <c r="D12" s="76">
        <v>293.5</v>
      </c>
      <c r="E12" s="76">
        <v>3.5</v>
      </c>
      <c r="F12" s="76">
        <v>781.66</v>
      </c>
      <c r="G12" s="76">
        <f t="shared" si="0"/>
        <v>1081.56</v>
      </c>
      <c r="H12" s="77">
        <f t="shared" si="1"/>
        <v>0.002681312178704813</v>
      </c>
      <c r="I12" s="77">
        <f t="shared" si="2"/>
        <v>0.2713672842930582</v>
      </c>
      <c r="J12" s="77">
        <f t="shared" si="3"/>
        <v>0.0032360664225747995</v>
      </c>
      <c r="K12" s="77">
        <f t="shared" si="4"/>
        <v>0.7227153371056622</v>
      </c>
      <c r="L12" s="77"/>
    </row>
    <row r="13" spans="1:12" ht="13.5">
      <c r="A13" s="25">
        <f t="shared" si="5"/>
        <v>4</v>
      </c>
      <c r="B13" s="75" t="s">
        <v>90</v>
      </c>
      <c r="C13" s="76">
        <v>1.3000000000000114</v>
      </c>
      <c r="D13" s="76">
        <v>127.5</v>
      </c>
      <c r="E13" s="76">
        <v>0.461</v>
      </c>
      <c r="F13" s="76">
        <v>293.02</v>
      </c>
      <c r="G13" s="76">
        <f t="shared" si="0"/>
        <v>422.281</v>
      </c>
      <c r="H13" s="77">
        <f t="shared" si="1"/>
        <v>0.0030785188061977957</v>
      </c>
      <c r="I13" s="77">
        <f t="shared" si="2"/>
        <v>0.3019316521463196</v>
      </c>
      <c r="J13" s="77">
        <f t="shared" si="3"/>
        <v>0.0010916901305055165</v>
      </c>
      <c r="K13" s="77">
        <f t="shared" si="4"/>
        <v>0.693898138916977</v>
      </c>
      <c r="L13" s="77"/>
    </row>
    <row r="14" spans="1:12" ht="13.5">
      <c r="A14" s="25">
        <f t="shared" si="5"/>
        <v>5</v>
      </c>
      <c r="B14" s="75" t="s">
        <v>89</v>
      </c>
      <c r="C14" s="76">
        <v>20.7</v>
      </c>
      <c r="D14" s="76">
        <v>126.3</v>
      </c>
      <c r="E14" s="76">
        <v>4</v>
      </c>
      <c r="F14" s="76">
        <v>210.13</v>
      </c>
      <c r="G14" s="76">
        <f t="shared" si="0"/>
        <v>361.13</v>
      </c>
      <c r="H14" s="77">
        <f t="shared" si="1"/>
        <v>0.057320078642040265</v>
      </c>
      <c r="I14" s="77">
        <f t="shared" si="2"/>
        <v>0.3497355522941877</v>
      </c>
      <c r="J14" s="77">
        <f t="shared" si="3"/>
        <v>0.011076343698944979</v>
      </c>
      <c r="K14" s="77">
        <f t="shared" si="4"/>
        <v>0.5818680253648271</v>
      </c>
      <c r="L14" s="77"/>
    </row>
    <row r="15" spans="1:12" ht="13.5">
      <c r="A15" s="25">
        <f t="shared" si="5"/>
        <v>6</v>
      </c>
      <c r="B15" s="75" t="s">
        <v>132</v>
      </c>
      <c r="C15" s="76">
        <v>28.5</v>
      </c>
      <c r="D15" s="76">
        <v>148.7</v>
      </c>
      <c r="E15" s="76">
        <v>0</v>
      </c>
      <c r="F15" s="76">
        <v>635.45</v>
      </c>
      <c r="G15" s="76">
        <f t="shared" si="0"/>
        <v>812.6500000000001</v>
      </c>
      <c r="H15" s="77">
        <f t="shared" si="1"/>
        <v>0.035070448532578596</v>
      </c>
      <c r="I15" s="77">
        <f t="shared" si="2"/>
        <v>0.18298160339629604</v>
      </c>
      <c r="J15" s="77">
        <f t="shared" si="3"/>
        <v>0</v>
      </c>
      <c r="K15" s="77">
        <f t="shared" si="4"/>
        <v>0.7819479480711253</v>
      </c>
      <c r="L15" s="77"/>
    </row>
    <row r="16" spans="1:11" ht="13.5">
      <c r="A16" s="25">
        <f t="shared" si="5"/>
        <v>7</v>
      </c>
      <c r="B16" s="75" t="s">
        <v>91</v>
      </c>
      <c r="C16" s="76">
        <v>29</v>
      </c>
      <c r="D16" s="76">
        <v>39.8</v>
      </c>
      <c r="E16" s="76">
        <v>0</v>
      </c>
      <c r="F16" s="76">
        <v>183.01</v>
      </c>
      <c r="G16" s="76">
        <f t="shared" si="0"/>
        <v>251.81</v>
      </c>
      <c r="H16" s="77">
        <f t="shared" si="1"/>
        <v>0.11516619673563401</v>
      </c>
      <c r="I16" s="77">
        <f t="shared" si="2"/>
        <v>0.15805567689924943</v>
      </c>
      <c r="J16" s="77">
        <f t="shared" si="3"/>
        <v>0</v>
      </c>
      <c r="K16" s="77">
        <f t="shared" si="4"/>
        <v>0.7267781263651165</v>
      </c>
    </row>
    <row r="17" spans="1:11" ht="12.75">
      <c r="A17" s="25">
        <f t="shared" si="5"/>
        <v>8</v>
      </c>
      <c r="B17" s="25" t="s">
        <v>175</v>
      </c>
      <c r="C17" s="76">
        <f>SUM(C10:C16)</f>
        <v>259.59999999999997</v>
      </c>
      <c r="D17" s="76">
        <f>SUM(D10:D16)</f>
        <v>1921.3</v>
      </c>
      <c r="E17" s="76">
        <f>SUM(E10:E16)</f>
        <v>7.961</v>
      </c>
      <c r="F17" s="76">
        <f>SUM(F10:F16)</f>
        <v>5606.870000000001</v>
      </c>
      <c r="G17" s="76">
        <f>SUM(G10:G16)</f>
        <v>7795.731000000001</v>
      </c>
      <c r="H17" s="77">
        <f>C17/G17</f>
        <v>0.033300276779688776</v>
      </c>
      <c r="I17" s="77">
        <f>D17/G17</f>
        <v>0.24645539975661035</v>
      </c>
      <c r="J17" s="77">
        <f>E17/G17</f>
        <v>0.0010211999362215037</v>
      </c>
      <c r="K17" s="77">
        <f>F17/G17</f>
        <v>0.7192231235274794</v>
      </c>
    </row>
    <row r="18" spans="1:11" ht="12.75">
      <c r="A18" s="25">
        <f t="shared" si="5"/>
        <v>9</v>
      </c>
      <c r="B18" s="25" t="s">
        <v>94</v>
      </c>
      <c r="C18" s="78"/>
      <c r="D18" s="78"/>
      <c r="E18" s="78"/>
      <c r="F18" s="78"/>
      <c r="G18" s="78"/>
      <c r="H18" s="77">
        <f>AVERAGE(H10:H16)</f>
        <v>0.0399246635725296</v>
      </c>
      <c r="I18" s="77">
        <f>AVERAGE(I10:I16)</f>
        <v>0.2552799115720955</v>
      </c>
      <c r="J18" s="77">
        <f>AVERAGE(J10:J16)</f>
        <v>0.0022005857502893278</v>
      </c>
      <c r="K18" s="77">
        <f>AVERAGE(K10:K16)</f>
        <v>0.7025948391050856</v>
      </c>
    </row>
    <row r="19" spans="3:11" ht="12.75">
      <c r="C19" s="78"/>
      <c r="D19" s="78"/>
      <c r="E19" s="78"/>
      <c r="F19" s="78"/>
      <c r="G19" s="78"/>
      <c r="H19" s="77"/>
      <c r="I19" s="77"/>
      <c r="J19" s="77"/>
      <c r="K19" s="77"/>
    </row>
    <row r="20" ht="12.75">
      <c r="B20" s="24" t="s">
        <v>113</v>
      </c>
    </row>
    <row r="22" spans="1:11" ht="38.25">
      <c r="A22" s="74" t="s">
        <v>171</v>
      </c>
      <c r="B22" s="74" t="s">
        <v>48</v>
      </c>
      <c r="C22" s="74" t="s">
        <v>733</v>
      </c>
      <c r="D22" s="74" t="s">
        <v>734</v>
      </c>
      <c r="E22" s="74" t="s">
        <v>61</v>
      </c>
      <c r="F22" s="74" t="s">
        <v>139</v>
      </c>
      <c r="G22" s="74" t="s">
        <v>63</v>
      </c>
      <c r="H22" s="74" t="s">
        <v>335</v>
      </c>
      <c r="I22" s="74" t="s">
        <v>142</v>
      </c>
      <c r="J22" s="74" t="s">
        <v>143</v>
      </c>
      <c r="K22" s="74" t="s">
        <v>64</v>
      </c>
    </row>
    <row r="23" spans="1:11" ht="12.75">
      <c r="A23" s="25">
        <v>1</v>
      </c>
      <c r="B23" s="25" t="s">
        <v>65</v>
      </c>
      <c r="C23" s="76">
        <v>522</v>
      </c>
      <c r="D23" s="76">
        <v>1615</v>
      </c>
      <c r="E23" s="76">
        <v>0</v>
      </c>
      <c r="F23" s="76">
        <v>2988.3</v>
      </c>
      <c r="G23" s="76">
        <f>SUM(C23:F23)</f>
        <v>5125.3</v>
      </c>
      <c r="H23" s="77">
        <f>C23/G23</f>
        <v>0.10184769672019199</v>
      </c>
      <c r="I23" s="77">
        <f>D23/G23</f>
        <v>0.3151035061362262</v>
      </c>
      <c r="J23" s="77">
        <f>E23/G23</f>
        <v>0</v>
      </c>
      <c r="K23" s="77">
        <f>F23/G23</f>
        <v>0.5830487971435818</v>
      </c>
    </row>
    <row r="24" spans="1:11" ht="12.75">
      <c r="A24" s="25">
        <v>2</v>
      </c>
      <c r="B24" s="25" t="s">
        <v>66</v>
      </c>
      <c r="C24" s="76">
        <v>148.1</v>
      </c>
      <c r="D24" s="76">
        <v>2183.1</v>
      </c>
      <c r="E24" s="76">
        <v>0</v>
      </c>
      <c r="F24" s="76">
        <v>2672</v>
      </c>
      <c r="G24" s="76">
        <f aca="true" t="shared" si="6" ref="G24:G35">SUM(C24:F24)</f>
        <v>5003.2</v>
      </c>
      <c r="H24" s="77">
        <f aca="true" t="shared" si="7" ref="H24:H35">C24/G24</f>
        <v>0.02960105532459226</v>
      </c>
      <c r="I24" s="77">
        <f aca="true" t="shared" si="8" ref="I24:I35">D24/G24</f>
        <v>0.43634074192516786</v>
      </c>
      <c r="J24" s="77">
        <f aca="true" t="shared" si="9" ref="J24:J35">E24/G24</f>
        <v>0</v>
      </c>
      <c r="K24" s="77">
        <f aca="true" t="shared" si="10" ref="K24:K35">F24/G24</f>
        <v>0.5340582027502399</v>
      </c>
    </row>
    <row r="25" spans="1:11" ht="12.75">
      <c r="A25" s="25">
        <v>1</v>
      </c>
      <c r="B25" s="25" t="s">
        <v>67</v>
      </c>
      <c r="C25" s="76">
        <v>168</v>
      </c>
      <c r="D25" s="76">
        <v>683.2</v>
      </c>
      <c r="E25" s="76">
        <v>0</v>
      </c>
      <c r="F25" s="76">
        <v>3237.6</v>
      </c>
      <c r="G25" s="76">
        <f t="shared" si="6"/>
        <v>4088.8</v>
      </c>
      <c r="H25" s="77">
        <f t="shared" si="7"/>
        <v>0.041087849735863824</v>
      </c>
      <c r="I25" s="77">
        <f t="shared" si="8"/>
        <v>0.16709058892584622</v>
      </c>
      <c r="J25" s="77">
        <f t="shared" si="9"/>
        <v>0</v>
      </c>
      <c r="K25" s="77">
        <f t="shared" si="10"/>
        <v>0.79182156133829</v>
      </c>
    </row>
    <row r="26" spans="1:11" ht="12.75">
      <c r="A26" s="25">
        <v>3</v>
      </c>
      <c r="B26" s="25" t="s">
        <v>68</v>
      </c>
      <c r="C26" s="76">
        <v>368.3</v>
      </c>
      <c r="D26" s="76">
        <v>763.4</v>
      </c>
      <c r="E26" s="76">
        <v>0</v>
      </c>
      <c r="F26" s="76">
        <v>5237</v>
      </c>
      <c r="G26" s="76">
        <f t="shared" si="6"/>
        <v>6368.7</v>
      </c>
      <c r="H26" s="77">
        <f t="shared" si="7"/>
        <v>0.05782969836858386</v>
      </c>
      <c r="I26" s="77">
        <f t="shared" si="8"/>
        <v>0.11986747687911191</v>
      </c>
      <c r="J26" s="77">
        <f t="shared" si="9"/>
        <v>0</v>
      </c>
      <c r="K26" s="77">
        <f t="shared" si="10"/>
        <v>0.8223028247523042</v>
      </c>
    </row>
    <row r="27" spans="1:11" ht="12.75">
      <c r="A27" s="25">
        <v>4</v>
      </c>
      <c r="B27" s="25" t="s">
        <v>151</v>
      </c>
      <c r="C27" s="76">
        <v>9.4</v>
      </c>
      <c r="D27" s="76">
        <v>1119</v>
      </c>
      <c r="E27" s="76">
        <v>0</v>
      </c>
      <c r="F27" s="76">
        <v>3157.4</v>
      </c>
      <c r="G27" s="76">
        <f t="shared" si="6"/>
        <v>4285.8</v>
      </c>
      <c r="H27" s="77">
        <f t="shared" si="7"/>
        <v>0.0021932894675439824</v>
      </c>
      <c r="I27" s="77">
        <f t="shared" si="8"/>
        <v>0.2610947781044379</v>
      </c>
      <c r="J27" s="77">
        <f t="shared" si="9"/>
        <v>0</v>
      </c>
      <c r="K27" s="77">
        <f t="shared" si="10"/>
        <v>0.7367119324280181</v>
      </c>
    </row>
    <row r="28" spans="1:11" ht="12.75">
      <c r="A28" s="25">
        <v>5</v>
      </c>
      <c r="B28" s="25" t="s">
        <v>69</v>
      </c>
      <c r="C28" s="76">
        <v>284.4</v>
      </c>
      <c r="D28" s="76">
        <v>332.3</v>
      </c>
      <c r="E28" s="76">
        <v>0</v>
      </c>
      <c r="F28" s="76">
        <v>1429.6</v>
      </c>
      <c r="G28" s="76">
        <f t="shared" si="6"/>
        <v>2046.3</v>
      </c>
      <c r="H28" s="77">
        <f t="shared" si="7"/>
        <v>0.13898255387773054</v>
      </c>
      <c r="I28" s="77">
        <f t="shared" si="8"/>
        <v>0.16239065630650443</v>
      </c>
      <c r="J28" s="77">
        <f t="shared" si="9"/>
        <v>0</v>
      </c>
      <c r="K28" s="77">
        <f t="shared" si="10"/>
        <v>0.698626789815765</v>
      </c>
    </row>
    <row r="29" spans="1:11" ht="12.75">
      <c r="A29" s="25">
        <v>6</v>
      </c>
      <c r="B29" s="25" t="s">
        <v>70</v>
      </c>
      <c r="C29" s="76">
        <v>134.7</v>
      </c>
      <c r="D29" s="76">
        <v>521.5</v>
      </c>
      <c r="E29" s="76">
        <v>0</v>
      </c>
      <c r="F29" s="76">
        <v>1134.3</v>
      </c>
      <c r="G29" s="76">
        <f t="shared" si="6"/>
        <v>1790.5</v>
      </c>
      <c r="H29" s="77">
        <f t="shared" si="7"/>
        <v>0.0752303825746998</v>
      </c>
      <c r="I29" s="77">
        <f t="shared" si="8"/>
        <v>0.29125942474169225</v>
      </c>
      <c r="J29" s="77">
        <f t="shared" si="9"/>
        <v>0</v>
      </c>
      <c r="K29" s="77">
        <f t="shared" si="10"/>
        <v>0.6335101926836079</v>
      </c>
    </row>
    <row r="30" spans="1:11" ht="12.75">
      <c r="A30" s="25">
        <v>7</v>
      </c>
      <c r="B30" s="25" t="s">
        <v>153</v>
      </c>
      <c r="C30" s="76">
        <v>1548</v>
      </c>
      <c r="D30" s="76">
        <v>2024.1</v>
      </c>
      <c r="E30" s="76">
        <v>0</v>
      </c>
      <c r="F30" s="76">
        <v>4763.7</v>
      </c>
      <c r="G30" s="76">
        <f t="shared" si="6"/>
        <v>8335.8</v>
      </c>
      <c r="H30" s="77">
        <f t="shared" si="7"/>
        <v>0.18570503131073204</v>
      </c>
      <c r="I30" s="77">
        <f t="shared" si="8"/>
        <v>0.2428201252429281</v>
      </c>
      <c r="J30" s="77">
        <f t="shared" si="9"/>
        <v>0</v>
      </c>
      <c r="K30" s="77">
        <f t="shared" si="10"/>
        <v>0.5714748434463399</v>
      </c>
    </row>
    <row r="31" spans="1:11" ht="12.75">
      <c r="A31" s="25">
        <v>8</v>
      </c>
      <c r="B31" s="25" t="s">
        <v>155</v>
      </c>
      <c r="C31" s="76">
        <v>193.5</v>
      </c>
      <c r="D31" s="76">
        <v>625</v>
      </c>
      <c r="E31" s="76">
        <v>0</v>
      </c>
      <c r="F31" s="76">
        <v>2099.9</v>
      </c>
      <c r="G31" s="76">
        <f t="shared" si="6"/>
        <v>2918.4</v>
      </c>
      <c r="H31" s="77">
        <f t="shared" si="7"/>
        <v>0.06630345394736842</v>
      </c>
      <c r="I31" s="77">
        <f t="shared" si="8"/>
        <v>0.21415844298245612</v>
      </c>
      <c r="J31" s="77">
        <f t="shared" si="9"/>
        <v>0</v>
      </c>
      <c r="K31" s="77">
        <f t="shared" si="10"/>
        <v>0.7195381030701754</v>
      </c>
    </row>
    <row r="32" spans="1:11" ht="12.75">
      <c r="A32" s="25">
        <v>9</v>
      </c>
      <c r="B32" s="25" t="s">
        <v>157</v>
      </c>
      <c r="C32" s="76">
        <v>94.5</v>
      </c>
      <c r="D32" s="76">
        <v>983.2</v>
      </c>
      <c r="E32" s="76">
        <v>0</v>
      </c>
      <c r="F32" s="76">
        <v>7405.9</v>
      </c>
      <c r="G32" s="76">
        <f t="shared" si="6"/>
        <v>8483.6</v>
      </c>
      <c r="H32" s="77">
        <f t="shared" si="7"/>
        <v>0.011139139044745155</v>
      </c>
      <c r="I32" s="77">
        <f t="shared" si="8"/>
        <v>0.115894195860248</v>
      </c>
      <c r="J32" s="77">
        <f t="shared" si="9"/>
        <v>0</v>
      </c>
      <c r="K32" s="77">
        <f t="shared" si="10"/>
        <v>0.8729666650950068</v>
      </c>
    </row>
    <row r="33" spans="1:11" ht="12.75">
      <c r="A33" s="25">
        <v>10</v>
      </c>
      <c r="B33" s="25" t="s">
        <v>159</v>
      </c>
      <c r="C33" s="76">
        <v>149.7</v>
      </c>
      <c r="D33" s="76">
        <v>319.1</v>
      </c>
      <c r="E33" s="76">
        <v>0</v>
      </c>
      <c r="F33" s="76">
        <v>975.2</v>
      </c>
      <c r="G33" s="76">
        <f t="shared" si="6"/>
        <v>1444</v>
      </c>
      <c r="H33" s="77">
        <f t="shared" si="7"/>
        <v>0.10367036011080331</v>
      </c>
      <c r="I33" s="77">
        <f t="shared" si="8"/>
        <v>0.22098337950138505</v>
      </c>
      <c r="J33" s="77">
        <f t="shared" si="9"/>
        <v>0</v>
      </c>
      <c r="K33" s="77">
        <f t="shared" si="10"/>
        <v>0.6753462603878116</v>
      </c>
    </row>
    <row r="34" spans="1:11" ht="12.75">
      <c r="A34" s="25">
        <v>11</v>
      </c>
      <c r="B34" s="25" t="s">
        <v>72</v>
      </c>
      <c r="C34" s="76">
        <v>91</v>
      </c>
      <c r="D34" s="76">
        <v>584.2</v>
      </c>
      <c r="E34" s="76">
        <v>28.2</v>
      </c>
      <c r="F34" s="76">
        <v>1611.6</v>
      </c>
      <c r="G34" s="76">
        <f t="shared" si="6"/>
        <v>2315</v>
      </c>
      <c r="H34" s="77">
        <f t="shared" si="7"/>
        <v>0.039308855291576676</v>
      </c>
      <c r="I34" s="77">
        <f t="shared" si="8"/>
        <v>0.252354211663067</v>
      </c>
      <c r="J34" s="77">
        <f t="shared" si="9"/>
        <v>0.012181425485961123</v>
      </c>
      <c r="K34" s="77">
        <f t="shared" si="10"/>
        <v>0.6961555075593953</v>
      </c>
    </row>
    <row r="35" spans="1:11" ht="12.75">
      <c r="A35" s="25">
        <v>12</v>
      </c>
      <c r="B35" s="25" t="s">
        <v>175</v>
      </c>
      <c r="C35" s="76">
        <f>SUM(C23:C34)</f>
        <v>3711.6000000000004</v>
      </c>
      <c r="D35" s="76">
        <f>SUM(D23:D34)</f>
        <v>11753.100000000002</v>
      </c>
      <c r="E35" s="76">
        <f>SUM(E23:E34)</f>
        <v>28.2</v>
      </c>
      <c r="F35" s="76">
        <f>SUM(F23:F34)</f>
        <v>36712.49999999999</v>
      </c>
      <c r="G35" s="76">
        <f t="shared" si="6"/>
        <v>52205.399999999994</v>
      </c>
      <c r="H35" s="77">
        <f t="shared" si="7"/>
        <v>0.0710960935075682</v>
      </c>
      <c r="I35" s="77">
        <f t="shared" si="8"/>
        <v>0.22513188290866468</v>
      </c>
      <c r="J35" s="77">
        <f t="shared" si="9"/>
        <v>0.0005401740049879898</v>
      </c>
      <c r="K35" s="77">
        <f t="shared" si="10"/>
        <v>0.7032318495787792</v>
      </c>
    </row>
    <row r="36" spans="1:11" ht="12.75">
      <c r="A36" s="25">
        <v>13</v>
      </c>
      <c r="B36" s="25" t="s">
        <v>176</v>
      </c>
      <c r="H36" s="77">
        <f>AVERAGE(H23:H34)</f>
        <v>0.07107494714786933</v>
      </c>
      <c r="I36" s="77">
        <f>AVERAGE(I23:I34)</f>
        <v>0.2332797940224226</v>
      </c>
      <c r="J36" s="77">
        <f>AVERAGE(J23:J34)</f>
        <v>0.0010151187904967602</v>
      </c>
      <c r="K36" s="77">
        <f>AVERAGE(K23:K34)</f>
        <v>0.6946301400392113</v>
      </c>
    </row>
    <row r="37" spans="8:11" ht="12.75">
      <c r="H37" s="77"/>
      <c r="I37" s="77"/>
      <c r="J37" s="77"/>
      <c r="K37" s="77"/>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T27"/>
  <sheetViews>
    <sheetView workbookViewId="0" topLeftCell="A1">
      <selection activeCell="A1" sqref="A1"/>
    </sheetView>
  </sheetViews>
  <sheetFormatPr defaultColWidth="9.140625" defaultRowHeight="12.75"/>
  <cols>
    <col min="1" max="1" width="4.7109375" style="138" customWidth="1"/>
    <col min="2" max="2" width="17.00390625" style="75" customWidth="1"/>
    <col min="3" max="4" width="5.421875" style="139" customWidth="1"/>
    <col min="5" max="6" width="5.140625" style="139" customWidth="1"/>
    <col min="7" max="8" width="5.57421875" style="140" customWidth="1"/>
    <col min="9" max="12" width="5.140625" style="75" customWidth="1"/>
    <col min="13" max="16" width="4.421875" style="75" customWidth="1"/>
    <col min="17" max="17" width="6.28125" style="139" customWidth="1"/>
    <col min="18" max="18" width="5.140625" style="75" customWidth="1"/>
    <col min="19" max="19" width="6.28125" style="75" customWidth="1"/>
    <col min="20" max="20" width="5.8515625" style="141" customWidth="1"/>
    <col min="21" max="21" width="9.28125" style="75" customWidth="1"/>
    <col min="22" max="22" width="5.28125" style="142" customWidth="1"/>
    <col min="23" max="24" width="5.140625" style="75" customWidth="1"/>
    <col min="25" max="31" width="6.8515625" style="75" customWidth="1"/>
    <col min="32" max="32" width="3.7109375" style="75" customWidth="1"/>
    <col min="33" max="33" width="4.7109375" style="138" customWidth="1"/>
    <col min="34" max="34" width="25.28125" style="75" customWidth="1"/>
    <col min="35" max="36" width="6.7109375" style="138" customWidth="1"/>
    <col min="37" max="37" width="2.7109375" style="138" customWidth="1"/>
    <col min="38" max="16384" width="9.140625" style="75" customWidth="1"/>
  </cols>
  <sheetData>
    <row r="1" ht="13.5">
      <c r="B1" s="79" t="s">
        <v>106</v>
      </c>
    </row>
    <row r="2" spans="2:34" ht="13.5">
      <c r="B2" s="79" t="s">
        <v>107</v>
      </c>
      <c r="U2" s="144"/>
      <c r="AH2" s="144" t="s">
        <v>168</v>
      </c>
    </row>
    <row r="3" spans="2:34" ht="13.5">
      <c r="B3" s="79" t="s">
        <v>738</v>
      </c>
      <c r="U3" s="144"/>
      <c r="AH3" s="144" t="s">
        <v>169</v>
      </c>
    </row>
    <row r="4" spans="2:34" ht="13.5">
      <c r="B4" s="79" t="s">
        <v>177</v>
      </c>
      <c r="AH4" s="145"/>
    </row>
    <row r="5" ht="13.5">
      <c r="AH5" s="75" t="s">
        <v>144</v>
      </c>
    </row>
    <row r="6" spans="2:34" ht="13.5">
      <c r="B6" s="146"/>
      <c r="AH6" s="144" t="s">
        <v>170</v>
      </c>
    </row>
    <row r="7" spans="1:34" ht="13.5">
      <c r="A7" s="75"/>
      <c r="C7" s="75"/>
      <c r="D7" s="75"/>
      <c r="E7" s="75"/>
      <c r="F7" s="75"/>
      <c r="G7" s="75"/>
      <c r="H7" s="75"/>
      <c r="Q7" s="75"/>
      <c r="T7" s="75"/>
      <c r="AH7" s="147">
        <v>39079</v>
      </c>
    </row>
    <row r="8" spans="1:22" ht="13.5">
      <c r="A8" s="75"/>
      <c r="C8" s="75"/>
      <c r="D8" s="75"/>
      <c r="E8" s="75"/>
      <c r="F8" s="75"/>
      <c r="G8" s="75"/>
      <c r="H8" s="75"/>
      <c r="Q8" s="75"/>
      <c r="T8" s="75"/>
      <c r="V8" s="75"/>
    </row>
    <row r="9" spans="1:20" ht="13.5">
      <c r="A9" s="75"/>
      <c r="C9" s="75"/>
      <c r="D9" s="75"/>
      <c r="E9" s="75"/>
      <c r="F9" s="75"/>
      <c r="G9" s="75"/>
      <c r="H9" s="75"/>
      <c r="Q9" s="75"/>
      <c r="T9" s="75"/>
    </row>
    <row r="10" spans="1:20" ht="13.5">
      <c r="A10" s="75"/>
      <c r="C10" s="75"/>
      <c r="D10" s="75"/>
      <c r="E10" s="75"/>
      <c r="F10" s="75"/>
      <c r="G10" s="75"/>
      <c r="H10" s="75"/>
      <c r="Q10" s="75"/>
      <c r="T10" s="148"/>
    </row>
    <row r="11" spans="1:72" s="150" customFormat="1" ht="27.75">
      <c r="A11" s="149" t="s">
        <v>171</v>
      </c>
      <c r="B11" s="150" t="s">
        <v>48</v>
      </c>
      <c r="C11" s="148">
        <v>39114</v>
      </c>
      <c r="D11" s="148">
        <v>39114</v>
      </c>
      <c r="E11" s="148">
        <v>39083</v>
      </c>
      <c r="F11" s="148">
        <v>39083</v>
      </c>
      <c r="G11" s="148">
        <v>39052</v>
      </c>
      <c r="H11" s="148">
        <v>39052</v>
      </c>
      <c r="I11" s="151" t="s">
        <v>49</v>
      </c>
      <c r="J11" s="151" t="s">
        <v>50</v>
      </c>
      <c r="K11" s="151" t="s">
        <v>51</v>
      </c>
      <c r="L11" s="151" t="s">
        <v>52</v>
      </c>
      <c r="M11" s="150" t="s">
        <v>53</v>
      </c>
      <c r="N11" s="150" t="s">
        <v>54</v>
      </c>
      <c r="O11" s="150" t="s">
        <v>55</v>
      </c>
      <c r="P11" s="150" t="s">
        <v>35</v>
      </c>
      <c r="Q11" s="152" t="s">
        <v>172</v>
      </c>
      <c r="R11" s="153" t="s">
        <v>36</v>
      </c>
      <c r="S11" s="149" t="s">
        <v>57</v>
      </c>
      <c r="T11" s="154" t="s">
        <v>173</v>
      </c>
      <c r="U11" s="155" t="s">
        <v>139</v>
      </c>
      <c r="V11" s="156" t="s">
        <v>99</v>
      </c>
      <c r="W11" s="75" t="s">
        <v>59</v>
      </c>
      <c r="X11" s="75" t="s">
        <v>60</v>
      </c>
      <c r="Y11" s="157" t="s">
        <v>174</v>
      </c>
      <c r="Z11" s="157"/>
      <c r="AA11" s="157"/>
      <c r="AB11" s="157"/>
      <c r="AC11" s="157"/>
      <c r="AD11" s="157"/>
      <c r="AE11" s="157"/>
      <c r="AF11" s="75"/>
      <c r="AG11" s="149" t="s">
        <v>171</v>
      </c>
      <c r="AH11" s="75" t="s">
        <v>48</v>
      </c>
      <c r="AI11" s="158" t="s">
        <v>140</v>
      </c>
      <c r="AJ11" s="149" t="s">
        <v>141</v>
      </c>
      <c r="AK11" s="149"/>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row>
    <row r="12" spans="1:72" s="169" customFormat="1" ht="13.5">
      <c r="A12" s="159">
        <v>1</v>
      </c>
      <c r="B12" s="75" t="s">
        <v>65</v>
      </c>
      <c r="C12" s="160">
        <v>42.9</v>
      </c>
      <c r="D12" s="160">
        <v>39.53</v>
      </c>
      <c r="E12" s="160">
        <v>40.21</v>
      </c>
      <c r="F12" s="160">
        <v>38.2</v>
      </c>
      <c r="G12" s="160">
        <v>40.09</v>
      </c>
      <c r="H12" s="160">
        <v>38.11</v>
      </c>
      <c r="I12" s="161">
        <f aca="true" t="shared" si="0" ref="I12:I23">(M12)*($W12)</f>
        <v>0.38516999999999996</v>
      </c>
      <c r="J12" s="161">
        <f aca="true" t="shared" si="1" ref="J12:J23">(N12)*($W12)</f>
        <v>0.38516999999999996</v>
      </c>
      <c r="K12" s="161">
        <f aca="true" t="shared" si="2" ref="K12:K23">(O12)*($W12)</f>
        <v>0.38516999999999996</v>
      </c>
      <c r="L12" s="161">
        <f aca="true" t="shared" si="3" ref="L12:L23">(P12)*($W12)</f>
        <v>0.42680999999999997</v>
      </c>
      <c r="M12" s="162">
        <v>0.37</v>
      </c>
      <c r="N12" s="162">
        <v>0.37</v>
      </c>
      <c r="O12" s="162">
        <v>0.37</v>
      </c>
      <c r="P12" s="162">
        <v>0.41</v>
      </c>
      <c r="Q12" s="160">
        <v>1.48</v>
      </c>
      <c r="R12" s="162">
        <f aca="true" t="shared" si="4" ref="R12:R23">AVERAGE(C12:H12)</f>
        <v>39.84</v>
      </c>
      <c r="S12" s="163">
        <f aca="true" t="shared" si="5" ref="S12:S23">(I12*(X12)^0.75)+(J12*(X12)^0.5)+(K12*(X12)^0.25)+L12</f>
        <v>1.6300745421773222</v>
      </c>
      <c r="T12" s="141">
        <v>0.040999999999999995</v>
      </c>
      <c r="U12" s="164">
        <v>2988.3</v>
      </c>
      <c r="V12" s="165">
        <f aca="true" t="shared" si="6" ref="V12:V23">S12/(R12*0.95)+T12</f>
        <v>0.084068974375854</v>
      </c>
      <c r="W12" s="161">
        <f aca="true" t="shared" si="7" ref="W12:W23">T12+1</f>
        <v>1.041</v>
      </c>
      <c r="X12" s="161">
        <f aca="true" t="shared" si="8" ref="X12:X23">V12+1</f>
        <v>1.084068974375854</v>
      </c>
      <c r="Y12" s="166">
        <v>5</v>
      </c>
      <c r="Z12" s="166"/>
      <c r="AA12" s="166"/>
      <c r="AB12" s="166"/>
      <c r="AC12" s="166"/>
      <c r="AD12" s="166"/>
      <c r="AE12" s="166"/>
      <c r="AF12" s="75"/>
      <c r="AG12" s="149">
        <f aca="true" t="shared" si="9" ref="AG12:AG23">A12</f>
        <v>1</v>
      </c>
      <c r="AH12" s="75" t="str">
        <f aca="true" t="shared" si="10" ref="AH12:AH23">B12</f>
        <v>AGL Resources</v>
      </c>
      <c r="AI12" s="167">
        <v>0.95</v>
      </c>
      <c r="AJ12" s="168">
        <v>2</v>
      </c>
      <c r="AK12" s="166"/>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row>
    <row r="13" spans="1:37" ht="13.5">
      <c r="A13" s="159">
        <f>A12+1</f>
        <v>2</v>
      </c>
      <c r="B13" s="75" t="s">
        <v>66</v>
      </c>
      <c r="C13" s="160">
        <v>33.07</v>
      </c>
      <c r="D13" s="160">
        <v>31.23</v>
      </c>
      <c r="E13" s="160">
        <v>32.3</v>
      </c>
      <c r="F13" s="160">
        <v>30.36</v>
      </c>
      <c r="G13" s="160">
        <v>32.87</v>
      </c>
      <c r="H13" s="160">
        <v>31.5</v>
      </c>
      <c r="I13" s="161">
        <f t="shared" si="0"/>
        <v>0.3343725</v>
      </c>
      <c r="J13" s="161">
        <f t="shared" si="1"/>
        <v>0.3343725</v>
      </c>
      <c r="K13" s="161">
        <f t="shared" si="2"/>
        <v>0.08492000000000001</v>
      </c>
      <c r="L13" s="161">
        <f t="shared" si="3"/>
        <v>0.33968000000000004</v>
      </c>
      <c r="M13" s="162">
        <v>0.315</v>
      </c>
      <c r="N13" s="162">
        <v>0.315</v>
      </c>
      <c r="O13" s="162">
        <f>P13/4</f>
        <v>0.08</v>
      </c>
      <c r="P13" s="162">
        <f>Q13/4</f>
        <v>0.32</v>
      </c>
      <c r="Q13" s="160">
        <v>1.28</v>
      </c>
      <c r="R13" s="162">
        <f t="shared" si="4"/>
        <v>31.888333333333332</v>
      </c>
      <c r="S13" s="163">
        <f t="shared" si="5"/>
        <v>1.1360664127072726</v>
      </c>
      <c r="T13" s="141">
        <v>0.061500000000000006</v>
      </c>
      <c r="U13" s="164">
        <v>2672</v>
      </c>
      <c r="V13" s="165">
        <f t="shared" si="6"/>
        <v>0.0990014701864986</v>
      </c>
      <c r="W13" s="161">
        <f t="shared" si="7"/>
        <v>1.0615</v>
      </c>
      <c r="X13" s="161">
        <f t="shared" si="8"/>
        <v>1.0990014701864985</v>
      </c>
      <c r="Y13" s="166">
        <v>4</v>
      </c>
      <c r="Z13" s="166"/>
      <c r="AA13" s="166"/>
      <c r="AB13" s="166"/>
      <c r="AC13" s="166"/>
      <c r="AD13" s="166"/>
      <c r="AE13" s="166"/>
      <c r="AG13" s="149">
        <f t="shared" si="9"/>
        <v>2</v>
      </c>
      <c r="AH13" s="75" t="str">
        <f t="shared" si="10"/>
        <v>Atmos Energy</v>
      </c>
      <c r="AI13" s="167">
        <v>0.8</v>
      </c>
      <c r="AJ13" s="168">
        <v>2</v>
      </c>
      <c r="AK13" s="166"/>
    </row>
    <row r="14" spans="1:37" ht="13.5">
      <c r="A14" s="159">
        <v>1</v>
      </c>
      <c r="B14" s="75" t="s">
        <v>67</v>
      </c>
      <c r="C14" s="160">
        <v>49.35</v>
      </c>
      <c r="D14" s="160">
        <v>45.75</v>
      </c>
      <c r="E14" s="160">
        <v>46.95</v>
      </c>
      <c r="F14" s="160">
        <v>43.78</v>
      </c>
      <c r="G14" s="160">
        <v>47.6</v>
      </c>
      <c r="H14" s="160">
        <v>44.99</v>
      </c>
      <c r="I14" s="161">
        <f t="shared" si="0"/>
        <v>0.1155</v>
      </c>
      <c r="J14" s="161">
        <f t="shared" si="1"/>
        <v>0.1155</v>
      </c>
      <c r="K14" s="161">
        <f t="shared" si="2"/>
        <v>0.1155</v>
      </c>
      <c r="L14" s="161">
        <f t="shared" si="3"/>
        <v>0.12075000000000001</v>
      </c>
      <c r="M14" s="162">
        <v>0.11</v>
      </c>
      <c r="N14" s="162">
        <v>0.11</v>
      </c>
      <c r="O14" s="162">
        <v>0.11</v>
      </c>
      <c r="P14" s="162">
        <f>Q14/4</f>
        <v>0.115</v>
      </c>
      <c r="Q14" s="160">
        <v>0.46</v>
      </c>
      <c r="R14" s="162">
        <f t="shared" si="4"/>
        <v>46.403333333333336</v>
      </c>
      <c r="S14" s="163">
        <f t="shared" si="5"/>
        <v>0.4776600707355907</v>
      </c>
      <c r="T14" s="141">
        <v>0.05</v>
      </c>
      <c r="U14" s="164">
        <v>3237.6</v>
      </c>
      <c r="V14" s="165">
        <f t="shared" si="6"/>
        <v>0.0608354300939268</v>
      </c>
      <c r="W14" s="161">
        <f t="shared" si="7"/>
        <v>1.05</v>
      </c>
      <c r="X14" s="161">
        <f t="shared" si="8"/>
        <v>1.060835430093927</v>
      </c>
      <c r="Y14" s="166">
        <v>3</v>
      </c>
      <c r="Z14" s="166"/>
      <c r="AA14" s="166"/>
      <c r="AB14" s="166"/>
      <c r="AC14" s="166"/>
      <c r="AD14" s="166"/>
      <c r="AE14" s="166"/>
      <c r="AG14" s="149">
        <f t="shared" si="9"/>
        <v>1</v>
      </c>
      <c r="AH14" s="75" t="str">
        <f t="shared" si="10"/>
        <v>Energen Corp.</v>
      </c>
      <c r="AI14" s="167">
        <v>0.85</v>
      </c>
      <c r="AJ14" s="168">
        <v>2</v>
      </c>
      <c r="AK14" s="166"/>
    </row>
    <row r="15" spans="1:37" ht="13.5">
      <c r="A15" s="159">
        <f>A13+1</f>
        <v>3</v>
      </c>
      <c r="B15" s="75" t="s">
        <v>68</v>
      </c>
      <c r="C15" s="160">
        <v>44.55</v>
      </c>
      <c r="D15" s="160">
        <v>42</v>
      </c>
      <c r="E15" s="160">
        <v>43.69</v>
      </c>
      <c r="F15" s="160">
        <v>39.26</v>
      </c>
      <c r="G15" s="160">
        <v>44.1</v>
      </c>
      <c r="H15" s="160">
        <v>41.58</v>
      </c>
      <c r="I15" s="161">
        <f t="shared" si="0"/>
        <v>0.24156000000000002</v>
      </c>
      <c r="J15" s="161">
        <f t="shared" si="1"/>
        <v>0.24156000000000002</v>
      </c>
      <c r="K15" s="161">
        <f t="shared" si="2"/>
        <v>0.24156000000000002</v>
      </c>
      <c r="L15" s="161">
        <f t="shared" si="3"/>
        <v>0.24156000000000002</v>
      </c>
      <c r="M15" s="162">
        <v>0.22</v>
      </c>
      <c r="N15" s="162">
        <v>0.22</v>
      </c>
      <c r="O15" s="162">
        <v>0.22</v>
      </c>
      <c r="P15" s="162">
        <v>0.22</v>
      </c>
      <c r="Q15" s="160">
        <v>0.88</v>
      </c>
      <c r="R15" s="162">
        <f t="shared" si="4"/>
        <v>42.53</v>
      </c>
      <c r="S15" s="163">
        <f t="shared" si="5"/>
        <v>1.0097279134652672</v>
      </c>
      <c r="T15" s="141">
        <v>0.098</v>
      </c>
      <c r="U15" s="164">
        <v>5237</v>
      </c>
      <c r="V15" s="165">
        <f t="shared" si="6"/>
        <v>0.1229911001142294</v>
      </c>
      <c r="W15" s="161">
        <f t="shared" si="7"/>
        <v>1.098</v>
      </c>
      <c r="X15" s="161">
        <f t="shared" si="8"/>
        <v>1.1229911001142294</v>
      </c>
      <c r="Y15" s="166">
        <v>5</v>
      </c>
      <c r="Z15" s="166"/>
      <c r="AA15" s="166"/>
      <c r="AB15" s="166"/>
      <c r="AC15" s="166"/>
      <c r="AD15" s="166"/>
      <c r="AE15" s="166"/>
      <c r="AG15" s="149">
        <f t="shared" si="9"/>
        <v>3</v>
      </c>
      <c r="AH15" s="75" t="str">
        <f t="shared" si="10"/>
        <v>Equitable Resources</v>
      </c>
      <c r="AI15" s="167">
        <v>0.8</v>
      </c>
      <c r="AJ15" s="168">
        <v>2</v>
      </c>
      <c r="AK15" s="166"/>
    </row>
    <row r="16" spans="1:37" ht="13.5">
      <c r="A16" s="159">
        <f aca="true" t="shared" si="11" ref="A16:A24">A15+1</f>
        <v>4</v>
      </c>
      <c r="B16" s="75" t="s">
        <v>151</v>
      </c>
      <c r="C16" s="160">
        <v>43.79</v>
      </c>
      <c r="D16" s="160">
        <v>40.6</v>
      </c>
      <c r="E16" s="160">
        <v>40.94</v>
      </c>
      <c r="F16" s="160">
        <v>36.94</v>
      </c>
      <c r="G16" s="160">
        <v>40.21</v>
      </c>
      <c r="H16" s="160">
        <v>37.67</v>
      </c>
      <c r="I16" s="161">
        <f t="shared" si="0"/>
        <v>0.303253</v>
      </c>
      <c r="J16" s="161">
        <f t="shared" si="1"/>
        <v>0.31371</v>
      </c>
      <c r="K16" s="161">
        <f t="shared" si="2"/>
        <v>0.31371</v>
      </c>
      <c r="L16" s="161">
        <f t="shared" si="3"/>
        <v>0.31371</v>
      </c>
      <c r="M16" s="162">
        <v>0.29</v>
      </c>
      <c r="N16" s="162">
        <v>0.3</v>
      </c>
      <c r="O16" s="162">
        <v>0.3</v>
      </c>
      <c r="P16" s="162">
        <v>0.3</v>
      </c>
      <c r="Q16" s="160">
        <v>1.2</v>
      </c>
      <c r="R16" s="162">
        <f t="shared" si="4"/>
        <v>40.025</v>
      </c>
      <c r="S16" s="163">
        <f t="shared" si="5"/>
        <v>1.2805241310668816</v>
      </c>
      <c r="T16" s="141">
        <v>0.045700000000000005</v>
      </c>
      <c r="U16" s="164">
        <v>3157.4</v>
      </c>
      <c r="V16" s="165">
        <f t="shared" si="6"/>
        <v>0.07937695535203344</v>
      </c>
      <c r="W16" s="161">
        <f t="shared" si="7"/>
        <v>1.0457</v>
      </c>
      <c r="X16" s="161">
        <f t="shared" si="8"/>
        <v>1.0793769553520334</v>
      </c>
      <c r="Y16" s="166">
        <v>3</v>
      </c>
      <c r="Z16" s="166"/>
      <c r="AA16" s="166"/>
      <c r="AB16" s="166"/>
      <c r="AC16" s="166"/>
      <c r="AD16" s="166"/>
      <c r="AE16" s="166"/>
      <c r="AG16" s="149">
        <f t="shared" si="9"/>
        <v>4</v>
      </c>
      <c r="AH16" s="75" t="str">
        <f t="shared" si="10"/>
        <v>National Fuel Gas</v>
      </c>
      <c r="AI16" s="167">
        <v>0.95</v>
      </c>
      <c r="AJ16" s="168">
        <v>2</v>
      </c>
      <c r="AK16" s="166"/>
    </row>
    <row r="17" spans="1:37" ht="13.5">
      <c r="A17" s="159">
        <f t="shared" si="11"/>
        <v>5</v>
      </c>
      <c r="B17" s="75" t="s">
        <v>69</v>
      </c>
      <c r="C17" s="160">
        <v>51.1</v>
      </c>
      <c r="D17" s="160">
        <v>46.73</v>
      </c>
      <c r="E17" s="160">
        <v>48.7</v>
      </c>
      <c r="F17" s="160">
        <v>46.3</v>
      </c>
      <c r="G17" s="160">
        <v>52.54</v>
      </c>
      <c r="H17" s="160">
        <v>48.46</v>
      </c>
      <c r="I17" s="161">
        <f t="shared" si="0"/>
        <v>0.37918799999999997</v>
      </c>
      <c r="J17" s="161">
        <f t="shared" si="1"/>
        <v>0.37918799999999997</v>
      </c>
      <c r="K17" s="161">
        <f t="shared" si="2"/>
        <v>0.37918799999999997</v>
      </c>
      <c r="L17" s="161">
        <f t="shared" si="3"/>
        <v>0.40025399999999994</v>
      </c>
      <c r="M17" s="162">
        <v>0.36</v>
      </c>
      <c r="N17" s="162">
        <v>0.36</v>
      </c>
      <c r="O17" s="162">
        <v>0.36</v>
      </c>
      <c r="P17" s="162">
        <v>0.38</v>
      </c>
      <c r="Q17" s="160">
        <v>1.52</v>
      </c>
      <c r="R17" s="162">
        <f t="shared" si="4"/>
        <v>48.971666666666664</v>
      </c>
      <c r="S17" s="163">
        <f t="shared" si="5"/>
        <v>1.5866645677831912</v>
      </c>
      <c r="T17" s="141">
        <v>0.0533</v>
      </c>
      <c r="U17" s="164">
        <v>1429.6</v>
      </c>
      <c r="V17" s="165">
        <f t="shared" si="6"/>
        <v>0.08740488845751893</v>
      </c>
      <c r="W17" s="161">
        <f t="shared" si="7"/>
        <v>1.0533</v>
      </c>
      <c r="X17" s="161">
        <f t="shared" si="8"/>
        <v>1.087404888457519</v>
      </c>
      <c r="Y17" s="166">
        <v>3</v>
      </c>
      <c r="Z17" s="166"/>
      <c r="AA17" s="166"/>
      <c r="AB17" s="166"/>
      <c r="AC17" s="166"/>
      <c r="AD17" s="166"/>
      <c r="AE17" s="166"/>
      <c r="AG17" s="149">
        <f t="shared" si="9"/>
        <v>5</v>
      </c>
      <c r="AH17" s="75" t="str">
        <f t="shared" si="10"/>
        <v>New Jersey Resources</v>
      </c>
      <c r="AI17" s="167">
        <v>0.8</v>
      </c>
      <c r="AJ17" s="168">
        <v>1</v>
      </c>
      <c r="AK17" s="166"/>
    </row>
    <row r="18" spans="1:37" ht="13.5">
      <c r="A18" s="159">
        <f t="shared" si="11"/>
        <v>6</v>
      </c>
      <c r="B18" s="75" t="s">
        <v>70</v>
      </c>
      <c r="C18" s="160">
        <v>46.3</v>
      </c>
      <c r="D18" s="160">
        <v>39.79</v>
      </c>
      <c r="E18" s="160">
        <v>42.98</v>
      </c>
      <c r="F18" s="160">
        <v>39.89</v>
      </c>
      <c r="G18" s="160">
        <v>43.69</v>
      </c>
      <c r="H18" s="160">
        <v>40.8</v>
      </c>
      <c r="I18" s="161">
        <f t="shared" si="0"/>
        <v>0.36183599999999994</v>
      </c>
      <c r="J18" s="161">
        <f t="shared" si="1"/>
        <v>0.36183599999999994</v>
      </c>
      <c r="K18" s="161">
        <f t="shared" si="2"/>
        <v>0.372324</v>
      </c>
      <c r="L18" s="161">
        <f t="shared" si="3"/>
        <v>0.372324</v>
      </c>
      <c r="M18" s="162">
        <v>0.345</v>
      </c>
      <c r="N18" s="162">
        <v>0.345</v>
      </c>
      <c r="O18" s="162">
        <v>0.355</v>
      </c>
      <c r="P18" s="162">
        <v>0.355</v>
      </c>
      <c r="Q18" s="160">
        <v>1.42</v>
      </c>
      <c r="R18" s="162">
        <f t="shared" si="4"/>
        <v>42.24166666666667</v>
      </c>
      <c r="S18" s="163">
        <f t="shared" si="5"/>
        <v>1.5147005106234759</v>
      </c>
      <c r="T18" s="141">
        <v>0.048799999999999996</v>
      </c>
      <c r="U18" s="164">
        <v>1134.3</v>
      </c>
      <c r="V18" s="165">
        <f t="shared" si="6"/>
        <v>0.08654523393481889</v>
      </c>
      <c r="W18" s="161">
        <f t="shared" si="7"/>
        <v>1.0488</v>
      </c>
      <c r="X18" s="161">
        <f t="shared" si="8"/>
        <v>1.086545233934819</v>
      </c>
      <c r="Y18" s="166">
        <v>4</v>
      </c>
      <c r="Z18" s="166"/>
      <c r="AA18" s="166"/>
      <c r="AB18" s="166"/>
      <c r="AC18" s="166"/>
      <c r="AD18" s="166"/>
      <c r="AE18" s="166"/>
      <c r="AG18" s="149">
        <f t="shared" si="9"/>
        <v>6</v>
      </c>
      <c r="AH18" s="75" t="str">
        <f t="shared" si="10"/>
        <v>Northwest Nat. Gas</v>
      </c>
      <c r="AI18" s="167">
        <v>0.75</v>
      </c>
      <c r="AJ18" s="168">
        <v>1</v>
      </c>
      <c r="AK18" s="166"/>
    </row>
    <row r="19" spans="1:37" ht="13.5">
      <c r="A19" s="159">
        <f t="shared" si="11"/>
        <v>7</v>
      </c>
      <c r="B19" s="75" t="s">
        <v>153</v>
      </c>
      <c r="C19" s="160">
        <v>43.85</v>
      </c>
      <c r="D19" s="160">
        <v>41</v>
      </c>
      <c r="E19" s="160">
        <v>43.65</v>
      </c>
      <c r="F19" s="160">
        <v>41</v>
      </c>
      <c r="G19" s="160">
        <v>44.48</v>
      </c>
      <c r="H19" s="160">
        <v>42.71</v>
      </c>
      <c r="I19" s="161">
        <f t="shared" si="0"/>
        <v>0.32295</v>
      </c>
      <c r="J19" s="161">
        <f t="shared" si="1"/>
        <v>0.34448</v>
      </c>
      <c r="K19" s="161">
        <f t="shared" si="2"/>
        <v>0.34448</v>
      </c>
      <c r="L19" s="161">
        <f t="shared" si="3"/>
        <v>0.36601000000000006</v>
      </c>
      <c r="M19" s="162">
        <v>0.3</v>
      </c>
      <c r="N19" s="162">
        <v>0.32</v>
      </c>
      <c r="O19" s="162">
        <v>0.32</v>
      </c>
      <c r="P19" s="162">
        <v>0.34</v>
      </c>
      <c r="Q19" s="160">
        <v>1.28</v>
      </c>
      <c r="R19" s="162">
        <f t="shared" si="4"/>
        <v>42.781666666666666</v>
      </c>
      <c r="S19" s="163">
        <f t="shared" si="5"/>
        <v>1.4326084391144112</v>
      </c>
      <c r="T19" s="141">
        <v>0.0765</v>
      </c>
      <c r="U19" s="164">
        <v>4763.7</v>
      </c>
      <c r="V19" s="165">
        <f t="shared" si="6"/>
        <v>0.11174895126288506</v>
      </c>
      <c r="W19" s="161">
        <f t="shared" si="7"/>
        <v>1.0765</v>
      </c>
      <c r="X19" s="161">
        <f t="shared" si="8"/>
        <v>1.111748951262885</v>
      </c>
      <c r="Y19" s="166">
        <v>3</v>
      </c>
      <c r="Z19" s="166"/>
      <c r="AA19" s="166"/>
      <c r="AB19" s="166"/>
      <c r="AC19" s="166"/>
      <c r="AD19" s="166"/>
      <c r="AE19" s="166"/>
      <c r="AG19" s="149">
        <f t="shared" si="9"/>
        <v>7</v>
      </c>
      <c r="AH19" s="75" t="str">
        <f t="shared" si="10"/>
        <v>ONEOK Inc.</v>
      </c>
      <c r="AI19" s="167">
        <v>1</v>
      </c>
      <c r="AJ19" s="168">
        <v>3</v>
      </c>
      <c r="AK19" s="166"/>
    </row>
    <row r="20" spans="1:37" ht="13.5">
      <c r="A20" s="159">
        <f t="shared" si="11"/>
        <v>8</v>
      </c>
      <c r="B20" s="75" t="s">
        <v>155</v>
      </c>
      <c r="C20" s="160">
        <v>26.96</v>
      </c>
      <c r="D20" s="160">
        <v>24.55</v>
      </c>
      <c r="E20" s="160">
        <v>27.25</v>
      </c>
      <c r="F20" s="160">
        <v>25.78</v>
      </c>
      <c r="G20" s="160">
        <v>28.44</v>
      </c>
      <c r="H20" s="160">
        <v>26.55</v>
      </c>
      <c r="I20" s="161">
        <f t="shared" si="0"/>
        <v>0.25039199999999995</v>
      </c>
      <c r="J20" s="161">
        <f t="shared" si="1"/>
        <v>0.25039199999999995</v>
      </c>
      <c r="K20" s="161">
        <f t="shared" si="2"/>
        <v>0.25039199999999995</v>
      </c>
      <c r="L20" s="161">
        <f t="shared" si="3"/>
        <v>0.25039199999999995</v>
      </c>
      <c r="M20" s="162">
        <v>0.24</v>
      </c>
      <c r="N20" s="162">
        <v>0.24</v>
      </c>
      <c r="O20" s="162">
        <v>0.24</v>
      </c>
      <c r="P20" s="162">
        <v>0.24</v>
      </c>
      <c r="Q20" s="160">
        <v>0.96</v>
      </c>
      <c r="R20" s="162">
        <f t="shared" si="4"/>
        <v>26.58833333333334</v>
      </c>
      <c r="S20" s="163">
        <f t="shared" si="5"/>
        <v>1.032653676737749</v>
      </c>
      <c r="T20" s="141">
        <v>0.0433</v>
      </c>
      <c r="U20" s="164">
        <v>2099.9</v>
      </c>
      <c r="V20" s="165">
        <f t="shared" si="6"/>
        <v>0.08418273817778205</v>
      </c>
      <c r="W20" s="161">
        <f t="shared" si="7"/>
        <v>1.0433</v>
      </c>
      <c r="X20" s="161">
        <f t="shared" si="8"/>
        <v>1.084182738177782</v>
      </c>
      <c r="Y20" s="166">
        <v>3</v>
      </c>
      <c r="Z20" s="166"/>
      <c r="AA20" s="166"/>
      <c r="AB20" s="166"/>
      <c r="AC20" s="166"/>
      <c r="AD20" s="166"/>
      <c r="AE20" s="166"/>
      <c r="AG20" s="149">
        <f t="shared" si="9"/>
        <v>8</v>
      </c>
      <c r="AH20" s="75" t="str">
        <f t="shared" si="10"/>
        <v>Piedmont Natural Gas</v>
      </c>
      <c r="AI20" s="167">
        <v>0.8</v>
      </c>
      <c r="AJ20" s="168">
        <v>2</v>
      </c>
      <c r="AK20" s="166"/>
    </row>
    <row r="21" spans="1:37" ht="13.5">
      <c r="A21" s="159">
        <f t="shared" si="11"/>
        <v>9</v>
      </c>
      <c r="B21" s="75" t="s">
        <v>157</v>
      </c>
      <c r="C21" s="160">
        <v>86.32</v>
      </c>
      <c r="D21" s="160">
        <v>79.33</v>
      </c>
      <c r="E21" s="160">
        <v>82.81</v>
      </c>
      <c r="F21" s="160">
        <v>75.96</v>
      </c>
      <c r="G21" s="160">
        <v>89.56</v>
      </c>
      <c r="H21" s="160">
        <v>82.45</v>
      </c>
      <c r="I21" s="161">
        <f t="shared" si="0"/>
        <v>0.262777</v>
      </c>
      <c r="J21" s="161">
        <f t="shared" si="1"/>
        <v>0.262777</v>
      </c>
      <c r="K21" s="161">
        <f t="shared" si="2"/>
        <v>0.262777</v>
      </c>
      <c r="L21" s="161">
        <f t="shared" si="3"/>
        <v>0.262777</v>
      </c>
      <c r="M21" s="162">
        <v>0.235</v>
      </c>
      <c r="N21" s="162">
        <v>0.235</v>
      </c>
      <c r="O21" s="162">
        <v>0.235</v>
      </c>
      <c r="P21" s="162">
        <v>0.235</v>
      </c>
      <c r="Q21" s="160">
        <v>0.94</v>
      </c>
      <c r="R21" s="162">
        <f t="shared" si="4"/>
        <v>82.73833333333333</v>
      </c>
      <c r="S21" s="163">
        <f t="shared" si="5"/>
        <v>1.1018760767284035</v>
      </c>
      <c r="T21" s="141">
        <v>0.1182</v>
      </c>
      <c r="U21" s="164">
        <v>7405.9</v>
      </c>
      <c r="V21" s="165">
        <f t="shared" si="6"/>
        <v>0.13221852693573255</v>
      </c>
      <c r="W21" s="161">
        <f t="shared" si="7"/>
        <v>1.1182</v>
      </c>
      <c r="X21" s="161">
        <f t="shared" si="8"/>
        <v>1.1322185269357325</v>
      </c>
      <c r="Y21" s="166">
        <v>5</v>
      </c>
      <c r="Z21" s="166"/>
      <c r="AA21" s="166"/>
      <c r="AB21" s="166"/>
      <c r="AC21" s="166"/>
      <c r="AD21" s="166"/>
      <c r="AE21" s="166"/>
      <c r="AG21" s="149">
        <f t="shared" si="9"/>
        <v>9</v>
      </c>
      <c r="AH21" s="75" t="str">
        <f t="shared" si="10"/>
        <v>Questar Corp.</v>
      </c>
      <c r="AI21" s="167">
        <v>0.9</v>
      </c>
      <c r="AJ21" s="168">
        <v>3</v>
      </c>
      <c r="AK21" s="166"/>
    </row>
    <row r="22" spans="1:37" ht="13.5">
      <c r="A22" s="159">
        <f t="shared" si="11"/>
        <v>10</v>
      </c>
      <c r="B22" s="75" t="s">
        <v>159</v>
      </c>
      <c r="C22" s="160">
        <v>35.3</v>
      </c>
      <c r="D22" s="160">
        <v>33.05</v>
      </c>
      <c r="E22" s="160">
        <v>33.95</v>
      </c>
      <c r="F22" s="160">
        <v>31.81</v>
      </c>
      <c r="G22" s="160">
        <v>34.26</v>
      </c>
      <c r="H22" s="160">
        <v>32.42</v>
      </c>
      <c r="I22" s="161">
        <f t="shared" si="0"/>
        <v>0.2400075</v>
      </c>
      <c r="J22" s="161">
        <f t="shared" si="1"/>
        <v>0.2400075</v>
      </c>
      <c r="K22" s="161">
        <f t="shared" si="2"/>
        <v>0.25067449999999997</v>
      </c>
      <c r="L22" s="161">
        <f t="shared" si="3"/>
        <v>0.25067449999999997</v>
      </c>
      <c r="M22" s="162">
        <v>0.225</v>
      </c>
      <c r="N22" s="162">
        <v>0.225</v>
      </c>
      <c r="O22" s="162">
        <v>0.235</v>
      </c>
      <c r="P22" s="162">
        <v>0.235</v>
      </c>
      <c r="Q22" s="160">
        <v>0.9</v>
      </c>
      <c r="R22" s="162">
        <f t="shared" si="4"/>
        <v>33.464999999999996</v>
      </c>
      <c r="S22" s="163">
        <f t="shared" si="5"/>
        <v>1.0164446326797563</v>
      </c>
      <c r="T22" s="141">
        <v>0.0667</v>
      </c>
      <c r="U22" s="164">
        <v>975.2</v>
      </c>
      <c r="V22" s="165">
        <f t="shared" si="6"/>
        <v>0.09867196230719467</v>
      </c>
      <c r="W22" s="161">
        <f t="shared" si="7"/>
        <v>1.0667</v>
      </c>
      <c r="X22" s="161">
        <f t="shared" si="8"/>
        <v>1.0986719623071948</v>
      </c>
      <c r="Y22" s="166">
        <v>3</v>
      </c>
      <c r="Z22" s="166"/>
      <c r="AA22" s="166"/>
      <c r="AB22" s="166"/>
      <c r="AC22" s="166"/>
      <c r="AD22" s="166"/>
      <c r="AE22" s="166"/>
      <c r="AG22" s="149">
        <f t="shared" si="9"/>
        <v>10</v>
      </c>
      <c r="AH22" s="75" t="str">
        <f t="shared" si="10"/>
        <v>South Jersey Inds.</v>
      </c>
      <c r="AI22" s="167">
        <v>0.7</v>
      </c>
      <c r="AJ22" s="168">
        <v>2</v>
      </c>
      <c r="AK22" s="166"/>
    </row>
    <row r="23" spans="1:37" ht="13.5">
      <c r="A23" s="159">
        <f t="shared" si="11"/>
        <v>11</v>
      </c>
      <c r="B23" s="75" t="s">
        <v>72</v>
      </c>
      <c r="C23" s="160">
        <v>33</v>
      </c>
      <c r="D23" s="160">
        <v>31.225</v>
      </c>
      <c r="E23" s="160">
        <v>32.98</v>
      </c>
      <c r="F23" s="160">
        <v>30.99</v>
      </c>
      <c r="G23" s="160">
        <v>33.55</v>
      </c>
      <c r="H23" s="160">
        <v>32.325</v>
      </c>
      <c r="I23" s="161">
        <f t="shared" si="0"/>
        <v>0.344655</v>
      </c>
      <c r="J23" s="161">
        <f t="shared" si="1"/>
        <v>0.34983</v>
      </c>
      <c r="K23" s="161">
        <f t="shared" si="2"/>
        <v>0.34983</v>
      </c>
      <c r="L23" s="161">
        <f t="shared" si="3"/>
        <v>0.3519</v>
      </c>
      <c r="M23" s="162">
        <v>0.333</v>
      </c>
      <c r="N23" s="162">
        <v>0.338</v>
      </c>
      <c r="O23" s="162">
        <v>0.338</v>
      </c>
      <c r="P23" s="162">
        <v>0.34</v>
      </c>
      <c r="Q23" s="160">
        <v>1.35</v>
      </c>
      <c r="R23" s="162">
        <f t="shared" si="4"/>
        <v>32.345</v>
      </c>
      <c r="S23" s="163">
        <f t="shared" si="5"/>
        <v>1.438122805656136</v>
      </c>
      <c r="T23" s="141">
        <v>0.035</v>
      </c>
      <c r="U23" s="164">
        <v>1611.6</v>
      </c>
      <c r="V23" s="165">
        <f t="shared" si="6"/>
        <v>0.08180208624634527</v>
      </c>
      <c r="W23" s="161">
        <f t="shared" si="7"/>
        <v>1.035</v>
      </c>
      <c r="X23" s="161">
        <f t="shared" si="8"/>
        <v>1.0818020862463453</v>
      </c>
      <c r="Y23" s="166">
        <v>4</v>
      </c>
      <c r="Z23" s="166"/>
      <c r="AA23" s="166"/>
      <c r="AB23" s="166"/>
      <c r="AC23" s="166"/>
      <c r="AD23" s="166"/>
      <c r="AE23" s="166"/>
      <c r="AG23" s="149">
        <f t="shared" si="9"/>
        <v>11</v>
      </c>
      <c r="AH23" s="75" t="str">
        <f t="shared" si="10"/>
        <v>WGL Holdings Inc.</v>
      </c>
      <c r="AI23" s="167">
        <v>0.85</v>
      </c>
      <c r="AJ23" s="168">
        <v>1</v>
      </c>
      <c r="AK23" s="166"/>
    </row>
    <row r="24" spans="1:37" ht="13.5">
      <c r="A24" s="159">
        <f t="shared" si="11"/>
        <v>12</v>
      </c>
      <c r="B24" s="170" t="s">
        <v>73</v>
      </c>
      <c r="R24" s="162"/>
      <c r="U24" s="160"/>
      <c r="V24" s="165">
        <f>SUMPRODUCT($U12:$U23,V12:V23)/SUM($U12:$U23)</f>
        <v>0.10206157711831418</v>
      </c>
      <c r="W24" s="171"/>
      <c r="Y24" s="172"/>
      <c r="Z24" s="172"/>
      <c r="AA24" s="172"/>
      <c r="AB24" s="172"/>
      <c r="AC24" s="172"/>
      <c r="AD24" s="172"/>
      <c r="AE24" s="172"/>
      <c r="AG24" s="149"/>
      <c r="AI24" s="167"/>
      <c r="AJ24" s="174"/>
      <c r="AK24" s="139"/>
    </row>
    <row r="25" spans="1:36" ht="13.5">
      <c r="A25" s="159"/>
      <c r="V25" s="141"/>
      <c r="AI25" s="167"/>
      <c r="AJ25" s="174"/>
    </row>
    <row r="26" spans="1:36" ht="13.5">
      <c r="A26" s="159"/>
      <c r="V26" s="141"/>
      <c r="AI26" s="175"/>
      <c r="AJ26" s="174"/>
    </row>
    <row r="27" spans="1:36" ht="13.5">
      <c r="A27" s="159"/>
      <c r="V27" s="141"/>
      <c r="AI27" s="175"/>
      <c r="AJ27" s="174"/>
    </row>
    <row r="29" ht="10.5" customHeight="1"/>
  </sheetData>
  <printOptions/>
  <pageMargins left="0.75" right="0.75" top="1" bottom="1" header="0.5" footer="0.5"/>
  <pageSetup fitToHeight="1" fitToWidth="1" horizontalDpi="600" verticalDpi="600" orientation="landscape" scale="83" r:id="rId1"/>
</worksheet>
</file>

<file path=xl/worksheets/sheet20.xml><?xml version="1.0" encoding="utf-8"?>
<worksheet xmlns="http://schemas.openxmlformats.org/spreadsheetml/2006/main" xmlns:r="http://schemas.openxmlformats.org/officeDocument/2006/relationships">
  <sheetPr>
    <pageSetUpPr fitToPage="1"/>
  </sheetPr>
  <dimension ref="A1:E62"/>
  <sheetViews>
    <sheetView zoomScale="125" zoomScaleNormal="125" workbookViewId="0" topLeftCell="A1">
      <selection activeCell="A1" sqref="A1"/>
    </sheetView>
  </sheetViews>
  <sheetFormatPr defaultColWidth="9.140625" defaultRowHeight="12.75"/>
  <cols>
    <col min="1" max="1" width="31.28125" style="82" customWidth="1"/>
    <col min="2" max="2" width="14.140625" style="82" customWidth="1"/>
    <col min="3" max="3" width="4.7109375" style="82" customWidth="1"/>
    <col min="4" max="4" width="20.8515625" style="82" bestFit="1" customWidth="1"/>
    <col min="5" max="16384" width="9.140625" style="82" customWidth="1"/>
  </cols>
  <sheetData>
    <row r="1" ht="12.75">
      <c r="A1" s="81" t="s">
        <v>106</v>
      </c>
    </row>
    <row r="2" ht="12.75">
      <c r="A2" s="83" t="s">
        <v>788</v>
      </c>
    </row>
    <row r="3" ht="12.75">
      <c r="A3" s="24" t="s">
        <v>789</v>
      </c>
    </row>
    <row r="4" ht="12.75">
      <c r="A4" s="81"/>
    </row>
    <row r="5" ht="12.75">
      <c r="A5" s="81"/>
    </row>
    <row r="6" ht="12.75">
      <c r="A6" s="81"/>
    </row>
    <row r="7" ht="12.75">
      <c r="A7" s="81"/>
    </row>
    <row r="8" ht="12.75">
      <c r="A8" s="81"/>
    </row>
    <row r="9" ht="12.75">
      <c r="A9" s="81"/>
    </row>
    <row r="10" ht="12.75">
      <c r="A10" s="81"/>
    </row>
    <row r="12" ht="12.75">
      <c r="B12" s="26"/>
    </row>
    <row r="13" ht="12.75">
      <c r="B13" s="26"/>
    </row>
    <row r="14" spans="1:2" ht="12.75">
      <c r="A14" s="25"/>
      <c r="B14" s="25"/>
    </row>
    <row r="15" spans="1:2" ht="12.75">
      <c r="A15" s="84" t="s">
        <v>729</v>
      </c>
      <c r="B15" s="85" t="s">
        <v>99</v>
      </c>
    </row>
    <row r="16" spans="1:2" ht="12.75">
      <c r="A16" s="84" t="s">
        <v>730</v>
      </c>
      <c r="B16" s="86">
        <f>C49</f>
        <v>0.10430998286345489</v>
      </c>
    </row>
    <row r="17" spans="1:2" ht="12.75">
      <c r="A17" s="84" t="s">
        <v>790</v>
      </c>
      <c r="B17" s="86">
        <f>C50</f>
        <v>0.11132602252727364</v>
      </c>
    </row>
    <row r="18" spans="1:2" ht="12.75">
      <c r="A18" s="84" t="s">
        <v>791</v>
      </c>
      <c r="B18" s="86">
        <f>C53</f>
        <v>0.11444936042979806</v>
      </c>
    </row>
    <row r="19" spans="1:2" ht="12.75">
      <c r="A19" s="84" t="s">
        <v>731</v>
      </c>
      <c r="B19" s="86">
        <f>C56</f>
        <v>0.11591499999999999</v>
      </c>
    </row>
    <row r="20" spans="1:2" ht="12.75">
      <c r="A20" s="84" t="s">
        <v>332</v>
      </c>
      <c r="B20" s="86">
        <f>C59</f>
        <v>0.12621700000000002</v>
      </c>
    </row>
    <row r="21" spans="1:2" ht="12.75">
      <c r="A21" s="84" t="s">
        <v>728</v>
      </c>
      <c r="B21" s="86">
        <f>AVERAGE(B16:B20)</f>
        <v>0.11444347316410533</v>
      </c>
    </row>
    <row r="22" spans="1:2" ht="12.75">
      <c r="A22" s="84"/>
      <c r="B22" s="86"/>
    </row>
    <row r="23" ht="12.75">
      <c r="A23" s="81"/>
    </row>
    <row r="24" ht="12.75">
      <c r="B24" s="87"/>
    </row>
    <row r="25" spans="1:3" ht="12.75">
      <c r="A25" s="88" t="s">
        <v>92</v>
      </c>
      <c r="C25" s="89"/>
    </row>
    <row r="26" spans="1:2" ht="12.75">
      <c r="A26" s="90"/>
      <c r="B26" s="91"/>
    </row>
    <row r="27" spans="1:3" ht="12.75">
      <c r="A27" s="82" t="s">
        <v>95</v>
      </c>
      <c r="B27" s="92">
        <f>'Schedule 5'!C88</f>
        <v>0.04454546271728521</v>
      </c>
      <c r="C27" s="93"/>
    </row>
    <row r="28" spans="1:3" ht="12.75">
      <c r="A28" s="82" t="s">
        <v>96</v>
      </c>
      <c r="B28" s="94">
        <f>'Schedule 4'!C86</f>
        <v>0.05095325814231093</v>
      </c>
      <c r="C28" s="93"/>
    </row>
    <row r="29" spans="1:3" ht="12.75">
      <c r="A29" s="82" t="s">
        <v>191</v>
      </c>
      <c r="B29" s="95">
        <v>0.0642</v>
      </c>
      <c r="C29" s="93"/>
    </row>
    <row r="30" spans="1:3" ht="12.75">
      <c r="A30" s="82" t="s">
        <v>735</v>
      </c>
      <c r="B30" s="91">
        <v>0.0025</v>
      </c>
      <c r="C30" s="93"/>
    </row>
    <row r="31" spans="1:4" ht="12.75">
      <c r="A31" s="82" t="s">
        <v>192</v>
      </c>
      <c r="B31" s="95">
        <f>B27+B29+B30</f>
        <v>0.1112454627172852</v>
      </c>
      <c r="C31" s="93"/>
      <c r="D31" s="91"/>
    </row>
    <row r="32" spans="1:4" ht="12.75">
      <c r="A32" s="82" t="s">
        <v>193</v>
      </c>
      <c r="B32" s="95">
        <f>B28+B29+B30</f>
        <v>0.11765325814231092</v>
      </c>
      <c r="C32" s="93"/>
      <c r="D32" s="91"/>
    </row>
    <row r="33" ht="12.75">
      <c r="D33" s="96"/>
    </row>
    <row r="34" spans="1:3" ht="12.75">
      <c r="A34" s="97"/>
      <c r="B34" s="98"/>
      <c r="C34" s="98"/>
    </row>
    <row r="35" spans="1:2" ht="12.75">
      <c r="A35" s="89"/>
      <c r="B35" s="82" t="s">
        <v>364</v>
      </c>
    </row>
    <row r="36" spans="1:3" ht="12.75">
      <c r="A36" s="88" t="s">
        <v>97</v>
      </c>
      <c r="B36" s="99"/>
      <c r="C36" s="99"/>
    </row>
    <row r="38" spans="1:3" ht="12.75">
      <c r="A38" s="100" t="s">
        <v>98</v>
      </c>
      <c r="B38" s="101">
        <v>0.061621483727273635</v>
      </c>
      <c r="C38" s="101"/>
    </row>
    <row r="39" spans="1:3" ht="12.75">
      <c r="A39" s="100" t="s">
        <v>297</v>
      </c>
      <c r="B39" s="101">
        <v>-0.225786</v>
      </c>
      <c r="C39" s="101"/>
    </row>
    <row r="40" spans="1:3" ht="12.75">
      <c r="A40" s="100" t="s">
        <v>298</v>
      </c>
      <c r="B40" s="101">
        <v>0.0642</v>
      </c>
      <c r="C40" s="101"/>
    </row>
    <row r="41" spans="1:3" ht="12.75">
      <c r="A41" s="100" t="s">
        <v>717</v>
      </c>
      <c r="B41" s="101">
        <v>-0.014495461199999997</v>
      </c>
      <c r="C41" s="101"/>
    </row>
    <row r="42" spans="1:3" ht="12.75">
      <c r="A42" s="100" t="s">
        <v>718</v>
      </c>
      <c r="B42" s="101">
        <v>0.04712602252727364</v>
      </c>
      <c r="C42" s="101"/>
    </row>
    <row r="43" spans="1:3" ht="12.75">
      <c r="A43" s="100" t="s">
        <v>298</v>
      </c>
      <c r="B43" s="101">
        <v>0.0642</v>
      </c>
      <c r="C43" s="101"/>
    </row>
    <row r="44" spans="1:3" ht="12.75">
      <c r="A44" s="100" t="s">
        <v>301</v>
      </c>
      <c r="B44" s="101">
        <v>0.11132602252727364</v>
      </c>
      <c r="C44" s="101"/>
    </row>
    <row r="47" spans="1:3" ht="12.75">
      <c r="A47" s="82" t="s">
        <v>732</v>
      </c>
      <c r="B47" s="102">
        <f>'Schedule 1 Water Co. DCF'!W21</f>
        <v>0.1065583886085956</v>
      </c>
      <c r="C47" s="103"/>
    </row>
    <row r="48" spans="1:3" ht="12.75">
      <c r="A48" s="82" t="s">
        <v>719</v>
      </c>
      <c r="B48" s="102">
        <f>'Schedule 2 LDC DCF'!V24</f>
        <v>0.10206157711831418</v>
      </c>
      <c r="C48" s="94"/>
    </row>
    <row r="49" spans="1:3" ht="12.75">
      <c r="A49" s="82" t="s">
        <v>720</v>
      </c>
      <c r="B49" s="95"/>
      <c r="C49" s="95">
        <f>AVERAGE(B47:B48)</f>
        <v>0.10430998286345489</v>
      </c>
    </row>
    <row r="50" spans="1:3" ht="12.75">
      <c r="A50" s="82" t="s">
        <v>97</v>
      </c>
      <c r="B50" s="95">
        <f>B44</f>
        <v>0.11132602252727364</v>
      </c>
      <c r="C50" s="95">
        <f>B50</f>
        <v>0.11132602252727364</v>
      </c>
    </row>
    <row r="51" spans="1:3" ht="12.75">
      <c r="A51" s="82" t="s">
        <v>721</v>
      </c>
      <c r="B51" s="95">
        <f>B31</f>
        <v>0.1112454627172852</v>
      </c>
      <c r="C51" s="95"/>
    </row>
    <row r="52" spans="1:3" ht="12.75">
      <c r="A52" s="82" t="s">
        <v>722</v>
      </c>
      <c r="B52" s="95">
        <f>B32</f>
        <v>0.11765325814231092</v>
      </c>
      <c r="C52" s="95"/>
    </row>
    <row r="53" spans="1:3" ht="12.75">
      <c r="A53" s="82" t="s">
        <v>723</v>
      </c>
      <c r="B53" s="95"/>
      <c r="C53" s="95">
        <f>AVERAGE(B51:B52)</f>
        <v>0.11444936042979806</v>
      </c>
    </row>
    <row r="54" spans="1:3" ht="12.75">
      <c r="A54" s="82" t="s">
        <v>45</v>
      </c>
      <c r="B54" s="95">
        <f>'Schedule 7-Historical CAPM'!C17</f>
        <v>0.11556</v>
      </c>
      <c r="C54" s="95"/>
    </row>
    <row r="55" spans="1:3" ht="12.75">
      <c r="A55" s="82" t="s">
        <v>724</v>
      </c>
      <c r="B55" s="94">
        <f>'Schedule 7-Historical CAPM'!C26</f>
        <v>0.11626999999999998</v>
      </c>
      <c r="C55" s="95"/>
    </row>
    <row r="56" spans="1:3" ht="12.75">
      <c r="A56" s="82" t="s">
        <v>725</v>
      </c>
      <c r="B56" s="94"/>
      <c r="C56" s="95">
        <f>AVERAGE(B54:B55)</f>
        <v>0.11591499999999999</v>
      </c>
    </row>
    <row r="57" spans="1:3" ht="12.75">
      <c r="A57" s="82" t="s">
        <v>46</v>
      </c>
      <c r="B57" s="94">
        <f>'Schedule 8-DCF CAPM'!C17</f>
        <v>0.125788</v>
      </c>
      <c r="C57" s="95"/>
    </row>
    <row r="58" spans="1:3" ht="12.75">
      <c r="A58" s="82" t="s">
        <v>726</v>
      </c>
      <c r="B58" s="92">
        <f>'Schedule 8-DCF CAPM'!C26</f>
        <v>0.126646</v>
      </c>
      <c r="C58" s="95"/>
    </row>
    <row r="59" spans="1:3" ht="12.75">
      <c r="A59" s="82" t="s">
        <v>727</v>
      </c>
      <c r="B59" s="92"/>
      <c r="C59" s="95">
        <f>AVERAGE(B57:B58)</f>
        <v>0.12621700000000002</v>
      </c>
    </row>
    <row r="60" spans="1:5" ht="12.75">
      <c r="A60" s="82" t="s">
        <v>728</v>
      </c>
      <c r="B60" s="92"/>
      <c r="C60" s="95">
        <f>AVERAGE(C47:C59)</f>
        <v>0.11444347316410533</v>
      </c>
      <c r="E60" s="96"/>
    </row>
    <row r="62" spans="2:3" ht="12.75">
      <c r="B62" s="94"/>
      <c r="C62" s="94"/>
    </row>
  </sheetData>
  <hyperlinks>
    <hyperlink ref="C53" r:id="rId1" display="=@ROUND(B39,4)"/>
    <hyperlink ref="C60" r:id="rId2" display="=@round(AVERAGE(C34:C41),3)"/>
  </hyperlinks>
  <printOptions/>
  <pageMargins left="0.75" right="0.75" top="1" bottom="1" header="0.5" footer="0.5"/>
  <pageSetup fitToHeight="1" fitToWidth="1" horizontalDpi="1200" verticalDpi="1200" orientation="portrait" scale="86" r:id="rId3"/>
</worksheet>
</file>

<file path=xl/worksheets/sheet3.xml><?xml version="1.0" encoding="utf-8"?>
<worksheet xmlns="http://schemas.openxmlformats.org/spreadsheetml/2006/main" xmlns:r="http://schemas.openxmlformats.org/officeDocument/2006/relationships">
  <dimension ref="A1:U697"/>
  <sheetViews>
    <sheetView workbookViewId="0" topLeftCell="A1">
      <selection activeCell="A1" sqref="A1"/>
    </sheetView>
  </sheetViews>
  <sheetFormatPr defaultColWidth="9.140625" defaultRowHeight="12.75"/>
  <cols>
    <col min="1" max="1" width="4.7109375" style="25" customWidth="1"/>
    <col min="2" max="2" width="8.8515625" style="218" customWidth="1"/>
    <col min="3" max="3" width="7.57421875" style="208" bestFit="1" customWidth="1"/>
    <col min="4" max="4" width="7.8515625" style="209" customWidth="1"/>
    <col min="5" max="5" width="9.28125" style="210" customWidth="1"/>
    <col min="6" max="6" width="2.7109375" style="25" customWidth="1"/>
    <col min="7" max="7" width="14.00390625" style="25" customWidth="1"/>
    <col min="8" max="8" width="14.57421875" style="25" customWidth="1"/>
    <col min="9" max="9" width="11.8515625" style="25" customWidth="1"/>
    <col min="10" max="10" width="14.28125" style="25" customWidth="1"/>
    <col min="11" max="11" width="13.7109375" style="25" customWidth="1"/>
    <col min="12" max="12" width="12.00390625" style="25" customWidth="1"/>
    <col min="13" max="13" width="9.140625" style="25" customWidth="1"/>
    <col min="14" max="15" width="9.421875" style="25" bestFit="1" customWidth="1"/>
    <col min="16" max="16" width="9.140625" style="25" customWidth="1"/>
    <col min="17" max="17" width="9.421875" style="25" bestFit="1" customWidth="1"/>
    <col min="18" max="18" width="9.140625" style="25" customWidth="1"/>
    <col min="19" max="19" width="12.57421875" style="25" bestFit="1" customWidth="1"/>
    <col min="20" max="20" width="9.7109375" style="25" customWidth="1"/>
    <col min="21" max="16384" width="9.140625" style="25" customWidth="1"/>
  </cols>
  <sheetData>
    <row r="1" ht="12.75">
      <c r="B1" s="207">
        <f>COUNTA(C12:C116)</f>
        <v>105</v>
      </c>
    </row>
    <row r="2" spans="2:15" ht="12.75">
      <c r="B2" s="211"/>
      <c r="E2" s="212"/>
      <c r="G2" s="213"/>
      <c r="J2" s="25" t="s">
        <v>266</v>
      </c>
      <c r="O2" s="213"/>
    </row>
    <row r="3" spans="2:18" ht="12.75">
      <c r="B3" s="211" t="s">
        <v>739</v>
      </c>
      <c r="G3" s="214" t="s">
        <v>267</v>
      </c>
      <c r="J3" s="25" t="s">
        <v>268</v>
      </c>
      <c r="O3" s="215"/>
      <c r="R3" s="216"/>
    </row>
    <row r="4" spans="2:20" ht="12.75">
      <c r="B4" s="217" t="s">
        <v>269</v>
      </c>
      <c r="G4" s="214" t="s">
        <v>270</v>
      </c>
      <c r="R4" s="218"/>
      <c r="S4" s="219"/>
      <c r="T4" s="220"/>
    </row>
    <row r="5" spans="2:20" ht="12.75">
      <c r="B5" s="217" t="s">
        <v>271</v>
      </c>
      <c r="G5" s="214" t="s">
        <v>272</v>
      </c>
      <c r="J5" s="25" t="s">
        <v>273</v>
      </c>
      <c r="O5" s="216"/>
      <c r="R5" s="218"/>
      <c r="S5" s="219"/>
      <c r="T5" s="220"/>
    </row>
    <row r="6" spans="2:20" ht="12.75">
      <c r="B6" s="217" t="s">
        <v>274</v>
      </c>
      <c r="G6" s="221" t="s">
        <v>275</v>
      </c>
      <c r="I6" s="222"/>
      <c r="J6" s="223">
        <f>K6</f>
        <v>0.0125608</v>
      </c>
      <c r="K6" s="224">
        <f>'Gas Adjusted Regression'!H9</f>
        <v>0.0125608</v>
      </c>
      <c r="L6" s="225" t="s">
        <v>276</v>
      </c>
      <c r="R6" s="226"/>
      <c r="S6" s="219"/>
      <c r="T6" s="220"/>
    </row>
    <row r="7" spans="2:12" ht="12.75">
      <c r="B7" s="227"/>
      <c r="G7" s="225" t="s">
        <v>43</v>
      </c>
      <c r="I7" s="228"/>
      <c r="J7" s="25" t="s">
        <v>362</v>
      </c>
      <c r="K7" s="229">
        <f>1-G8</f>
        <v>0.20383799999999996</v>
      </c>
      <c r="L7" s="230"/>
    </row>
    <row r="8" spans="5:18" ht="12.75">
      <c r="E8" s="231" t="s">
        <v>278</v>
      </c>
      <c r="G8" s="232">
        <f>'Gas Multiple Regression'!I9</f>
        <v>0.796162</v>
      </c>
      <c r="H8" s="233"/>
      <c r="I8" s="25" t="s">
        <v>44</v>
      </c>
      <c r="J8" s="230" t="s">
        <v>363</v>
      </c>
      <c r="K8" s="234">
        <f>'Gas Adjusted Regression'!H10</f>
        <v>-0.225786</v>
      </c>
      <c r="L8" s="73"/>
      <c r="M8" s="73"/>
      <c r="R8" s="25" t="s">
        <v>277</v>
      </c>
    </row>
    <row r="9" spans="4:20" ht="12.75">
      <c r="D9" s="209" t="s">
        <v>254</v>
      </c>
      <c r="E9" s="210" t="s">
        <v>251</v>
      </c>
      <c r="G9" s="235" t="s">
        <v>279</v>
      </c>
      <c r="H9" s="73" t="s">
        <v>280</v>
      </c>
      <c r="I9" s="235" t="s">
        <v>251</v>
      </c>
      <c r="J9" s="73" t="s">
        <v>254</v>
      </c>
      <c r="L9" s="230" t="s">
        <v>281</v>
      </c>
      <c r="R9" s="25" t="s">
        <v>282</v>
      </c>
      <c r="S9" s="49"/>
      <c r="T9" s="220">
        <v>0.0642</v>
      </c>
    </row>
    <row r="10" spans="1:20" s="74" customFormat="1" ht="25.5">
      <c r="A10" s="74" t="s">
        <v>171</v>
      </c>
      <c r="B10" s="236" t="s">
        <v>283</v>
      </c>
      <c r="C10" s="237" t="s">
        <v>242</v>
      </c>
      <c r="D10" s="238" t="s">
        <v>284</v>
      </c>
      <c r="E10" s="239" t="s">
        <v>125</v>
      </c>
      <c r="G10" s="240" t="s">
        <v>285</v>
      </c>
      <c r="H10" s="241" t="s">
        <v>286</v>
      </c>
      <c r="I10" s="241" t="s">
        <v>287</v>
      </c>
      <c r="J10" s="241" t="s">
        <v>288</v>
      </c>
      <c r="K10" s="242" t="s">
        <v>289</v>
      </c>
      <c r="L10" s="241" t="s">
        <v>99</v>
      </c>
      <c r="O10" s="25"/>
      <c r="T10" s="243"/>
    </row>
    <row r="11" spans="1:15" ht="12.75">
      <c r="A11" s="25" t="s">
        <v>171</v>
      </c>
      <c r="B11" s="218" t="s">
        <v>290</v>
      </c>
      <c r="C11" s="237" t="s">
        <v>242</v>
      </c>
      <c r="D11" s="209" t="s">
        <v>291</v>
      </c>
      <c r="E11" s="210" t="s">
        <v>292</v>
      </c>
      <c r="O11" s="25" t="s">
        <v>293</v>
      </c>
    </row>
    <row r="12" spans="1:15" ht="12.75">
      <c r="A12" s="25">
        <v>1</v>
      </c>
      <c r="B12" s="244">
        <v>35976</v>
      </c>
      <c r="C12" s="245">
        <f>'Gas Ex Ante DCF'!FP12</f>
        <v>0.11526259498557849</v>
      </c>
      <c r="D12" s="246">
        <v>0.0703</v>
      </c>
      <c r="E12" s="247">
        <f aca="true" t="shared" si="0" ref="E12:E75">C12-D12</f>
        <v>0.04496259498557849</v>
      </c>
      <c r="H12" s="51"/>
      <c r="O12" s="25" t="s">
        <v>364</v>
      </c>
    </row>
    <row r="13" spans="1:21" ht="12.75">
      <c r="A13" s="25">
        <v>2</v>
      </c>
      <c r="B13" s="244">
        <v>36007</v>
      </c>
      <c r="C13" s="245">
        <f>'Gas Ex Ante DCF'!FP13</f>
        <v>0.1185410125754307</v>
      </c>
      <c r="D13" s="246">
        <v>0.0703</v>
      </c>
      <c r="E13" s="247">
        <f t="shared" si="0"/>
        <v>0.0482410125754307</v>
      </c>
      <c r="G13" s="247">
        <f>E12</f>
        <v>0.04496259498557849</v>
      </c>
      <c r="H13" s="246">
        <f>D12</f>
        <v>0.0703</v>
      </c>
      <c r="I13" s="248">
        <f>E13-$G$8*G13</f>
        <v>0.012443503026522564</v>
      </c>
      <c r="J13" s="248">
        <f>D13-$G$8*H13</f>
        <v>0.014329811399999996</v>
      </c>
      <c r="K13" s="50">
        <f>($K$6/$K$7)+($K$8*D13)</f>
        <v>0.045748727927273636</v>
      </c>
      <c r="L13" s="50">
        <f>D13+K13</f>
        <v>0.11604872792727364</v>
      </c>
      <c r="M13" s="50"/>
      <c r="N13" s="25">
        <v>1</v>
      </c>
      <c r="O13" s="249">
        <f>T14</f>
        <v>0.061621483727273635</v>
      </c>
      <c r="P13" s="230" t="s">
        <v>294</v>
      </c>
      <c r="Q13" s="247">
        <f>T15</f>
        <v>-0.225786</v>
      </c>
      <c r="R13" s="230" t="s">
        <v>295</v>
      </c>
      <c r="S13" s="50">
        <f>T9</f>
        <v>0.0642</v>
      </c>
      <c r="T13" s="250" t="s">
        <v>296</v>
      </c>
      <c r="U13" s="247">
        <f>T18</f>
        <v>0.04712602252727364</v>
      </c>
    </row>
    <row r="14" spans="1:20" ht="12.75">
      <c r="A14" s="25">
        <v>3</v>
      </c>
      <c r="B14" s="244">
        <v>36038</v>
      </c>
      <c r="C14" s="245">
        <f>'Gas Ex Ante DCF'!FP14</f>
        <v>0.1232784307356454</v>
      </c>
      <c r="D14" s="246">
        <v>0.07</v>
      </c>
      <c r="E14" s="247">
        <f t="shared" si="0"/>
        <v>0.05327843073564539</v>
      </c>
      <c r="G14" s="247">
        <f aca="true" t="shared" si="1" ref="G14:G77">E13</f>
        <v>0.0482410125754307</v>
      </c>
      <c r="H14" s="246">
        <f aca="true" t="shared" si="2" ref="H14:H77">D13</f>
        <v>0.0703</v>
      </c>
      <c r="I14" s="248">
        <f aca="true" t="shared" si="3" ref="I14:I77">E14-$G$8*G14</f>
        <v>0.014870769681565331</v>
      </c>
      <c r="J14" s="248">
        <f aca="true" t="shared" si="4" ref="J14:J77">D14-$G$8*H14</f>
        <v>0.014029811400000002</v>
      </c>
      <c r="K14" s="50">
        <f aca="true" t="shared" si="5" ref="K14:K77">($K$6/$K$7)+($K$8*D14)</f>
        <v>0.04581646372727363</v>
      </c>
      <c r="L14" s="50">
        <f aca="true" t="shared" si="6" ref="L14:L77">D14+K14</f>
        <v>0.11581646372727364</v>
      </c>
      <c r="M14" s="50"/>
      <c r="N14" s="25">
        <v>2</v>
      </c>
      <c r="O14" s="25" t="s">
        <v>98</v>
      </c>
      <c r="T14" s="251">
        <f>K6/K7</f>
        <v>0.061621483727273635</v>
      </c>
    </row>
    <row r="15" spans="1:20" ht="12.75">
      <c r="A15" s="25">
        <v>4</v>
      </c>
      <c r="B15" s="244">
        <v>36068</v>
      </c>
      <c r="C15" s="245">
        <f>'Gas Ex Ante DCF'!FP15</f>
        <v>0.1272665934623729</v>
      </c>
      <c r="D15" s="246">
        <v>0.0693</v>
      </c>
      <c r="E15" s="247">
        <f t="shared" si="0"/>
        <v>0.0579665934623729</v>
      </c>
      <c r="G15" s="247">
        <f t="shared" si="1"/>
        <v>0.05327843073564539</v>
      </c>
      <c r="H15" s="246">
        <f t="shared" si="2"/>
        <v>0.07</v>
      </c>
      <c r="I15" s="248">
        <f t="shared" si="3"/>
        <v>0.015548331491019994</v>
      </c>
      <c r="J15" s="248">
        <f t="shared" si="4"/>
        <v>0.01356865999999999</v>
      </c>
      <c r="K15" s="50">
        <f t="shared" si="5"/>
        <v>0.045974513927273634</v>
      </c>
      <c r="L15" s="50">
        <f t="shared" si="6"/>
        <v>0.11527451392727364</v>
      </c>
      <c r="M15" s="50"/>
      <c r="N15" s="25">
        <v>3</v>
      </c>
      <c r="O15" s="51" t="s">
        <v>297</v>
      </c>
      <c r="T15" s="251">
        <f>K8</f>
        <v>-0.225786</v>
      </c>
    </row>
    <row r="16" spans="1:20" ht="12.75">
      <c r="A16" s="25">
        <v>5</v>
      </c>
      <c r="B16" s="244">
        <v>36098</v>
      </c>
      <c r="C16" s="245">
        <f>'Gas Ex Ante DCF'!FP16</f>
        <v>0.12589820648611363</v>
      </c>
      <c r="D16" s="246">
        <v>0.0696</v>
      </c>
      <c r="E16" s="247">
        <f t="shared" si="0"/>
        <v>0.05629820648611364</v>
      </c>
      <c r="G16" s="247">
        <f t="shared" si="1"/>
        <v>0.0579665934623729</v>
      </c>
      <c r="H16" s="246">
        <f t="shared" si="2"/>
        <v>0.0693</v>
      </c>
      <c r="I16" s="248">
        <f t="shared" si="3"/>
        <v>0.010147407501923902</v>
      </c>
      <c r="J16" s="248">
        <f t="shared" si="4"/>
        <v>0.014425973399999993</v>
      </c>
      <c r="K16" s="50">
        <f t="shared" si="5"/>
        <v>0.04590677812727364</v>
      </c>
      <c r="L16" s="50">
        <f t="shared" si="6"/>
        <v>0.11550677812727364</v>
      </c>
      <c r="M16" s="50"/>
      <c r="N16" s="25">
        <v>4</v>
      </c>
      <c r="O16" s="51" t="s">
        <v>298</v>
      </c>
      <c r="T16" s="251">
        <f>T9</f>
        <v>0.0642</v>
      </c>
    </row>
    <row r="17" spans="1:20" ht="12.75">
      <c r="A17" s="25">
        <v>6</v>
      </c>
      <c r="B17" s="244">
        <v>36129</v>
      </c>
      <c r="C17" s="245">
        <f>'Gas Ex Ante DCF'!FP17</f>
        <v>0.12104978495068178</v>
      </c>
      <c r="D17" s="246">
        <v>0.0703</v>
      </c>
      <c r="E17" s="247">
        <f t="shared" si="0"/>
        <v>0.050749784950681776</v>
      </c>
      <c r="G17" s="247">
        <f t="shared" si="1"/>
        <v>0.05629820648611364</v>
      </c>
      <c r="H17" s="246">
        <f t="shared" si="2"/>
        <v>0.0696</v>
      </c>
      <c r="I17" s="248">
        <f t="shared" si="3"/>
        <v>0.00592729227828457</v>
      </c>
      <c r="J17" s="248">
        <f t="shared" si="4"/>
        <v>0.014887124800000005</v>
      </c>
      <c r="K17" s="50">
        <f t="shared" si="5"/>
        <v>0.045748727927273636</v>
      </c>
      <c r="L17" s="50">
        <f t="shared" si="6"/>
        <v>0.11604872792727364</v>
      </c>
      <c r="M17" s="50"/>
      <c r="N17" s="25">
        <v>5</v>
      </c>
      <c r="O17" s="25" t="s">
        <v>299</v>
      </c>
      <c r="T17" s="251">
        <f>T15*T16</f>
        <v>-0.014495461199999997</v>
      </c>
    </row>
    <row r="18" spans="1:21" ht="12.75">
      <c r="A18" s="25">
        <v>7</v>
      </c>
      <c r="B18" s="244">
        <v>36160</v>
      </c>
      <c r="C18" s="245">
        <f>'Gas Ex Ante DCF'!FP18</f>
        <v>0.11839853356591429</v>
      </c>
      <c r="D18" s="246">
        <v>0.0691</v>
      </c>
      <c r="E18" s="247">
        <f t="shared" si="0"/>
        <v>0.04929853356591429</v>
      </c>
      <c r="G18" s="247">
        <f t="shared" si="1"/>
        <v>0.050749784950681776</v>
      </c>
      <c r="H18" s="246">
        <f t="shared" si="2"/>
        <v>0.0703</v>
      </c>
      <c r="I18" s="248">
        <f t="shared" si="3"/>
        <v>0.008893483280009586</v>
      </c>
      <c r="J18" s="248">
        <f t="shared" si="4"/>
        <v>0.01312981139999999</v>
      </c>
      <c r="K18" s="50">
        <f t="shared" si="5"/>
        <v>0.046019671127273634</v>
      </c>
      <c r="L18" s="50">
        <f t="shared" si="6"/>
        <v>0.11511967112727363</v>
      </c>
      <c r="M18" s="50"/>
      <c r="N18" s="25">
        <v>6</v>
      </c>
      <c r="O18" s="25" t="s">
        <v>300</v>
      </c>
      <c r="T18" s="251">
        <f>SUM(T14+T17)</f>
        <v>0.04712602252727364</v>
      </c>
      <c r="U18" s="230"/>
    </row>
    <row r="19" spans="1:20" ht="12.75">
      <c r="A19" s="25">
        <v>8</v>
      </c>
      <c r="B19" s="244">
        <v>36189</v>
      </c>
      <c r="C19" s="245">
        <f>'Gas Ex Ante DCF'!FP19</f>
        <v>0.11946391903300778</v>
      </c>
      <c r="D19" s="246">
        <v>0.0697</v>
      </c>
      <c r="E19" s="247">
        <f t="shared" si="0"/>
        <v>0.04976391903300778</v>
      </c>
      <c r="G19" s="247">
        <f t="shared" si="1"/>
        <v>0.04929853356591429</v>
      </c>
      <c r="H19" s="246">
        <f t="shared" si="2"/>
        <v>0.0691</v>
      </c>
      <c r="I19" s="248">
        <f t="shared" si="3"/>
        <v>0.010514299952102325</v>
      </c>
      <c r="J19" s="248">
        <f t="shared" si="4"/>
        <v>0.014685205799999997</v>
      </c>
      <c r="K19" s="50">
        <f t="shared" si="5"/>
        <v>0.045884199527273635</v>
      </c>
      <c r="L19" s="50">
        <f t="shared" si="6"/>
        <v>0.11558419952727364</v>
      </c>
      <c r="M19" s="50"/>
      <c r="N19" s="25">
        <v>7</v>
      </c>
      <c r="O19" s="25" t="s">
        <v>298</v>
      </c>
      <c r="T19" s="251">
        <f>T9</f>
        <v>0.0642</v>
      </c>
    </row>
    <row r="20" spans="1:20" ht="12.75">
      <c r="A20" s="25">
        <v>9</v>
      </c>
      <c r="B20" s="244">
        <v>36217</v>
      </c>
      <c r="C20" s="245">
        <f>'Gas Ex Ante DCF'!FP20</f>
        <v>0.124239443572371</v>
      </c>
      <c r="D20" s="246">
        <v>0.0709</v>
      </c>
      <c r="E20" s="247">
        <f t="shared" si="0"/>
        <v>0.053339443572371</v>
      </c>
      <c r="G20" s="247">
        <f t="shared" si="1"/>
        <v>0.04976391903300778</v>
      </c>
      <c r="H20" s="246">
        <f t="shared" si="2"/>
        <v>0.0697</v>
      </c>
      <c r="I20" s="248">
        <f t="shared" si="3"/>
        <v>0.013719302267213455</v>
      </c>
      <c r="J20" s="248">
        <f t="shared" si="4"/>
        <v>0.015407508600000001</v>
      </c>
      <c r="K20" s="50">
        <f t="shared" si="5"/>
        <v>0.04561325632727363</v>
      </c>
      <c r="L20" s="50">
        <f t="shared" si="6"/>
        <v>0.11651325632727363</v>
      </c>
      <c r="M20" s="50"/>
      <c r="N20" s="25">
        <v>8</v>
      </c>
      <c r="O20" s="25" t="s">
        <v>301</v>
      </c>
      <c r="T20" s="252">
        <f>SUM(T18:T19)</f>
        <v>0.11132602252727364</v>
      </c>
    </row>
    <row r="21" spans="1:12" ht="12.75">
      <c r="A21" s="25">
        <v>10</v>
      </c>
      <c r="B21" s="244">
        <v>36250</v>
      </c>
      <c r="C21" s="245">
        <f>'Gas Ex Ante DCF'!FP21</f>
        <v>0.12560663671222952</v>
      </c>
      <c r="D21" s="246">
        <v>0.0726</v>
      </c>
      <c r="E21" s="247">
        <f t="shared" si="0"/>
        <v>0.05300663671222952</v>
      </c>
      <c r="G21" s="247">
        <f t="shared" si="1"/>
        <v>0.053339443572371</v>
      </c>
      <c r="H21" s="246">
        <f t="shared" si="2"/>
        <v>0.0709</v>
      </c>
      <c r="I21" s="248">
        <f t="shared" si="3"/>
        <v>0.010539798638763483</v>
      </c>
      <c r="J21" s="248">
        <f t="shared" si="4"/>
        <v>0.01615211419999999</v>
      </c>
      <c r="K21" s="50">
        <f t="shared" si="5"/>
        <v>0.045229420127273635</v>
      </c>
      <c r="L21" s="50">
        <f t="shared" si="6"/>
        <v>0.11782942012727363</v>
      </c>
    </row>
    <row r="22" spans="1:14" ht="12.75">
      <c r="A22" s="25">
        <v>11</v>
      </c>
      <c r="B22" s="244">
        <v>36280</v>
      </c>
      <c r="C22" s="245">
        <f>'Gas Ex Ante DCF'!FP22</f>
        <v>0.12592929461290636</v>
      </c>
      <c r="D22" s="246">
        <v>0.0722</v>
      </c>
      <c r="E22" s="247">
        <f t="shared" si="0"/>
        <v>0.05372929461290636</v>
      </c>
      <c r="G22" s="247">
        <f t="shared" si="1"/>
        <v>0.05300663671222952</v>
      </c>
      <c r="H22" s="246">
        <f t="shared" si="2"/>
        <v>0.0726</v>
      </c>
      <c r="I22" s="248">
        <f t="shared" si="3"/>
        <v>0.011527424714824278</v>
      </c>
      <c r="J22" s="248">
        <f t="shared" si="4"/>
        <v>0.014398638800000002</v>
      </c>
      <c r="K22" s="50">
        <f t="shared" si="5"/>
        <v>0.045319734527273635</v>
      </c>
      <c r="L22" s="50">
        <f t="shared" si="6"/>
        <v>0.11751973452727363</v>
      </c>
      <c r="N22" s="50"/>
    </row>
    <row r="23" spans="1:14" ht="12.75">
      <c r="A23" s="25">
        <v>12</v>
      </c>
      <c r="B23" s="244">
        <v>36311</v>
      </c>
      <c r="C23" s="245">
        <f>'Gas Ex Ante DCF'!FP23</f>
        <v>0.12201644486378685</v>
      </c>
      <c r="D23" s="246">
        <v>0.0747</v>
      </c>
      <c r="E23" s="247">
        <f t="shared" si="0"/>
        <v>0.04731644486378685</v>
      </c>
      <c r="G23" s="247">
        <f t="shared" si="1"/>
        <v>0.05372929461290636</v>
      </c>
      <c r="H23" s="246">
        <f t="shared" si="2"/>
        <v>0.0722</v>
      </c>
      <c r="I23" s="248">
        <f t="shared" si="3"/>
        <v>0.0045392222061860915</v>
      </c>
      <c r="J23" s="248">
        <f t="shared" si="4"/>
        <v>0.0172171036</v>
      </c>
      <c r="K23" s="50">
        <f t="shared" si="5"/>
        <v>0.044755269527273635</v>
      </c>
      <c r="L23" s="50">
        <f t="shared" si="6"/>
        <v>0.11945526952727364</v>
      </c>
      <c r="N23" s="50"/>
    </row>
    <row r="24" spans="1:14" ht="12.75">
      <c r="A24" s="25">
        <v>13</v>
      </c>
      <c r="B24" s="244">
        <v>36341</v>
      </c>
      <c r="C24" s="245">
        <f>'Gas Ex Ante DCF'!FP24</f>
        <v>0.12066292034888176</v>
      </c>
      <c r="D24" s="246">
        <v>0.0774</v>
      </c>
      <c r="E24" s="247">
        <f t="shared" si="0"/>
        <v>0.04326292034888177</v>
      </c>
      <c r="G24" s="247">
        <f t="shared" si="1"/>
        <v>0.04731644486378685</v>
      </c>
      <c r="H24" s="246">
        <f t="shared" si="2"/>
        <v>0.0747</v>
      </c>
      <c r="I24" s="248">
        <f t="shared" si="3"/>
        <v>0.005591364973239504</v>
      </c>
      <c r="J24" s="248">
        <f t="shared" si="4"/>
        <v>0.017926698599999992</v>
      </c>
      <c r="K24" s="50">
        <f t="shared" si="5"/>
        <v>0.044145647327273635</v>
      </c>
      <c r="L24" s="50">
        <f t="shared" si="6"/>
        <v>0.12154564732727363</v>
      </c>
      <c r="N24" s="50"/>
    </row>
    <row r="25" spans="1:14" ht="12.75">
      <c r="A25" s="25">
        <v>14</v>
      </c>
      <c r="B25" s="244">
        <v>36371</v>
      </c>
      <c r="C25" s="245">
        <f>'Gas Ex Ante DCF'!FP25</f>
        <v>0.12212225267269107</v>
      </c>
      <c r="D25" s="246">
        <v>0.0771</v>
      </c>
      <c r="E25" s="247">
        <f t="shared" si="0"/>
        <v>0.04502225267269107</v>
      </c>
      <c r="G25" s="247">
        <f t="shared" si="1"/>
        <v>0.04326292034888177</v>
      </c>
      <c r="H25" s="246">
        <f t="shared" si="2"/>
        <v>0.0774</v>
      </c>
      <c r="I25" s="248">
        <f t="shared" si="3"/>
        <v>0.010577959481884662</v>
      </c>
      <c r="J25" s="248">
        <f t="shared" si="4"/>
        <v>0.015477061200000003</v>
      </c>
      <c r="K25" s="50">
        <f t="shared" si="5"/>
        <v>0.04421338312727363</v>
      </c>
      <c r="L25" s="50">
        <f t="shared" si="6"/>
        <v>0.12131338312727363</v>
      </c>
      <c r="N25" s="50"/>
    </row>
    <row r="26" spans="1:14" ht="12.75">
      <c r="A26" s="25">
        <v>15</v>
      </c>
      <c r="B26" s="244">
        <v>36403</v>
      </c>
      <c r="C26" s="245">
        <f>'Gas Ex Ante DCF'!FP26</f>
        <v>0.12193531045788884</v>
      </c>
      <c r="D26" s="246">
        <v>0.0791</v>
      </c>
      <c r="E26" s="247">
        <f t="shared" si="0"/>
        <v>0.04283531045788884</v>
      </c>
      <c r="G26" s="247">
        <f t="shared" si="1"/>
        <v>0.04502225267269107</v>
      </c>
      <c r="H26" s="246">
        <f t="shared" si="2"/>
        <v>0.0771</v>
      </c>
      <c r="I26" s="248">
        <f t="shared" si="3"/>
        <v>0.0069903037254937725</v>
      </c>
      <c r="J26" s="248">
        <f t="shared" si="4"/>
        <v>0.0177159098</v>
      </c>
      <c r="K26" s="50">
        <f t="shared" si="5"/>
        <v>0.043761811127273634</v>
      </c>
      <c r="L26" s="50">
        <f t="shared" si="6"/>
        <v>0.12286181112727364</v>
      </c>
      <c r="N26" s="50"/>
    </row>
    <row r="27" spans="1:14" ht="12.75">
      <c r="A27" s="25">
        <v>16</v>
      </c>
      <c r="B27" s="244">
        <v>36433</v>
      </c>
      <c r="C27" s="245">
        <f>'Gas Ex Ante DCF'!FP27</f>
        <v>0.12248626416798246</v>
      </c>
      <c r="D27" s="246">
        <v>0.0793</v>
      </c>
      <c r="E27" s="247">
        <f t="shared" si="0"/>
        <v>0.04318626416798246</v>
      </c>
      <c r="G27" s="247">
        <f t="shared" si="1"/>
        <v>0.04283531045788884</v>
      </c>
      <c r="H27" s="246">
        <f t="shared" si="2"/>
        <v>0.0791</v>
      </c>
      <c r="I27" s="248">
        <f t="shared" si="3"/>
        <v>0.009082417723208766</v>
      </c>
      <c r="J27" s="248">
        <f t="shared" si="4"/>
        <v>0.016323585799999984</v>
      </c>
      <c r="K27" s="50">
        <f t="shared" si="5"/>
        <v>0.04371665392727364</v>
      </c>
      <c r="L27" s="50">
        <f t="shared" si="6"/>
        <v>0.12301665392727364</v>
      </c>
      <c r="N27" s="50"/>
    </row>
    <row r="28" spans="1:14" ht="12.75">
      <c r="A28" s="25">
        <v>17</v>
      </c>
      <c r="B28" s="244">
        <v>36462</v>
      </c>
      <c r="C28" s="245">
        <f>'Gas Ex Ante DCF'!FP28</f>
        <v>0.12323121466099496</v>
      </c>
      <c r="D28" s="246">
        <v>0.0806</v>
      </c>
      <c r="E28" s="247">
        <f t="shared" si="0"/>
        <v>0.042631214660994954</v>
      </c>
      <c r="G28" s="247">
        <f t="shared" si="1"/>
        <v>0.04318626416798246</v>
      </c>
      <c r="H28" s="246">
        <f t="shared" si="2"/>
        <v>0.0793</v>
      </c>
      <c r="I28" s="248">
        <f t="shared" si="3"/>
        <v>0.008247952208485697</v>
      </c>
      <c r="J28" s="248">
        <f t="shared" si="4"/>
        <v>0.017464353400000007</v>
      </c>
      <c r="K28" s="50">
        <f t="shared" si="5"/>
        <v>0.04342313212727364</v>
      </c>
      <c r="L28" s="50">
        <f t="shared" si="6"/>
        <v>0.12402313212727364</v>
      </c>
      <c r="N28" s="50"/>
    </row>
    <row r="29" spans="1:14" ht="12.75">
      <c r="A29" s="25">
        <v>18</v>
      </c>
      <c r="B29" s="244">
        <v>36494</v>
      </c>
      <c r="C29" s="245">
        <f>'Gas Ex Ante DCF'!FP29</f>
        <v>0.12394533442996662</v>
      </c>
      <c r="D29" s="246">
        <v>0.0794</v>
      </c>
      <c r="E29" s="247">
        <f t="shared" si="0"/>
        <v>0.044545334429966624</v>
      </c>
      <c r="G29" s="247">
        <f t="shared" si="1"/>
        <v>0.042631214660994954</v>
      </c>
      <c r="H29" s="246">
        <f t="shared" si="2"/>
        <v>0.0806</v>
      </c>
      <c r="I29" s="248">
        <f t="shared" si="3"/>
        <v>0.010603981303039557</v>
      </c>
      <c r="J29" s="248">
        <f t="shared" si="4"/>
        <v>0.01522934279999999</v>
      </c>
      <c r="K29" s="50">
        <f t="shared" si="5"/>
        <v>0.04369407532727364</v>
      </c>
      <c r="L29" s="50">
        <f t="shared" si="6"/>
        <v>0.12309407532727364</v>
      </c>
      <c r="N29" s="50"/>
    </row>
    <row r="30" spans="1:14" ht="12.75">
      <c r="A30" s="25">
        <v>19</v>
      </c>
      <c r="B30" s="244">
        <v>36525</v>
      </c>
      <c r="C30" s="245">
        <f>'Gas Ex Ante DCF'!FP30</f>
        <v>0.12791294982794965</v>
      </c>
      <c r="D30" s="246">
        <v>0.0814</v>
      </c>
      <c r="E30" s="247">
        <f t="shared" si="0"/>
        <v>0.04651294982794965</v>
      </c>
      <c r="G30" s="247">
        <f t="shared" si="1"/>
        <v>0.044545334429966624</v>
      </c>
      <c r="H30" s="246">
        <f t="shared" si="2"/>
        <v>0.0794</v>
      </c>
      <c r="I30" s="248">
        <f t="shared" si="3"/>
        <v>0.011047647277518564</v>
      </c>
      <c r="J30" s="248">
        <f t="shared" si="4"/>
        <v>0.018184737199999995</v>
      </c>
      <c r="K30" s="50">
        <f t="shared" si="5"/>
        <v>0.04324250332727364</v>
      </c>
      <c r="L30" s="50">
        <f t="shared" si="6"/>
        <v>0.12464250332727364</v>
      </c>
      <c r="N30" s="50"/>
    </row>
    <row r="31" spans="1:14" ht="12.75">
      <c r="A31" s="25">
        <v>20</v>
      </c>
      <c r="B31" s="244">
        <v>36556</v>
      </c>
      <c r="C31" s="245">
        <f>'Gas Ex Ante DCF'!FP31</f>
        <v>0.12993622843838062</v>
      </c>
      <c r="D31" s="246">
        <v>0.0835</v>
      </c>
      <c r="E31" s="247">
        <f t="shared" si="0"/>
        <v>0.04643622843838062</v>
      </c>
      <c r="G31" s="247">
        <f t="shared" si="1"/>
        <v>0.04651294982794965</v>
      </c>
      <c r="H31" s="246">
        <f t="shared" si="2"/>
        <v>0.0814</v>
      </c>
      <c r="I31" s="248">
        <f t="shared" si="3"/>
        <v>0.00940438527746057</v>
      </c>
      <c r="J31" s="248">
        <f t="shared" si="4"/>
        <v>0.018692413200000008</v>
      </c>
      <c r="K31" s="50">
        <f t="shared" si="5"/>
        <v>0.04276835272727364</v>
      </c>
      <c r="L31" s="50">
        <f t="shared" si="6"/>
        <v>0.12626835272727366</v>
      </c>
      <c r="N31" s="50"/>
    </row>
    <row r="32" spans="1:14" ht="12.75">
      <c r="A32" s="25">
        <v>21</v>
      </c>
      <c r="B32" s="244">
        <v>36585</v>
      </c>
      <c r="C32" s="245">
        <f>'Gas Ex Ante DCF'!FP32</f>
        <v>0.13424883665411452</v>
      </c>
      <c r="D32" s="246">
        <v>0.0825</v>
      </c>
      <c r="E32" s="247">
        <f t="shared" si="0"/>
        <v>0.05174883665411452</v>
      </c>
      <c r="G32" s="247">
        <f t="shared" si="1"/>
        <v>0.04643622843838062</v>
      </c>
      <c r="H32" s="246">
        <f t="shared" si="2"/>
        <v>0.0835</v>
      </c>
      <c r="I32" s="248">
        <f t="shared" si="3"/>
        <v>0.01477807614815653</v>
      </c>
      <c r="J32" s="248">
        <f t="shared" si="4"/>
        <v>0.016020472999999993</v>
      </c>
      <c r="K32" s="50">
        <f t="shared" si="5"/>
        <v>0.04299413872727363</v>
      </c>
      <c r="L32" s="50">
        <f t="shared" si="6"/>
        <v>0.12549413872727364</v>
      </c>
      <c r="N32" s="50"/>
    </row>
    <row r="33" spans="1:14" ht="12.75">
      <c r="A33" s="25">
        <v>22</v>
      </c>
      <c r="B33" s="244">
        <v>36616</v>
      </c>
      <c r="C33" s="245">
        <f>'Gas Ex Ante DCF'!FP33</f>
        <v>0.13432279077045403</v>
      </c>
      <c r="D33" s="246">
        <v>0.0828</v>
      </c>
      <c r="E33" s="247">
        <f t="shared" si="0"/>
        <v>0.05152279077045403</v>
      </c>
      <c r="G33" s="247">
        <f t="shared" si="1"/>
        <v>0.05174883665411452</v>
      </c>
      <c r="H33" s="246">
        <f t="shared" si="2"/>
        <v>0.0825</v>
      </c>
      <c r="I33" s="248">
        <f t="shared" si="3"/>
        <v>0.01032233348224091</v>
      </c>
      <c r="J33" s="248">
        <f t="shared" si="4"/>
        <v>0.01711663499999999</v>
      </c>
      <c r="K33" s="50">
        <f t="shared" si="5"/>
        <v>0.042926402927273635</v>
      </c>
      <c r="L33" s="50">
        <f t="shared" si="6"/>
        <v>0.12572640292727363</v>
      </c>
      <c r="N33" s="50"/>
    </row>
    <row r="34" spans="1:14" ht="12.75">
      <c r="A34" s="25">
        <v>23</v>
      </c>
      <c r="B34" s="244">
        <v>36644</v>
      </c>
      <c r="C34" s="245">
        <f>'Gas Ex Ante DCF'!FP34</f>
        <v>0.13152430377294985</v>
      </c>
      <c r="D34" s="246">
        <v>0.0829</v>
      </c>
      <c r="E34" s="247">
        <f t="shared" si="0"/>
        <v>0.04862430377294985</v>
      </c>
      <c r="G34" s="247">
        <f t="shared" si="1"/>
        <v>0.05152279077045403</v>
      </c>
      <c r="H34" s="246">
        <f t="shared" si="2"/>
        <v>0.0828</v>
      </c>
      <c r="I34" s="248">
        <f t="shared" si="3"/>
        <v>0.007603815627563626</v>
      </c>
      <c r="J34" s="248">
        <f t="shared" si="4"/>
        <v>0.0169777864</v>
      </c>
      <c r="K34" s="50">
        <f t="shared" si="5"/>
        <v>0.04290382432727363</v>
      </c>
      <c r="L34" s="50">
        <f t="shared" si="6"/>
        <v>0.12580382432727363</v>
      </c>
      <c r="N34" s="50"/>
    </row>
    <row r="35" spans="1:14" ht="12.75">
      <c r="A35" s="25">
        <v>24</v>
      </c>
      <c r="B35" s="244">
        <v>36677</v>
      </c>
      <c r="C35" s="245">
        <f>'Gas Ex Ante DCF'!FP35</f>
        <v>0.12906841835292088</v>
      </c>
      <c r="D35" s="246">
        <v>0.087</v>
      </c>
      <c r="E35" s="247">
        <f t="shared" si="0"/>
        <v>0.04206841835292088</v>
      </c>
      <c r="G35" s="247">
        <f t="shared" si="1"/>
        <v>0.04862430377294985</v>
      </c>
      <c r="H35" s="246">
        <f t="shared" si="2"/>
        <v>0.0829</v>
      </c>
      <c r="I35" s="248">
        <f t="shared" si="3"/>
        <v>0.0033555954124415838</v>
      </c>
      <c r="J35" s="248">
        <f t="shared" si="4"/>
        <v>0.020998170199999985</v>
      </c>
      <c r="K35" s="50">
        <f t="shared" si="5"/>
        <v>0.041978101727273634</v>
      </c>
      <c r="L35" s="50">
        <f t="shared" si="6"/>
        <v>0.12897810172727364</v>
      </c>
      <c r="N35" s="50"/>
    </row>
    <row r="36" spans="1:14" ht="12.75">
      <c r="A36" s="25">
        <v>25</v>
      </c>
      <c r="B36" s="244">
        <v>36707</v>
      </c>
      <c r="C36" s="245">
        <f>'Gas Ex Ante DCF'!FP36</f>
        <v>0.12943243244225416</v>
      </c>
      <c r="D36" s="246">
        <v>0.0836</v>
      </c>
      <c r="E36" s="247">
        <f t="shared" si="0"/>
        <v>0.04583243244225417</v>
      </c>
      <c r="G36" s="247">
        <f t="shared" si="1"/>
        <v>0.04206841835292088</v>
      </c>
      <c r="H36" s="246">
        <f t="shared" si="2"/>
        <v>0.087</v>
      </c>
      <c r="I36" s="248">
        <f t="shared" si="3"/>
        <v>0.012339156349555971</v>
      </c>
      <c r="J36" s="248">
        <f t="shared" si="4"/>
        <v>0.014333905999999993</v>
      </c>
      <c r="K36" s="50">
        <f t="shared" si="5"/>
        <v>0.042745774127273636</v>
      </c>
      <c r="L36" s="50">
        <f t="shared" si="6"/>
        <v>0.12634577412727363</v>
      </c>
      <c r="N36" s="50"/>
    </row>
    <row r="37" spans="1:14" ht="12.75">
      <c r="A37" s="25">
        <v>26</v>
      </c>
      <c r="B37" s="244">
        <v>36738</v>
      </c>
      <c r="C37" s="245">
        <f>'Gas Ex Ante DCF'!FP37</f>
        <v>0.13157566962632683</v>
      </c>
      <c r="D37" s="246">
        <v>0.0825</v>
      </c>
      <c r="E37" s="247">
        <f t="shared" si="0"/>
        <v>0.049075669626326826</v>
      </c>
      <c r="G37" s="247">
        <f t="shared" si="1"/>
        <v>0.04583243244225417</v>
      </c>
      <c r="H37" s="246">
        <f t="shared" si="2"/>
        <v>0.0836</v>
      </c>
      <c r="I37" s="248">
        <f t="shared" si="3"/>
        <v>0.01258562854823686</v>
      </c>
      <c r="J37" s="248">
        <f t="shared" si="4"/>
        <v>0.0159408568</v>
      </c>
      <c r="K37" s="50">
        <f t="shared" si="5"/>
        <v>0.04299413872727363</v>
      </c>
      <c r="L37" s="50">
        <f t="shared" si="6"/>
        <v>0.12549413872727364</v>
      </c>
      <c r="N37" s="50"/>
    </row>
    <row r="38" spans="1:14" ht="12.75">
      <c r="A38" s="25">
        <v>27</v>
      </c>
      <c r="B38" s="244">
        <v>36769</v>
      </c>
      <c r="C38" s="245">
        <f>'Gas Ex Ante DCF'!FP38</f>
        <v>0.128943195632856</v>
      </c>
      <c r="D38" s="246">
        <v>0.0813</v>
      </c>
      <c r="E38" s="247">
        <f t="shared" si="0"/>
        <v>0.047643195632856</v>
      </c>
      <c r="G38" s="247">
        <f t="shared" si="1"/>
        <v>0.049075669626326826</v>
      </c>
      <c r="H38" s="246">
        <f t="shared" si="2"/>
        <v>0.0825</v>
      </c>
      <c r="I38" s="248">
        <f t="shared" si="3"/>
        <v>0.008571012351820381</v>
      </c>
      <c r="J38" s="248">
        <f t="shared" si="4"/>
        <v>0.01561663499999999</v>
      </c>
      <c r="K38" s="50">
        <f t="shared" si="5"/>
        <v>0.04326508192727364</v>
      </c>
      <c r="L38" s="50">
        <f t="shared" si="6"/>
        <v>0.12456508192727364</v>
      </c>
      <c r="N38" s="50"/>
    </row>
    <row r="39" spans="1:14" ht="12.75">
      <c r="A39" s="25">
        <v>28</v>
      </c>
      <c r="B39" s="244">
        <v>36798</v>
      </c>
      <c r="C39" s="245">
        <f>'Gas Ex Ante DCF'!FP39</f>
        <v>0.12563622834380556</v>
      </c>
      <c r="D39" s="246">
        <v>0.0823</v>
      </c>
      <c r="E39" s="247">
        <f t="shared" si="0"/>
        <v>0.04333622834380556</v>
      </c>
      <c r="G39" s="247">
        <f t="shared" si="1"/>
        <v>0.047643195632856</v>
      </c>
      <c r="H39" s="246">
        <f t="shared" si="2"/>
        <v>0.0813</v>
      </c>
      <c r="I39" s="248">
        <f t="shared" si="3"/>
        <v>0.005404526422359654</v>
      </c>
      <c r="J39" s="248">
        <f t="shared" si="4"/>
        <v>0.017572029399999994</v>
      </c>
      <c r="K39" s="50">
        <f t="shared" si="5"/>
        <v>0.04303929592727364</v>
      </c>
      <c r="L39" s="50">
        <f t="shared" si="6"/>
        <v>0.12533929592727364</v>
      </c>
      <c r="N39" s="50"/>
    </row>
    <row r="40" spans="1:14" ht="12.75">
      <c r="A40" s="25">
        <v>29</v>
      </c>
      <c r="B40" s="244">
        <v>36830</v>
      </c>
      <c r="C40" s="245">
        <f>'Gas Ex Ante DCF'!FP40</f>
        <v>0.12585512234350152</v>
      </c>
      <c r="D40" s="246">
        <v>0.0814</v>
      </c>
      <c r="E40" s="247">
        <f t="shared" si="0"/>
        <v>0.04445512234350152</v>
      </c>
      <c r="G40" s="247">
        <f t="shared" si="1"/>
        <v>0.04333622834380556</v>
      </c>
      <c r="H40" s="246">
        <f t="shared" si="2"/>
        <v>0.0823</v>
      </c>
      <c r="I40" s="248">
        <f t="shared" si="3"/>
        <v>0.009952464112840599</v>
      </c>
      <c r="J40" s="248">
        <f t="shared" si="4"/>
        <v>0.015875867399999993</v>
      </c>
      <c r="K40" s="50">
        <f t="shared" si="5"/>
        <v>0.04324250332727364</v>
      </c>
      <c r="L40" s="50">
        <f t="shared" si="6"/>
        <v>0.12464250332727364</v>
      </c>
      <c r="N40" s="50"/>
    </row>
    <row r="41" spans="1:14" ht="12.75">
      <c r="A41" s="25">
        <v>30</v>
      </c>
      <c r="B41" s="244">
        <v>36860</v>
      </c>
      <c r="C41" s="245">
        <f>'Gas Ex Ante DCF'!FP41</f>
        <v>0.1250157815605667</v>
      </c>
      <c r="D41" s="246">
        <v>0.0811</v>
      </c>
      <c r="E41" s="247">
        <f t="shared" si="0"/>
        <v>0.04391578156056669</v>
      </c>
      <c r="G41" s="247">
        <f t="shared" si="1"/>
        <v>0.04445512234350152</v>
      </c>
      <c r="H41" s="246">
        <f t="shared" si="2"/>
        <v>0.0814</v>
      </c>
      <c r="I41" s="248">
        <f t="shared" si="3"/>
        <v>0.008522302445319832</v>
      </c>
      <c r="J41" s="248">
        <f t="shared" si="4"/>
        <v>0.016292413200000008</v>
      </c>
      <c r="K41" s="50">
        <f t="shared" si="5"/>
        <v>0.043310239127273636</v>
      </c>
      <c r="L41" s="50">
        <f t="shared" si="6"/>
        <v>0.12441023912727364</v>
      </c>
      <c r="N41" s="50"/>
    </row>
    <row r="42" spans="1:14" ht="12.75">
      <c r="A42" s="25">
        <v>31</v>
      </c>
      <c r="B42" s="244">
        <v>36889</v>
      </c>
      <c r="C42" s="245">
        <f>'Gas Ex Ante DCF'!FP42</f>
        <v>0.12377254527919132</v>
      </c>
      <c r="D42" s="246">
        <v>0.0784</v>
      </c>
      <c r="E42" s="247">
        <f t="shared" si="0"/>
        <v>0.04537254527919132</v>
      </c>
      <c r="G42" s="247">
        <f t="shared" si="1"/>
        <v>0.04391578156056669</v>
      </c>
      <c r="H42" s="246">
        <f t="shared" si="2"/>
        <v>0.0811</v>
      </c>
      <c r="I42" s="248">
        <f t="shared" si="3"/>
        <v>0.010408468800367422</v>
      </c>
      <c r="J42" s="248">
        <f t="shared" si="4"/>
        <v>0.013831261799999994</v>
      </c>
      <c r="K42" s="50">
        <f t="shared" si="5"/>
        <v>0.043919861327273636</v>
      </c>
      <c r="L42" s="50">
        <f t="shared" si="6"/>
        <v>0.12231986132727363</v>
      </c>
      <c r="N42" s="50"/>
    </row>
    <row r="43" spans="1:14" ht="12.75">
      <c r="A43" s="25">
        <v>32</v>
      </c>
      <c r="B43" s="244">
        <v>36922</v>
      </c>
      <c r="C43" s="245">
        <f>'Gas Ex Ante DCF'!FP43</f>
        <v>0.12603224254336853</v>
      </c>
      <c r="D43" s="246">
        <v>0.078</v>
      </c>
      <c r="E43" s="247">
        <f t="shared" si="0"/>
        <v>0.048032242543368533</v>
      </c>
      <c r="G43" s="247">
        <f t="shared" si="1"/>
        <v>0.04537254527919132</v>
      </c>
      <c r="H43" s="246">
        <f t="shared" si="2"/>
        <v>0.0784</v>
      </c>
      <c r="I43" s="248">
        <f t="shared" si="3"/>
        <v>0.01190834614879701</v>
      </c>
      <c r="J43" s="248">
        <f t="shared" si="4"/>
        <v>0.015580899199999998</v>
      </c>
      <c r="K43" s="50">
        <f t="shared" si="5"/>
        <v>0.044010175727273636</v>
      </c>
      <c r="L43" s="50">
        <f t="shared" si="6"/>
        <v>0.12201017572727363</v>
      </c>
      <c r="N43" s="50"/>
    </row>
    <row r="44" spans="1:14" ht="12.75">
      <c r="A44" s="25">
        <v>33</v>
      </c>
      <c r="B44" s="244">
        <v>36950</v>
      </c>
      <c r="C44" s="245">
        <f>'Gas Ex Ante DCF'!FP44</f>
        <v>0.12598141577012964</v>
      </c>
      <c r="D44" s="246">
        <v>0.0774</v>
      </c>
      <c r="E44" s="247">
        <f t="shared" si="0"/>
        <v>0.04858141577012964</v>
      </c>
      <c r="G44" s="247">
        <f t="shared" si="1"/>
        <v>0.048032242543368533</v>
      </c>
      <c r="H44" s="246">
        <f t="shared" si="2"/>
        <v>0.078</v>
      </c>
      <c r="I44" s="248">
        <f t="shared" si="3"/>
        <v>0.01033996948231626</v>
      </c>
      <c r="J44" s="248">
        <f t="shared" si="4"/>
        <v>0.015299363999999996</v>
      </c>
      <c r="K44" s="50">
        <f t="shared" si="5"/>
        <v>0.044145647327273635</v>
      </c>
      <c r="L44" s="50">
        <f t="shared" si="6"/>
        <v>0.12154564732727363</v>
      </c>
      <c r="N44" s="50"/>
    </row>
    <row r="45" spans="1:14" ht="12.75">
      <c r="A45" s="25">
        <v>34</v>
      </c>
      <c r="B45" s="244">
        <v>36980</v>
      </c>
      <c r="C45" s="245">
        <f>'Gas Ex Ante DCF'!FP45</f>
        <v>0.1274452382320009</v>
      </c>
      <c r="D45" s="246">
        <v>0.0768</v>
      </c>
      <c r="E45" s="247">
        <f t="shared" si="0"/>
        <v>0.050645238232000914</v>
      </c>
      <c r="G45" s="247">
        <f t="shared" si="1"/>
        <v>0.04858141577012964</v>
      </c>
      <c r="H45" s="246">
        <f t="shared" si="2"/>
        <v>0.0774</v>
      </c>
      <c r="I45" s="248">
        <f t="shared" si="3"/>
        <v>0.011966561089622955</v>
      </c>
      <c r="J45" s="248">
        <f t="shared" si="4"/>
        <v>0.015177061199999994</v>
      </c>
      <c r="K45" s="50">
        <f t="shared" si="5"/>
        <v>0.04428111892727364</v>
      </c>
      <c r="L45" s="50">
        <f t="shared" si="6"/>
        <v>0.12108111892727363</v>
      </c>
      <c r="N45" s="50"/>
    </row>
    <row r="46" spans="1:14" ht="12.75">
      <c r="A46" s="25">
        <v>35</v>
      </c>
      <c r="B46" s="244">
        <v>37011</v>
      </c>
      <c r="C46" s="245">
        <f>'Gas Ex Ante DCF'!FP46</f>
        <v>0.12262641772256129</v>
      </c>
      <c r="D46" s="246">
        <v>0.0794</v>
      </c>
      <c r="E46" s="247">
        <f t="shared" si="0"/>
        <v>0.04322641772256129</v>
      </c>
      <c r="G46" s="247">
        <f t="shared" si="1"/>
        <v>0.050645238232000914</v>
      </c>
      <c r="H46" s="246">
        <f t="shared" si="2"/>
        <v>0.0768</v>
      </c>
      <c r="I46" s="248">
        <f t="shared" si="3"/>
        <v>0.0029046035612949814</v>
      </c>
      <c r="J46" s="248">
        <f t="shared" si="4"/>
        <v>0.0182547584</v>
      </c>
      <c r="K46" s="50">
        <f t="shared" si="5"/>
        <v>0.04369407532727364</v>
      </c>
      <c r="L46" s="50">
        <f t="shared" si="6"/>
        <v>0.12309407532727364</v>
      </c>
      <c r="N46" s="50"/>
    </row>
    <row r="47" spans="1:14" ht="12.75">
      <c r="A47" s="25">
        <v>36</v>
      </c>
      <c r="B47" s="244">
        <v>37042</v>
      </c>
      <c r="C47" s="245">
        <f>'Gas Ex Ante DCF'!FP47</f>
        <v>0.13017213668663152</v>
      </c>
      <c r="D47" s="246">
        <v>0.0799</v>
      </c>
      <c r="E47" s="247">
        <f t="shared" si="0"/>
        <v>0.050272136686631524</v>
      </c>
      <c r="G47" s="247">
        <f t="shared" si="1"/>
        <v>0.04322641772256129</v>
      </c>
      <c r="H47" s="246">
        <f t="shared" si="2"/>
        <v>0.0794</v>
      </c>
      <c r="I47" s="248">
        <f t="shared" si="3"/>
        <v>0.015856905499801677</v>
      </c>
      <c r="J47" s="248">
        <f t="shared" si="4"/>
        <v>0.016684737199999994</v>
      </c>
      <c r="K47" s="50">
        <f t="shared" si="5"/>
        <v>0.043581182327273635</v>
      </c>
      <c r="L47" s="50">
        <f t="shared" si="6"/>
        <v>0.12348118232727363</v>
      </c>
      <c r="N47" s="50"/>
    </row>
    <row r="48" spans="1:14" ht="12.75">
      <c r="A48" s="25">
        <v>37</v>
      </c>
      <c r="B48" s="244">
        <v>37071</v>
      </c>
      <c r="C48" s="245">
        <f>'Gas Ex Ante DCF'!FP48</f>
        <v>0.13035311069734867</v>
      </c>
      <c r="D48" s="246">
        <v>0.0785</v>
      </c>
      <c r="E48" s="247">
        <f t="shared" si="0"/>
        <v>0.05185311069734867</v>
      </c>
      <c r="G48" s="247">
        <f t="shared" si="1"/>
        <v>0.050272136686631524</v>
      </c>
      <c r="H48" s="246">
        <f t="shared" si="2"/>
        <v>0.0799</v>
      </c>
      <c r="I48" s="248">
        <f t="shared" si="3"/>
        <v>0.011828345808646744</v>
      </c>
      <c r="J48" s="248">
        <f t="shared" si="4"/>
        <v>0.0148866562</v>
      </c>
      <c r="K48" s="50">
        <f t="shared" si="5"/>
        <v>0.04389728272727364</v>
      </c>
      <c r="L48" s="50">
        <f t="shared" si="6"/>
        <v>0.12239728272727364</v>
      </c>
      <c r="N48" s="50"/>
    </row>
    <row r="49" spans="1:14" ht="12.75">
      <c r="A49" s="25">
        <v>38</v>
      </c>
      <c r="B49" s="244">
        <v>37073</v>
      </c>
      <c r="C49" s="245">
        <f>'Gas Ex Ante DCF'!FP49</f>
        <v>0.13374993175524588</v>
      </c>
      <c r="D49" s="246">
        <v>0.0778</v>
      </c>
      <c r="E49" s="247">
        <f t="shared" si="0"/>
        <v>0.05594993175524589</v>
      </c>
      <c r="G49" s="247">
        <f t="shared" si="1"/>
        <v>0.05185311069734867</v>
      </c>
      <c r="H49" s="246">
        <f t="shared" si="2"/>
        <v>0.0785</v>
      </c>
      <c r="I49" s="248">
        <f t="shared" si="3"/>
        <v>0.014666455436223372</v>
      </c>
      <c r="J49" s="248">
        <f t="shared" si="4"/>
        <v>0.015301282999999992</v>
      </c>
      <c r="K49" s="50">
        <f t="shared" si="5"/>
        <v>0.044055332927273635</v>
      </c>
      <c r="L49" s="50">
        <f t="shared" si="6"/>
        <v>0.12185533292727363</v>
      </c>
      <c r="N49" s="50"/>
    </row>
    <row r="50" spans="1:14" ht="12.75">
      <c r="A50" s="25">
        <v>39</v>
      </c>
      <c r="B50" s="244">
        <v>37104</v>
      </c>
      <c r="C50" s="245">
        <f>'Gas Ex Ante DCF'!FP50</f>
        <v>0.13264230596175655</v>
      </c>
      <c r="D50" s="246">
        <v>0.0759</v>
      </c>
      <c r="E50" s="247">
        <f t="shared" si="0"/>
        <v>0.056742305961756556</v>
      </c>
      <c r="G50" s="247">
        <f t="shared" si="1"/>
        <v>0.05594993175524589</v>
      </c>
      <c r="H50" s="246">
        <f t="shared" si="2"/>
        <v>0.0778</v>
      </c>
      <c r="I50" s="248">
        <f t="shared" si="3"/>
        <v>0.01219709639563648</v>
      </c>
      <c r="J50" s="248">
        <f t="shared" si="4"/>
        <v>0.013958596399999995</v>
      </c>
      <c r="K50" s="50">
        <f t="shared" si="5"/>
        <v>0.044484326327273636</v>
      </c>
      <c r="L50" s="50">
        <f t="shared" si="6"/>
        <v>0.12038432632727364</v>
      </c>
      <c r="N50" s="50"/>
    </row>
    <row r="51" spans="1:14" ht="12.75">
      <c r="A51" s="25">
        <v>40</v>
      </c>
      <c r="B51" s="244">
        <v>37135</v>
      </c>
      <c r="C51" s="245">
        <f>'Gas Ex Ante DCF'!FP51</f>
        <v>0.1267256715990455</v>
      </c>
      <c r="D51" s="246">
        <v>0.0775</v>
      </c>
      <c r="E51" s="247">
        <f t="shared" si="0"/>
        <v>0.04922567159904549</v>
      </c>
      <c r="G51" s="247">
        <f t="shared" si="1"/>
        <v>0.056742305961756556</v>
      </c>
      <c r="H51" s="246">
        <f t="shared" si="2"/>
        <v>0.0759</v>
      </c>
      <c r="I51" s="248">
        <f t="shared" si="3"/>
        <v>0.004049603799921468</v>
      </c>
      <c r="J51" s="248">
        <f t="shared" si="4"/>
        <v>0.017071304199999998</v>
      </c>
      <c r="K51" s="50">
        <f t="shared" si="5"/>
        <v>0.04412306872727363</v>
      </c>
      <c r="L51" s="50">
        <f t="shared" si="6"/>
        <v>0.12162306872727363</v>
      </c>
      <c r="N51" s="50"/>
    </row>
    <row r="52" spans="1:14" ht="12.75">
      <c r="A52" s="25">
        <v>41</v>
      </c>
      <c r="B52" s="244">
        <v>37165</v>
      </c>
      <c r="C52" s="245">
        <f>'Gas Ex Ante DCF'!FP52</f>
        <v>0.12680240771860815</v>
      </c>
      <c r="D52" s="246">
        <v>0.0763</v>
      </c>
      <c r="E52" s="247">
        <f t="shared" si="0"/>
        <v>0.050502407718608144</v>
      </c>
      <c r="G52" s="247">
        <f t="shared" si="1"/>
        <v>0.04922567159904549</v>
      </c>
      <c r="H52" s="246">
        <f t="shared" si="2"/>
        <v>0.0775</v>
      </c>
      <c r="I52" s="248">
        <f t="shared" si="3"/>
        <v>0.011310798566968885</v>
      </c>
      <c r="J52" s="248">
        <f t="shared" si="4"/>
        <v>0.014597445000000007</v>
      </c>
      <c r="K52" s="50">
        <f t="shared" si="5"/>
        <v>0.04439401192727363</v>
      </c>
      <c r="L52" s="50">
        <f t="shared" si="6"/>
        <v>0.12069401192727364</v>
      </c>
      <c r="N52" s="50"/>
    </row>
    <row r="53" spans="1:14" ht="12.75">
      <c r="A53" s="25">
        <v>42</v>
      </c>
      <c r="B53" s="244">
        <v>37196</v>
      </c>
      <c r="C53" s="245">
        <f>'Gas Ex Ante DCF'!FP53</f>
        <v>0.1267917765933246</v>
      </c>
      <c r="D53" s="246">
        <v>0.0757</v>
      </c>
      <c r="E53" s="247">
        <f t="shared" si="0"/>
        <v>0.0510917765933246</v>
      </c>
      <c r="G53" s="247">
        <f t="shared" si="1"/>
        <v>0.050502407718608144</v>
      </c>
      <c r="H53" s="246">
        <f t="shared" si="2"/>
        <v>0.0763</v>
      </c>
      <c r="I53" s="248">
        <f t="shared" si="3"/>
        <v>0.010883678659262104</v>
      </c>
      <c r="J53" s="248">
        <f t="shared" si="4"/>
        <v>0.014952839399999994</v>
      </c>
      <c r="K53" s="50">
        <f t="shared" si="5"/>
        <v>0.044529483527273636</v>
      </c>
      <c r="L53" s="50">
        <f t="shared" si="6"/>
        <v>0.12022948352727364</v>
      </c>
      <c r="N53" s="50"/>
    </row>
    <row r="54" spans="1:14" ht="12.75">
      <c r="A54" s="25">
        <v>43</v>
      </c>
      <c r="B54" s="244">
        <v>37226</v>
      </c>
      <c r="C54" s="245">
        <f>'Gas Ex Ante DCF'!FP54</f>
        <v>0.12539119288796985</v>
      </c>
      <c r="D54" s="246">
        <v>0.0783</v>
      </c>
      <c r="E54" s="247">
        <f t="shared" si="0"/>
        <v>0.047091192887969854</v>
      </c>
      <c r="G54" s="247">
        <f t="shared" si="1"/>
        <v>0.0510917765933246</v>
      </c>
      <c r="H54" s="246">
        <f t="shared" si="2"/>
        <v>0.0757</v>
      </c>
      <c r="I54" s="248">
        <f t="shared" si="3"/>
        <v>0.006413861851875348</v>
      </c>
      <c r="J54" s="248">
        <f t="shared" si="4"/>
        <v>0.018030536599999987</v>
      </c>
      <c r="K54" s="50">
        <f t="shared" si="5"/>
        <v>0.04394243992727363</v>
      </c>
      <c r="L54" s="50">
        <f t="shared" si="6"/>
        <v>0.12224243992727363</v>
      </c>
      <c r="N54" s="50"/>
    </row>
    <row r="55" spans="1:14" ht="12.75">
      <c r="A55" s="25">
        <v>44</v>
      </c>
      <c r="B55" s="244">
        <v>37257</v>
      </c>
      <c r="C55" s="245">
        <f>'Gas Ex Ante DCF'!FP55</f>
        <v>0.12360501925873875</v>
      </c>
      <c r="D55" s="246">
        <v>0.0766</v>
      </c>
      <c r="E55" s="247">
        <f t="shared" si="0"/>
        <v>0.04700501925873875</v>
      </c>
      <c r="G55" s="247">
        <f t="shared" si="1"/>
        <v>0.047091192887969854</v>
      </c>
      <c r="H55" s="246">
        <f t="shared" si="2"/>
        <v>0.0783</v>
      </c>
      <c r="I55" s="248">
        <f t="shared" si="3"/>
        <v>0.009512800946666893</v>
      </c>
      <c r="J55" s="248">
        <f t="shared" si="4"/>
        <v>0.0142605154</v>
      </c>
      <c r="K55" s="50">
        <f t="shared" si="5"/>
        <v>0.044326276127273634</v>
      </c>
      <c r="L55" s="50">
        <f t="shared" si="6"/>
        <v>0.12092627612727364</v>
      </c>
      <c r="N55" s="50"/>
    </row>
    <row r="56" spans="1:12" ht="12.75">
      <c r="A56" s="25">
        <v>45</v>
      </c>
      <c r="B56" s="244">
        <v>37288</v>
      </c>
      <c r="C56" s="245">
        <f>'Gas Ex Ante DCF'!FP56</f>
        <v>0.12413826408449108</v>
      </c>
      <c r="D56" s="246">
        <v>0.0754</v>
      </c>
      <c r="E56" s="247">
        <f t="shared" si="0"/>
        <v>0.048738264084491084</v>
      </c>
      <c r="G56" s="247">
        <f t="shared" si="1"/>
        <v>0.04700501925873875</v>
      </c>
      <c r="H56" s="246">
        <f t="shared" si="2"/>
        <v>0.0766</v>
      </c>
      <c r="I56" s="248">
        <f t="shared" si="3"/>
        <v>0.01131465394141512</v>
      </c>
      <c r="J56" s="248">
        <f t="shared" si="4"/>
        <v>0.014413990799999991</v>
      </c>
      <c r="K56" s="50">
        <f t="shared" si="5"/>
        <v>0.04459721932727363</v>
      </c>
      <c r="L56" s="50">
        <f t="shared" si="6"/>
        <v>0.11999721932727363</v>
      </c>
    </row>
    <row r="57" spans="1:12" ht="12.75">
      <c r="A57" s="25">
        <v>46</v>
      </c>
      <c r="B57" s="244">
        <v>37316</v>
      </c>
      <c r="C57" s="245">
        <f>'Gas Ex Ante DCF'!FP57</f>
        <v>0.11892179213487042</v>
      </c>
      <c r="D57" s="246">
        <v>0.0776</v>
      </c>
      <c r="E57" s="247">
        <f t="shared" si="0"/>
        <v>0.041321792134870416</v>
      </c>
      <c r="G57" s="247">
        <f t="shared" si="1"/>
        <v>0.048738264084491084</v>
      </c>
      <c r="H57" s="246">
        <f t="shared" si="2"/>
        <v>0.0754</v>
      </c>
      <c r="I57" s="248">
        <f t="shared" si="3"/>
        <v>0.0025182383248338255</v>
      </c>
      <c r="J57" s="248">
        <f t="shared" si="4"/>
        <v>0.017569385200000003</v>
      </c>
      <c r="K57" s="50">
        <f t="shared" si="5"/>
        <v>0.044100490127273635</v>
      </c>
      <c r="L57" s="50">
        <f t="shared" si="6"/>
        <v>0.12170049012727363</v>
      </c>
    </row>
    <row r="58" spans="1:12" ht="12.75">
      <c r="A58" s="25">
        <v>47</v>
      </c>
      <c r="B58" s="244">
        <v>37347</v>
      </c>
      <c r="C58" s="245">
        <f>'Gas Ex Ante DCF'!FP58</f>
        <v>0.11588930886625307</v>
      </c>
      <c r="D58" s="246">
        <v>0.0757</v>
      </c>
      <c r="E58" s="247">
        <f t="shared" si="0"/>
        <v>0.04018930886625306</v>
      </c>
      <c r="G58" s="247">
        <f t="shared" si="1"/>
        <v>0.041321792134870416</v>
      </c>
      <c r="H58" s="246">
        <f t="shared" si="2"/>
        <v>0.0776</v>
      </c>
      <c r="I58" s="248">
        <f t="shared" si="3"/>
        <v>0.0072904681965703586</v>
      </c>
      <c r="J58" s="248">
        <f t="shared" si="4"/>
        <v>0.013917828799999997</v>
      </c>
      <c r="K58" s="50">
        <f t="shared" si="5"/>
        <v>0.044529483527273636</v>
      </c>
      <c r="L58" s="50">
        <f t="shared" si="6"/>
        <v>0.12022948352727364</v>
      </c>
    </row>
    <row r="59" spans="1:12" ht="12.75">
      <c r="A59" s="25">
        <v>48</v>
      </c>
      <c r="B59" s="244">
        <v>37377</v>
      </c>
      <c r="C59" s="245">
        <f>'Gas Ex Ante DCF'!FP59</f>
        <v>0.11620905358566577</v>
      </c>
      <c r="D59" s="246">
        <v>0.0752</v>
      </c>
      <c r="E59" s="247">
        <f t="shared" si="0"/>
        <v>0.04100905358566577</v>
      </c>
      <c r="G59" s="247">
        <f t="shared" si="1"/>
        <v>0.04018930886625306</v>
      </c>
      <c r="H59" s="246">
        <f t="shared" si="2"/>
        <v>0.0757</v>
      </c>
      <c r="I59" s="248">
        <f t="shared" si="3"/>
        <v>0.009011853060091994</v>
      </c>
      <c r="J59" s="248">
        <f t="shared" si="4"/>
        <v>0.014930536599999995</v>
      </c>
      <c r="K59" s="50">
        <f t="shared" si="5"/>
        <v>0.04464237652727364</v>
      </c>
      <c r="L59" s="50">
        <f t="shared" si="6"/>
        <v>0.11984237652727364</v>
      </c>
    </row>
    <row r="60" spans="1:12" ht="12.75">
      <c r="A60" s="25">
        <v>49</v>
      </c>
      <c r="B60" s="244">
        <v>37408</v>
      </c>
      <c r="C60" s="245">
        <f>'Gas Ex Ante DCF'!FP60</f>
        <v>0.11698655176508355</v>
      </c>
      <c r="D60" s="246">
        <v>0.0741</v>
      </c>
      <c r="E60" s="247">
        <f t="shared" si="0"/>
        <v>0.04288655176508355</v>
      </c>
      <c r="G60" s="247">
        <f t="shared" si="1"/>
        <v>0.04100905358566577</v>
      </c>
      <c r="H60" s="246">
        <f t="shared" si="2"/>
        <v>0.0752</v>
      </c>
      <c r="I60" s="248">
        <f t="shared" si="3"/>
        <v>0.010236701644212712</v>
      </c>
      <c r="J60" s="248">
        <f t="shared" si="4"/>
        <v>0.014228617599999993</v>
      </c>
      <c r="K60" s="50">
        <f t="shared" si="5"/>
        <v>0.044890741127273634</v>
      </c>
      <c r="L60" s="50">
        <f t="shared" si="6"/>
        <v>0.11899074112727363</v>
      </c>
    </row>
    <row r="61" spans="1:12" ht="12.75">
      <c r="A61" s="25">
        <v>50</v>
      </c>
      <c r="B61" s="244">
        <v>37438</v>
      </c>
      <c r="C61" s="245">
        <f>'Gas Ex Ante DCF'!FP61</f>
        <v>0.12415241522564156</v>
      </c>
      <c r="D61" s="246">
        <v>0.0731</v>
      </c>
      <c r="E61" s="247">
        <f t="shared" si="0"/>
        <v>0.051052415225641565</v>
      </c>
      <c r="G61" s="247">
        <f t="shared" si="1"/>
        <v>0.04288655176508355</v>
      </c>
      <c r="H61" s="246">
        <f t="shared" si="2"/>
        <v>0.0741</v>
      </c>
      <c r="I61" s="248">
        <f t="shared" si="3"/>
        <v>0.016907772399249114</v>
      </c>
      <c r="J61" s="248">
        <f t="shared" si="4"/>
        <v>0.014104395799999996</v>
      </c>
      <c r="K61" s="50">
        <f t="shared" si="5"/>
        <v>0.04511652712727364</v>
      </c>
      <c r="L61" s="50">
        <f t="shared" si="6"/>
        <v>0.11821652712727364</v>
      </c>
    </row>
    <row r="62" spans="1:12" ht="12.75">
      <c r="A62" s="25">
        <v>51</v>
      </c>
      <c r="B62" s="244">
        <v>37469</v>
      </c>
      <c r="C62" s="245">
        <f>'Gas Ex Ante DCF'!FP62</f>
        <v>0.12336567463116091</v>
      </c>
      <c r="D62" s="246">
        <v>0.0717</v>
      </c>
      <c r="E62" s="247">
        <f t="shared" si="0"/>
        <v>0.05166567463116091</v>
      </c>
      <c r="G62" s="247">
        <f t="shared" si="1"/>
        <v>0.051052415225641565</v>
      </c>
      <c r="H62" s="246">
        <f t="shared" si="2"/>
        <v>0.0731</v>
      </c>
      <c r="I62" s="248">
        <f t="shared" si="3"/>
        <v>0.011019681620283668</v>
      </c>
      <c r="J62" s="248">
        <f t="shared" si="4"/>
        <v>0.0135005578</v>
      </c>
      <c r="K62" s="50">
        <f t="shared" si="5"/>
        <v>0.04543262752727363</v>
      </c>
      <c r="L62" s="50">
        <f t="shared" si="6"/>
        <v>0.11713262752727363</v>
      </c>
    </row>
    <row r="63" spans="1:12" ht="12.75">
      <c r="A63" s="25">
        <v>52</v>
      </c>
      <c r="B63" s="244">
        <v>37500</v>
      </c>
      <c r="C63" s="245">
        <f>'Gas Ex Ante DCF'!FP63</f>
        <v>0.12593361517516927</v>
      </c>
      <c r="D63" s="246">
        <v>0.0708</v>
      </c>
      <c r="E63" s="247">
        <f t="shared" si="0"/>
        <v>0.055133615175169265</v>
      </c>
      <c r="G63" s="247">
        <f t="shared" si="1"/>
        <v>0.05166567463116091</v>
      </c>
      <c r="H63" s="246">
        <f t="shared" si="2"/>
        <v>0.0717</v>
      </c>
      <c r="I63" s="248">
        <f t="shared" si="3"/>
        <v>0.013999368329474932</v>
      </c>
      <c r="J63" s="248">
        <f t="shared" si="4"/>
        <v>0.0137151846</v>
      </c>
      <c r="K63" s="50">
        <f t="shared" si="5"/>
        <v>0.04563583492727363</v>
      </c>
      <c r="L63" s="50">
        <f t="shared" si="6"/>
        <v>0.11643583492727363</v>
      </c>
    </row>
    <row r="64" spans="1:12" ht="12.75">
      <c r="A64" s="25">
        <v>53</v>
      </c>
      <c r="B64" s="244">
        <v>37530</v>
      </c>
      <c r="C64" s="245">
        <f>'Gas Ex Ante DCF'!FP64</f>
        <v>0.12496316817597165</v>
      </c>
      <c r="D64" s="246">
        <v>0.0723</v>
      </c>
      <c r="E64" s="247">
        <f t="shared" si="0"/>
        <v>0.05266316817597165</v>
      </c>
      <c r="G64" s="247">
        <f t="shared" si="1"/>
        <v>0.055133615175169265</v>
      </c>
      <c r="H64" s="246">
        <f t="shared" si="2"/>
        <v>0.0708</v>
      </c>
      <c r="I64" s="248">
        <f t="shared" si="3"/>
        <v>0.008767878850878534</v>
      </c>
      <c r="J64" s="248">
        <f t="shared" si="4"/>
        <v>0.015931730399999997</v>
      </c>
      <c r="K64" s="50">
        <f t="shared" si="5"/>
        <v>0.04529715592727364</v>
      </c>
      <c r="L64" s="50">
        <f t="shared" si="6"/>
        <v>0.11759715592727364</v>
      </c>
    </row>
    <row r="65" spans="1:12" ht="12.75">
      <c r="A65" s="25">
        <v>54</v>
      </c>
      <c r="B65" s="244">
        <v>37561</v>
      </c>
      <c r="C65" s="245">
        <f>'Gas Ex Ante DCF'!FP65</f>
        <v>0.12202089753356486</v>
      </c>
      <c r="D65" s="246">
        <v>0.0714</v>
      </c>
      <c r="E65" s="247">
        <f t="shared" si="0"/>
        <v>0.05062089753356486</v>
      </c>
      <c r="G65" s="247">
        <f t="shared" si="1"/>
        <v>0.05266316817597165</v>
      </c>
      <c r="H65" s="246">
        <f t="shared" si="2"/>
        <v>0.0723</v>
      </c>
      <c r="I65" s="248">
        <f t="shared" si="3"/>
        <v>0.008692484232246916</v>
      </c>
      <c r="J65" s="248">
        <f t="shared" si="4"/>
        <v>0.013837487400000001</v>
      </c>
      <c r="K65" s="50">
        <f t="shared" si="5"/>
        <v>0.045500363327273634</v>
      </c>
      <c r="L65" s="50">
        <f t="shared" si="6"/>
        <v>0.11690036332727363</v>
      </c>
    </row>
    <row r="66" spans="1:12" ht="12.75">
      <c r="A66" s="25">
        <v>55</v>
      </c>
      <c r="B66" s="244">
        <v>37591</v>
      </c>
      <c r="C66" s="245">
        <f>'Gas Ex Ante DCF'!FP66</f>
        <v>0.12151796136883472</v>
      </c>
      <c r="D66" s="246">
        <v>0.0707</v>
      </c>
      <c r="E66" s="247">
        <f t="shared" si="0"/>
        <v>0.05081796136883472</v>
      </c>
      <c r="G66" s="247">
        <f t="shared" si="1"/>
        <v>0.05062089753356486</v>
      </c>
      <c r="H66" s="246">
        <f t="shared" si="2"/>
        <v>0.0714</v>
      </c>
      <c r="I66" s="248">
        <f t="shared" si="3"/>
        <v>0.010515526346716653</v>
      </c>
      <c r="J66" s="248">
        <f t="shared" si="4"/>
        <v>0.01385403319999999</v>
      </c>
      <c r="K66" s="50">
        <f t="shared" si="5"/>
        <v>0.045658413527273636</v>
      </c>
      <c r="L66" s="50">
        <f t="shared" si="6"/>
        <v>0.11635841352727364</v>
      </c>
    </row>
    <row r="67" spans="1:12" ht="12.75">
      <c r="A67" s="25">
        <v>56</v>
      </c>
      <c r="B67" s="244">
        <v>37622</v>
      </c>
      <c r="C67" s="245">
        <f>'Gas Ex Ante DCF'!FP67</f>
        <v>0.12183137690922172</v>
      </c>
      <c r="D67" s="246">
        <v>0.0706</v>
      </c>
      <c r="E67" s="247">
        <f t="shared" si="0"/>
        <v>0.05123137690922172</v>
      </c>
      <c r="G67" s="247">
        <f t="shared" si="1"/>
        <v>0.05081796136883472</v>
      </c>
      <c r="H67" s="246">
        <f t="shared" si="2"/>
        <v>0.0707</v>
      </c>
      <c r="I67" s="248">
        <f t="shared" si="3"/>
        <v>0.010772047149887533</v>
      </c>
      <c r="J67" s="248">
        <f t="shared" si="4"/>
        <v>0.014311346599999997</v>
      </c>
      <c r="K67" s="50">
        <f t="shared" si="5"/>
        <v>0.04568099212727364</v>
      </c>
      <c r="L67" s="50">
        <f t="shared" si="6"/>
        <v>0.11628099212727364</v>
      </c>
    </row>
    <row r="68" spans="1:12" ht="12.75">
      <c r="A68" s="25">
        <v>57</v>
      </c>
      <c r="B68" s="244">
        <v>37653</v>
      </c>
      <c r="C68" s="245">
        <f>'Gas Ex Ante DCF'!FP68</f>
        <v>0.12315667529927271</v>
      </c>
      <c r="D68" s="246">
        <v>0.0693</v>
      </c>
      <c r="E68" s="247">
        <f t="shared" si="0"/>
        <v>0.05385667529927271</v>
      </c>
      <c r="G68" s="247">
        <f t="shared" si="1"/>
        <v>0.05123137690922172</v>
      </c>
      <c r="H68" s="246">
        <f t="shared" si="2"/>
        <v>0.0706</v>
      </c>
      <c r="I68" s="248">
        <f t="shared" si="3"/>
        <v>0.013068199796472925</v>
      </c>
      <c r="J68" s="248">
        <f t="shared" si="4"/>
        <v>0.013090962800000001</v>
      </c>
      <c r="K68" s="50">
        <f t="shared" si="5"/>
        <v>0.045974513927273634</v>
      </c>
      <c r="L68" s="50">
        <f t="shared" si="6"/>
        <v>0.11527451392727364</v>
      </c>
    </row>
    <row r="69" spans="1:12" ht="12.75">
      <c r="A69" s="25">
        <v>58</v>
      </c>
      <c r="B69" s="244">
        <v>37681</v>
      </c>
      <c r="C69" s="245">
        <f>'Gas Ex Ante DCF'!FP69</f>
        <v>0.11947059857291485</v>
      </c>
      <c r="D69" s="246">
        <v>0.0679</v>
      </c>
      <c r="E69" s="247">
        <f t="shared" si="0"/>
        <v>0.05157059857291485</v>
      </c>
      <c r="G69" s="247">
        <f t="shared" si="1"/>
        <v>0.05385667529927271</v>
      </c>
      <c r="H69" s="246">
        <f t="shared" si="2"/>
        <v>0.0693</v>
      </c>
      <c r="I69" s="248">
        <f t="shared" si="3"/>
        <v>0.008691960253295286</v>
      </c>
      <c r="J69" s="248">
        <f t="shared" si="4"/>
        <v>0.0127259734</v>
      </c>
      <c r="K69" s="50">
        <f t="shared" si="5"/>
        <v>0.04629061432727363</v>
      </c>
      <c r="L69" s="50">
        <f t="shared" si="6"/>
        <v>0.11419061432727363</v>
      </c>
    </row>
    <row r="70" spans="1:12" ht="12.75">
      <c r="A70" s="25">
        <v>59</v>
      </c>
      <c r="B70" s="244">
        <v>37712</v>
      </c>
      <c r="C70" s="245">
        <f>'Gas Ex Ante DCF'!FP70</f>
        <v>0.11616212919494028</v>
      </c>
      <c r="D70" s="246">
        <v>0.0664</v>
      </c>
      <c r="E70" s="247">
        <f t="shared" si="0"/>
        <v>0.049762129194940274</v>
      </c>
      <c r="G70" s="247">
        <f t="shared" si="1"/>
        <v>0.05157059857291485</v>
      </c>
      <c r="H70" s="246">
        <f t="shared" si="2"/>
        <v>0.0679</v>
      </c>
      <c r="I70" s="248">
        <f t="shared" si="3"/>
        <v>0.008703578293931237</v>
      </c>
      <c r="J70" s="248">
        <f t="shared" si="4"/>
        <v>0.012340600199999996</v>
      </c>
      <c r="K70" s="50">
        <f t="shared" si="5"/>
        <v>0.046629293327273634</v>
      </c>
      <c r="L70" s="50">
        <f t="shared" si="6"/>
        <v>0.11302929332727363</v>
      </c>
    </row>
    <row r="71" spans="1:12" ht="12.75">
      <c r="A71" s="25">
        <v>60</v>
      </c>
      <c r="B71" s="244">
        <v>37742</v>
      </c>
      <c r="C71" s="245">
        <f>'Gas Ex Ante DCF'!FP71</f>
        <v>0.1126264311587063</v>
      </c>
      <c r="D71" s="246">
        <v>0.0636</v>
      </c>
      <c r="E71" s="247">
        <f t="shared" si="0"/>
        <v>0.04902643115870629</v>
      </c>
      <c r="G71" s="247">
        <f t="shared" si="1"/>
        <v>0.049762129194940274</v>
      </c>
      <c r="H71" s="246">
        <f t="shared" si="2"/>
        <v>0.0664</v>
      </c>
      <c r="I71" s="248">
        <f t="shared" si="3"/>
        <v>0.009407714854604253</v>
      </c>
      <c r="J71" s="248">
        <f t="shared" si="4"/>
        <v>0.010734843200000004</v>
      </c>
      <c r="K71" s="50">
        <f t="shared" si="5"/>
        <v>0.04726149412727364</v>
      </c>
      <c r="L71" s="50">
        <f t="shared" si="6"/>
        <v>0.11086149412727364</v>
      </c>
    </row>
    <row r="72" spans="1:12" ht="12.75">
      <c r="A72" s="25">
        <v>61</v>
      </c>
      <c r="B72" s="244">
        <v>37773</v>
      </c>
      <c r="C72" s="245">
        <f>'Gas Ex Ante DCF'!FP72</f>
        <v>0.11140312132254174</v>
      </c>
      <c r="D72" s="246">
        <v>0.0621</v>
      </c>
      <c r="E72" s="247">
        <f t="shared" si="0"/>
        <v>0.049303121322541735</v>
      </c>
      <c r="G72" s="247">
        <f t="shared" si="1"/>
        <v>0.04902643115870629</v>
      </c>
      <c r="H72" s="246">
        <f t="shared" si="2"/>
        <v>0.0636</v>
      </c>
      <c r="I72" s="248">
        <f t="shared" si="3"/>
        <v>0.010270139838363813</v>
      </c>
      <c r="J72" s="248">
        <f t="shared" si="4"/>
        <v>0.011464096799999997</v>
      </c>
      <c r="K72" s="50">
        <f t="shared" si="5"/>
        <v>0.04760017312727363</v>
      </c>
      <c r="L72" s="50">
        <f t="shared" si="6"/>
        <v>0.10970017312727363</v>
      </c>
    </row>
    <row r="73" spans="1:12" ht="12.75">
      <c r="A73" s="25">
        <v>62</v>
      </c>
      <c r="B73" s="244">
        <v>37803</v>
      </c>
      <c r="C73" s="245">
        <f>'Gas Ex Ante DCF'!FP73</f>
        <v>0.1126726263045835</v>
      </c>
      <c r="D73" s="246">
        <v>0.0657</v>
      </c>
      <c r="E73" s="247">
        <f t="shared" si="0"/>
        <v>0.0469726263045835</v>
      </c>
      <c r="G73" s="247">
        <f t="shared" si="1"/>
        <v>0.049303121322541735</v>
      </c>
      <c r="H73" s="246">
        <f t="shared" si="2"/>
        <v>0.0621</v>
      </c>
      <c r="I73" s="248">
        <f t="shared" si="3"/>
        <v>0.007719354626186024</v>
      </c>
      <c r="J73" s="248">
        <f t="shared" si="4"/>
        <v>0.016258339799999993</v>
      </c>
      <c r="K73" s="50">
        <f t="shared" si="5"/>
        <v>0.04678734352727364</v>
      </c>
      <c r="L73" s="50">
        <f t="shared" si="6"/>
        <v>0.11248734352727363</v>
      </c>
    </row>
    <row r="74" spans="1:12" ht="12.75">
      <c r="A74" s="25">
        <v>63</v>
      </c>
      <c r="B74" s="244">
        <v>37834</v>
      </c>
      <c r="C74" s="245">
        <f>'Gas Ex Ante DCF'!FP74</f>
        <v>0.1138710890760737</v>
      </c>
      <c r="D74" s="246">
        <v>0.0678</v>
      </c>
      <c r="E74" s="247">
        <f t="shared" si="0"/>
        <v>0.0460710890760737</v>
      </c>
      <c r="G74" s="247">
        <f t="shared" si="1"/>
        <v>0.0469726263045835</v>
      </c>
      <c r="H74" s="246">
        <f t="shared" si="2"/>
        <v>0.0657</v>
      </c>
      <c r="I74" s="248">
        <f t="shared" si="3"/>
        <v>0.008673268972163889</v>
      </c>
      <c r="J74" s="248">
        <f t="shared" si="4"/>
        <v>0.015492156600000001</v>
      </c>
      <c r="K74" s="50">
        <f t="shared" si="5"/>
        <v>0.046313192927273636</v>
      </c>
      <c r="L74" s="50">
        <f t="shared" si="6"/>
        <v>0.11411319292727364</v>
      </c>
    </row>
    <row r="75" spans="1:12" ht="12.75">
      <c r="A75" s="25">
        <v>64</v>
      </c>
      <c r="B75" s="244">
        <v>37865</v>
      </c>
      <c r="C75" s="245">
        <f>'Gas Ex Ante DCF'!FP75</f>
        <v>0.11273627164061842</v>
      </c>
      <c r="D75" s="246">
        <v>0.0656</v>
      </c>
      <c r="E75" s="247">
        <f t="shared" si="0"/>
        <v>0.04713627164061841</v>
      </c>
      <c r="G75" s="247">
        <f t="shared" si="1"/>
        <v>0.0460710890760737</v>
      </c>
      <c r="H75" s="246">
        <f t="shared" si="2"/>
        <v>0.0678</v>
      </c>
      <c r="I75" s="248">
        <f t="shared" si="3"/>
        <v>0.010456221219633424</v>
      </c>
      <c r="J75" s="248">
        <f t="shared" si="4"/>
        <v>0.011620216400000001</v>
      </c>
      <c r="K75" s="50">
        <f t="shared" si="5"/>
        <v>0.04680992212727363</v>
      </c>
      <c r="L75" s="50">
        <f t="shared" si="6"/>
        <v>0.11240992212727363</v>
      </c>
    </row>
    <row r="76" spans="1:12" ht="12.75">
      <c r="A76" s="25">
        <v>65</v>
      </c>
      <c r="B76" s="244">
        <v>37895</v>
      </c>
      <c r="C76" s="245">
        <f>'Gas Ex Ante DCF'!FP76</f>
        <v>0.1123074009120149</v>
      </c>
      <c r="D76" s="246">
        <v>0.0643</v>
      </c>
      <c r="E76" s="247">
        <f aca="true" t="shared" si="7" ref="E76:E115">C76-D76</f>
        <v>0.0480074009120149</v>
      </c>
      <c r="G76" s="247">
        <f t="shared" si="1"/>
        <v>0.04713627164061841</v>
      </c>
      <c r="H76" s="246">
        <f t="shared" si="2"/>
        <v>0.0656</v>
      </c>
      <c r="I76" s="248">
        <f t="shared" si="3"/>
        <v>0.010479292610076858</v>
      </c>
      <c r="J76" s="248">
        <f t="shared" si="4"/>
        <v>0.012071772799999991</v>
      </c>
      <c r="K76" s="50">
        <f t="shared" si="5"/>
        <v>0.047103443927273635</v>
      </c>
      <c r="L76" s="50">
        <f t="shared" si="6"/>
        <v>0.11140344392727364</v>
      </c>
    </row>
    <row r="77" spans="1:12" ht="12.75">
      <c r="A77" s="25">
        <v>66</v>
      </c>
      <c r="B77" s="244">
        <v>37926</v>
      </c>
      <c r="C77" s="245">
        <f>'Gas Ex Ante DCF'!FP77</f>
        <v>0.10891583923239033</v>
      </c>
      <c r="D77" s="246">
        <v>0.0637</v>
      </c>
      <c r="E77" s="247">
        <f t="shared" si="7"/>
        <v>0.04521583923239032</v>
      </c>
      <c r="G77" s="247">
        <f t="shared" si="1"/>
        <v>0.0480074009120149</v>
      </c>
      <c r="H77" s="246">
        <f t="shared" si="2"/>
        <v>0.0643</v>
      </c>
      <c r="I77" s="248">
        <f t="shared" si="3"/>
        <v>0.006994170907478711</v>
      </c>
      <c r="J77" s="248">
        <f t="shared" si="4"/>
        <v>0.012506783400000006</v>
      </c>
      <c r="K77" s="50">
        <f t="shared" si="5"/>
        <v>0.047238915527273634</v>
      </c>
      <c r="L77" s="50">
        <f t="shared" si="6"/>
        <v>0.11093891552727364</v>
      </c>
    </row>
    <row r="78" spans="1:12" ht="12.75">
      <c r="A78" s="25">
        <v>67</v>
      </c>
      <c r="B78" s="244">
        <v>37956</v>
      </c>
      <c r="C78" s="245">
        <f>'Gas Ex Ante DCF'!FP78</f>
        <v>0.1070625117225779</v>
      </c>
      <c r="D78" s="246">
        <v>0.0627</v>
      </c>
      <c r="E78" s="247">
        <f t="shared" si="7"/>
        <v>0.044362511722577894</v>
      </c>
      <c r="G78" s="247">
        <f aca="true" t="shared" si="8" ref="G78:G114">E77</f>
        <v>0.04521583923239032</v>
      </c>
      <c r="H78" s="246">
        <f aca="true" t="shared" si="9" ref="H78:H114">D77</f>
        <v>0.0637</v>
      </c>
      <c r="I78" s="248">
        <f aca="true" t="shared" si="10" ref="I78:I115">E78-$G$8*G78</f>
        <v>0.00836337872763955</v>
      </c>
      <c r="J78" s="248">
        <f aca="true" t="shared" si="11" ref="J78:J115">D78-$G$8*H78</f>
        <v>0.0119844806</v>
      </c>
      <c r="K78" s="50">
        <f aca="true" t="shared" si="12" ref="K78:K115">($K$6/$K$7)+($K$8*D78)</f>
        <v>0.04746470152727363</v>
      </c>
      <c r="L78" s="50">
        <f aca="true" t="shared" si="13" ref="L78:L115">D78+K78</f>
        <v>0.11016470152727365</v>
      </c>
    </row>
    <row r="79" spans="1:12" ht="12.75">
      <c r="A79" s="25">
        <v>68</v>
      </c>
      <c r="B79" s="244">
        <v>37987</v>
      </c>
      <c r="C79" s="245">
        <f>'Gas Ex Ante DCF'!FP79</f>
        <v>0.10592930275665292</v>
      </c>
      <c r="D79" s="246">
        <v>0.0615</v>
      </c>
      <c r="E79" s="247">
        <f t="shared" si="7"/>
        <v>0.044429302756652925</v>
      </c>
      <c r="G79" s="247">
        <f t="shared" si="8"/>
        <v>0.044362511722577894</v>
      </c>
      <c r="H79" s="246">
        <f t="shared" si="9"/>
        <v>0.0627</v>
      </c>
      <c r="I79" s="248">
        <f t="shared" si="10"/>
        <v>0.009109556698581864</v>
      </c>
      <c r="J79" s="248">
        <f t="shared" si="11"/>
        <v>0.01158064259999999</v>
      </c>
      <c r="K79" s="50">
        <f t="shared" si="12"/>
        <v>0.04773564472727364</v>
      </c>
      <c r="L79" s="50">
        <f t="shared" si="13"/>
        <v>0.10923564472727364</v>
      </c>
    </row>
    <row r="80" spans="1:12" ht="12.75">
      <c r="A80" s="25">
        <v>69</v>
      </c>
      <c r="B80" s="244">
        <v>38018</v>
      </c>
      <c r="C80" s="245">
        <f>'Gas Ex Ante DCF'!FP80</f>
        <v>0.10392806426682738</v>
      </c>
      <c r="D80" s="246">
        <v>0.0615</v>
      </c>
      <c r="E80" s="247">
        <f t="shared" si="7"/>
        <v>0.04242806426682738</v>
      </c>
      <c r="G80" s="247">
        <f t="shared" si="8"/>
        <v>0.044429302756652925</v>
      </c>
      <c r="H80" s="246">
        <f t="shared" si="9"/>
        <v>0.0615</v>
      </c>
      <c r="I80" s="248">
        <f t="shared" si="10"/>
        <v>0.007055141725485076</v>
      </c>
      <c r="J80" s="248">
        <f t="shared" si="11"/>
        <v>0.012536037</v>
      </c>
      <c r="K80" s="50">
        <f t="shared" si="12"/>
        <v>0.04773564472727364</v>
      </c>
      <c r="L80" s="50">
        <f t="shared" si="13"/>
        <v>0.10923564472727364</v>
      </c>
    </row>
    <row r="81" spans="1:12" ht="12.75">
      <c r="A81" s="25">
        <v>70</v>
      </c>
      <c r="B81" s="244">
        <v>38047</v>
      </c>
      <c r="C81" s="245">
        <f>'Gas Ex Ante DCF'!FP81</f>
        <v>0.10371740538815788</v>
      </c>
      <c r="D81" s="246">
        <v>0.0597</v>
      </c>
      <c r="E81" s="247">
        <f t="shared" si="7"/>
        <v>0.044017405388157876</v>
      </c>
      <c r="G81" s="247">
        <f t="shared" si="8"/>
        <v>0.04242806426682738</v>
      </c>
      <c r="H81" s="246">
        <f t="shared" si="9"/>
        <v>0.0615</v>
      </c>
      <c r="I81" s="248">
        <f t="shared" si="10"/>
        <v>0.010237792885352051</v>
      </c>
      <c r="J81" s="248">
        <f t="shared" si="11"/>
        <v>0.010736037000000004</v>
      </c>
      <c r="K81" s="50">
        <f t="shared" si="12"/>
        <v>0.048142059527273635</v>
      </c>
      <c r="L81" s="50">
        <f t="shared" si="13"/>
        <v>0.10784205952727363</v>
      </c>
    </row>
    <row r="82" spans="1:12" ht="12.75">
      <c r="A82" s="25">
        <v>71</v>
      </c>
      <c r="B82" s="244">
        <v>38078</v>
      </c>
      <c r="C82" s="245">
        <f>'Gas Ex Ante DCF'!FP82</f>
        <v>0.1040948004523386</v>
      </c>
      <c r="D82" s="246">
        <v>0.0635</v>
      </c>
      <c r="E82" s="247">
        <f t="shared" si="7"/>
        <v>0.0405948004523386</v>
      </c>
      <c r="G82" s="247">
        <f t="shared" si="8"/>
        <v>0.044017405388157876</v>
      </c>
      <c r="H82" s="246">
        <f t="shared" si="9"/>
        <v>0.0597</v>
      </c>
      <c r="I82" s="248">
        <f t="shared" si="10"/>
        <v>0.005549814943692041</v>
      </c>
      <c r="J82" s="248">
        <f t="shared" si="11"/>
        <v>0.015969128599999993</v>
      </c>
      <c r="K82" s="50">
        <f t="shared" si="12"/>
        <v>0.047284072727273634</v>
      </c>
      <c r="L82" s="50">
        <f t="shared" si="13"/>
        <v>0.11078407272727364</v>
      </c>
    </row>
    <row r="83" spans="1:12" ht="12.75">
      <c r="A83" s="25">
        <v>72</v>
      </c>
      <c r="B83" s="244">
        <v>38108</v>
      </c>
      <c r="C83" s="245">
        <f>'Gas Ex Ante DCF'!FP83</f>
        <v>0.10449073340372624</v>
      </c>
      <c r="D83" s="246">
        <v>0.0662</v>
      </c>
      <c r="E83" s="247">
        <f t="shared" si="7"/>
        <v>0.03829073340372624</v>
      </c>
      <c r="G83" s="247">
        <f t="shared" si="8"/>
        <v>0.0405948004523386</v>
      </c>
      <c r="H83" s="246">
        <f t="shared" si="9"/>
        <v>0.0635</v>
      </c>
      <c r="I83" s="248">
        <f t="shared" si="10"/>
        <v>0.005970695885991438</v>
      </c>
      <c r="J83" s="248">
        <f t="shared" si="11"/>
        <v>0.01564371299999999</v>
      </c>
      <c r="K83" s="50">
        <f t="shared" si="12"/>
        <v>0.046674450527273634</v>
      </c>
      <c r="L83" s="50">
        <f t="shared" si="13"/>
        <v>0.11287445052727363</v>
      </c>
    </row>
    <row r="84" spans="1:12" ht="12.75">
      <c r="A84" s="25">
        <v>73</v>
      </c>
      <c r="B84" s="244">
        <v>38139</v>
      </c>
      <c r="C84" s="245">
        <f>'Gas Ex Ante DCF'!FP84</f>
        <v>0.10364646173422923</v>
      </c>
      <c r="D84" s="246">
        <v>0.0646</v>
      </c>
      <c r="E84" s="247">
        <f t="shared" si="7"/>
        <v>0.039046461734229224</v>
      </c>
      <c r="G84" s="247">
        <f t="shared" si="8"/>
        <v>0.03829073340372624</v>
      </c>
      <c r="H84" s="246">
        <f t="shared" si="9"/>
        <v>0.0662</v>
      </c>
      <c r="I84" s="248">
        <f t="shared" si="10"/>
        <v>0.008560834846051732</v>
      </c>
      <c r="J84" s="248">
        <f t="shared" si="11"/>
        <v>0.011894075600000005</v>
      </c>
      <c r="K84" s="50">
        <f t="shared" si="12"/>
        <v>0.04703570812727363</v>
      </c>
      <c r="L84" s="50">
        <f t="shared" si="13"/>
        <v>0.11163570812727364</v>
      </c>
    </row>
    <row r="85" spans="1:12" ht="12.75">
      <c r="A85" s="25">
        <v>74</v>
      </c>
      <c r="B85" s="244">
        <v>38169</v>
      </c>
      <c r="C85" s="245">
        <f>'Gas Ex Ante DCF'!FP85</f>
        <v>0.10106587330201013</v>
      </c>
      <c r="D85" s="246">
        <v>0.0627</v>
      </c>
      <c r="E85" s="247">
        <f t="shared" si="7"/>
        <v>0.03836587330201012</v>
      </c>
      <c r="G85" s="247">
        <f t="shared" si="8"/>
        <v>0.039046461734229224</v>
      </c>
      <c r="H85" s="246">
        <f t="shared" si="9"/>
        <v>0.0646</v>
      </c>
      <c r="I85" s="248">
        <f t="shared" si="10"/>
        <v>0.0072785642347627105</v>
      </c>
      <c r="J85" s="248">
        <f t="shared" si="11"/>
        <v>0.011267934799999997</v>
      </c>
      <c r="K85" s="50">
        <f t="shared" si="12"/>
        <v>0.04746470152727363</v>
      </c>
      <c r="L85" s="50">
        <f t="shared" si="13"/>
        <v>0.11016470152727365</v>
      </c>
    </row>
    <row r="86" spans="1:12" ht="12.75">
      <c r="A86" s="25">
        <v>75</v>
      </c>
      <c r="B86" s="244">
        <v>38200</v>
      </c>
      <c r="C86" s="245">
        <f>'Gas Ex Ante DCF'!FP86</f>
        <v>0.10084231708808544</v>
      </c>
      <c r="D86" s="246">
        <v>0.0614</v>
      </c>
      <c r="E86" s="247">
        <f t="shared" si="7"/>
        <v>0.03944231708808544</v>
      </c>
      <c r="G86" s="247">
        <f t="shared" si="8"/>
        <v>0.03836587330201012</v>
      </c>
      <c r="H86" s="246">
        <f t="shared" si="9"/>
        <v>0.0627</v>
      </c>
      <c r="I86" s="248">
        <f t="shared" si="10"/>
        <v>0.008896866668210456</v>
      </c>
      <c r="J86" s="248">
        <f t="shared" si="11"/>
        <v>0.011480642599999993</v>
      </c>
      <c r="K86" s="50">
        <f t="shared" si="12"/>
        <v>0.047758223327273634</v>
      </c>
      <c r="L86" s="50">
        <f t="shared" si="13"/>
        <v>0.10915822332727364</v>
      </c>
    </row>
    <row r="87" spans="1:12" ht="12.75">
      <c r="A87" s="25">
        <v>76</v>
      </c>
      <c r="B87" s="244">
        <v>38231</v>
      </c>
      <c r="C87" s="245">
        <f>'Gas Ex Ante DCF'!FP87</f>
        <v>0.09762979304213368</v>
      </c>
      <c r="D87" s="246">
        <v>0.0598</v>
      </c>
      <c r="E87" s="247">
        <f t="shared" si="7"/>
        <v>0.03782979304213368</v>
      </c>
      <c r="G87" s="247">
        <f t="shared" si="8"/>
        <v>0.03944231708808544</v>
      </c>
      <c r="H87" s="246">
        <f t="shared" si="9"/>
        <v>0.0614</v>
      </c>
      <c r="I87" s="248">
        <f t="shared" si="10"/>
        <v>0.006427318984649398</v>
      </c>
      <c r="J87" s="248">
        <f t="shared" si="11"/>
        <v>0.010915653199999993</v>
      </c>
      <c r="K87" s="50">
        <f t="shared" si="12"/>
        <v>0.04811948092727364</v>
      </c>
      <c r="L87" s="50">
        <f t="shared" si="13"/>
        <v>0.10791948092727363</v>
      </c>
    </row>
    <row r="88" spans="1:12" ht="12.75">
      <c r="A88" s="25">
        <v>77</v>
      </c>
      <c r="B88" s="244">
        <v>38261</v>
      </c>
      <c r="C88" s="245">
        <f>'Gas Ex Ante DCF'!FP88</f>
        <v>0.09740210020865922</v>
      </c>
      <c r="D88" s="246">
        <v>0.0594</v>
      </c>
      <c r="E88" s="247">
        <f t="shared" si="7"/>
        <v>0.03800210020865922</v>
      </c>
      <c r="G88" s="247">
        <f t="shared" si="8"/>
        <v>0.03782979304213368</v>
      </c>
      <c r="H88" s="246">
        <f t="shared" si="9"/>
        <v>0.0598</v>
      </c>
      <c r="I88" s="248">
        <f t="shared" si="10"/>
        <v>0.007883456520647984</v>
      </c>
      <c r="J88" s="248">
        <f t="shared" si="11"/>
        <v>0.0117895124</v>
      </c>
      <c r="K88" s="50">
        <f t="shared" si="12"/>
        <v>0.04820979532727364</v>
      </c>
      <c r="L88" s="50">
        <f t="shared" si="13"/>
        <v>0.10760979532727363</v>
      </c>
    </row>
    <row r="89" spans="1:12" ht="12.75">
      <c r="A89" s="25">
        <v>78</v>
      </c>
      <c r="B89" s="244">
        <v>38292</v>
      </c>
      <c r="C89" s="245">
        <f>'Gas Ex Ante DCF'!FP89</f>
        <v>0.09622675806351774</v>
      </c>
      <c r="D89" s="246">
        <v>0.0597</v>
      </c>
      <c r="E89" s="247">
        <f t="shared" si="7"/>
        <v>0.03652675806351774</v>
      </c>
      <c r="G89" s="247">
        <f t="shared" si="8"/>
        <v>0.03800210020865922</v>
      </c>
      <c r="H89" s="246">
        <f t="shared" si="9"/>
        <v>0.0594</v>
      </c>
      <c r="I89" s="248">
        <f t="shared" si="10"/>
        <v>0.006270929957191196</v>
      </c>
      <c r="J89" s="248">
        <f t="shared" si="11"/>
        <v>0.012407977199999996</v>
      </c>
      <c r="K89" s="50">
        <f t="shared" si="12"/>
        <v>0.048142059527273635</v>
      </c>
      <c r="L89" s="50">
        <f t="shared" si="13"/>
        <v>0.10784205952727363</v>
      </c>
    </row>
    <row r="90" spans="1:12" ht="12.75">
      <c r="A90" s="25">
        <v>79</v>
      </c>
      <c r="B90" s="244">
        <v>38322</v>
      </c>
      <c r="C90" s="245">
        <f>'Gas Ex Ante DCF'!FP90</f>
        <v>0.09693306595026586</v>
      </c>
      <c r="D90" s="246">
        <v>0.0592</v>
      </c>
      <c r="E90" s="247">
        <f t="shared" si="7"/>
        <v>0.03773306595026586</v>
      </c>
      <c r="G90" s="247">
        <f t="shared" si="8"/>
        <v>0.03652675806351774</v>
      </c>
      <c r="H90" s="246">
        <f t="shared" si="9"/>
        <v>0.0597</v>
      </c>
      <c r="I90" s="248">
        <f t="shared" si="10"/>
        <v>0.008651849196899451</v>
      </c>
      <c r="J90" s="248">
        <f t="shared" si="11"/>
        <v>0.011669128599999995</v>
      </c>
      <c r="K90" s="50">
        <f t="shared" si="12"/>
        <v>0.04825495252727363</v>
      </c>
      <c r="L90" s="50">
        <f t="shared" si="13"/>
        <v>0.10745495252727363</v>
      </c>
    </row>
    <row r="91" spans="1:12" ht="12.75">
      <c r="A91" s="25">
        <v>80</v>
      </c>
      <c r="B91" s="244">
        <v>38353</v>
      </c>
      <c r="C91" s="245">
        <f>'Gas Ex Ante DCF'!FP91</f>
        <v>0.09897860400208652</v>
      </c>
      <c r="D91" s="246">
        <v>0.0578</v>
      </c>
      <c r="E91" s="247">
        <f t="shared" si="7"/>
        <v>0.041178604002086526</v>
      </c>
      <c r="G91" s="247">
        <f t="shared" si="8"/>
        <v>0.03773306595026586</v>
      </c>
      <c r="H91" s="246">
        <f t="shared" si="9"/>
        <v>0.0592</v>
      </c>
      <c r="I91" s="248">
        <f t="shared" si="10"/>
        <v>0.011136970748990956</v>
      </c>
      <c r="J91" s="248">
        <f t="shared" si="11"/>
        <v>0.010667209599999991</v>
      </c>
      <c r="K91" s="50">
        <f t="shared" si="12"/>
        <v>0.048571052927273636</v>
      </c>
      <c r="L91" s="50">
        <f t="shared" si="13"/>
        <v>0.10637105292727364</v>
      </c>
    </row>
    <row r="92" spans="1:12" ht="12.75">
      <c r="A92" s="25">
        <v>81</v>
      </c>
      <c r="B92" s="244">
        <v>38384</v>
      </c>
      <c r="C92" s="245">
        <f>'Gas Ex Ante DCF'!FP92</f>
        <v>0.09784662010447866</v>
      </c>
      <c r="D92" s="246">
        <v>0.0561</v>
      </c>
      <c r="E92" s="247">
        <f t="shared" si="7"/>
        <v>0.04174662010447866</v>
      </c>
      <c r="G92" s="247">
        <f t="shared" si="8"/>
        <v>0.041178604002086526</v>
      </c>
      <c r="H92" s="246">
        <f t="shared" si="9"/>
        <v>0.0578</v>
      </c>
      <c r="I92" s="248">
        <f t="shared" si="10"/>
        <v>0.008961780384969448</v>
      </c>
      <c r="J92" s="248">
        <f t="shared" si="11"/>
        <v>0.010081836399999995</v>
      </c>
      <c r="K92" s="50">
        <f t="shared" si="12"/>
        <v>0.04895488912727364</v>
      </c>
      <c r="L92" s="50">
        <f t="shared" si="13"/>
        <v>0.10505488912727363</v>
      </c>
    </row>
    <row r="93" spans="1:12" ht="12.75">
      <c r="A93" s="25">
        <v>82</v>
      </c>
      <c r="B93" s="244">
        <v>38412</v>
      </c>
      <c r="C93" s="245">
        <f>'Gas Ex Ante DCF'!FP93</f>
        <v>0.0978055180949904</v>
      </c>
      <c r="D93" s="246">
        <v>0.0583</v>
      </c>
      <c r="E93" s="247">
        <f t="shared" si="7"/>
        <v>0.0395055180949904</v>
      </c>
      <c r="G93" s="247">
        <f t="shared" si="8"/>
        <v>0.04174662010447866</v>
      </c>
      <c r="H93" s="246">
        <f t="shared" si="9"/>
        <v>0.0561</v>
      </c>
      <c r="I93" s="248">
        <f t="shared" si="10"/>
        <v>0.006268445539368457</v>
      </c>
      <c r="J93" s="248">
        <f t="shared" si="11"/>
        <v>0.013635311800000001</v>
      </c>
      <c r="K93" s="50">
        <f t="shared" si="12"/>
        <v>0.048458159927273634</v>
      </c>
      <c r="L93" s="50">
        <f t="shared" si="13"/>
        <v>0.10675815992727364</v>
      </c>
    </row>
    <row r="94" spans="1:12" ht="12.75">
      <c r="A94" s="25">
        <v>83</v>
      </c>
      <c r="B94" s="244">
        <v>38443</v>
      </c>
      <c r="C94" s="245">
        <f>'Gas Ex Ante DCF'!FP94</f>
        <v>0.0987798663509085</v>
      </c>
      <c r="D94" s="246">
        <v>0.0564</v>
      </c>
      <c r="E94" s="247">
        <f t="shared" si="7"/>
        <v>0.042379866350908506</v>
      </c>
      <c r="G94" s="247">
        <f t="shared" si="8"/>
        <v>0.0395055180949904</v>
      </c>
      <c r="H94" s="246">
        <f t="shared" si="9"/>
        <v>0.0583</v>
      </c>
      <c r="I94" s="248">
        <f t="shared" si="10"/>
        <v>0.010927074053364759</v>
      </c>
      <c r="J94" s="248">
        <f t="shared" si="11"/>
        <v>0.009983755399999995</v>
      </c>
      <c r="K94" s="50">
        <f t="shared" si="12"/>
        <v>0.048887153327273634</v>
      </c>
      <c r="L94" s="50">
        <f t="shared" si="13"/>
        <v>0.10528715332727363</v>
      </c>
    </row>
    <row r="95" spans="1:12" ht="12.75">
      <c r="A95" s="25">
        <v>84</v>
      </c>
      <c r="B95" s="244">
        <v>38473</v>
      </c>
      <c r="C95" s="245">
        <f>'Gas Ex Ante DCF'!FP95</f>
        <v>0.0980564823731542</v>
      </c>
      <c r="D95" s="246">
        <v>0.0553333333</v>
      </c>
      <c r="E95" s="247">
        <f t="shared" si="7"/>
        <v>0.0427231490731542</v>
      </c>
      <c r="G95" s="247">
        <f t="shared" si="8"/>
        <v>0.042379866350908506</v>
      </c>
      <c r="H95" s="246">
        <f t="shared" si="9"/>
        <v>0.0564</v>
      </c>
      <c r="I95" s="248">
        <f t="shared" si="10"/>
        <v>0.008981909919482181</v>
      </c>
      <c r="J95" s="248">
        <f t="shared" si="11"/>
        <v>0.010429796500000005</v>
      </c>
      <c r="K95" s="50">
        <f t="shared" si="12"/>
        <v>0.049127991734799835</v>
      </c>
      <c r="L95" s="50">
        <f t="shared" si="13"/>
        <v>0.10446132503479984</v>
      </c>
    </row>
    <row r="96" spans="1:12" ht="12.75">
      <c r="A96" s="25">
        <v>85</v>
      </c>
      <c r="B96" s="244">
        <v>38504</v>
      </c>
      <c r="C96" s="245">
        <f>'Gas Ex Ante DCF'!FP96</f>
        <v>0.09761307902696384</v>
      </c>
      <c r="D96" s="246">
        <v>0.054</v>
      </c>
      <c r="E96" s="247">
        <f t="shared" si="7"/>
        <v>0.04361307902696384</v>
      </c>
      <c r="G96" s="247">
        <f t="shared" si="8"/>
        <v>0.0427231490731542</v>
      </c>
      <c r="H96" s="246">
        <f t="shared" si="9"/>
        <v>0.0553333333</v>
      </c>
      <c r="I96" s="248">
        <f t="shared" si="10"/>
        <v>0.009598531214583247</v>
      </c>
      <c r="J96" s="248">
        <f t="shared" si="11"/>
        <v>0.009945702693205397</v>
      </c>
      <c r="K96" s="50">
        <f t="shared" si="12"/>
        <v>0.04942903972727364</v>
      </c>
      <c r="L96" s="50">
        <f t="shared" si="13"/>
        <v>0.10342903972727363</v>
      </c>
    </row>
    <row r="97" spans="1:12" ht="12.75">
      <c r="A97" s="25">
        <v>86</v>
      </c>
      <c r="B97" s="244">
        <v>38534</v>
      </c>
      <c r="C97" s="245">
        <f>'Gas Ex Ante DCF'!FP97</f>
        <v>0.0965134569026773</v>
      </c>
      <c r="D97" s="246">
        <v>0.0551</v>
      </c>
      <c r="E97" s="247">
        <f t="shared" si="7"/>
        <v>0.0414134569026773</v>
      </c>
      <c r="G97" s="247">
        <f t="shared" si="8"/>
        <v>0.04361307902696384</v>
      </c>
      <c r="H97" s="246">
        <f t="shared" si="9"/>
        <v>0.054</v>
      </c>
      <c r="I97" s="248">
        <f t="shared" si="10"/>
        <v>0.006690380678411718</v>
      </c>
      <c r="J97" s="248">
        <f t="shared" si="11"/>
        <v>0.012107251999999999</v>
      </c>
      <c r="K97" s="50">
        <f t="shared" si="12"/>
        <v>0.049180675127273636</v>
      </c>
      <c r="L97" s="50">
        <f t="shared" si="13"/>
        <v>0.10428067512727364</v>
      </c>
    </row>
    <row r="98" spans="1:12" ht="12.75">
      <c r="A98" s="25">
        <v>87</v>
      </c>
      <c r="B98" s="244">
        <v>38565</v>
      </c>
      <c r="C98" s="245">
        <f>'Gas Ex Ante DCF'!FP98</f>
        <v>0.09680247998955657</v>
      </c>
      <c r="D98" s="246">
        <v>0.055</v>
      </c>
      <c r="E98" s="247">
        <f t="shared" si="7"/>
        <v>0.04180247998955657</v>
      </c>
      <c r="G98" s="247">
        <f t="shared" si="8"/>
        <v>0.0414134569026773</v>
      </c>
      <c r="H98" s="246">
        <f t="shared" si="9"/>
        <v>0.0551</v>
      </c>
      <c r="I98" s="248">
        <f t="shared" si="10"/>
        <v>0.008830659315007205</v>
      </c>
      <c r="J98" s="248">
        <f t="shared" si="11"/>
        <v>0.011131473799999993</v>
      </c>
      <c r="K98" s="50">
        <f t="shared" si="12"/>
        <v>0.04920325372727363</v>
      </c>
      <c r="L98" s="50">
        <f t="shared" si="13"/>
        <v>0.10420325372727363</v>
      </c>
    </row>
    <row r="99" spans="1:12" ht="12.75">
      <c r="A99" s="25">
        <v>88</v>
      </c>
      <c r="B99" s="244">
        <v>38596</v>
      </c>
      <c r="C99" s="245">
        <f>'Gas Ex Ante DCF'!FP99</f>
        <v>0.09796433604445232</v>
      </c>
      <c r="D99" s="246">
        <v>0.0552</v>
      </c>
      <c r="E99" s="247">
        <f t="shared" si="7"/>
        <v>0.04276433604445232</v>
      </c>
      <c r="G99" s="247">
        <f t="shared" si="8"/>
        <v>0.04180247998955657</v>
      </c>
      <c r="H99" s="246">
        <f t="shared" si="9"/>
        <v>0.055</v>
      </c>
      <c r="I99" s="248">
        <f t="shared" si="10"/>
        <v>0.009482789971006975</v>
      </c>
      <c r="J99" s="248">
        <f t="shared" si="11"/>
        <v>0.011411089999999999</v>
      </c>
      <c r="K99" s="50">
        <f t="shared" si="12"/>
        <v>0.04915809652727364</v>
      </c>
      <c r="L99" s="50">
        <f t="shared" si="13"/>
        <v>0.10435809652727364</v>
      </c>
    </row>
    <row r="100" spans="1:12" ht="12.75">
      <c r="A100" s="25">
        <v>89</v>
      </c>
      <c r="B100" s="244">
        <v>38626</v>
      </c>
      <c r="C100" s="245">
        <f>'Gas Ex Ante DCF'!FP100</f>
        <v>0.09894257557167457</v>
      </c>
      <c r="D100" s="246">
        <v>0.0579</v>
      </c>
      <c r="E100" s="247">
        <f t="shared" si="7"/>
        <v>0.041042575571674574</v>
      </c>
      <c r="G100" s="247">
        <f t="shared" si="8"/>
        <v>0.04276433604445232</v>
      </c>
      <c r="H100" s="246">
        <f t="shared" si="9"/>
        <v>0.0552</v>
      </c>
      <c r="I100" s="248">
        <f t="shared" si="10"/>
        <v>0.0069952362578513255</v>
      </c>
      <c r="J100" s="248">
        <f t="shared" si="11"/>
        <v>0.0139518576</v>
      </c>
      <c r="K100" s="50">
        <f t="shared" si="12"/>
        <v>0.04854847432727363</v>
      </c>
      <c r="L100" s="50">
        <f t="shared" si="13"/>
        <v>0.10644847432727364</v>
      </c>
    </row>
    <row r="101" spans="1:12" ht="12.75">
      <c r="A101" s="25">
        <v>90</v>
      </c>
      <c r="B101" s="244">
        <v>38657</v>
      </c>
      <c r="C101" s="245">
        <f>'Gas Ex Ante DCF'!FP101</f>
        <v>0.1048147000799522</v>
      </c>
      <c r="D101" s="246">
        <v>0.0588</v>
      </c>
      <c r="E101" s="247">
        <f t="shared" si="7"/>
        <v>0.046014700079952196</v>
      </c>
      <c r="G101" s="247">
        <f t="shared" si="8"/>
        <v>0.041042575571674574</v>
      </c>
      <c r="H101" s="246">
        <f t="shared" si="9"/>
        <v>0.0579</v>
      </c>
      <c r="I101" s="248">
        <f t="shared" si="10"/>
        <v>0.013338161027656621</v>
      </c>
      <c r="J101" s="248">
        <f t="shared" si="11"/>
        <v>0.012702220199999996</v>
      </c>
      <c r="K101" s="50">
        <f t="shared" si="12"/>
        <v>0.04834526692727364</v>
      </c>
      <c r="L101" s="50">
        <f t="shared" si="13"/>
        <v>0.10714526692727364</v>
      </c>
    </row>
    <row r="102" spans="1:12" ht="12.75">
      <c r="A102" s="25">
        <v>91</v>
      </c>
      <c r="B102" s="244">
        <v>38687</v>
      </c>
      <c r="C102" s="245">
        <f>'Gas Ex Ante DCF'!FP102</f>
        <v>0.10444894742103204</v>
      </c>
      <c r="D102" s="246">
        <v>0.058</v>
      </c>
      <c r="E102" s="247">
        <f t="shared" si="7"/>
        <v>0.04644894742103204</v>
      </c>
      <c r="G102" s="247">
        <f t="shared" si="8"/>
        <v>0.046014700079952196</v>
      </c>
      <c r="H102" s="246">
        <f t="shared" si="9"/>
        <v>0.0588</v>
      </c>
      <c r="I102" s="248">
        <f t="shared" si="10"/>
        <v>0.009813791775977139</v>
      </c>
      <c r="J102" s="248">
        <f t="shared" si="11"/>
        <v>0.011185674400000005</v>
      </c>
      <c r="K102" s="50">
        <f t="shared" si="12"/>
        <v>0.04852589572727364</v>
      </c>
      <c r="L102" s="50">
        <f t="shared" si="13"/>
        <v>0.10652589572727364</v>
      </c>
    </row>
    <row r="103" spans="1:12" ht="12.75">
      <c r="A103" s="25">
        <v>92</v>
      </c>
      <c r="B103" s="244">
        <v>38718</v>
      </c>
      <c r="C103" s="245">
        <f>'Gas Ex Ante DCF'!FP103</f>
        <v>0.0980993217054818</v>
      </c>
      <c r="D103" s="246">
        <v>0.0575</v>
      </c>
      <c r="E103" s="247">
        <f t="shared" si="7"/>
        <v>0.0405993217054818</v>
      </c>
      <c r="G103" s="247">
        <f t="shared" si="8"/>
        <v>0.04644894742103204</v>
      </c>
      <c r="H103" s="246">
        <f t="shared" si="9"/>
        <v>0.058</v>
      </c>
      <c r="I103" s="248">
        <f t="shared" si="10"/>
        <v>0.003618434828858083</v>
      </c>
      <c r="J103" s="248">
        <f t="shared" si="11"/>
        <v>0.011322604</v>
      </c>
      <c r="K103" s="50">
        <f t="shared" si="12"/>
        <v>0.04863878872727363</v>
      </c>
      <c r="L103" s="50">
        <f t="shared" si="13"/>
        <v>0.10613878872727364</v>
      </c>
    </row>
    <row r="104" spans="1:12" ht="12.75">
      <c r="A104" s="25">
        <v>93</v>
      </c>
      <c r="B104" s="244">
        <v>38749</v>
      </c>
      <c r="C104" s="245">
        <f>'Gas Ex Ante DCF'!FP104</f>
        <v>0.11231711545969397</v>
      </c>
      <c r="D104" s="246">
        <v>0.0582</v>
      </c>
      <c r="E104" s="247">
        <f t="shared" si="7"/>
        <v>0.05411711545969397</v>
      </c>
      <c r="G104" s="247">
        <f t="shared" si="8"/>
        <v>0.0405993217054818</v>
      </c>
      <c r="H104" s="246">
        <f t="shared" si="9"/>
        <v>0.0575</v>
      </c>
      <c r="I104" s="248">
        <f t="shared" si="10"/>
        <v>0.021793478292014168</v>
      </c>
      <c r="J104" s="248">
        <f t="shared" si="11"/>
        <v>0.012420685</v>
      </c>
      <c r="K104" s="50">
        <f t="shared" si="12"/>
        <v>0.04848073852727364</v>
      </c>
      <c r="L104" s="50">
        <f t="shared" si="13"/>
        <v>0.10668073852727364</v>
      </c>
    </row>
    <row r="105" spans="1:12" ht="12.75">
      <c r="A105" s="25">
        <v>94</v>
      </c>
      <c r="B105" s="244">
        <v>38777</v>
      </c>
      <c r="C105" s="245">
        <f>'Gas Ex Ante DCF'!FP105</f>
        <v>0.11262877447148811</v>
      </c>
      <c r="D105" s="246">
        <v>0.0598</v>
      </c>
      <c r="E105" s="247">
        <f t="shared" si="7"/>
        <v>0.052828774471488114</v>
      </c>
      <c r="G105" s="247">
        <f t="shared" si="8"/>
        <v>0.05411711545969397</v>
      </c>
      <c r="H105" s="246">
        <f t="shared" si="9"/>
        <v>0.0582</v>
      </c>
      <c r="I105" s="248">
        <f t="shared" si="10"/>
        <v>0.00974278359286724</v>
      </c>
      <c r="J105" s="248">
        <f t="shared" si="11"/>
        <v>0.013463371599999996</v>
      </c>
      <c r="K105" s="50">
        <f t="shared" si="12"/>
        <v>0.04811948092727364</v>
      </c>
      <c r="L105" s="50">
        <f t="shared" si="13"/>
        <v>0.10791948092727363</v>
      </c>
    </row>
    <row r="106" spans="1:12" ht="12.75">
      <c r="A106" s="25">
        <v>95</v>
      </c>
      <c r="B106" s="244">
        <v>38808</v>
      </c>
      <c r="C106" s="245">
        <f>'Gas Ex Ante DCF'!FP106</f>
        <v>0.10992281571682502</v>
      </c>
      <c r="D106" s="246">
        <v>0.0629</v>
      </c>
      <c r="E106" s="247">
        <f t="shared" si="7"/>
        <v>0.047022815716825025</v>
      </c>
      <c r="G106" s="247">
        <f t="shared" si="8"/>
        <v>0.052828774471488114</v>
      </c>
      <c r="H106" s="246">
        <f t="shared" si="9"/>
        <v>0.0598</v>
      </c>
      <c r="I106" s="248">
        <f t="shared" si="10"/>
        <v>0.004962552976056106</v>
      </c>
      <c r="J106" s="248">
        <f t="shared" si="11"/>
        <v>0.015289512399999997</v>
      </c>
      <c r="K106" s="50">
        <f t="shared" si="12"/>
        <v>0.04741954432727363</v>
      </c>
      <c r="L106" s="50">
        <f t="shared" si="13"/>
        <v>0.11031954432727363</v>
      </c>
    </row>
    <row r="107" spans="1:12" ht="12.75">
      <c r="A107" s="25">
        <v>96</v>
      </c>
      <c r="B107" s="244">
        <v>38838</v>
      </c>
      <c r="C107" s="245">
        <f>'Gas Ex Ante DCF'!FP107</f>
        <v>0.10554088755410505</v>
      </c>
      <c r="D107" s="246">
        <v>0.0642</v>
      </c>
      <c r="E107" s="247">
        <f t="shared" si="7"/>
        <v>0.04134088755410506</v>
      </c>
      <c r="G107" s="247">
        <f t="shared" si="8"/>
        <v>0.047022815716825025</v>
      </c>
      <c r="H107" s="246">
        <f t="shared" si="9"/>
        <v>0.0629</v>
      </c>
      <c r="I107" s="248">
        <f t="shared" si="10"/>
        <v>0.0039031085473662103</v>
      </c>
      <c r="J107" s="248">
        <f t="shared" si="11"/>
        <v>0.01412141019999999</v>
      </c>
      <c r="K107" s="50">
        <f t="shared" si="12"/>
        <v>0.04712602252727364</v>
      </c>
      <c r="L107" s="50">
        <f t="shared" si="13"/>
        <v>0.11132602252727364</v>
      </c>
    </row>
    <row r="108" spans="1:12" ht="12.75">
      <c r="A108" s="25">
        <v>97</v>
      </c>
      <c r="B108" s="244">
        <v>38869</v>
      </c>
      <c r="C108" s="245">
        <f>'Gas Ex Ante DCF'!FP108</f>
        <v>0.10486680850307183</v>
      </c>
      <c r="D108" s="246">
        <v>0.064</v>
      </c>
      <c r="E108" s="247">
        <f t="shared" si="7"/>
        <v>0.040866808503071825</v>
      </c>
      <c r="G108" s="247">
        <f t="shared" si="8"/>
        <v>0.04134088755410506</v>
      </c>
      <c r="H108" s="246">
        <f t="shared" si="9"/>
        <v>0.0642</v>
      </c>
      <c r="I108" s="248">
        <f t="shared" si="10"/>
        <v>0.00795276478622043</v>
      </c>
      <c r="J108" s="248">
        <f t="shared" si="11"/>
        <v>0.012886399600000008</v>
      </c>
      <c r="K108" s="50">
        <f t="shared" si="12"/>
        <v>0.04717117972727364</v>
      </c>
      <c r="L108" s="50">
        <f t="shared" si="13"/>
        <v>0.11117117972727364</v>
      </c>
    </row>
    <row r="109" spans="1:12" ht="12.75">
      <c r="A109" s="25">
        <v>98</v>
      </c>
      <c r="B109" s="244">
        <v>38899</v>
      </c>
      <c r="C109" s="245">
        <f>'Gas Ex Ante DCF'!FP109</f>
        <v>0.10868039891111672</v>
      </c>
      <c r="D109" s="246">
        <v>0.0637</v>
      </c>
      <c r="E109" s="247">
        <f t="shared" si="7"/>
        <v>0.044980398911116715</v>
      </c>
      <c r="G109" s="247">
        <f t="shared" si="8"/>
        <v>0.040866808503071825</v>
      </c>
      <c r="H109" s="246">
        <f t="shared" si="9"/>
        <v>0.064</v>
      </c>
      <c r="I109" s="248">
        <f t="shared" si="10"/>
        <v>0.012443798919694042</v>
      </c>
      <c r="J109" s="248">
        <f t="shared" si="11"/>
        <v>0.012745632</v>
      </c>
      <c r="K109" s="50">
        <f t="shared" si="12"/>
        <v>0.047238915527273634</v>
      </c>
      <c r="L109" s="50">
        <f t="shared" si="13"/>
        <v>0.11093891552727364</v>
      </c>
    </row>
    <row r="110" spans="1:12" ht="12.75">
      <c r="A110" s="25">
        <v>99</v>
      </c>
      <c r="B110" s="244">
        <v>38930</v>
      </c>
      <c r="C110" s="245">
        <f>'Gas Ex Ante DCF'!FP110</f>
        <v>0.10406112603243624</v>
      </c>
      <c r="D110" s="246">
        <v>0.062</v>
      </c>
      <c r="E110" s="247">
        <f t="shared" si="7"/>
        <v>0.04206112603243624</v>
      </c>
      <c r="G110" s="247">
        <f t="shared" si="8"/>
        <v>0.044980398911116715</v>
      </c>
      <c r="H110" s="246">
        <f t="shared" si="9"/>
        <v>0.0637</v>
      </c>
      <c r="I110" s="248">
        <f t="shared" si="10"/>
        <v>0.006249441674563733</v>
      </c>
      <c r="J110" s="248">
        <f t="shared" si="11"/>
        <v>0.011284480599999994</v>
      </c>
      <c r="K110" s="50">
        <f t="shared" si="12"/>
        <v>0.047622751727273635</v>
      </c>
      <c r="L110" s="50">
        <f t="shared" si="13"/>
        <v>0.10962275172727363</v>
      </c>
    </row>
    <row r="111" spans="1:12" ht="12.75">
      <c r="A111" s="25">
        <v>100</v>
      </c>
      <c r="B111" s="244">
        <v>38961</v>
      </c>
      <c r="C111" s="245">
        <f>'Gas Ex Ante DCF'!FP111</f>
        <v>0.10525077486782855</v>
      </c>
      <c r="D111" s="246">
        <v>0.06</v>
      </c>
      <c r="E111" s="247">
        <f t="shared" si="7"/>
        <v>0.04525077486782855</v>
      </c>
      <c r="G111" s="247">
        <f t="shared" si="8"/>
        <v>0.04206112603243624</v>
      </c>
      <c r="H111" s="246">
        <f t="shared" si="9"/>
        <v>0.062</v>
      </c>
      <c r="I111" s="248">
        <f t="shared" si="10"/>
        <v>0.01176330464359205</v>
      </c>
      <c r="J111" s="248">
        <f t="shared" si="11"/>
        <v>0.010637955999999997</v>
      </c>
      <c r="K111" s="50">
        <f t="shared" si="12"/>
        <v>0.04807432372727363</v>
      </c>
      <c r="L111" s="50">
        <f t="shared" si="13"/>
        <v>0.10807432372727363</v>
      </c>
    </row>
    <row r="112" spans="1:12" ht="12.75">
      <c r="A112" s="25">
        <v>101</v>
      </c>
      <c r="B112" s="244">
        <v>38991</v>
      </c>
      <c r="C112" s="245">
        <f>'Gas Ex Ante DCF'!FP112</f>
        <v>0.10293787809943575</v>
      </c>
      <c r="D112" s="246">
        <v>0.0598</v>
      </c>
      <c r="E112" s="247">
        <f t="shared" si="7"/>
        <v>0.04313787809943575</v>
      </c>
      <c r="G112" s="247">
        <f t="shared" si="8"/>
        <v>0.04525077486782855</v>
      </c>
      <c r="H112" s="246">
        <f t="shared" si="9"/>
        <v>0.06</v>
      </c>
      <c r="I112" s="248">
        <f t="shared" si="10"/>
        <v>0.007110930679115633</v>
      </c>
      <c r="J112" s="248">
        <f t="shared" si="11"/>
        <v>0.012030279999999997</v>
      </c>
      <c r="K112" s="50">
        <f t="shared" si="12"/>
        <v>0.04811948092727364</v>
      </c>
      <c r="L112" s="50">
        <f t="shared" si="13"/>
        <v>0.10791948092727363</v>
      </c>
    </row>
    <row r="113" spans="1:12" ht="12.75">
      <c r="A113" s="25">
        <v>102</v>
      </c>
      <c r="B113" s="244">
        <v>39022</v>
      </c>
      <c r="C113" s="245">
        <f>'Gas Ex Ante DCF'!FP113</f>
        <v>0.10658201893235567</v>
      </c>
      <c r="D113" s="246">
        <v>0.058</v>
      </c>
      <c r="E113" s="247">
        <f t="shared" si="7"/>
        <v>0.04858201893235566</v>
      </c>
      <c r="G113" s="247">
        <f t="shared" si="8"/>
        <v>0.04313787809943575</v>
      </c>
      <c r="H113" s="246">
        <f t="shared" si="9"/>
        <v>0.0598</v>
      </c>
      <c r="I113" s="248">
        <f t="shared" si="10"/>
        <v>0.014237279628952694</v>
      </c>
      <c r="J113" s="248">
        <f t="shared" si="11"/>
        <v>0.010389512400000002</v>
      </c>
      <c r="K113" s="50">
        <f t="shared" si="12"/>
        <v>0.04852589572727364</v>
      </c>
      <c r="L113" s="50">
        <f t="shared" si="13"/>
        <v>0.10652589572727364</v>
      </c>
    </row>
    <row r="114" spans="1:12" ht="12.75">
      <c r="A114" s="25">
        <v>103</v>
      </c>
      <c r="B114" s="244">
        <v>39052</v>
      </c>
      <c r="C114" s="245">
        <f>'Gas Ex Ante DCF'!FP114</f>
        <v>0.10339912349200231</v>
      </c>
      <c r="D114" s="246">
        <v>0.0581</v>
      </c>
      <c r="E114" s="247">
        <f t="shared" si="7"/>
        <v>0.04529912349200231</v>
      </c>
      <c r="G114" s="247">
        <f t="shared" si="8"/>
        <v>0.04858201893235566</v>
      </c>
      <c r="H114" s="246">
        <f t="shared" si="9"/>
        <v>0.058</v>
      </c>
      <c r="I114" s="248">
        <f t="shared" si="10"/>
        <v>0.006619966134780157</v>
      </c>
      <c r="J114" s="248">
        <f t="shared" si="11"/>
        <v>0.011922603999999996</v>
      </c>
      <c r="K114" s="50">
        <f t="shared" si="12"/>
        <v>0.04850331712727364</v>
      </c>
      <c r="L114" s="50">
        <f t="shared" si="13"/>
        <v>0.10660331712727364</v>
      </c>
    </row>
    <row r="115" spans="1:12" ht="12.75">
      <c r="A115" s="25">
        <v>104</v>
      </c>
      <c r="B115" s="244">
        <v>39083</v>
      </c>
      <c r="C115" s="245">
        <f>'Gas Ex Ante DCF'!FP115</f>
        <v>0.10126477966421189</v>
      </c>
      <c r="D115" s="246">
        <v>0.0596</v>
      </c>
      <c r="E115" s="247">
        <f t="shared" si="7"/>
        <v>0.04166477966421189</v>
      </c>
      <c r="G115" s="247">
        <f>E114</f>
        <v>0.04529912349200231</v>
      </c>
      <c r="H115" s="246">
        <f>D114</f>
        <v>0.0581</v>
      </c>
      <c r="I115" s="248">
        <f t="shared" si="10"/>
        <v>0.005599338906572347</v>
      </c>
      <c r="J115" s="248">
        <f t="shared" si="11"/>
        <v>0.013342987799999997</v>
      </c>
      <c r="K115" s="50">
        <f t="shared" si="12"/>
        <v>0.04816463812727363</v>
      </c>
      <c r="L115" s="50">
        <f t="shared" si="13"/>
        <v>0.10776463812727363</v>
      </c>
    </row>
    <row r="116" spans="1:12" ht="12.75">
      <c r="A116" s="25">
        <v>105</v>
      </c>
      <c r="B116" s="244">
        <v>39114</v>
      </c>
      <c r="C116" s="245">
        <f>'Gas Ex Ante DCF'!FP116</f>
        <v>0.09911648933257716</v>
      </c>
      <c r="D116" s="246">
        <v>0.059</v>
      </c>
      <c r="E116" s="247">
        <f>C116-D116</f>
        <v>0.040116489332577165</v>
      </c>
      <c r="G116" s="247">
        <f>E115</f>
        <v>0.04166477966421189</v>
      </c>
      <c r="H116" s="246">
        <f>D115</f>
        <v>0.0596</v>
      </c>
      <c r="I116" s="248">
        <f>E116-$G$8*G116</f>
        <v>0.006944575025558897</v>
      </c>
      <c r="J116" s="248">
        <f>D116-$G$8*H116</f>
        <v>0.011548744799999996</v>
      </c>
      <c r="K116" s="50">
        <f>($K$6/$K$7)+($K$8*D116)</f>
        <v>0.04830010972727364</v>
      </c>
      <c r="L116" s="50">
        <f>D116+K116</f>
        <v>0.10730010972727363</v>
      </c>
    </row>
    <row r="117" spans="2:12" ht="12.75">
      <c r="B117" s="253"/>
      <c r="C117" s="245"/>
      <c r="D117" s="246"/>
      <c r="E117" s="235"/>
      <c r="G117" s="247"/>
      <c r="H117" s="246"/>
      <c r="I117" s="248"/>
      <c r="J117" s="248"/>
      <c r="K117" s="50"/>
      <c r="L117" s="50"/>
    </row>
    <row r="118" spans="2:8" ht="12.75">
      <c r="B118" s="82"/>
      <c r="C118" s="254"/>
      <c r="D118" s="254"/>
      <c r="E118" s="254"/>
      <c r="G118" s="247"/>
      <c r="H118" s="246"/>
    </row>
    <row r="119" spans="2:8" ht="12.75">
      <c r="B119" s="82"/>
      <c r="C119" s="254"/>
      <c r="D119" s="254"/>
      <c r="E119" s="254"/>
      <c r="G119" s="247"/>
      <c r="H119" s="246"/>
    </row>
    <row r="120" spans="2:8" ht="12.75">
      <c r="B120" s="82"/>
      <c r="C120" s="254"/>
      <c r="D120" s="254"/>
      <c r="E120" s="254"/>
      <c r="G120" s="247"/>
      <c r="H120" s="246"/>
    </row>
    <row r="121" spans="2:8" ht="12.75">
      <c r="B121" s="253"/>
      <c r="C121" s="254"/>
      <c r="D121" s="254"/>
      <c r="E121" s="254"/>
      <c r="G121" s="247"/>
      <c r="H121" s="246"/>
    </row>
    <row r="122" spans="2:8" ht="12.75">
      <c r="B122" s="82"/>
      <c r="C122" s="254"/>
      <c r="D122" s="254"/>
      <c r="E122" s="254"/>
      <c r="G122" s="247"/>
      <c r="H122" s="246"/>
    </row>
    <row r="123" spans="7:8" ht="12.75">
      <c r="G123" s="247"/>
      <c r="H123" s="246"/>
    </row>
    <row r="124" spans="7:8" ht="12.75">
      <c r="G124" s="247"/>
      <c r="H124" s="246"/>
    </row>
    <row r="125" spans="7:8" ht="12.75">
      <c r="G125" s="247"/>
      <c r="H125" s="246"/>
    </row>
    <row r="126" spans="7:8" ht="12.75">
      <c r="G126" s="247"/>
      <c r="H126" s="246"/>
    </row>
    <row r="127" spans="7:8" ht="12.75">
      <c r="G127" s="247"/>
      <c r="H127" s="246"/>
    </row>
    <row r="128" spans="7:8" ht="12.75">
      <c r="G128" s="247"/>
      <c r="H128" s="246"/>
    </row>
    <row r="129" spans="7:8" ht="12.75">
      <c r="G129" s="247"/>
      <c r="H129" s="246"/>
    </row>
    <row r="130" spans="7:8" ht="12.75">
      <c r="G130" s="247"/>
      <c r="H130" s="246"/>
    </row>
    <row r="131" spans="7:8" ht="12.75">
      <c r="G131" s="247"/>
      <c r="H131" s="246"/>
    </row>
    <row r="132" spans="7:8" ht="12.75">
      <c r="G132" s="247"/>
      <c r="H132" s="246"/>
    </row>
    <row r="133" spans="7:8" ht="12.75">
      <c r="G133" s="247"/>
      <c r="H133" s="246"/>
    </row>
    <row r="134" spans="7:8" ht="12.75">
      <c r="G134" s="247"/>
      <c r="H134" s="246"/>
    </row>
    <row r="135" spans="7:8" ht="12.75">
      <c r="G135" s="247"/>
      <c r="H135" s="246"/>
    </row>
    <row r="136" spans="7:8" ht="12.75">
      <c r="G136" s="247"/>
      <c r="H136" s="246"/>
    </row>
    <row r="137" spans="7:8" ht="12.75">
      <c r="G137" s="247"/>
      <c r="H137" s="246"/>
    </row>
    <row r="138" spans="7:8" ht="12.75">
      <c r="G138" s="247"/>
      <c r="H138" s="246"/>
    </row>
    <row r="139" spans="7:8" ht="12.75">
      <c r="G139" s="247"/>
      <c r="H139" s="246"/>
    </row>
    <row r="140" spans="7:8" ht="12.75">
      <c r="G140" s="247"/>
      <c r="H140" s="246"/>
    </row>
    <row r="141" spans="7:8" ht="12.75">
      <c r="G141" s="247"/>
      <c r="H141" s="246"/>
    </row>
    <row r="142" spans="7:8" ht="12.75">
      <c r="G142" s="247"/>
      <c r="H142" s="246"/>
    </row>
    <row r="143" spans="7:8" ht="12.75">
      <c r="G143" s="247"/>
      <c r="H143" s="246"/>
    </row>
    <row r="144" spans="7:8" ht="12.75">
      <c r="G144" s="247"/>
      <c r="H144" s="246"/>
    </row>
    <row r="145" spans="7:8" ht="12.75">
      <c r="G145" s="247"/>
      <c r="H145" s="246"/>
    </row>
    <row r="146" spans="7:8" ht="12.75">
      <c r="G146" s="247"/>
      <c r="H146" s="246"/>
    </row>
    <row r="147" spans="7:8" ht="12.75">
      <c r="G147" s="247"/>
      <c r="H147" s="246"/>
    </row>
    <row r="148" spans="7:8" ht="12.75">
      <c r="G148" s="247"/>
      <c r="H148" s="246"/>
    </row>
    <row r="149" spans="7:8" ht="12.75">
      <c r="G149" s="247"/>
      <c r="H149" s="246"/>
    </row>
    <row r="150" spans="7:8" ht="12.75">
      <c r="G150" s="247"/>
      <c r="H150" s="246"/>
    </row>
    <row r="151" spans="7:8" ht="12.75">
      <c r="G151" s="247"/>
      <c r="H151" s="246"/>
    </row>
    <row r="152" spans="7:8" ht="12.75">
      <c r="G152" s="247"/>
      <c r="H152" s="246"/>
    </row>
    <row r="153" spans="7:8" ht="12.75">
      <c r="G153" s="247"/>
      <c r="H153" s="246"/>
    </row>
    <row r="154" spans="7:8" ht="12.75">
      <c r="G154" s="247"/>
      <c r="H154" s="246"/>
    </row>
    <row r="155" spans="7:8" ht="12.75">
      <c r="G155" s="247"/>
      <c r="H155" s="246"/>
    </row>
    <row r="156" spans="7:8" ht="12.75">
      <c r="G156" s="247"/>
      <c r="H156" s="246"/>
    </row>
    <row r="157" spans="7:8" ht="12.75">
      <c r="G157" s="247"/>
      <c r="H157" s="246"/>
    </row>
    <row r="158" spans="7:8" ht="12.75">
      <c r="G158" s="247"/>
      <c r="H158" s="246"/>
    </row>
    <row r="159" spans="7:8" ht="12.75">
      <c r="G159" s="247"/>
      <c r="H159" s="246"/>
    </row>
    <row r="160" spans="7:8" ht="12.75">
      <c r="G160" s="247"/>
      <c r="H160" s="246"/>
    </row>
    <row r="161" spans="7:8" ht="12.75">
      <c r="G161" s="247"/>
      <c r="H161" s="246"/>
    </row>
    <row r="162" spans="7:8" ht="12.75">
      <c r="G162" s="247"/>
      <c r="H162" s="246"/>
    </row>
    <row r="163" spans="7:8" ht="12.75">
      <c r="G163" s="247"/>
      <c r="H163" s="246"/>
    </row>
    <row r="164" spans="7:8" ht="12.75">
      <c r="G164" s="247"/>
      <c r="H164" s="246"/>
    </row>
    <row r="165" spans="7:8" ht="12.75">
      <c r="G165" s="247"/>
      <c r="H165" s="246"/>
    </row>
    <row r="166" spans="7:8" ht="12.75">
      <c r="G166" s="247"/>
      <c r="H166" s="246"/>
    </row>
    <row r="167" spans="7:8" ht="12.75">
      <c r="G167" s="247"/>
      <c r="H167" s="246"/>
    </row>
    <row r="168" spans="7:8" ht="12.75">
      <c r="G168" s="247"/>
      <c r="H168" s="246"/>
    </row>
    <row r="169" spans="7:8" ht="12.75">
      <c r="G169" s="247"/>
      <c r="H169" s="246"/>
    </row>
    <row r="170" spans="7:8" ht="12.75">
      <c r="G170" s="247"/>
      <c r="H170" s="246"/>
    </row>
    <row r="171" spans="7:8" ht="12.75">
      <c r="G171" s="247"/>
      <c r="H171" s="246"/>
    </row>
    <row r="172" spans="7:8" ht="12.75">
      <c r="G172" s="247"/>
      <c r="H172" s="246"/>
    </row>
    <row r="173" spans="7:8" ht="12.75">
      <c r="G173" s="247"/>
      <c r="H173" s="246"/>
    </row>
    <row r="174" spans="7:8" ht="12.75">
      <c r="G174" s="247"/>
      <c r="H174" s="246"/>
    </row>
    <row r="175" spans="7:8" ht="12.75">
      <c r="G175" s="247"/>
      <c r="H175" s="246"/>
    </row>
    <row r="176" spans="7:8" ht="12.75">
      <c r="G176" s="247"/>
      <c r="H176" s="246"/>
    </row>
    <row r="177" spans="7:8" ht="12.75">
      <c r="G177" s="247"/>
      <c r="H177" s="246"/>
    </row>
    <row r="178" spans="7:8" ht="12.75">
      <c r="G178" s="247"/>
      <c r="H178" s="246"/>
    </row>
    <row r="179" spans="7:8" ht="12.75">
      <c r="G179" s="247"/>
      <c r="H179" s="246"/>
    </row>
    <row r="180" spans="7:8" ht="12.75">
      <c r="G180" s="247"/>
      <c r="H180" s="246"/>
    </row>
    <row r="181" spans="7:8" ht="12.75">
      <c r="G181" s="247"/>
      <c r="H181" s="246"/>
    </row>
    <row r="182" spans="7:8" ht="12.75">
      <c r="G182" s="247"/>
      <c r="H182" s="246"/>
    </row>
    <row r="183" spans="7:8" ht="12.75">
      <c r="G183" s="247"/>
      <c r="H183" s="246"/>
    </row>
    <row r="184" spans="7:8" ht="12.75">
      <c r="G184" s="247"/>
      <c r="H184" s="246"/>
    </row>
    <row r="185" spans="7:8" ht="12.75">
      <c r="G185" s="247"/>
      <c r="H185" s="246"/>
    </row>
    <row r="186" spans="7:8" ht="12.75">
      <c r="G186" s="247"/>
      <c r="H186" s="246"/>
    </row>
    <row r="187" spans="7:8" ht="12.75">
      <c r="G187" s="247"/>
      <c r="H187" s="246"/>
    </row>
    <row r="188" spans="7:8" ht="12.75">
      <c r="G188" s="247"/>
      <c r="H188" s="246"/>
    </row>
    <row r="189" spans="7:8" ht="12.75">
      <c r="G189" s="247"/>
      <c r="H189" s="246"/>
    </row>
    <row r="190" spans="7:8" ht="12.75">
      <c r="G190" s="247"/>
      <c r="H190" s="246"/>
    </row>
    <row r="191" spans="7:8" ht="12.75">
      <c r="G191" s="247"/>
      <c r="H191" s="246"/>
    </row>
    <row r="192" spans="7:8" ht="12.75">
      <c r="G192" s="247"/>
      <c r="H192" s="246"/>
    </row>
    <row r="193" spans="7:8" ht="12.75">
      <c r="G193" s="247"/>
      <c r="H193" s="246"/>
    </row>
    <row r="194" spans="7:8" ht="12.75">
      <c r="G194" s="247"/>
      <c r="H194" s="246"/>
    </row>
    <row r="195" spans="7:8" ht="12.75">
      <c r="G195" s="247"/>
      <c r="H195" s="246"/>
    </row>
    <row r="196" spans="7:8" ht="12.75">
      <c r="G196" s="247"/>
      <c r="H196" s="246"/>
    </row>
    <row r="197" spans="7:8" ht="12.75">
      <c r="G197" s="247"/>
      <c r="H197" s="246"/>
    </row>
    <row r="198" spans="7:8" ht="12.75">
      <c r="G198" s="247"/>
      <c r="H198" s="246"/>
    </row>
    <row r="199" spans="7:8" ht="12.75">
      <c r="G199" s="247"/>
      <c r="H199" s="246"/>
    </row>
    <row r="200" spans="7:8" ht="12.75">
      <c r="G200" s="247"/>
      <c r="H200" s="246"/>
    </row>
    <row r="201" spans="7:8" ht="12.75">
      <c r="G201" s="247"/>
      <c r="H201" s="246"/>
    </row>
    <row r="202" spans="7:8" ht="12.75">
      <c r="G202" s="247"/>
      <c r="H202" s="246"/>
    </row>
    <row r="203" spans="7:8" ht="12.75">
      <c r="G203" s="247"/>
      <c r="H203" s="246"/>
    </row>
    <row r="204" spans="7:8" ht="12.75">
      <c r="G204" s="247"/>
      <c r="H204" s="246"/>
    </row>
    <row r="205" spans="7:8" ht="12.75">
      <c r="G205" s="247"/>
      <c r="H205" s="246"/>
    </row>
    <row r="206" spans="7:8" ht="12.75">
      <c r="G206" s="247"/>
      <c r="H206" s="246"/>
    </row>
    <row r="207" spans="7:8" ht="12.75">
      <c r="G207" s="247"/>
      <c r="H207" s="246"/>
    </row>
    <row r="208" spans="7:8" ht="12.75">
      <c r="G208" s="247"/>
      <c r="H208" s="246"/>
    </row>
    <row r="209" spans="7:8" ht="12.75">
      <c r="G209" s="247"/>
      <c r="H209" s="246"/>
    </row>
    <row r="210" spans="7:8" ht="12.75">
      <c r="G210" s="247"/>
      <c r="H210" s="246"/>
    </row>
    <row r="211" spans="7:8" ht="12.75">
      <c r="G211" s="247"/>
      <c r="H211" s="246"/>
    </row>
    <row r="212" spans="7:8" ht="12.75">
      <c r="G212" s="247"/>
      <c r="H212" s="246"/>
    </row>
    <row r="213" spans="7:8" ht="12.75">
      <c r="G213" s="247"/>
      <c r="H213" s="246"/>
    </row>
    <row r="214" spans="7:8" ht="12.75">
      <c r="G214" s="247"/>
      <c r="H214" s="246"/>
    </row>
    <row r="215" spans="7:8" ht="12.75">
      <c r="G215" s="247"/>
      <c r="H215" s="246"/>
    </row>
    <row r="216" spans="7:8" ht="12.75">
      <c r="G216" s="247"/>
      <c r="H216" s="246"/>
    </row>
    <row r="217" spans="7:8" ht="12.75">
      <c r="G217" s="247"/>
      <c r="H217" s="246"/>
    </row>
    <row r="218" spans="7:8" ht="12.75">
      <c r="G218" s="247"/>
      <c r="H218" s="246"/>
    </row>
    <row r="219" spans="7:8" ht="12.75">
      <c r="G219" s="247"/>
      <c r="H219" s="246"/>
    </row>
    <row r="220" spans="7:8" ht="12.75">
      <c r="G220" s="247"/>
      <c r="H220" s="246"/>
    </row>
    <row r="221" spans="7:8" ht="12.75">
      <c r="G221" s="247"/>
      <c r="H221" s="246"/>
    </row>
    <row r="222" spans="7:8" ht="12.75">
      <c r="G222" s="247"/>
      <c r="H222" s="246"/>
    </row>
    <row r="223" spans="7:8" ht="12.75">
      <c r="G223" s="247"/>
      <c r="H223" s="246"/>
    </row>
    <row r="224" spans="7:8" ht="12.75">
      <c r="G224" s="247"/>
      <c r="H224" s="246"/>
    </row>
    <row r="225" spans="7:8" ht="12.75">
      <c r="G225" s="247"/>
      <c r="H225" s="246"/>
    </row>
    <row r="226" spans="7:8" ht="12.75">
      <c r="G226" s="247"/>
      <c r="H226" s="246"/>
    </row>
    <row r="227" spans="7:8" ht="12.75">
      <c r="G227" s="247"/>
      <c r="H227" s="246"/>
    </row>
    <row r="228" spans="7:8" ht="12.75">
      <c r="G228" s="247"/>
      <c r="H228" s="246"/>
    </row>
    <row r="229" spans="7:8" ht="12.75">
      <c r="G229" s="247"/>
      <c r="H229" s="246"/>
    </row>
    <row r="230" spans="7:8" ht="12.75">
      <c r="G230" s="247"/>
      <c r="H230" s="246"/>
    </row>
    <row r="231" spans="7:8" ht="12.75">
      <c r="G231" s="247"/>
      <c r="H231" s="246"/>
    </row>
    <row r="232" spans="7:8" ht="12.75">
      <c r="G232" s="247"/>
      <c r="H232" s="246"/>
    </row>
    <row r="233" spans="7:8" ht="12.75">
      <c r="G233" s="247"/>
      <c r="H233" s="246"/>
    </row>
    <row r="234" spans="7:8" ht="12.75">
      <c r="G234" s="247"/>
      <c r="H234" s="246"/>
    </row>
    <row r="235" spans="7:8" ht="12.75">
      <c r="G235" s="247"/>
      <c r="H235" s="246"/>
    </row>
    <row r="236" spans="7:8" ht="12.75">
      <c r="G236" s="247"/>
      <c r="H236" s="246"/>
    </row>
    <row r="237" spans="7:8" ht="12.75">
      <c r="G237" s="247"/>
      <c r="H237" s="246"/>
    </row>
    <row r="238" spans="7:8" ht="12.75">
      <c r="G238" s="247"/>
      <c r="H238" s="246"/>
    </row>
    <row r="239" spans="7:8" ht="12.75">
      <c r="G239" s="247"/>
      <c r="H239" s="246"/>
    </row>
    <row r="240" spans="7:8" ht="12.75">
      <c r="G240" s="247"/>
      <c r="H240" s="246"/>
    </row>
    <row r="241" spans="7:8" ht="12.75">
      <c r="G241" s="247"/>
      <c r="H241" s="246"/>
    </row>
    <row r="242" spans="7:8" ht="12.75">
      <c r="G242" s="247"/>
      <c r="H242" s="246"/>
    </row>
    <row r="243" spans="7:8" ht="12.75">
      <c r="G243" s="247"/>
      <c r="H243" s="246"/>
    </row>
    <row r="244" spans="7:8" ht="12.75">
      <c r="G244" s="247"/>
      <c r="H244" s="246"/>
    </row>
    <row r="245" spans="7:8" ht="12.75">
      <c r="G245" s="247"/>
      <c r="H245" s="246"/>
    </row>
    <row r="246" spans="7:8" ht="12.75">
      <c r="G246" s="247"/>
      <c r="H246" s="246"/>
    </row>
    <row r="247" spans="7:8" ht="12.75">
      <c r="G247" s="247"/>
      <c r="H247" s="246"/>
    </row>
    <row r="248" spans="7:8" ht="12.75">
      <c r="G248" s="247"/>
      <c r="H248" s="246"/>
    </row>
    <row r="249" spans="7:8" ht="12.75">
      <c r="G249" s="247"/>
      <c r="H249" s="246"/>
    </row>
    <row r="250" spans="7:8" ht="12.75">
      <c r="G250" s="247"/>
      <c r="H250" s="246"/>
    </row>
    <row r="251" spans="7:8" ht="12.75">
      <c r="G251" s="247"/>
      <c r="H251" s="246"/>
    </row>
    <row r="252" spans="7:8" ht="12.75">
      <c r="G252" s="247"/>
      <c r="H252" s="246"/>
    </row>
    <row r="253" spans="7:8" ht="12.75">
      <c r="G253" s="247"/>
      <c r="H253" s="246"/>
    </row>
    <row r="254" spans="7:8" ht="12.75">
      <c r="G254" s="247"/>
      <c r="H254" s="246"/>
    </row>
    <row r="255" spans="7:8" ht="12.75">
      <c r="G255" s="247"/>
      <c r="H255" s="246"/>
    </row>
    <row r="256" spans="7:8" ht="12.75">
      <c r="G256" s="247"/>
      <c r="H256" s="246"/>
    </row>
    <row r="257" spans="7:8" ht="12.75">
      <c r="G257" s="247"/>
      <c r="H257" s="246"/>
    </row>
    <row r="258" spans="7:8" ht="12.75">
      <c r="G258" s="247"/>
      <c r="H258" s="246"/>
    </row>
    <row r="259" spans="7:8" ht="12.75">
      <c r="G259" s="247"/>
      <c r="H259" s="246"/>
    </row>
    <row r="260" spans="7:8" ht="12.75">
      <c r="G260" s="247"/>
      <c r="H260" s="246"/>
    </row>
    <row r="261" spans="7:8" ht="12.75">
      <c r="G261" s="247"/>
      <c r="H261" s="246"/>
    </row>
    <row r="262" spans="7:8" ht="12.75">
      <c r="G262" s="247"/>
      <c r="H262" s="246"/>
    </row>
    <row r="263" spans="7:8" ht="12.75">
      <c r="G263" s="247"/>
      <c r="H263" s="246"/>
    </row>
    <row r="264" spans="7:8" ht="12.75">
      <c r="G264" s="247"/>
      <c r="H264" s="246"/>
    </row>
    <row r="265" spans="7:8" ht="12.75">
      <c r="G265" s="247"/>
      <c r="H265" s="246"/>
    </row>
    <row r="266" spans="7:8" ht="12.75">
      <c r="G266" s="247"/>
      <c r="H266" s="246"/>
    </row>
    <row r="267" spans="7:8" ht="12.75">
      <c r="G267" s="247"/>
      <c r="H267" s="246"/>
    </row>
    <row r="268" spans="7:8" ht="12.75">
      <c r="G268" s="247"/>
      <c r="H268" s="246"/>
    </row>
    <row r="269" spans="7:8" ht="12.75">
      <c r="G269" s="247"/>
      <c r="H269" s="246"/>
    </row>
    <row r="270" spans="7:8" ht="12.75">
      <c r="G270" s="247"/>
      <c r="H270" s="246"/>
    </row>
    <row r="271" spans="7:8" ht="12.75">
      <c r="G271" s="247"/>
      <c r="H271" s="246"/>
    </row>
    <row r="272" spans="7:8" ht="12.75">
      <c r="G272" s="247"/>
      <c r="H272" s="246"/>
    </row>
    <row r="273" spans="7:8" ht="12.75">
      <c r="G273" s="247"/>
      <c r="H273" s="246"/>
    </row>
    <row r="274" spans="7:8" ht="12.75">
      <c r="G274" s="247"/>
      <c r="H274" s="246"/>
    </row>
    <row r="275" spans="7:8" ht="12.75">
      <c r="G275" s="247"/>
      <c r="H275" s="246"/>
    </row>
    <row r="276" spans="7:8" ht="12.75">
      <c r="G276" s="247"/>
      <c r="H276" s="246"/>
    </row>
    <row r="277" spans="7:8" ht="12.75">
      <c r="G277" s="247"/>
      <c r="H277" s="246"/>
    </row>
    <row r="278" spans="7:8" ht="12.75">
      <c r="G278" s="247"/>
      <c r="H278" s="246"/>
    </row>
    <row r="279" spans="7:8" ht="12.75">
      <c r="G279" s="247"/>
      <c r="H279" s="246"/>
    </row>
    <row r="280" spans="7:8" ht="12.75">
      <c r="G280" s="247"/>
      <c r="H280" s="246"/>
    </row>
    <row r="281" spans="7:8" ht="12.75">
      <c r="G281" s="247"/>
      <c r="H281" s="246"/>
    </row>
    <row r="282" spans="7:8" ht="12.75">
      <c r="G282" s="247"/>
      <c r="H282" s="246"/>
    </row>
    <row r="283" spans="7:8" ht="12.75">
      <c r="G283" s="247"/>
      <c r="H283" s="246"/>
    </row>
    <row r="284" spans="7:8" ht="12.75">
      <c r="G284" s="247"/>
      <c r="H284" s="246"/>
    </row>
    <row r="285" spans="7:8" ht="12.75">
      <c r="G285" s="247"/>
      <c r="H285" s="246"/>
    </row>
    <row r="286" spans="7:8" ht="12.75">
      <c r="G286" s="247"/>
      <c r="H286" s="246"/>
    </row>
    <row r="287" spans="7:8" ht="12.75">
      <c r="G287" s="247"/>
      <c r="H287" s="246"/>
    </row>
    <row r="288" spans="7:8" ht="12.75">
      <c r="G288" s="247"/>
      <c r="H288" s="246"/>
    </row>
    <row r="289" spans="7:8" ht="12.75">
      <c r="G289" s="247"/>
      <c r="H289" s="246"/>
    </row>
    <row r="290" spans="7:8" ht="12.75">
      <c r="G290" s="247"/>
      <c r="H290" s="246"/>
    </row>
    <row r="291" spans="7:8" ht="12.75">
      <c r="G291" s="247"/>
      <c r="H291" s="246"/>
    </row>
    <row r="292" spans="7:8" ht="12.75">
      <c r="G292" s="247"/>
      <c r="H292" s="246"/>
    </row>
    <row r="293" spans="7:8" ht="12.75">
      <c r="G293" s="247"/>
      <c r="H293" s="246"/>
    </row>
    <row r="294" spans="7:8" ht="12.75">
      <c r="G294" s="247"/>
      <c r="H294" s="246"/>
    </row>
    <row r="295" spans="7:8" ht="12.75">
      <c r="G295" s="247"/>
      <c r="H295" s="246"/>
    </row>
    <row r="296" spans="7:8" ht="12.75">
      <c r="G296" s="247"/>
      <c r="H296" s="246"/>
    </row>
    <row r="297" spans="7:8" ht="12.75">
      <c r="G297" s="247"/>
      <c r="H297" s="246"/>
    </row>
    <row r="298" spans="7:8" ht="12.75">
      <c r="G298" s="247"/>
      <c r="H298" s="246"/>
    </row>
    <row r="299" spans="7:8" ht="12.75">
      <c r="G299" s="247"/>
      <c r="H299" s="246"/>
    </row>
    <row r="300" spans="7:8" ht="12.75">
      <c r="G300" s="247"/>
      <c r="H300" s="246"/>
    </row>
    <row r="301" spans="7:8" ht="12.75">
      <c r="G301" s="247"/>
      <c r="H301" s="246"/>
    </row>
    <row r="302" spans="7:8" ht="12.75">
      <c r="G302" s="247"/>
      <c r="H302" s="246"/>
    </row>
    <row r="303" spans="7:8" ht="12.75">
      <c r="G303" s="247"/>
      <c r="H303" s="246"/>
    </row>
    <row r="304" spans="7:8" ht="12.75">
      <c r="G304" s="247"/>
      <c r="H304" s="246"/>
    </row>
    <row r="305" spans="7:8" ht="12.75">
      <c r="G305" s="247"/>
      <c r="H305" s="246"/>
    </row>
    <row r="306" spans="7:8" ht="12.75">
      <c r="G306" s="247"/>
      <c r="H306" s="246"/>
    </row>
    <row r="307" spans="7:8" ht="12.75">
      <c r="G307" s="247"/>
      <c r="H307" s="246"/>
    </row>
    <row r="308" spans="7:8" ht="12.75">
      <c r="G308" s="247"/>
      <c r="H308" s="246"/>
    </row>
    <row r="309" spans="7:8" ht="12.75">
      <c r="G309" s="247"/>
      <c r="H309" s="246"/>
    </row>
    <row r="310" spans="7:8" ht="12.75">
      <c r="G310" s="247"/>
      <c r="H310" s="246"/>
    </row>
    <row r="311" spans="7:8" ht="12.75">
      <c r="G311" s="247"/>
      <c r="H311" s="246"/>
    </row>
    <row r="312" spans="7:8" ht="12.75">
      <c r="G312" s="247"/>
      <c r="H312" s="246"/>
    </row>
    <row r="313" spans="7:8" ht="12.75">
      <c r="G313" s="247"/>
      <c r="H313" s="246"/>
    </row>
    <row r="314" spans="7:8" ht="12.75">
      <c r="G314" s="247"/>
      <c r="H314" s="246"/>
    </row>
    <row r="315" spans="7:8" ht="12.75">
      <c r="G315" s="247"/>
      <c r="H315" s="246"/>
    </row>
    <row r="316" spans="7:8" ht="12.75">
      <c r="G316" s="247"/>
      <c r="H316" s="246"/>
    </row>
    <row r="317" spans="7:8" ht="12.75">
      <c r="G317" s="247"/>
      <c r="H317" s="246"/>
    </row>
    <row r="318" spans="7:8" ht="12.75">
      <c r="G318" s="247"/>
      <c r="H318" s="246"/>
    </row>
    <row r="319" spans="7:8" ht="12.75">
      <c r="G319" s="247"/>
      <c r="H319" s="246"/>
    </row>
    <row r="320" spans="7:8" ht="12.75">
      <c r="G320" s="247"/>
      <c r="H320" s="246"/>
    </row>
    <row r="321" spans="7:8" ht="12.75">
      <c r="G321" s="247"/>
      <c r="H321" s="246"/>
    </row>
    <row r="322" spans="7:8" ht="12.75">
      <c r="G322" s="247"/>
      <c r="H322" s="246"/>
    </row>
    <row r="323" spans="7:8" ht="12.75">
      <c r="G323" s="247"/>
      <c r="H323" s="246"/>
    </row>
    <row r="324" spans="7:8" ht="12.75">
      <c r="G324" s="247"/>
      <c r="H324" s="246"/>
    </row>
    <row r="325" spans="7:8" ht="12.75">
      <c r="G325" s="247"/>
      <c r="H325" s="246"/>
    </row>
    <row r="326" spans="7:8" ht="12.75">
      <c r="G326" s="247"/>
      <c r="H326" s="246"/>
    </row>
    <row r="327" spans="7:8" ht="12.75">
      <c r="G327" s="247"/>
      <c r="H327" s="246"/>
    </row>
    <row r="328" spans="7:8" ht="12.75">
      <c r="G328" s="247"/>
      <c r="H328" s="246"/>
    </row>
    <row r="329" spans="7:8" ht="12.75">
      <c r="G329" s="247"/>
      <c r="H329" s="246"/>
    </row>
    <row r="330" spans="7:8" ht="12.75">
      <c r="G330" s="247"/>
      <c r="H330" s="246"/>
    </row>
    <row r="331" spans="7:8" ht="12.75">
      <c r="G331" s="247"/>
      <c r="H331" s="246"/>
    </row>
    <row r="332" spans="7:8" ht="12.75">
      <c r="G332" s="247"/>
      <c r="H332" s="246"/>
    </row>
    <row r="333" spans="7:8" ht="12.75">
      <c r="G333" s="247"/>
      <c r="H333" s="246"/>
    </row>
    <row r="334" spans="7:8" ht="12.75">
      <c r="G334" s="247"/>
      <c r="H334" s="246"/>
    </row>
    <row r="335" spans="7:8" ht="12.75">
      <c r="G335" s="247"/>
      <c r="H335" s="246"/>
    </row>
    <row r="336" spans="7:8" ht="12.75">
      <c r="G336" s="247"/>
      <c r="H336" s="246"/>
    </row>
    <row r="337" spans="7:8" ht="12.75">
      <c r="G337" s="247"/>
      <c r="H337" s="246"/>
    </row>
    <row r="338" spans="7:8" ht="12.75">
      <c r="G338" s="247"/>
      <c r="H338" s="246"/>
    </row>
    <row r="339" spans="7:8" ht="12.75">
      <c r="G339" s="247"/>
      <c r="H339" s="246"/>
    </row>
    <row r="340" spans="7:8" ht="12.75">
      <c r="G340" s="247"/>
      <c r="H340" s="246"/>
    </row>
    <row r="341" spans="7:8" ht="12.75">
      <c r="G341" s="247"/>
      <c r="H341" s="246"/>
    </row>
    <row r="342" spans="7:8" ht="12.75">
      <c r="G342" s="247"/>
      <c r="H342" s="246"/>
    </row>
    <row r="343" spans="7:8" ht="12.75">
      <c r="G343" s="247"/>
      <c r="H343" s="246"/>
    </row>
    <row r="344" spans="7:8" ht="12.75">
      <c r="G344" s="247"/>
      <c r="H344" s="246"/>
    </row>
    <row r="345" spans="7:8" ht="12.75">
      <c r="G345" s="247"/>
      <c r="H345" s="246"/>
    </row>
    <row r="346" spans="7:8" ht="12.75">
      <c r="G346" s="247"/>
      <c r="H346" s="246"/>
    </row>
    <row r="347" spans="7:8" ht="12.75">
      <c r="G347" s="247"/>
      <c r="H347" s="246"/>
    </row>
    <row r="348" spans="7:8" ht="12.75">
      <c r="G348" s="247"/>
      <c r="H348" s="246"/>
    </row>
    <row r="349" spans="7:8" ht="12.75">
      <c r="G349" s="247"/>
      <c r="H349" s="246"/>
    </row>
    <row r="350" spans="7:8" ht="12.75">
      <c r="G350" s="247"/>
      <c r="H350" s="246"/>
    </row>
    <row r="351" spans="7:8" ht="12.75">
      <c r="G351" s="247"/>
      <c r="H351" s="246"/>
    </row>
    <row r="352" spans="7:8" ht="12.75">
      <c r="G352" s="247"/>
      <c r="H352" s="246"/>
    </row>
    <row r="353" spans="7:8" ht="12.75">
      <c r="G353" s="247"/>
      <c r="H353" s="246"/>
    </row>
    <row r="354" spans="7:8" ht="12.75">
      <c r="G354" s="247"/>
      <c r="H354" s="246"/>
    </row>
    <row r="355" spans="7:8" ht="12.75">
      <c r="G355" s="247"/>
      <c r="H355" s="246"/>
    </row>
    <row r="356" spans="7:8" ht="12.75">
      <c r="G356" s="247"/>
      <c r="H356" s="246"/>
    </row>
    <row r="357" spans="7:8" ht="12.75">
      <c r="G357" s="247"/>
      <c r="H357" s="246"/>
    </row>
    <row r="358" spans="7:8" ht="12.75">
      <c r="G358" s="247"/>
      <c r="H358" s="246"/>
    </row>
    <row r="359" spans="7:8" ht="12.75">
      <c r="G359" s="247"/>
      <c r="H359" s="246"/>
    </row>
    <row r="360" spans="7:8" ht="12.75">
      <c r="G360" s="247"/>
      <c r="H360" s="246"/>
    </row>
    <row r="361" spans="7:8" ht="12.75">
      <c r="G361" s="247"/>
      <c r="H361" s="246"/>
    </row>
    <row r="362" spans="7:8" ht="12.75">
      <c r="G362" s="247"/>
      <c r="H362" s="246"/>
    </row>
    <row r="363" spans="7:8" ht="12.75">
      <c r="G363" s="247"/>
      <c r="H363" s="246"/>
    </row>
    <row r="364" spans="7:8" ht="12.75">
      <c r="G364" s="247"/>
      <c r="H364" s="246"/>
    </row>
    <row r="365" spans="7:8" ht="12.75">
      <c r="G365" s="247"/>
      <c r="H365" s="246"/>
    </row>
    <row r="366" spans="7:8" ht="12.75">
      <c r="G366" s="247"/>
      <c r="H366" s="246"/>
    </row>
    <row r="367" spans="7:8" ht="12.75">
      <c r="G367" s="247"/>
      <c r="H367" s="246"/>
    </row>
    <row r="368" spans="7:8" ht="12.75">
      <c r="G368" s="247"/>
      <c r="H368" s="246"/>
    </row>
    <row r="369" spans="7:8" ht="12.75">
      <c r="G369" s="247"/>
      <c r="H369" s="246"/>
    </row>
    <row r="370" spans="7:8" ht="12.75">
      <c r="G370" s="247"/>
      <c r="H370" s="246"/>
    </row>
    <row r="371" spans="7:8" ht="12.75">
      <c r="G371" s="247"/>
      <c r="H371" s="246"/>
    </row>
    <row r="372" spans="7:8" ht="12.75">
      <c r="G372" s="247"/>
      <c r="H372" s="246"/>
    </row>
    <row r="373" spans="7:8" ht="12.75">
      <c r="G373" s="247"/>
      <c r="H373" s="246"/>
    </row>
    <row r="374" spans="7:8" ht="12.75">
      <c r="G374" s="247"/>
      <c r="H374" s="246"/>
    </row>
    <row r="375" spans="7:8" ht="12.75">
      <c r="G375" s="247"/>
      <c r="H375" s="246"/>
    </row>
    <row r="376" spans="7:8" ht="12.75">
      <c r="G376" s="247"/>
      <c r="H376" s="246"/>
    </row>
    <row r="377" spans="7:8" ht="12.75">
      <c r="G377" s="247"/>
      <c r="H377" s="246"/>
    </row>
    <row r="378" spans="7:8" ht="12.75">
      <c r="G378" s="247"/>
      <c r="H378" s="246"/>
    </row>
    <row r="379" spans="7:8" ht="12.75">
      <c r="G379" s="247"/>
      <c r="H379" s="246"/>
    </row>
    <row r="380" spans="7:8" ht="12.75">
      <c r="G380" s="247"/>
      <c r="H380" s="246"/>
    </row>
    <row r="381" spans="7:8" ht="12.75">
      <c r="G381" s="247"/>
      <c r="H381" s="246"/>
    </row>
    <row r="382" spans="7:8" ht="12.75">
      <c r="G382" s="247"/>
      <c r="H382" s="246"/>
    </row>
    <row r="383" spans="7:8" ht="12.75">
      <c r="G383" s="247"/>
      <c r="H383" s="246"/>
    </row>
    <row r="384" spans="7:8" ht="12.75">
      <c r="G384" s="247"/>
      <c r="H384" s="246"/>
    </row>
    <row r="385" spans="7:8" ht="12.75">
      <c r="G385" s="247"/>
      <c r="H385" s="246"/>
    </row>
    <row r="386" spans="7:8" ht="12.75">
      <c r="G386" s="247"/>
      <c r="H386" s="246"/>
    </row>
    <row r="387" spans="7:8" ht="12.75">
      <c r="G387" s="247"/>
      <c r="H387" s="246"/>
    </row>
    <row r="388" spans="7:8" ht="12.75">
      <c r="G388" s="247"/>
      <c r="H388" s="246"/>
    </row>
    <row r="389" spans="7:8" ht="12.75">
      <c r="G389" s="247"/>
      <c r="H389" s="246"/>
    </row>
    <row r="390" spans="7:8" ht="12.75">
      <c r="G390" s="247"/>
      <c r="H390" s="246"/>
    </row>
    <row r="391" spans="7:8" ht="12.75">
      <c r="G391" s="247"/>
      <c r="H391" s="246"/>
    </row>
    <row r="392" spans="7:8" ht="12.75">
      <c r="G392" s="247"/>
      <c r="H392" s="246"/>
    </row>
    <row r="393" spans="7:8" ht="12.75">
      <c r="G393" s="247"/>
      <c r="H393" s="246"/>
    </row>
    <row r="394" spans="7:8" ht="12.75">
      <c r="G394" s="247"/>
      <c r="H394" s="246"/>
    </row>
    <row r="395" spans="7:8" ht="12.75">
      <c r="G395" s="247"/>
      <c r="H395" s="246"/>
    </row>
    <row r="396" spans="7:8" ht="12.75">
      <c r="G396" s="247"/>
      <c r="H396" s="246"/>
    </row>
    <row r="397" spans="7:8" ht="12.75">
      <c r="G397" s="247"/>
      <c r="H397" s="246"/>
    </row>
    <row r="398" spans="7:8" ht="12.75">
      <c r="G398" s="247"/>
      <c r="H398" s="246"/>
    </row>
    <row r="399" spans="7:8" ht="12.75">
      <c r="G399" s="247"/>
      <c r="H399" s="246"/>
    </row>
    <row r="400" spans="7:8" ht="12.75">
      <c r="G400" s="247"/>
      <c r="H400" s="246"/>
    </row>
    <row r="401" spans="7:8" ht="12.75">
      <c r="G401" s="247"/>
      <c r="H401" s="246"/>
    </row>
    <row r="402" spans="7:8" ht="12.75">
      <c r="G402" s="247"/>
      <c r="H402" s="246"/>
    </row>
    <row r="403" spans="7:8" ht="12.75">
      <c r="G403" s="247"/>
      <c r="H403" s="246"/>
    </row>
    <row r="404" spans="7:8" ht="12.75">
      <c r="G404" s="247"/>
      <c r="H404" s="246"/>
    </row>
    <row r="405" spans="7:8" ht="12.75">
      <c r="G405" s="247"/>
      <c r="H405" s="246"/>
    </row>
    <row r="406" spans="7:8" ht="12.75">
      <c r="G406" s="247"/>
      <c r="H406" s="246"/>
    </row>
    <row r="407" spans="7:8" ht="12.75">
      <c r="G407" s="247"/>
      <c r="H407" s="246"/>
    </row>
    <row r="408" spans="7:8" ht="12.75">
      <c r="G408" s="247"/>
      <c r="H408" s="246"/>
    </row>
    <row r="409" spans="7:8" ht="12.75">
      <c r="G409" s="247"/>
      <c r="H409" s="246"/>
    </row>
    <row r="410" spans="7:8" ht="12.75">
      <c r="G410" s="247"/>
      <c r="H410" s="246"/>
    </row>
    <row r="411" spans="7:8" ht="12.75">
      <c r="G411" s="247"/>
      <c r="H411" s="246"/>
    </row>
    <row r="412" spans="7:8" ht="12.75">
      <c r="G412" s="247"/>
      <c r="H412" s="246"/>
    </row>
    <row r="413" spans="7:8" ht="12.75">
      <c r="G413" s="247"/>
      <c r="H413" s="246"/>
    </row>
    <row r="414" spans="7:8" ht="12.75">
      <c r="G414" s="247"/>
      <c r="H414" s="246"/>
    </row>
    <row r="415" spans="7:8" ht="12.75">
      <c r="G415" s="247"/>
      <c r="H415" s="246"/>
    </row>
    <row r="416" spans="7:8" ht="12.75">
      <c r="G416" s="247"/>
      <c r="H416" s="246"/>
    </row>
    <row r="417" spans="7:8" ht="12.75">
      <c r="G417" s="247"/>
      <c r="H417" s="246"/>
    </row>
    <row r="418" spans="7:8" ht="12.75">
      <c r="G418" s="247"/>
      <c r="H418" s="246"/>
    </row>
    <row r="419" spans="7:8" ht="12.75">
      <c r="G419" s="247"/>
      <c r="H419" s="246"/>
    </row>
    <row r="420" spans="7:8" ht="12.75">
      <c r="G420" s="247"/>
      <c r="H420" s="246"/>
    </row>
    <row r="421" spans="7:8" ht="12.75">
      <c r="G421" s="247"/>
      <c r="H421" s="246"/>
    </row>
    <row r="422" spans="7:8" ht="12.75">
      <c r="G422" s="247"/>
      <c r="H422" s="246"/>
    </row>
    <row r="423" spans="7:8" ht="12.75">
      <c r="G423" s="247"/>
      <c r="H423" s="246"/>
    </row>
    <row r="424" spans="7:8" ht="12.75">
      <c r="G424" s="247"/>
      <c r="H424" s="246"/>
    </row>
    <row r="425" spans="7:8" ht="12.75">
      <c r="G425" s="247"/>
      <c r="H425" s="246"/>
    </row>
    <row r="426" spans="7:8" ht="12.75">
      <c r="G426" s="247"/>
      <c r="H426" s="246"/>
    </row>
    <row r="427" spans="7:8" ht="12.75">
      <c r="G427" s="247"/>
      <c r="H427" s="246"/>
    </row>
    <row r="428" spans="7:8" ht="12.75">
      <c r="G428" s="247"/>
      <c r="H428" s="246"/>
    </row>
    <row r="429" spans="7:8" ht="12.75">
      <c r="G429" s="247"/>
      <c r="H429" s="246"/>
    </row>
    <row r="430" spans="7:8" ht="12.75">
      <c r="G430" s="247"/>
      <c r="H430" s="246"/>
    </row>
    <row r="431" spans="7:8" ht="12.75">
      <c r="G431" s="247"/>
      <c r="H431" s="246"/>
    </row>
    <row r="432" spans="7:8" ht="12.75">
      <c r="G432" s="247"/>
      <c r="H432" s="246"/>
    </row>
    <row r="433" spans="7:8" ht="12.75">
      <c r="G433" s="247"/>
      <c r="H433" s="246"/>
    </row>
    <row r="434" spans="7:8" ht="12.75">
      <c r="G434" s="247"/>
      <c r="H434" s="246"/>
    </row>
    <row r="435" spans="7:8" ht="12.75">
      <c r="G435" s="247"/>
      <c r="H435" s="246"/>
    </row>
    <row r="436" spans="7:8" ht="12.75">
      <c r="G436" s="247"/>
      <c r="H436" s="246"/>
    </row>
    <row r="437" spans="7:8" ht="12.75">
      <c r="G437" s="247"/>
      <c r="H437" s="246"/>
    </row>
    <row r="438" spans="7:8" ht="12.75">
      <c r="G438" s="247"/>
      <c r="H438" s="246"/>
    </row>
    <row r="439" spans="7:8" ht="12.75">
      <c r="G439" s="247"/>
      <c r="H439" s="246"/>
    </row>
    <row r="440" spans="7:8" ht="12.75">
      <c r="G440" s="247"/>
      <c r="H440" s="246"/>
    </row>
    <row r="441" spans="7:8" ht="12.75">
      <c r="G441" s="247"/>
      <c r="H441" s="246"/>
    </row>
    <row r="442" spans="7:8" ht="12.75">
      <c r="G442" s="247"/>
      <c r="H442" s="246"/>
    </row>
    <row r="443" spans="7:8" ht="12.75">
      <c r="G443" s="247"/>
      <c r="H443" s="246"/>
    </row>
    <row r="444" spans="7:8" ht="12.75">
      <c r="G444" s="247"/>
      <c r="H444" s="246"/>
    </row>
    <row r="445" spans="7:8" ht="12.75">
      <c r="G445" s="247"/>
      <c r="H445" s="246"/>
    </row>
    <row r="446" spans="7:8" ht="12.75">
      <c r="G446" s="247"/>
      <c r="H446" s="246"/>
    </row>
    <row r="447" spans="7:8" ht="12.75">
      <c r="G447" s="247"/>
      <c r="H447" s="246"/>
    </row>
    <row r="448" spans="7:8" ht="12.75">
      <c r="G448" s="247"/>
      <c r="H448" s="246"/>
    </row>
    <row r="449" spans="7:8" ht="12.75">
      <c r="G449" s="247"/>
      <c r="H449" s="246"/>
    </row>
    <row r="450" spans="7:8" ht="12.75">
      <c r="G450" s="247"/>
      <c r="H450" s="246"/>
    </row>
    <row r="451" spans="7:8" ht="12.75">
      <c r="G451" s="247"/>
      <c r="H451" s="246"/>
    </row>
    <row r="452" spans="7:8" ht="12.75">
      <c r="G452" s="247"/>
      <c r="H452" s="246"/>
    </row>
    <row r="453" spans="7:8" ht="12.75">
      <c r="G453" s="247"/>
      <c r="H453" s="246"/>
    </row>
    <row r="454" spans="7:8" ht="12.75">
      <c r="G454" s="247"/>
      <c r="H454" s="246"/>
    </row>
    <row r="455" spans="7:8" ht="12.75">
      <c r="G455" s="247"/>
      <c r="H455" s="246"/>
    </row>
    <row r="456" spans="7:8" ht="12.75">
      <c r="G456" s="247"/>
      <c r="H456" s="246"/>
    </row>
    <row r="457" spans="7:8" ht="12.75">
      <c r="G457" s="247"/>
      <c r="H457" s="246"/>
    </row>
    <row r="458" spans="7:8" ht="12.75">
      <c r="G458" s="247"/>
      <c r="H458" s="246"/>
    </row>
    <row r="459" spans="7:8" ht="12.75">
      <c r="G459" s="247"/>
      <c r="H459" s="246"/>
    </row>
    <row r="460" spans="7:8" ht="12.75">
      <c r="G460" s="247"/>
      <c r="H460" s="246"/>
    </row>
    <row r="461" spans="7:8" ht="12.75">
      <c r="G461" s="247"/>
      <c r="H461" s="246"/>
    </row>
    <row r="462" spans="7:8" ht="12.75">
      <c r="G462" s="247"/>
      <c r="H462" s="246"/>
    </row>
    <row r="463" spans="7:8" ht="12.75">
      <c r="G463" s="247"/>
      <c r="H463" s="246"/>
    </row>
    <row r="464" spans="7:8" ht="12.75">
      <c r="G464" s="247"/>
      <c r="H464" s="246"/>
    </row>
    <row r="465" spans="7:8" ht="12.75">
      <c r="G465" s="247"/>
      <c r="H465" s="246"/>
    </row>
    <row r="466" spans="7:8" ht="12.75">
      <c r="G466" s="247"/>
      <c r="H466" s="246"/>
    </row>
    <row r="467" spans="7:8" ht="12.75">
      <c r="G467" s="247"/>
      <c r="H467" s="246"/>
    </row>
    <row r="468" spans="7:8" ht="12.75">
      <c r="G468" s="247"/>
      <c r="H468" s="246"/>
    </row>
    <row r="469" spans="7:8" ht="12.75">
      <c r="G469" s="247"/>
      <c r="H469" s="246"/>
    </row>
    <row r="470" spans="7:8" ht="12.75">
      <c r="G470" s="247"/>
      <c r="H470" s="246"/>
    </row>
    <row r="471" spans="7:8" ht="12.75">
      <c r="G471" s="247"/>
      <c r="H471" s="246"/>
    </row>
    <row r="472" spans="7:8" ht="12.75">
      <c r="G472" s="247"/>
      <c r="H472" s="246"/>
    </row>
    <row r="473" spans="7:8" ht="12.75">
      <c r="G473" s="247"/>
      <c r="H473" s="246"/>
    </row>
    <row r="474" spans="7:8" ht="12.75">
      <c r="G474" s="247"/>
      <c r="H474" s="246"/>
    </row>
    <row r="475" spans="7:8" ht="12.75">
      <c r="G475" s="247"/>
      <c r="H475" s="246"/>
    </row>
    <row r="476" spans="7:8" ht="12.75">
      <c r="G476" s="247"/>
      <c r="H476" s="246"/>
    </row>
    <row r="477" spans="7:8" ht="12.75">
      <c r="G477" s="247"/>
      <c r="H477" s="246"/>
    </row>
    <row r="478" spans="7:8" ht="12.75">
      <c r="G478" s="247"/>
      <c r="H478" s="246"/>
    </row>
    <row r="479" spans="7:8" ht="12.75">
      <c r="G479" s="247"/>
      <c r="H479" s="246"/>
    </row>
    <row r="480" spans="7:8" ht="12.75">
      <c r="G480" s="247"/>
      <c r="H480" s="246"/>
    </row>
    <row r="481" spans="7:8" ht="12.75">
      <c r="G481" s="247"/>
      <c r="H481" s="246"/>
    </row>
    <row r="482" spans="7:8" ht="12.75">
      <c r="G482" s="247"/>
      <c r="H482" s="246"/>
    </row>
    <row r="483" spans="7:8" ht="12.75">
      <c r="G483" s="247"/>
      <c r="H483" s="246"/>
    </row>
    <row r="484" spans="7:8" ht="12.75">
      <c r="G484" s="247"/>
      <c r="H484" s="246"/>
    </row>
    <row r="485" spans="7:8" ht="12.75">
      <c r="G485" s="247"/>
      <c r="H485" s="246"/>
    </row>
    <row r="486" spans="7:8" ht="12.75">
      <c r="G486" s="247"/>
      <c r="H486" s="246"/>
    </row>
    <row r="487" spans="7:8" ht="12.75">
      <c r="G487" s="247"/>
      <c r="H487" s="246"/>
    </row>
    <row r="488" spans="7:8" ht="12.75">
      <c r="G488" s="247"/>
      <c r="H488" s="246"/>
    </row>
    <row r="489" spans="7:8" ht="12.75">
      <c r="G489" s="247"/>
      <c r="H489" s="246"/>
    </row>
    <row r="490" spans="7:8" ht="12.75">
      <c r="G490" s="247"/>
      <c r="H490" s="246"/>
    </row>
    <row r="491" spans="7:8" ht="12.75">
      <c r="G491" s="247"/>
      <c r="H491" s="246"/>
    </row>
    <row r="492" spans="7:8" ht="12.75">
      <c r="G492" s="247"/>
      <c r="H492" s="246"/>
    </row>
    <row r="493" spans="7:8" ht="12.75">
      <c r="G493" s="247"/>
      <c r="H493" s="246"/>
    </row>
    <row r="494" spans="7:8" ht="12.75">
      <c r="G494" s="247"/>
      <c r="H494" s="246"/>
    </row>
    <row r="495" spans="7:8" ht="12.75">
      <c r="G495" s="247"/>
      <c r="H495" s="246"/>
    </row>
    <row r="496" spans="7:8" ht="12.75">
      <c r="G496" s="247"/>
      <c r="H496" s="246"/>
    </row>
    <row r="497" spans="7:8" ht="12.75">
      <c r="G497" s="247"/>
      <c r="H497" s="246"/>
    </row>
    <row r="498" spans="7:8" ht="12.75">
      <c r="G498" s="247"/>
      <c r="H498" s="246"/>
    </row>
    <row r="499" spans="7:8" ht="12.75">
      <c r="G499" s="247"/>
      <c r="H499" s="246"/>
    </row>
    <row r="500" spans="7:8" ht="12.75">
      <c r="G500" s="247"/>
      <c r="H500" s="246"/>
    </row>
    <row r="501" spans="7:8" ht="12.75">
      <c r="G501" s="247"/>
      <c r="H501" s="246"/>
    </row>
    <row r="502" spans="7:8" ht="12.75">
      <c r="G502" s="247"/>
      <c r="H502" s="246"/>
    </row>
    <row r="503" spans="7:8" ht="12.75">
      <c r="G503" s="247"/>
      <c r="H503" s="246"/>
    </row>
    <row r="504" spans="7:8" ht="12.75">
      <c r="G504" s="247"/>
      <c r="H504" s="246"/>
    </row>
    <row r="505" spans="7:8" ht="12.75">
      <c r="G505" s="247"/>
      <c r="H505" s="246"/>
    </row>
    <row r="506" spans="7:8" ht="12.75">
      <c r="G506" s="247"/>
      <c r="H506" s="246"/>
    </row>
    <row r="507" spans="7:8" ht="12.75">
      <c r="G507" s="247"/>
      <c r="H507" s="246"/>
    </row>
    <row r="508" spans="7:8" ht="12.75">
      <c r="G508" s="247"/>
      <c r="H508" s="246"/>
    </row>
    <row r="509" spans="7:8" ht="12.75">
      <c r="G509" s="247"/>
      <c r="H509" s="246"/>
    </row>
    <row r="510" spans="7:8" ht="12.75">
      <c r="G510" s="247"/>
      <c r="H510" s="246"/>
    </row>
    <row r="511" spans="7:8" ht="12.75">
      <c r="G511" s="247"/>
      <c r="H511" s="246"/>
    </row>
    <row r="512" spans="7:8" ht="12.75">
      <c r="G512" s="247"/>
      <c r="H512" s="246"/>
    </row>
    <row r="513" spans="7:8" ht="12.75">
      <c r="G513" s="247"/>
      <c r="H513" s="246"/>
    </row>
    <row r="514" spans="7:8" ht="12.75">
      <c r="G514" s="247"/>
      <c r="H514" s="246"/>
    </row>
    <row r="515" spans="7:8" ht="12.75">
      <c r="G515" s="247"/>
      <c r="H515" s="246"/>
    </row>
    <row r="516" spans="7:8" ht="12.75">
      <c r="G516" s="247"/>
      <c r="H516" s="246"/>
    </row>
    <row r="517" spans="7:8" ht="12.75">
      <c r="G517" s="247"/>
      <c r="H517" s="246"/>
    </row>
    <row r="518" spans="7:8" ht="12.75">
      <c r="G518" s="247"/>
      <c r="H518" s="246"/>
    </row>
    <row r="519" spans="7:8" ht="12.75">
      <c r="G519" s="247"/>
      <c r="H519" s="246"/>
    </row>
    <row r="520" spans="7:8" ht="12.75">
      <c r="G520" s="247"/>
      <c r="H520" s="246"/>
    </row>
    <row r="521" spans="7:8" ht="12.75">
      <c r="G521" s="247"/>
      <c r="H521" s="246"/>
    </row>
    <row r="522" spans="7:8" ht="12.75">
      <c r="G522" s="247"/>
      <c r="H522" s="246"/>
    </row>
    <row r="523" spans="7:8" ht="12.75">
      <c r="G523" s="247"/>
      <c r="H523" s="246"/>
    </row>
    <row r="524" spans="7:8" ht="12.75">
      <c r="G524" s="247"/>
      <c r="H524" s="246"/>
    </row>
    <row r="525" spans="7:8" ht="12.75">
      <c r="G525" s="247"/>
      <c r="H525" s="246"/>
    </row>
    <row r="526" spans="7:8" ht="12.75">
      <c r="G526" s="247"/>
      <c r="H526" s="246"/>
    </row>
    <row r="527" spans="7:8" ht="12.75">
      <c r="G527" s="247"/>
      <c r="H527" s="246"/>
    </row>
    <row r="528" spans="7:8" ht="12.75">
      <c r="G528" s="247"/>
      <c r="H528" s="246"/>
    </row>
    <row r="529" spans="7:8" ht="12.75">
      <c r="G529" s="247"/>
      <c r="H529" s="246"/>
    </row>
    <row r="530" spans="7:8" ht="12.75">
      <c r="G530" s="247"/>
      <c r="H530" s="246"/>
    </row>
    <row r="531" spans="7:8" ht="12.75">
      <c r="G531" s="247"/>
      <c r="H531" s="246"/>
    </row>
    <row r="532" spans="7:8" ht="12.75">
      <c r="G532" s="247"/>
      <c r="H532" s="246"/>
    </row>
    <row r="533" spans="7:8" ht="12.75">
      <c r="G533" s="247"/>
      <c r="H533" s="246"/>
    </row>
    <row r="534" spans="7:8" ht="12.75">
      <c r="G534" s="247"/>
      <c r="H534" s="246"/>
    </row>
    <row r="535" spans="7:8" ht="12.75">
      <c r="G535" s="247"/>
      <c r="H535" s="246"/>
    </row>
    <row r="536" spans="7:8" ht="12.75">
      <c r="G536" s="247"/>
      <c r="H536" s="246"/>
    </row>
    <row r="537" spans="7:8" ht="12.75">
      <c r="G537" s="247"/>
      <c r="H537" s="246"/>
    </row>
    <row r="538" spans="7:8" ht="12.75">
      <c r="G538" s="247"/>
      <c r="H538" s="246"/>
    </row>
    <row r="539" spans="7:8" ht="12.75">
      <c r="G539" s="247"/>
      <c r="H539" s="246"/>
    </row>
    <row r="540" spans="7:8" ht="12.75">
      <c r="G540" s="247"/>
      <c r="H540" s="246"/>
    </row>
    <row r="541" spans="7:8" ht="12.75">
      <c r="G541" s="247"/>
      <c r="H541" s="246"/>
    </row>
    <row r="542" spans="7:8" ht="12.75">
      <c r="G542" s="247"/>
      <c r="H542" s="246"/>
    </row>
    <row r="543" spans="7:8" ht="12.75">
      <c r="G543" s="247"/>
      <c r="H543" s="246"/>
    </row>
    <row r="544" spans="7:8" ht="12.75">
      <c r="G544" s="247"/>
      <c r="H544" s="246"/>
    </row>
    <row r="545" spans="7:8" ht="12.75">
      <c r="G545" s="247"/>
      <c r="H545" s="246"/>
    </row>
    <row r="546" spans="7:8" ht="12.75">
      <c r="G546" s="247"/>
      <c r="H546" s="246"/>
    </row>
    <row r="547" spans="7:8" ht="12.75">
      <c r="G547" s="247"/>
      <c r="H547" s="246"/>
    </row>
    <row r="548" spans="7:8" ht="12.75">
      <c r="G548" s="247"/>
      <c r="H548" s="246"/>
    </row>
    <row r="549" spans="7:8" ht="12.75">
      <c r="G549" s="247"/>
      <c r="H549" s="246"/>
    </row>
    <row r="550" spans="7:8" ht="12.75">
      <c r="G550" s="247"/>
      <c r="H550" s="246"/>
    </row>
    <row r="551" spans="7:8" ht="12.75">
      <c r="G551" s="247"/>
      <c r="H551" s="246"/>
    </row>
    <row r="552" spans="7:8" ht="12.75">
      <c r="G552" s="247"/>
      <c r="H552" s="246"/>
    </row>
    <row r="553" spans="7:8" ht="12.75">
      <c r="G553" s="247"/>
      <c r="H553" s="246"/>
    </row>
    <row r="554" spans="7:8" ht="12.75">
      <c r="G554" s="247"/>
      <c r="H554" s="246"/>
    </row>
    <row r="555" spans="7:8" ht="12.75">
      <c r="G555" s="247"/>
      <c r="H555" s="246"/>
    </row>
    <row r="556" spans="7:8" ht="12.75">
      <c r="G556" s="247"/>
      <c r="H556" s="246"/>
    </row>
    <row r="557" spans="7:8" ht="12.75">
      <c r="G557" s="247"/>
      <c r="H557" s="246"/>
    </row>
    <row r="558" spans="7:8" ht="12.75">
      <c r="G558" s="247"/>
      <c r="H558" s="246"/>
    </row>
    <row r="559" spans="7:8" ht="12.75">
      <c r="G559" s="247"/>
      <c r="H559" s="246"/>
    </row>
    <row r="560" spans="7:8" ht="12.75">
      <c r="G560" s="247"/>
      <c r="H560" s="246"/>
    </row>
    <row r="561" spans="7:8" ht="12.75">
      <c r="G561" s="247"/>
      <c r="H561" s="246"/>
    </row>
    <row r="562" spans="7:8" ht="12.75">
      <c r="G562" s="247"/>
      <c r="H562" s="246"/>
    </row>
    <row r="563" spans="7:8" ht="12.75">
      <c r="G563" s="247"/>
      <c r="H563" s="246"/>
    </row>
    <row r="564" spans="7:8" ht="12.75">
      <c r="G564" s="247"/>
      <c r="H564" s="246"/>
    </row>
    <row r="565" spans="7:8" ht="12.75">
      <c r="G565" s="247"/>
      <c r="H565" s="246"/>
    </row>
    <row r="566" spans="7:8" ht="12.75">
      <c r="G566" s="247"/>
      <c r="H566" s="246"/>
    </row>
    <row r="567" spans="7:8" ht="12.75">
      <c r="G567" s="247"/>
      <c r="H567" s="246"/>
    </row>
    <row r="568" spans="7:8" ht="12.75">
      <c r="G568" s="247"/>
      <c r="H568" s="246"/>
    </row>
    <row r="569" spans="7:8" ht="12.75">
      <c r="G569" s="247"/>
      <c r="H569" s="246"/>
    </row>
    <row r="570" spans="7:8" ht="12.75">
      <c r="G570" s="247"/>
      <c r="H570" s="246"/>
    </row>
    <row r="571" spans="7:8" ht="12.75">
      <c r="G571" s="247"/>
      <c r="H571" s="246"/>
    </row>
    <row r="572" spans="7:8" ht="12.75">
      <c r="G572" s="247"/>
      <c r="H572" s="246"/>
    </row>
    <row r="573" spans="7:8" ht="12.75">
      <c r="G573" s="247"/>
      <c r="H573" s="246"/>
    </row>
    <row r="574" spans="7:8" ht="12.75">
      <c r="G574" s="247"/>
      <c r="H574" s="246"/>
    </row>
    <row r="575" spans="7:8" ht="12.75">
      <c r="G575" s="247"/>
      <c r="H575" s="246"/>
    </row>
    <row r="576" spans="7:8" ht="12.75">
      <c r="G576" s="247"/>
      <c r="H576" s="246"/>
    </row>
    <row r="577" spans="7:8" ht="12.75">
      <c r="G577" s="247"/>
      <c r="H577" s="246"/>
    </row>
    <row r="578" spans="7:8" ht="12.75">
      <c r="G578" s="247"/>
      <c r="H578" s="246"/>
    </row>
    <row r="579" spans="7:8" ht="12.75">
      <c r="G579" s="247"/>
      <c r="H579" s="246"/>
    </row>
    <row r="580" spans="7:8" ht="12.75">
      <c r="G580" s="247"/>
      <c r="H580" s="246"/>
    </row>
    <row r="581" spans="7:8" ht="12.75">
      <c r="G581" s="247"/>
      <c r="H581" s="246"/>
    </row>
    <row r="582" spans="7:8" ht="12.75">
      <c r="G582" s="247"/>
      <c r="H582" s="246"/>
    </row>
    <row r="583" spans="7:8" ht="12.75">
      <c r="G583" s="247"/>
      <c r="H583" s="246"/>
    </row>
    <row r="584" spans="7:8" ht="12.75">
      <c r="G584" s="247"/>
      <c r="H584" s="246"/>
    </row>
    <row r="585" spans="7:8" ht="12.75">
      <c r="G585" s="247"/>
      <c r="H585" s="246"/>
    </row>
    <row r="586" spans="7:8" ht="12.75">
      <c r="G586" s="247"/>
      <c r="H586" s="246"/>
    </row>
    <row r="587" spans="7:8" ht="12.75">
      <c r="G587" s="247"/>
      <c r="H587" s="246"/>
    </row>
    <row r="588" spans="7:8" ht="12.75">
      <c r="G588" s="247"/>
      <c r="H588" s="246"/>
    </row>
    <row r="589" spans="7:8" ht="12.75">
      <c r="G589" s="247"/>
      <c r="H589" s="246"/>
    </row>
    <row r="590" spans="7:8" ht="12.75">
      <c r="G590" s="247"/>
      <c r="H590" s="246"/>
    </row>
    <row r="591" spans="7:8" ht="12.75">
      <c r="G591" s="247"/>
      <c r="H591" s="246"/>
    </row>
    <row r="592" spans="7:8" ht="12.75">
      <c r="G592" s="247"/>
      <c r="H592" s="246"/>
    </row>
    <row r="593" spans="7:8" ht="12.75">
      <c r="G593" s="247"/>
      <c r="H593" s="246"/>
    </row>
    <row r="594" spans="7:8" ht="12.75">
      <c r="G594" s="247"/>
      <c r="H594" s="246"/>
    </row>
    <row r="595" spans="7:8" ht="12.75">
      <c r="G595" s="247"/>
      <c r="H595" s="246"/>
    </row>
    <row r="596" spans="7:8" ht="12.75">
      <c r="G596" s="247"/>
      <c r="H596" s="246"/>
    </row>
    <row r="597" spans="7:8" ht="12.75">
      <c r="G597" s="247"/>
      <c r="H597" s="246"/>
    </row>
    <row r="598" spans="7:8" ht="12.75">
      <c r="G598" s="247"/>
      <c r="H598" s="246"/>
    </row>
    <row r="599" spans="7:8" ht="12.75">
      <c r="G599" s="247"/>
      <c r="H599" s="246"/>
    </row>
    <row r="600" spans="7:8" ht="12.75">
      <c r="G600" s="247"/>
      <c r="H600" s="246"/>
    </row>
    <row r="601" spans="7:8" ht="12.75">
      <c r="G601" s="247"/>
      <c r="H601" s="246"/>
    </row>
    <row r="602" spans="7:8" ht="12.75">
      <c r="G602" s="247"/>
      <c r="H602" s="246"/>
    </row>
    <row r="603" spans="7:8" ht="12.75">
      <c r="G603" s="247"/>
      <c r="H603" s="246"/>
    </row>
    <row r="604" spans="7:8" ht="12.75">
      <c r="G604" s="247"/>
      <c r="H604" s="246"/>
    </row>
    <row r="605" spans="7:8" ht="12.75">
      <c r="G605" s="247"/>
      <c r="H605" s="246"/>
    </row>
    <row r="606" spans="7:8" ht="12.75">
      <c r="G606" s="247"/>
      <c r="H606" s="246"/>
    </row>
    <row r="607" spans="7:8" ht="12.75">
      <c r="G607" s="247"/>
      <c r="H607" s="246"/>
    </row>
    <row r="608" spans="7:8" ht="12.75">
      <c r="G608" s="247"/>
      <c r="H608" s="246"/>
    </row>
    <row r="609" spans="7:8" ht="12.75">
      <c r="G609" s="247"/>
      <c r="H609" s="246"/>
    </row>
    <row r="610" spans="7:8" ht="12.75">
      <c r="G610" s="247"/>
      <c r="H610" s="246"/>
    </row>
    <row r="611" spans="7:8" ht="12.75">
      <c r="G611" s="247"/>
      <c r="H611" s="246"/>
    </row>
    <row r="612" spans="7:8" ht="12.75">
      <c r="G612" s="247"/>
      <c r="H612" s="246"/>
    </row>
    <row r="613" spans="7:8" ht="12.75">
      <c r="G613" s="247"/>
      <c r="H613" s="246"/>
    </row>
    <row r="614" spans="7:8" ht="12.75">
      <c r="G614" s="247"/>
      <c r="H614" s="246"/>
    </row>
    <row r="615" spans="7:8" ht="12.75">
      <c r="G615" s="247"/>
      <c r="H615" s="246"/>
    </row>
    <row r="616" spans="7:8" ht="12.75">
      <c r="G616" s="247"/>
      <c r="H616" s="246"/>
    </row>
    <row r="617" spans="7:8" ht="12.75">
      <c r="G617" s="247"/>
      <c r="H617" s="246"/>
    </row>
    <row r="618" spans="7:8" ht="12.75">
      <c r="G618" s="247"/>
      <c r="H618" s="246"/>
    </row>
    <row r="619" spans="7:8" ht="12.75">
      <c r="G619" s="247"/>
      <c r="H619" s="246"/>
    </row>
    <row r="620" spans="7:8" ht="12.75">
      <c r="G620" s="247"/>
      <c r="H620" s="246"/>
    </row>
    <row r="621" spans="7:8" ht="12.75">
      <c r="G621" s="247"/>
      <c r="H621" s="246"/>
    </row>
    <row r="622" spans="7:8" ht="12.75">
      <c r="G622" s="247"/>
      <c r="H622" s="246"/>
    </row>
    <row r="623" spans="7:8" ht="12.75">
      <c r="G623" s="247"/>
      <c r="H623" s="246"/>
    </row>
    <row r="624" spans="7:8" ht="12.75">
      <c r="G624" s="247"/>
      <c r="H624" s="246"/>
    </row>
    <row r="625" spans="7:8" ht="12.75">
      <c r="G625" s="247"/>
      <c r="H625" s="246"/>
    </row>
    <row r="626" spans="7:8" ht="12.75">
      <c r="G626" s="247"/>
      <c r="H626" s="246"/>
    </row>
    <row r="627" spans="7:8" ht="12.75">
      <c r="G627" s="247"/>
      <c r="H627" s="246"/>
    </row>
    <row r="628" spans="7:8" ht="12.75">
      <c r="G628" s="247"/>
      <c r="H628" s="246"/>
    </row>
    <row r="629" spans="7:8" ht="12.75">
      <c r="G629" s="247"/>
      <c r="H629" s="246"/>
    </row>
    <row r="630" spans="7:8" ht="12.75">
      <c r="G630" s="247"/>
      <c r="H630" s="246"/>
    </row>
    <row r="631" spans="7:8" ht="12.75">
      <c r="G631" s="247"/>
      <c r="H631" s="246"/>
    </row>
    <row r="632" spans="7:8" ht="12.75">
      <c r="G632" s="247"/>
      <c r="H632" s="246"/>
    </row>
    <row r="633" spans="7:8" ht="12.75">
      <c r="G633" s="247"/>
      <c r="H633" s="246"/>
    </row>
    <row r="634" spans="7:8" ht="12.75">
      <c r="G634" s="247"/>
      <c r="H634" s="246"/>
    </row>
    <row r="635" spans="7:8" ht="12.75">
      <c r="G635" s="247"/>
      <c r="H635" s="246"/>
    </row>
    <row r="636" spans="7:8" ht="12.75">
      <c r="G636" s="247"/>
      <c r="H636" s="246"/>
    </row>
    <row r="637" spans="7:8" ht="12.75">
      <c r="G637" s="247"/>
      <c r="H637" s="246"/>
    </row>
    <row r="638" spans="7:8" ht="12.75">
      <c r="G638" s="247"/>
      <c r="H638" s="246"/>
    </row>
    <row r="639" spans="7:8" ht="12.75">
      <c r="G639" s="247"/>
      <c r="H639" s="246"/>
    </row>
    <row r="640" spans="7:8" ht="12.75">
      <c r="G640" s="247"/>
      <c r="H640" s="246"/>
    </row>
    <row r="641" spans="7:8" ht="12.75">
      <c r="G641" s="247"/>
      <c r="H641" s="246"/>
    </row>
    <row r="642" spans="7:8" ht="12.75">
      <c r="G642" s="247"/>
      <c r="H642" s="246"/>
    </row>
    <row r="643" spans="7:8" ht="12.75">
      <c r="G643" s="247"/>
      <c r="H643" s="246"/>
    </row>
    <row r="644" spans="7:8" ht="12.75">
      <c r="G644" s="247"/>
      <c r="H644" s="246"/>
    </row>
    <row r="645" spans="7:8" ht="12.75">
      <c r="G645" s="247"/>
      <c r="H645" s="246"/>
    </row>
    <row r="646" spans="7:8" ht="12.75">
      <c r="G646" s="247"/>
      <c r="H646" s="246"/>
    </row>
    <row r="647" spans="7:8" ht="12.75">
      <c r="G647" s="247"/>
      <c r="H647" s="246"/>
    </row>
    <row r="648" spans="7:8" ht="12.75">
      <c r="G648" s="247"/>
      <c r="H648" s="246"/>
    </row>
    <row r="649" spans="7:8" ht="12.75">
      <c r="G649" s="247"/>
      <c r="H649" s="246"/>
    </row>
    <row r="650" spans="7:8" ht="12.75">
      <c r="G650" s="247"/>
      <c r="H650" s="246"/>
    </row>
    <row r="651" spans="7:8" ht="12.75">
      <c r="G651" s="247"/>
      <c r="H651" s="246"/>
    </row>
    <row r="652" spans="7:8" ht="12.75">
      <c r="G652" s="247"/>
      <c r="H652" s="246"/>
    </row>
    <row r="653" spans="7:8" ht="12.75">
      <c r="G653" s="247"/>
      <c r="H653" s="246"/>
    </row>
    <row r="654" spans="7:8" ht="12.75">
      <c r="G654" s="247"/>
      <c r="H654" s="246"/>
    </row>
    <row r="655" spans="7:8" ht="12.75">
      <c r="G655" s="247"/>
      <c r="H655" s="246"/>
    </row>
    <row r="656" spans="7:8" ht="12.75">
      <c r="G656" s="247"/>
      <c r="H656" s="246"/>
    </row>
    <row r="657" spans="7:8" ht="12.75">
      <c r="G657" s="247"/>
      <c r="H657" s="246"/>
    </row>
    <row r="658" spans="7:8" ht="12.75">
      <c r="G658" s="247"/>
      <c r="H658" s="246"/>
    </row>
    <row r="659" spans="7:8" ht="12.75">
      <c r="G659" s="247"/>
      <c r="H659" s="246"/>
    </row>
    <row r="660" spans="7:8" ht="12.75">
      <c r="G660" s="247"/>
      <c r="H660" s="246"/>
    </row>
    <row r="661" spans="7:8" ht="12.75">
      <c r="G661" s="247"/>
      <c r="H661" s="246"/>
    </row>
    <row r="662" spans="7:8" ht="12.75">
      <c r="G662" s="247"/>
      <c r="H662" s="246"/>
    </row>
    <row r="663" spans="7:8" ht="12.75">
      <c r="G663" s="247"/>
      <c r="H663" s="246"/>
    </row>
    <row r="664" spans="7:8" ht="12.75">
      <c r="G664" s="247"/>
      <c r="H664" s="246"/>
    </row>
    <row r="665" spans="7:8" ht="12.75">
      <c r="G665" s="247"/>
      <c r="H665" s="246"/>
    </row>
    <row r="666" spans="7:8" ht="12.75">
      <c r="G666" s="247"/>
      <c r="H666" s="246"/>
    </row>
    <row r="667" spans="7:8" ht="12.75">
      <c r="G667" s="247"/>
      <c r="H667" s="246"/>
    </row>
    <row r="668" spans="7:8" ht="12.75">
      <c r="G668" s="247"/>
      <c r="H668" s="246"/>
    </row>
    <row r="669" spans="7:8" ht="12.75">
      <c r="G669" s="247"/>
      <c r="H669" s="246"/>
    </row>
    <row r="670" spans="7:8" ht="12.75">
      <c r="G670" s="247"/>
      <c r="H670" s="246"/>
    </row>
    <row r="671" spans="7:8" ht="12.75">
      <c r="G671" s="247"/>
      <c r="H671" s="246"/>
    </row>
    <row r="672" spans="7:8" ht="12.75">
      <c r="G672" s="247"/>
      <c r="H672" s="246"/>
    </row>
    <row r="673" spans="7:8" ht="12.75">
      <c r="G673" s="247"/>
      <c r="H673" s="246"/>
    </row>
    <row r="674" spans="7:8" ht="12.75">
      <c r="G674" s="247"/>
      <c r="H674" s="246"/>
    </row>
    <row r="675" spans="7:8" ht="12.75">
      <c r="G675" s="247"/>
      <c r="H675" s="246"/>
    </row>
    <row r="676" spans="7:8" ht="12.75">
      <c r="G676" s="247"/>
      <c r="H676" s="246"/>
    </row>
    <row r="677" spans="7:8" ht="12.75">
      <c r="G677" s="247"/>
      <c r="H677" s="246"/>
    </row>
    <row r="678" spans="7:8" ht="12.75">
      <c r="G678" s="247"/>
      <c r="H678" s="246"/>
    </row>
    <row r="679" spans="7:8" ht="12.75">
      <c r="G679" s="247"/>
      <c r="H679" s="246"/>
    </row>
    <row r="680" spans="7:8" ht="12.75">
      <c r="G680" s="247"/>
      <c r="H680" s="246"/>
    </row>
    <row r="681" spans="7:8" ht="12.75">
      <c r="G681" s="247"/>
      <c r="H681" s="246"/>
    </row>
    <row r="682" spans="7:8" ht="12.75">
      <c r="G682" s="247"/>
      <c r="H682" s="246"/>
    </row>
    <row r="683" spans="7:8" ht="12.75">
      <c r="G683" s="247"/>
      <c r="H683" s="246"/>
    </row>
    <row r="684" spans="7:8" ht="12.75">
      <c r="G684" s="247"/>
      <c r="H684" s="246"/>
    </row>
    <row r="685" spans="7:8" ht="12.75">
      <c r="G685" s="247"/>
      <c r="H685" s="246"/>
    </row>
    <row r="686" spans="7:8" ht="12.75">
      <c r="G686" s="247"/>
      <c r="H686" s="246"/>
    </row>
    <row r="687" spans="7:8" ht="12.75">
      <c r="G687" s="247"/>
      <c r="H687" s="246"/>
    </row>
    <row r="688" spans="7:8" ht="12.75">
      <c r="G688" s="247"/>
      <c r="H688" s="246"/>
    </row>
    <row r="689" spans="7:8" ht="12.75">
      <c r="G689" s="247"/>
      <c r="H689" s="246"/>
    </row>
    <row r="690" spans="7:8" ht="12.75">
      <c r="G690" s="247"/>
      <c r="H690" s="246"/>
    </row>
    <row r="691" spans="7:8" ht="12.75">
      <c r="G691" s="247"/>
      <c r="H691" s="246"/>
    </row>
    <row r="692" spans="7:8" ht="12.75">
      <c r="G692" s="247"/>
      <c r="H692" s="246"/>
    </row>
    <row r="693" spans="7:8" ht="12.75">
      <c r="G693" s="247"/>
      <c r="H693" s="246"/>
    </row>
    <row r="694" spans="7:8" ht="12.75">
      <c r="G694" s="247"/>
      <c r="H694" s="246"/>
    </row>
    <row r="695" spans="7:8" ht="12.75">
      <c r="G695" s="247"/>
      <c r="H695" s="246"/>
    </row>
    <row r="696" spans="7:8" ht="12.75">
      <c r="G696" s="247"/>
      <c r="H696" s="246"/>
    </row>
    <row r="697" spans="7:8" ht="12.75">
      <c r="G697" s="247"/>
      <c r="H697" s="246"/>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F121"/>
  <sheetViews>
    <sheetView workbookViewId="0" topLeftCell="A1">
      <selection activeCell="A1" sqref="A1"/>
    </sheetView>
  </sheetViews>
  <sheetFormatPr defaultColWidth="9.140625" defaultRowHeight="12.75"/>
  <cols>
    <col min="1" max="1" width="10.7109375" style="263" customWidth="1"/>
    <col min="2" max="3" width="4.8515625" style="255" customWidth="1"/>
    <col min="4" max="4" width="6.421875" style="255" customWidth="1"/>
    <col min="5" max="5" width="6.8515625" style="255" customWidth="1"/>
    <col min="6" max="6" width="5.8515625" style="256" customWidth="1"/>
    <col min="7" max="7" width="6.140625" style="49" customWidth="1"/>
    <col min="8" max="8" width="5.7109375" style="257" customWidth="1"/>
    <col min="9" max="10" width="5.421875" style="255" customWidth="1"/>
    <col min="11" max="11" width="6.421875" style="258" customWidth="1"/>
    <col min="12" max="12" width="6.8515625" style="259" customWidth="1"/>
    <col min="13" max="13" width="5.8515625" style="256" customWidth="1"/>
    <col min="14" max="14" width="6.140625" style="49" customWidth="1"/>
    <col min="15" max="15" width="5.7109375" style="49" customWidth="1"/>
    <col min="16" max="17" width="7.28125" style="260" hidden="1" customWidth="1"/>
    <col min="18" max="18" width="6.421875" style="49" hidden="1" customWidth="1"/>
    <col min="19" max="19" width="6.8515625" style="49" hidden="1" customWidth="1"/>
    <col min="20" max="20" width="6.140625" style="261" hidden="1" customWidth="1"/>
    <col min="21" max="22" width="6.140625" style="49" hidden="1" customWidth="1"/>
    <col min="23" max="24" width="6.421875" style="255" customWidth="1"/>
    <col min="25" max="25" width="6.421875" style="258" customWidth="1"/>
    <col min="26" max="26" width="6.8515625" style="258" customWidth="1"/>
    <col min="27" max="27" width="6.421875" style="256" customWidth="1"/>
    <col min="28" max="29" width="6.421875" style="49" customWidth="1"/>
    <col min="30" max="30" width="5.28125" style="49" bestFit="1" customWidth="1"/>
    <col min="31" max="31" width="5.00390625" style="49" bestFit="1" customWidth="1"/>
    <col min="32" max="32" width="6.421875" style="49" bestFit="1" customWidth="1"/>
    <col min="33" max="33" width="6.8515625" style="258" bestFit="1" customWidth="1"/>
    <col min="34" max="34" width="6.140625" style="256" bestFit="1" customWidth="1"/>
    <col min="35" max="35" width="6.140625" style="49" bestFit="1" customWidth="1"/>
    <col min="36" max="36" width="5.7109375" style="49" bestFit="1" customWidth="1"/>
    <col min="37" max="38" width="6.7109375" style="255" customWidth="1"/>
    <col min="39" max="39" width="6.7109375" style="258" customWidth="1"/>
    <col min="40" max="40" width="6.8515625" style="258" customWidth="1"/>
    <col min="41" max="41" width="6.7109375" style="256" customWidth="1"/>
    <col min="42" max="43" width="6.7109375" style="49" customWidth="1"/>
    <col min="44" max="45" width="7.140625" style="260" customWidth="1"/>
    <col min="46" max="46" width="6.421875" style="49" customWidth="1"/>
    <col min="47" max="47" width="6.8515625" style="49" customWidth="1"/>
    <col min="48" max="48" width="6.00390625" style="261" customWidth="1"/>
    <col min="49" max="49" width="6.140625" style="49" customWidth="1"/>
    <col min="50" max="50" width="6.00390625" style="49" customWidth="1"/>
    <col min="51" max="52" width="8.28125" style="255" customWidth="1"/>
    <col min="53" max="53" width="8.28125" style="258" customWidth="1"/>
    <col min="54" max="54" width="8.28125" style="255" customWidth="1"/>
    <col min="55" max="55" width="8.28125" style="256" customWidth="1"/>
    <col min="56" max="57" width="8.28125" style="49" customWidth="1"/>
    <col min="58" max="59" width="5.8515625" style="255" customWidth="1"/>
    <col min="60" max="60" width="6.421875" style="258" customWidth="1"/>
    <col min="61" max="61" width="6.8515625" style="258" customWidth="1"/>
    <col min="62" max="62" width="5.8515625" style="256" customWidth="1"/>
    <col min="63" max="63" width="6.140625" style="49" customWidth="1"/>
    <col min="64" max="64" width="5.8515625" style="49" customWidth="1"/>
    <col min="65" max="66" width="7.8515625" style="255" customWidth="1"/>
    <col min="67" max="68" width="7.8515625" style="258" customWidth="1"/>
    <col min="69" max="69" width="7.8515625" style="256" customWidth="1"/>
    <col min="70" max="71" width="7.8515625" style="49" customWidth="1"/>
    <col min="72" max="73" width="6.00390625" style="260" hidden="1" customWidth="1"/>
    <col min="74" max="74" width="6.421875" style="49" hidden="1" customWidth="1"/>
    <col min="75" max="75" width="6.8515625" style="49" hidden="1" customWidth="1"/>
    <col min="76" max="76" width="6.140625" style="256" hidden="1" customWidth="1"/>
    <col min="77" max="77" width="6.140625" style="49" hidden="1" customWidth="1"/>
    <col min="78" max="78" width="5.7109375" style="49" hidden="1" customWidth="1"/>
    <col min="79" max="79" width="6.57421875" style="255" customWidth="1"/>
    <col min="80" max="80" width="9.140625" style="255" customWidth="1"/>
    <col min="81" max="81" width="6.57421875" style="258" customWidth="1"/>
    <col min="82" max="82" width="6.8515625" style="258" customWidth="1"/>
    <col min="83" max="83" width="6.57421875" style="256" customWidth="1"/>
    <col min="84" max="85" width="6.57421875" style="49" customWidth="1"/>
    <col min="86" max="86" width="6.140625" style="255" customWidth="1"/>
    <col min="87" max="87" width="6.140625" style="255" hidden="1" customWidth="1"/>
    <col min="88" max="88" width="6.421875" style="49" hidden="1" customWidth="1"/>
    <col min="89" max="89" width="6.8515625" style="49" hidden="1" customWidth="1"/>
    <col min="90" max="90" width="6.140625" style="256" hidden="1" customWidth="1"/>
    <col min="91" max="92" width="6.140625" style="49" hidden="1" customWidth="1"/>
    <col min="93" max="94" width="7.421875" style="255" customWidth="1"/>
    <col min="95" max="96" width="7.421875" style="258" customWidth="1"/>
    <col min="97" max="97" width="7.421875" style="256" customWidth="1"/>
    <col min="98" max="99" width="7.421875" style="49" customWidth="1"/>
    <col min="100" max="101" width="5.28125" style="49" hidden="1" customWidth="1"/>
    <col min="102" max="102" width="6.421875" style="49" hidden="1" customWidth="1"/>
    <col min="103" max="103" width="6.8515625" style="49" hidden="1" customWidth="1"/>
    <col min="104" max="104" width="6.140625" style="261" hidden="1" customWidth="1"/>
    <col min="105" max="105" width="6.140625" style="49" hidden="1" customWidth="1"/>
    <col min="106" max="106" width="5.7109375" style="49" hidden="1" customWidth="1"/>
    <col min="107" max="108" width="10.28125" style="260" customWidth="1"/>
    <col min="109" max="110" width="9.140625" style="49" customWidth="1"/>
    <col min="111" max="111" width="9.140625" style="261" customWidth="1"/>
    <col min="112" max="113" width="9.140625" style="49" customWidth="1"/>
    <col min="114" max="115" width="7.57421875" style="255" customWidth="1"/>
    <col min="116" max="117" width="7.57421875" style="258" customWidth="1"/>
    <col min="118" max="118" width="7.57421875" style="256" customWidth="1"/>
    <col min="119" max="120" width="7.57421875" style="49" customWidth="1"/>
    <col min="121" max="122" width="4.8515625" style="255" customWidth="1"/>
    <col min="123" max="123" width="6.421875" style="258" customWidth="1"/>
    <col min="124" max="124" width="6.8515625" style="49" customWidth="1"/>
    <col min="125" max="125" width="5.8515625" style="256" customWidth="1"/>
    <col min="126" max="126" width="6.140625" style="49" customWidth="1"/>
    <col min="127" max="127" width="5.7109375" style="49" customWidth="1"/>
    <col min="128" max="129" width="4.8515625" style="255" customWidth="1"/>
    <col min="130" max="130" width="6.421875" style="258" customWidth="1"/>
    <col min="131" max="131" width="6.8515625" style="258" customWidth="1"/>
    <col min="132" max="132" width="5.8515625" style="256" customWidth="1"/>
    <col min="133" max="133" width="6.140625" style="49" customWidth="1"/>
    <col min="134" max="134" width="5.7109375" style="49" customWidth="1"/>
    <col min="135" max="136" width="5.28125" style="49" customWidth="1"/>
    <col min="137" max="137" width="6.421875" style="49" customWidth="1"/>
    <col min="138" max="138" width="6.8515625" style="258" customWidth="1"/>
    <col min="139" max="139" width="7.00390625" style="49" bestFit="1" customWidth="1"/>
    <col min="140" max="140" width="6.140625" style="49" customWidth="1"/>
    <col min="141" max="141" width="5.7109375" style="49" customWidth="1"/>
    <col min="142" max="143" width="5.28125" style="258" customWidth="1"/>
    <col min="144" max="144" width="6.421875" style="49" customWidth="1"/>
    <col min="145" max="145" width="6.8515625" style="258" customWidth="1"/>
    <col min="146" max="147" width="6.140625" style="49" bestFit="1" customWidth="1"/>
    <col min="148" max="148" width="5.7109375" style="49" bestFit="1" customWidth="1"/>
    <col min="149" max="149" width="3.7109375" style="49" customWidth="1"/>
    <col min="150" max="150" width="4.28125" style="262" customWidth="1"/>
    <col min="151" max="151" width="4.421875" style="262" customWidth="1"/>
    <col min="152" max="152" width="4.00390625" style="262" customWidth="1"/>
    <col min="153" max="153" width="4.140625" style="262" customWidth="1"/>
    <col min="154" max="154" width="5.140625" style="262" bestFit="1" customWidth="1"/>
    <col min="155" max="155" width="4.00390625" style="262" customWidth="1"/>
    <col min="156" max="156" width="6.00390625" style="262" customWidth="1"/>
    <col min="157" max="157" width="8.28125" style="262" bestFit="1" customWidth="1"/>
    <col min="158" max="158" width="5.8515625" style="262" bestFit="1" customWidth="1"/>
    <col min="159" max="159" width="7.8515625" style="262" bestFit="1" customWidth="1"/>
    <col min="160" max="160" width="4.00390625" style="262" customWidth="1"/>
    <col min="161" max="161" width="6.140625" style="258" bestFit="1" customWidth="1"/>
    <col min="162" max="162" width="4.00390625" style="258" bestFit="1" customWidth="1"/>
    <col min="163" max="163" width="4.28125" style="258" bestFit="1" customWidth="1"/>
    <col min="164" max="164" width="4.00390625" style="258" customWidth="1"/>
    <col min="165" max="165" width="4.00390625" style="258" bestFit="1" customWidth="1"/>
    <col min="166" max="166" width="5.57421875" style="258" customWidth="1"/>
    <col min="167" max="167" width="4.00390625" style="258" customWidth="1"/>
    <col min="168" max="168" width="4.57421875" style="258" bestFit="1" customWidth="1"/>
    <col min="169" max="169" width="5.28125" style="258" bestFit="1" customWidth="1"/>
    <col min="170" max="170" width="5.140625" style="258" bestFit="1" customWidth="1"/>
    <col min="171" max="171" width="6.8515625" style="258" bestFit="1" customWidth="1"/>
    <col min="172" max="172" width="7.57421875" style="261" bestFit="1" customWidth="1"/>
    <col min="173" max="183" width="9.140625" style="257" customWidth="1"/>
    <col min="184" max="16384" width="9.140625" style="49" customWidth="1"/>
  </cols>
  <sheetData>
    <row r="1" ht="12.75">
      <c r="A1" s="244" t="s">
        <v>194</v>
      </c>
    </row>
    <row r="2" spans="1:124" ht="12.75">
      <c r="A2" s="244"/>
      <c r="DT2" s="52" t="s">
        <v>195</v>
      </c>
    </row>
    <row r="3" ht="12.75">
      <c r="DT3" s="49" t="s">
        <v>196</v>
      </c>
    </row>
    <row r="5" spans="1:145" ht="12.75">
      <c r="A5" s="244"/>
      <c r="G5" s="261"/>
      <c r="EO5" s="264"/>
    </row>
    <row r="6" ht="12.75">
      <c r="A6" s="244"/>
    </row>
    <row r="7" ht="12.75">
      <c r="EM7" s="208"/>
    </row>
    <row r="8" spans="150:171" ht="12.75">
      <c r="ET8" s="262" t="s">
        <v>197</v>
      </c>
      <c r="EU8" s="262" t="s">
        <v>198</v>
      </c>
      <c r="EV8" s="262" t="s">
        <v>199</v>
      </c>
      <c r="EW8" s="262" t="s">
        <v>200</v>
      </c>
      <c r="EX8" s="262" t="s">
        <v>201</v>
      </c>
      <c r="EY8" s="262" t="s">
        <v>202</v>
      </c>
      <c r="EZ8" s="262" t="s">
        <v>203</v>
      </c>
      <c r="FA8" s="262" t="s">
        <v>204</v>
      </c>
      <c r="FB8" s="262" t="s">
        <v>205</v>
      </c>
      <c r="FC8" s="262" t="s">
        <v>206</v>
      </c>
      <c r="FD8" s="262" t="s">
        <v>207</v>
      </c>
      <c r="FE8" s="258" t="s">
        <v>148</v>
      </c>
      <c r="FF8" s="258" t="s">
        <v>208</v>
      </c>
      <c r="FG8" s="258" t="s">
        <v>209</v>
      </c>
      <c r="FH8" s="258" t="s">
        <v>210</v>
      </c>
      <c r="FI8" s="258" t="s">
        <v>211</v>
      </c>
      <c r="FJ8" s="258" t="s">
        <v>212</v>
      </c>
      <c r="FK8" s="258" t="s">
        <v>213</v>
      </c>
      <c r="FL8" s="258" t="s">
        <v>214</v>
      </c>
      <c r="FM8" s="258" t="s">
        <v>215</v>
      </c>
      <c r="FN8" s="258" t="s">
        <v>216</v>
      </c>
      <c r="FO8" s="258" t="s">
        <v>217</v>
      </c>
    </row>
    <row r="9" spans="150:171" ht="12.75">
      <c r="ET9" s="265" t="s">
        <v>218</v>
      </c>
      <c r="EZ9" s="262" t="s">
        <v>219</v>
      </c>
      <c r="FA9" s="262" t="s">
        <v>220</v>
      </c>
      <c r="FB9" s="262" t="s">
        <v>221</v>
      </c>
      <c r="FC9" s="262" t="s">
        <v>222</v>
      </c>
      <c r="FE9" s="258" t="s">
        <v>223</v>
      </c>
      <c r="FO9" s="266" t="s">
        <v>100</v>
      </c>
    </row>
    <row r="10" spans="2:172" ht="12.75">
      <c r="B10" s="255" t="s">
        <v>224</v>
      </c>
      <c r="C10" s="255" t="s">
        <v>224</v>
      </c>
      <c r="D10" s="255" t="s">
        <v>224</v>
      </c>
      <c r="E10" s="255" t="s">
        <v>224</v>
      </c>
      <c r="F10" s="256" t="s">
        <v>224</v>
      </c>
      <c r="G10" s="267" t="s">
        <v>224</v>
      </c>
      <c r="H10" s="268" t="s">
        <v>224</v>
      </c>
      <c r="I10" s="255" t="s">
        <v>225</v>
      </c>
      <c r="J10" s="255" t="s">
        <v>225</v>
      </c>
      <c r="K10" s="258" t="s">
        <v>225</v>
      </c>
      <c r="L10" s="269" t="s">
        <v>225</v>
      </c>
      <c r="M10" s="256" t="s">
        <v>225</v>
      </c>
      <c r="N10" s="267" t="s">
        <v>225</v>
      </c>
      <c r="O10" s="267" t="s">
        <v>225</v>
      </c>
      <c r="P10" s="260" t="s">
        <v>226</v>
      </c>
      <c r="Q10" s="260" t="s">
        <v>226</v>
      </c>
      <c r="R10" s="261" t="s">
        <v>226</v>
      </c>
      <c r="S10" s="261" t="s">
        <v>226</v>
      </c>
      <c r="T10" s="261" t="s">
        <v>226</v>
      </c>
      <c r="U10" s="267" t="s">
        <v>226</v>
      </c>
      <c r="V10" s="267" t="s">
        <v>226</v>
      </c>
      <c r="W10" s="255" t="s">
        <v>227</v>
      </c>
      <c r="X10" s="255" t="s">
        <v>227</v>
      </c>
      <c r="Y10" s="258" t="s">
        <v>227</v>
      </c>
      <c r="Z10" s="258" t="s">
        <v>227</v>
      </c>
      <c r="AA10" s="256" t="s">
        <v>227</v>
      </c>
      <c r="AB10" s="267" t="s">
        <v>227</v>
      </c>
      <c r="AC10" s="267" t="s">
        <v>227</v>
      </c>
      <c r="AD10" s="270" t="s">
        <v>88</v>
      </c>
      <c r="AE10" s="270" t="s">
        <v>88</v>
      </c>
      <c r="AF10" s="270" t="s">
        <v>88</v>
      </c>
      <c r="AG10" s="271" t="s">
        <v>88</v>
      </c>
      <c r="AH10" s="272" t="s">
        <v>88</v>
      </c>
      <c r="AI10" s="270" t="s">
        <v>88</v>
      </c>
      <c r="AJ10" s="270" t="s">
        <v>88</v>
      </c>
      <c r="AK10" s="255" t="s">
        <v>228</v>
      </c>
      <c r="AL10" s="255" t="s">
        <v>228</v>
      </c>
      <c r="AM10" s="258" t="s">
        <v>228</v>
      </c>
      <c r="AN10" s="258" t="s">
        <v>228</v>
      </c>
      <c r="AO10" s="256" t="s">
        <v>228</v>
      </c>
      <c r="AP10" s="267" t="s">
        <v>228</v>
      </c>
      <c r="AQ10" s="267" t="s">
        <v>228</v>
      </c>
      <c r="AR10" s="260" t="s">
        <v>219</v>
      </c>
      <c r="AS10" s="260" t="s">
        <v>219</v>
      </c>
      <c r="AT10" s="261" t="s">
        <v>219</v>
      </c>
      <c r="AU10" s="261" t="s">
        <v>219</v>
      </c>
      <c r="AV10" s="267" t="s">
        <v>219</v>
      </c>
      <c r="AW10" s="267" t="s">
        <v>219</v>
      </c>
      <c r="AX10" s="267" t="s">
        <v>219</v>
      </c>
      <c r="AY10" s="255" t="s">
        <v>220</v>
      </c>
      <c r="AZ10" s="255" t="s">
        <v>220</v>
      </c>
      <c r="BA10" s="258" t="s">
        <v>220</v>
      </c>
      <c r="BB10" s="255" t="s">
        <v>220</v>
      </c>
      <c r="BC10" s="256" t="s">
        <v>220</v>
      </c>
      <c r="BD10" s="267" t="s">
        <v>220</v>
      </c>
      <c r="BE10" s="267" t="s">
        <v>220</v>
      </c>
      <c r="BF10" s="255" t="s">
        <v>221</v>
      </c>
      <c r="BG10" s="255" t="s">
        <v>221</v>
      </c>
      <c r="BH10" s="258" t="s">
        <v>221</v>
      </c>
      <c r="BI10" s="258" t="s">
        <v>221</v>
      </c>
      <c r="BJ10" s="256" t="s">
        <v>221</v>
      </c>
      <c r="BK10" s="267" t="s">
        <v>221</v>
      </c>
      <c r="BL10" s="267" t="s">
        <v>221</v>
      </c>
      <c r="BM10" s="255" t="s">
        <v>222</v>
      </c>
      <c r="BN10" s="255" t="s">
        <v>222</v>
      </c>
      <c r="BO10" s="258" t="s">
        <v>222</v>
      </c>
      <c r="BP10" s="258" t="s">
        <v>222</v>
      </c>
      <c r="BQ10" s="256" t="s">
        <v>222</v>
      </c>
      <c r="BR10" s="267" t="s">
        <v>222</v>
      </c>
      <c r="BS10" s="267" t="s">
        <v>222</v>
      </c>
      <c r="BT10" s="260" t="s">
        <v>229</v>
      </c>
      <c r="BU10" s="260" t="s">
        <v>229</v>
      </c>
      <c r="BV10" s="261" t="s">
        <v>229</v>
      </c>
      <c r="BW10" s="261" t="s">
        <v>229</v>
      </c>
      <c r="BX10" s="256" t="s">
        <v>229</v>
      </c>
      <c r="BY10" s="267" t="s">
        <v>229</v>
      </c>
      <c r="BZ10" s="267" t="s">
        <v>229</v>
      </c>
      <c r="CA10" s="273" t="s">
        <v>230</v>
      </c>
      <c r="CB10" s="273" t="s">
        <v>230</v>
      </c>
      <c r="CC10" s="266" t="s">
        <v>230</v>
      </c>
      <c r="CD10" s="266" t="s">
        <v>230</v>
      </c>
      <c r="CE10" s="274" t="s">
        <v>230</v>
      </c>
      <c r="CF10" s="267" t="s">
        <v>230</v>
      </c>
      <c r="CG10" s="267" t="s">
        <v>230</v>
      </c>
      <c r="CH10" s="255" t="s">
        <v>231</v>
      </c>
      <c r="CI10" s="255" t="s">
        <v>231</v>
      </c>
      <c r="CJ10" s="261" t="s">
        <v>231</v>
      </c>
      <c r="CK10" s="261" t="s">
        <v>231</v>
      </c>
      <c r="CL10" s="256" t="s">
        <v>231</v>
      </c>
      <c r="CM10" s="267" t="s">
        <v>231</v>
      </c>
      <c r="CN10" s="267" t="s">
        <v>231</v>
      </c>
      <c r="CO10" s="255" t="s">
        <v>232</v>
      </c>
      <c r="CP10" s="255" t="s">
        <v>232</v>
      </c>
      <c r="CQ10" s="258" t="s">
        <v>232</v>
      </c>
      <c r="CR10" s="258" t="s">
        <v>232</v>
      </c>
      <c r="CS10" s="256" t="s">
        <v>232</v>
      </c>
      <c r="CT10" s="267" t="s">
        <v>232</v>
      </c>
      <c r="CU10" s="267" t="s">
        <v>232</v>
      </c>
      <c r="CV10" s="261" t="s">
        <v>233</v>
      </c>
      <c r="CW10" s="261" t="s">
        <v>233</v>
      </c>
      <c r="CX10" s="261" t="s">
        <v>233</v>
      </c>
      <c r="CY10" s="261" t="s">
        <v>233</v>
      </c>
      <c r="CZ10" s="261" t="s">
        <v>233</v>
      </c>
      <c r="DA10" s="267" t="s">
        <v>233</v>
      </c>
      <c r="DB10" s="267" t="s">
        <v>233</v>
      </c>
      <c r="DC10" s="260" t="s">
        <v>234</v>
      </c>
      <c r="DD10" s="260" t="s">
        <v>234</v>
      </c>
      <c r="DE10" s="261" t="s">
        <v>234</v>
      </c>
      <c r="DF10" s="261" t="s">
        <v>234</v>
      </c>
      <c r="DG10" s="261" t="s">
        <v>234</v>
      </c>
      <c r="DH10" s="267" t="s">
        <v>234</v>
      </c>
      <c r="DI10" s="267" t="s">
        <v>234</v>
      </c>
      <c r="DJ10" s="255" t="s">
        <v>235</v>
      </c>
      <c r="DK10" s="255" t="s">
        <v>235</v>
      </c>
      <c r="DL10" s="258" t="s">
        <v>235</v>
      </c>
      <c r="DM10" s="258" t="s">
        <v>235</v>
      </c>
      <c r="DN10" s="256" t="s">
        <v>235</v>
      </c>
      <c r="DO10" s="267" t="s">
        <v>235</v>
      </c>
      <c r="DP10" s="267" t="s">
        <v>235</v>
      </c>
      <c r="DQ10" s="255" t="s">
        <v>71</v>
      </c>
      <c r="DR10" s="255" t="s">
        <v>71</v>
      </c>
      <c r="DS10" s="258" t="s">
        <v>71</v>
      </c>
      <c r="DT10" s="261" t="s">
        <v>71</v>
      </c>
      <c r="DU10" s="256" t="s">
        <v>71</v>
      </c>
      <c r="DV10" s="267" t="s">
        <v>71</v>
      </c>
      <c r="DW10" s="267" t="s">
        <v>71</v>
      </c>
      <c r="DX10" s="273" t="s">
        <v>87</v>
      </c>
      <c r="DY10" s="273" t="s">
        <v>87</v>
      </c>
      <c r="DZ10" s="266" t="s">
        <v>87</v>
      </c>
      <c r="EA10" s="266" t="s">
        <v>87</v>
      </c>
      <c r="EB10" s="274" t="s">
        <v>87</v>
      </c>
      <c r="EC10" s="267" t="s">
        <v>87</v>
      </c>
      <c r="ED10" s="267" t="s">
        <v>87</v>
      </c>
      <c r="EE10" s="267" t="s">
        <v>152</v>
      </c>
      <c r="EF10" s="267" t="s">
        <v>152</v>
      </c>
      <c r="EG10" s="267" t="s">
        <v>152</v>
      </c>
      <c r="EH10" s="266" t="s">
        <v>152</v>
      </c>
      <c r="EI10" s="267" t="s">
        <v>152</v>
      </c>
      <c r="EJ10" s="267" t="s">
        <v>152</v>
      </c>
      <c r="EK10" s="267" t="s">
        <v>152</v>
      </c>
      <c r="EL10" s="266" t="s">
        <v>158</v>
      </c>
      <c r="EM10" s="266" t="s">
        <v>158</v>
      </c>
      <c r="EN10" s="267" t="s">
        <v>158</v>
      </c>
      <c r="EO10" s="266" t="s">
        <v>158</v>
      </c>
      <c r="EP10" s="267" t="s">
        <v>158</v>
      </c>
      <c r="EQ10" s="267" t="s">
        <v>158</v>
      </c>
      <c r="ER10" s="267" t="s">
        <v>158</v>
      </c>
      <c r="ES10" s="73"/>
      <c r="ET10" s="275" t="s">
        <v>79</v>
      </c>
      <c r="EU10" s="275" t="s">
        <v>80</v>
      </c>
      <c r="EV10" s="275" t="s">
        <v>162</v>
      </c>
      <c r="EW10" s="275" t="s">
        <v>81</v>
      </c>
      <c r="EX10" s="275" t="s">
        <v>88</v>
      </c>
      <c r="EY10" s="275" t="s">
        <v>82</v>
      </c>
      <c r="EZ10" s="275" t="s">
        <v>161</v>
      </c>
      <c r="FA10" s="275" t="s">
        <v>83</v>
      </c>
      <c r="FB10" s="275" t="s">
        <v>84</v>
      </c>
      <c r="FC10" s="275" t="s">
        <v>85</v>
      </c>
      <c r="FD10" s="275" t="s">
        <v>229</v>
      </c>
      <c r="FE10" s="266" t="s">
        <v>154</v>
      </c>
      <c r="FF10" s="266" t="s">
        <v>86</v>
      </c>
      <c r="FG10" s="266" t="s">
        <v>156</v>
      </c>
      <c r="FH10" s="266" t="s">
        <v>163</v>
      </c>
      <c r="FI10" s="266" t="s">
        <v>160</v>
      </c>
      <c r="FJ10" s="266" t="s">
        <v>236</v>
      </c>
      <c r="FK10" s="266" t="s">
        <v>71</v>
      </c>
      <c r="FL10" s="266" t="s">
        <v>87</v>
      </c>
      <c r="FM10" s="266" t="s">
        <v>152</v>
      </c>
      <c r="FN10" s="266" t="s">
        <v>158</v>
      </c>
      <c r="FO10" s="266" t="s">
        <v>237</v>
      </c>
      <c r="FP10" s="267" t="s">
        <v>238</v>
      </c>
    </row>
    <row r="11" spans="1:149" ht="12.75">
      <c r="A11" s="263" t="s">
        <v>239</v>
      </c>
      <c r="B11" s="255" t="s">
        <v>240</v>
      </c>
      <c r="C11" s="255" t="s">
        <v>241</v>
      </c>
      <c r="D11" s="255" t="s">
        <v>94</v>
      </c>
      <c r="E11" s="255" t="s">
        <v>57</v>
      </c>
      <c r="F11" s="256" t="s">
        <v>173</v>
      </c>
      <c r="G11" s="73" t="s">
        <v>242</v>
      </c>
      <c r="H11" s="276" t="s">
        <v>242</v>
      </c>
      <c r="I11" s="255" t="s">
        <v>240</v>
      </c>
      <c r="J11" s="255" t="s">
        <v>241</v>
      </c>
      <c r="K11" s="258" t="s">
        <v>94</v>
      </c>
      <c r="L11" s="269" t="s">
        <v>57</v>
      </c>
      <c r="M11" s="256" t="s">
        <v>173</v>
      </c>
      <c r="N11" s="73" t="s">
        <v>242</v>
      </c>
      <c r="O11" s="73" t="s">
        <v>242</v>
      </c>
      <c r="P11" s="260" t="s">
        <v>240</v>
      </c>
      <c r="Q11" s="260" t="s">
        <v>241</v>
      </c>
      <c r="R11" s="49" t="s">
        <v>94</v>
      </c>
      <c r="S11" s="49" t="s">
        <v>57</v>
      </c>
      <c r="T11" s="261" t="s">
        <v>173</v>
      </c>
      <c r="U11" s="73" t="s">
        <v>242</v>
      </c>
      <c r="V11" s="73" t="s">
        <v>242</v>
      </c>
      <c r="W11" s="255" t="s">
        <v>240</v>
      </c>
      <c r="X11" s="255" t="s">
        <v>241</v>
      </c>
      <c r="Y11" s="258" t="s">
        <v>94</v>
      </c>
      <c r="Z11" s="258" t="s">
        <v>57</v>
      </c>
      <c r="AA11" s="256" t="s">
        <v>173</v>
      </c>
      <c r="AB11" s="73" t="s">
        <v>242</v>
      </c>
      <c r="AC11" s="73" t="s">
        <v>242</v>
      </c>
      <c r="AD11" s="260" t="s">
        <v>240</v>
      </c>
      <c r="AE11" s="260" t="s">
        <v>241</v>
      </c>
      <c r="AF11" s="49" t="s">
        <v>94</v>
      </c>
      <c r="AG11" s="258" t="s">
        <v>57</v>
      </c>
      <c r="AH11" s="256" t="s">
        <v>173</v>
      </c>
      <c r="AI11" s="73" t="s">
        <v>242</v>
      </c>
      <c r="AJ11" s="73" t="s">
        <v>242</v>
      </c>
      <c r="AK11" s="255" t="s">
        <v>240</v>
      </c>
      <c r="AL11" s="255" t="s">
        <v>241</v>
      </c>
      <c r="AM11" s="258" t="s">
        <v>94</v>
      </c>
      <c r="AN11" s="258" t="s">
        <v>57</v>
      </c>
      <c r="AO11" s="256" t="s">
        <v>173</v>
      </c>
      <c r="AP11" s="73" t="s">
        <v>242</v>
      </c>
      <c r="AQ11" s="73" t="s">
        <v>242</v>
      </c>
      <c r="AR11" s="260" t="s">
        <v>240</v>
      </c>
      <c r="AS11" s="260" t="s">
        <v>241</v>
      </c>
      <c r="AT11" s="49" t="s">
        <v>94</v>
      </c>
      <c r="AU11" s="49" t="s">
        <v>57</v>
      </c>
      <c r="AV11" s="267" t="s">
        <v>173</v>
      </c>
      <c r="AW11" s="73" t="s">
        <v>242</v>
      </c>
      <c r="AX11" s="73" t="s">
        <v>242</v>
      </c>
      <c r="AY11" s="255" t="s">
        <v>240</v>
      </c>
      <c r="AZ11" s="255" t="s">
        <v>241</v>
      </c>
      <c r="BA11" s="258" t="s">
        <v>94</v>
      </c>
      <c r="BB11" s="255" t="s">
        <v>57</v>
      </c>
      <c r="BC11" s="256" t="s">
        <v>173</v>
      </c>
      <c r="BD11" s="73" t="s">
        <v>242</v>
      </c>
      <c r="BE11" s="73" t="s">
        <v>242</v>
      </c>
      <c r="BF11" s="255" t="s">
        <v>240</v>
      </c>
      <c r="BG11" s="255" t="s">
        <v>241</v>
      </c>
      <c r="BH11" s="258" t="s">
        <v>94</v>
      </c>
      <c r="BI11" s="258" t="s">
        <v>57</v>
      </c>
      <c r="BJ11" s="256" t="s">
        <v>173</v>
      </c>
      <c r="BK11" s="73" t="s">
        <v>242</v>
      </c>
      <c r="BL11" s="73" t="s">
        <v>242</v>
      </c>
      <c r="BM11" s="255" t="s">
        <v>240</v>
      </c>
      <c r="BN11" s="255" t="s">
        <v>241</v>
      </c>
      <c r="BO11" s="258" t="s">
        <v>94</v>
      </c>
      <c r="BP11" s="258" t="s">
        <v>57</v>
      </c>
      <c r="BQ11" s="256" t="s">
        <v>173</v>
      </c>
      <c r="BR11" s="73" t="s">
        <v>242</v>
      </c>
      <c r="BS11" s="73" t="s">
        <v>242</v>
      </c>
      <c r="BT11" s="260" t="s">
        <v>240</v>
      </c>
      <c r="BU11" s="260" t="s">
        <v>241</v>
      </c>
      <c r="BV11" s="49" t="s">
        <v>94</v>
      </c>
      <c r="BW11" s="49" t="s">
        <v>57</v>
      </c>
      <c r="BX11" s="256" t="s">
        <v>173</v>
      </c>
      <c r="BY11" s="73" t="s">
        <v>242</v>
      </c>
      <c r="BZ11" s="73" t="s">
        <v>242</v>
      </c>
      <c r="CA11" s="273" t="s">
        <v>240</v>
      </c>
      <c r="CB11" s="273" t="s">
        <v>241</v>
      </c>
      <c r="CC11" s="266" t="s">
        <v>94</v>
      </c>
      <c r="CD11" s="266" t="s">
        <v>57</v>
      </c>
      <c r="CE11" s="274" t="s">
        <v>173</v>
      </c>
      <c r="CF11" s="73" t="s">
        <v>242</v>
      </c>
      <c r="CG11" s="73" t="s">
        <v>242</v>
      </c>
      <c r="CH11" s="255" t="s">
        <v>240</v>
      </c>
      <c r="CI11" s="255" t="s">
        <v>241</v>
      </c>
      <c r="CJ11" s="49" t="s">
        <v>94</v>
      </c>
      <c r="CK11" s="49" t="s">
        <v>57</v>
      </c>
      <c r="CL11" s="256" t="s">
        <v>173</v>
      </c>
      <c r="CM11" s="73" t="s">
        <v>242</v>
      </c>
      <c r="CN11" s="73" t="s">
        <v>242</v>
      </c>
      <c r="CO11" s="255" t="s">
        <v>240</v>
      </c>
      <c r="CP11" s="255" t="s">
        <v>241</v>
      </c>
      <c r="CQ11" s="258" t="s">
        <v>94</v>
      </c>
      <c r="CR11" s="258" t="s">
        <v>57</v>
      </c>
      <c r="CS11" s="256" t="s">
        <v>173</v>
      </c>
      <c r="CT11" s="73" t="s">
        <v>242</v>
      </c>
      <c r="CU11" s="73" t="s">
        <v>242</v>
      </c>
      <c r="CV11" s="49" t="s">
        <v>240</v>
      </c>
      <c r="CW11" s="49" t="s">
        <v>241</v>
      </c>
      <c r="CX11" s="49" t="s">
        <v>94</v>
      </c>
      <c r="CY11" s="49" t="s">
        <v>57</v>
      </c>
      <c r="CZ11" s="261" t="s">
        <v>173</v>
      </c>
      <c r="DA11" s="73" t="s">
        <v>242</v>
      </c>
      <c r="DB11" s="73" t="s">
        <v>242</v>
      </c>
      <c r="DC11" s="260" t="s">
        <v>240</v>
      </c>
      <c r="DD11" s="260" t="s">
        <v>241</v>
      </c>
      <c r="DE11" s="49" t="s">
        <v>94</v>
      </c>
      <c r="DF11" s="49" t="s">
        <v>57</v>
      </c>
      <c r="DG11" s="261" t="s">
        <v>173</v>
      </c>
      <c r="DH11" s="73" t="s">
        <v>242</v>
      </c>
      <c r="DI11" s="73" t="s">
        <v>242</v>
      </c>
      <c r="DJ11" s="255" t="s">
        <v>240</v>
      </c>
      <c r="DK11" s="255" t="s">
        <v>241</v>
      </c>
      <c r="DL11" s="258" t="s">
        <v>94</v>
      </c>
      <c r="DM11" s="258" t="s">
        <v>57</v>
      </c>
      <c r="DN11" s="256" t="s">
        <v>173</v>
      </c>
      <c r="DO11" s="73" t="s">
        <v>242</v>
      </c>
      <c r="DP11" s="73" t="s">
        <v>242</v>
      </c>
      <c r="DQ11" s="255" t="s">
        <v>240</v>
      </c>
      <c r="DR11" s="255" t="s">
        <v>241</v>
      </c>
      <c r="DS11" s="258" t="s">
        <v>94</v>
      </c>
      <c r="DT11" s="49" t="s">
        <v>57</v>
      </c>
      <c r="DU11" s="256" t="s">
        <v>173</v>
      </c>
      <c r="DV11" s="73" t="s">
        <v>242</v>
      </c>
      <c r="DW11" s="73" t="s">
        <v>242</v>
      </c>
      <c r="DX11" s="255" t="s">
        <v>240</v>
      </c>
      <c r="DY11" s="255" t="s">
        <v>241</v>
      </c>
      <c r="DZ11" s="258" t="s">
        <v>94</v>
      </c>
      <c r="EA11" s="258" t="s">
        <v>57</v>
      </c>
      <c r="EB11" s="274" t="s">
        <v>173</v>
      </c>
      <c r="EC11" s="73" t="s">
        <v>242</v>
      </c>
      <c r="ED11" s="73" t="s">
        <v>242</v>
      </c>
      <c r="EE11" s="255" t="s">
        <v>240</v>
      </c>
      <c r="EF11" s="255" t="s">
        <v>241</v>
      </c>
      <c r="EG11" s="258" t="s">
        <v>94</v>
      </c>
      <c r="EH11" s="258" t="s">
        <v>57</v>
      </c>
      <c r="EI11" s="274" t="s">
        <v>173</v>
      </c>
      <c r="EJ11" s="73" t="s">
        <v>242</v>
      </c>
      <c r="EK11" s="73" t="s">
        <v>242</v>
      </c>
      <c r="EL11" s="255" t="s">
        <v>240</v>
      </c>
      <c r="EM11" s="255" t="s">
        <v>241</v>
      </c>
      <c r="EN11" s="258" t="s">
        <v>94</v>
      </c>
      <c r="EO11" s="258" t="s">
        <v>57</v>
      </c>
      <c r="EP11" s="274" t="s">
        <v>173</v>
      </c>
      <c r="EQ11" s="73" t="s">
        <v>242</v>
      </c>
      <c r="ER11" s="73" t="s">
        <v>242</v>
      </c>
      <c r="ES11" s="73"/>
    </row>
    <row r="12" spans="1:172" ht="12.75">
      <c r="A12" s="263">
        <v>35976</v>
      </c>
      <c r="B12" s="255">
        <v>20</v>
      </c>
      <c r="C12" s="255">
        <v>19.375</v>
      </c>
      <c r="D12" s="255">
        <f>AVERAGE(B12:C12)</f>
        <v>19.6875</v>
      </c>
      <c r="E12" s="255">
        <v>1.08</v>
      </c>
      <c r="F12" s="256">
        <v>0.0432</v>
      </c>
      <c r="G12" s="261">
        <f>+((((((E12/4)*(1+F12)^0.25))/(D12*0.95))+(1+F12)^(0.25))^4)-1</f>
        <v>0.10475593810059314</v>
      </c>
      <c r="H12" s="277">
        <f aca="true" t="shared" si="0" ref="H12:H75">G12*($ET12/$FO12)</f>
        <v>0.0073323033017324</v>
      </c>
      <c r="I12" s="255">
        <v>30.5</v>
      </c>
      <c r="J12" s="255">
        <v>29.25</v>
      </c>
      <c r="K12" s="258">
        <f>AVERAGE(I12:J12)</f>
        <v>29.875</v>
      </c>
      <c r="L12" s="259">
        <v>1.06</v>
      </c>
      <c r="M12" s="256">
        <v>0.0853</v>
      </c>
      <c r="N12" s="261">
        <f>+((((((L12/4)*(1+M12)^0.25))/(K12*0.95))+(1+M12)^(0.25))^4)-1</f>
        <v>0.12640569369364707</v>
      </c>
      <c r="O12" s="208">
        <f aca="true" t="shared" si="1" ref="O12:O75">N12*($EU12/$FO12)</f>
        <v>0.007037911074575143</v>
      </c>
      <c r="P12" s="260">
        <v>15.875</v>
      </c>
      <c r="Q12" s="260">
        <v>15.5</v>
      </c>
      <c r="R12" s="258">
        <f>AVERAGE(P12:Q12)</f>
        <v>15.6875</v>
      </c>
      <c r="S12" s="49">
        <v>0.96</v>
      </c>
      <c r="T12" s="261">
        <v>0.0338</v>
      </c>
      <c r="U12" s="261">
        <f aca="true" t="shared" si="2" ref="U12:U45">+((((((S12/4)*(1+T12)^0.25))/(R12*1))+(1+T12)^(0.25))^4)-1</f>
        <v>0.0985302678305009</v>
      </c>
      <c r="V12" s="208">
        <f aca="true" t="shared" si="3" ref="V12:V45">U12*($EV12/$FO12)</f>
        <v>0.0010971772597929876</v>
      </c>
      <c r="W12" s="255">
        <v>20.4375</v>
      </c>
      <c r="X12" s="255">
        <v>19.75</v>
      </c>
      <c r="Y12" s="258">
        <f>AVERAGE(W12:X12)</f>
        <v>20.09375</v>
      </c>
      <c r="Z12" s="258">
        <v>0.62</v>
      </c>
      <c r="AA12" s="256">
        <v>0.0805</v>
      </c>
      <c r="AB12" s="261">
        <f>+((((((Z12/4)*(1+AA12)^0.25))/(Y12*0.95))+(1+AA12)^(0.25))^4)-1</f>
        <v>0.11602367194377838</v>
      </c>
      <c r="AC12" s="208">
        <f aca="true" t="shared" si="4" ref="AC12:AC75">AB12*($EW12/$FO12)</f>
        <v>0.004245057101913417</v>
      </c>
      <c r="AD12" s="123">
        <v>28.45</v>
      </c>
      <c r="AE12" s="123">
        <v>25.13</v>
      </c>
      <c r="AF12" s="258">
        <f aca="true" t="shared" si="5" ref="AF12:AF75">AVERAGE(AD12:AE12)</f>
        <v>26.79</v>
      </c>
      <c r="AG12" s="258">
        <v>1.18</v>
      </c>
      <c r="AH12" s="256">
        <v>0.0856</v>
      </c>
      <c r="AI12" s="261">
        <f>+((((((AG12/4)*(1+AH12)^0.25))/(AF12*0.95))+(1+AH12)^(0.25))^4)-1</f>
        <v>0.136815225591004</v>
      </c>
      <c r="AJ12" s="208">
        <f aca="true" t="shared" si="6" ref="AJ12:AJ75">AI12*($EX12/$FO12)</f>
        <v>0.009187580616321606</v>
      </c>
      <c r="AK12" s="255">
        <v>30.6875</v>
      </c>
      <c r="AL12" s="255">
        <v>29.25</v>
      </c>
      <c r="AM12" s="258">
        <f>AVERAGE(AK12:AL12)</f>
        <v>29.96875</v>
      </c>
      <c r="AN12" s="258">
        <v>1.5</v>
      </c>
      <c r="AP12" s="261"/>
      <c r="AQ12" s="208"/>
      <c r="AR12" s="260">
        <v>24.6875</v>
      </c>
      <c r="AS12" s="260">
        <v>24.25</v>
      </c>
      <c r="AT12" s="258">
        <f>AVERAGE(AR12:AS12)</f>
        <v>24.46875</v>
      </c>
      <c r="AU12" s="258">
        <v>1.32</v>
      </c>
      <c r="AW12" s="261"/>
      <c r="AX12" s="208"/>
      <c r="AY12" s="255">
        <v>36</v>
      </c>
      <c r="AZ12" s="255">
        <v>34.8125</v>
      </c>
      <c r="BA12" s="258">
        <f>AVERAGE(AY12:AZ12)</f>
        <v>35.40625</v>
      </c>
      <c r="BB12" s="255">
        <v>1.64</v>
      </c>
      <c r="BC12" s="256">
        <v>0.0583</v>
      </c>
      <c r="BD12" s="261">
        <f>+((((((BB12/4)*(1+BC12)^0.25))/(BA12*0.95))+(1+BC12)^(0.25))^4)-1</f>
        <v>0.11085107338141431</v>
      </c>
      <c r="BE12" s="208">
        <f aca="true" t="shared" si="7" ref="BE12:BE75">BD12*($FA12/$FO12)</f>
        <v>0.004584820583574932</v>
      </c>
      <c r="BF12" s="255">
        <v>40.3125</v>
      </c>
      <c r="BG12" s="255">
        <v>39.8125</v>
      </c>
      <c r="BH12" s="258">
        <f>AVERAGE(BF12:BG12)</f>
        <v>40.0625</v>
      </c>
      <c r="BI12" s="258">
        <v>1.48</v>
      </c>
      <c r="BJ12" s="256">
        <v>0.0726</v>
      </c>
      <c r="BK12" s="261">
        <f>+((((((BI12/4)*(1+BJ12)^0.25))/(BH12*0.95))+(1+BJ12)^(0.25))^4)-1</f>
        <v>0.11492195932703275</v>
      </c>
      <c r="BL12" s="208">
        <f aca="true" t="shared" si="8" ref="BL12:BL75">BK12*($FB12/$FO12)</f>
        <v>0.014625209746730122</v>
      </c>
      <c r="BM12" s="255">
        <v>28.0625</v>
      </c>
      <c r="BN12" s="255">
        <v>26.375</v>
      </c>
      <c r="BO12" s="258">
        <f>AVERAGE(BM12:BN12)</f>
        <v>27.21875</v>
      </c>
      <c r="BP12" s="258">
        <v>1.22</v>
      </c>
      <c r="BQ12" s="256">
        <v>0.0526</v>
      </c>
      <c r="BR12" s="261">
        <f>+((((((BP12/4)*(1+BQ12)^0.25))/(BO12*0.95))+(1+BQ12)^(0.25))^4)-1</f>
        <v>0.10314843420784103</v>
      </c>
      <c r="BS12" s="208">
        <f aca="true" t="shared" si="9" ref="BS12:BS53">BR12*($FC12/$FO12)</f>
        <v>0.0042662380245289105</v>
      </c>
      <c r="BT12" s="260">
        <v>25.625</v>
      </c>
      <c r="BU12" s="260">
        <v>25</v>
      </c>
      <c r="BV12" s="258">
        <f>AVERAGE(BT12:BU12)</f>
        <v>25.3125</v>
      </c>
      <c r="BW12" s="49">
        <v>0.98</v>
      </c>
      <c r="BX12" s="256">
        <v>0.106</v>
      </c>
      <c r="BY12" s="261">
        <f aca="true" t="shared" si="10" ref="BY12:BY68">+((((((BW12/4)*(1+BX12)^0.25))/(BV12*1))+(1+BX12)^(0.25))^4)-1</f>
        <v>0.14944565408357713</v>
      </c>
      <c r="BZ12" s="208">
        <f aca="true" t="shared" si="11" ref="BZ12:BZ50">BY12*($FD12/$FO12)</f>
        <v>0.0033282843302011615</v>
      </c>
      <c r="CA12" s="255">
        <v>20.15625</v>
      </c>
      <c r="CB12" s="255">
        <v>19.3125</v>
      </c>
      <c r="CC12" s="258">
        <f>AVERAGE(CA12:CB12)</f>
        <v>19.734375</v>
      </c>
      <c r="CD12" s="258">
        <v>0.6</v>
      </c>
      <c r="CE12" s="256">
        <v>0.07</v>
      </c>
      <c r="CF12" s="261">
        <f>+((((((CD12/4)*(1+CE12)^0.25))/(CC12*0.95))+(1+CE12)^(0.25))^4)-1</f>
        <v>0.104657459841208</v>
      </c>
      <c r="CG12" s="208">
        <f aca="true" t="shared" si="12" ref="CG12:CG75">CF12*($FE12/$FO12)</f>
        <v>0.007991356799174955</v>
      </c>
      <c r="CH12" s="255">
        <v>39</v>
      </c>
      <c r="CI12" s="255">
        <v>36.75</v>
      </c>
      <c r="CJ12" s="258">
        <f>AVERAGE(CH12:CI12)</f>
        <v>37.875</v>
      </c>
      <c r="CK12" s="258">
        <v>1.92</v>
      </c>
      <c r="CL12" s="256">
        <v>0.0561</v>
      </c>
      <c r="CM12" s="261">
        <f>+((((((CK12/4)*(1+CL12)^0.25))/(CJ12*0.95))+(1+CL12)^(0.25))^4)-1</f>
        <v>0.11359242826256666</v>
      </c>
      <c r="CN12" s="208">
        <f aca="true" t="shared" si="13" ref="CN12:CN75">CM12*($FF12/$FO12)</f>
        <v>0.009396407041445823</v>
      </c>
      <c r="CO12" s="255">
        <v>33.8125</v>
      </c>
      <c r="CP12" s="255">
        <v>32.9375</v>
      </c>
      <c r="CQ12" s="258">
        <f aca="true" t="shared" si="14" ref="CQ12:CQ75">AVERAGE(CO12:CP12)</f>
        <v>33.375</v>
      </c>
      <c r="CR12" s="258">
        <v>1.3</v>
      </c>
      <c r="CS12" s="256">
        <v>0.0733</v>
      </c>
      <c r="CT12" s="261">
        <f>+((((((CR12/4)*(1+CS12)^0.25))/(CQ12*0.95))+(1+CS12)^(0.25))^4)-1</f>
        <v>0.11798804364883164</v>
      </c>
      <c r="CU12" s="208">
        <f aca="true" t="shared" si="15" ref="CU12:CU75">CT12*($FG12/$FO12)</f>
        <v>0.007132317884552346</v>
      </c>
      <c r="CV12" s="262">
        <v>17.75</v>
      </c>
      <c r="CW12" s="262">
        <v>17.375</v>
      </c>
      <c r="CX12" s="262">
        <f aca="true" t="shared" si="16" ref="CX12:CX55">AVERAGE(CV12:CW12)</f>
        <v>17.5625</v>
      </c>
      <c r="CY12" s="262">
        <v>0.76</v>
      </c>
      <c r="DA12" s="261"/>
      <c r="DB12" s="208"/>
      <c r="DC12" s="260">
        <v>27.875</v>
      </c>
      <c r="DD12" s="260">
        <v>27.25</v>
      </c>
      <c r="DE12" s="258">
        <f aca="true" t="shared" si="17" ref="DE12:DE65">AVERAGE(DC12:DD12)</f>
        <v>27.5625</v>
      </c>
      <c r="DF12" s="258">
        <v>1.44</v>
      </c>
      <c r="DH12" s="261"/>
      <c r="DI12" s="208"/>
      <c r="DJ12" s="255">
        <v>25</v>
      </c>
      <c r="DK12" s="255">
        <v>23.875</v>
      </c>
      <c r="DL12" s="258">
        <f aca="true" t="shared" si="18" ref="DL12:DL48">AVERAGE(DJ12:DK12)</f>
        <v>24.4375</v>
      </c>
      <c r="DM12" s="258">
        <v>0.82</v>
      </c>
      <c r="DN12" s="256">
        <v>0.0453</v>
      </c>
      <c r="DO12" s="261">
        <f>+((((((DM12/4)*(1+DN12)^0.25))/(DL12*0.95))+(1+DN12)^(0.25))^4)-1</f>
        <v>0.0827130015881814</v>
      </c>
      <c r="DP12" s="208">
        <f aca="true" t="shared" si="19" ref="DP12:DP50">DO12*($FJ12/$FO12)</f>
        <v>0.0028947133004471933</v>
      </c>
      <c r="DQ12" s="255">
        <v>25.125</v>
      </c>
      <c r="DR12" s="255">
        <v>23.75</v>
      </c>
      <c r="DS12" s="258">
        <f aca="true" t="shared" si="20" ref="DS12:DS75">AVERAGE(DQ12:DR12)</f>
        <v>24.4375</v>
      </c>
      <c r="DT12" s="258">
        <v>1.44</v>
      </c>
      <c r="DV12" s="261"/>
      <c r="DW12" s="208"/>
      <c r="DX12" s="255">
        <v>27.875</v>
      </c>
      <c r="DY12" s="255">
        <v>26.1875</v>
      </c>
      <c r="DZ12" s="258">
        <f aca="true" t="shared" si="21" ref="DZ12:DZ75">AVERAGE(DX12:DY12)</f>
        <v>27.03125</v>
      </c>
      <c r="EA12" s="258">
        <v>1.2</v>
      </c>
      <c r="EB12" s="256">
        <v>0.0463</v>
      </c>
      <c r="EC12" s="261">
        <f>+((((((EA12/4)*(1+EB12)^0.25))/(DZ12*0.95))+(1+EB12)^(0.25))^4)-1</f>
        <v>0.09605659303448677</v>
      </c>
      <c r="ED12" s="208">
        <f aca="true" t="shared" si="22" ref="ED12:ED75">EC12*($FL12/$FO12)</f>
        <v>0.007334618182176466</v>
      </c>
      <c r="EE12" s="123">
        <v>41.22</v>
      </c>
      <c r="EF12" s="123">
        <v>38.51</v>
      </c>
      <c r="EG12" s="258">
        <f>AVERAGE(EE12:EF12)</f>
        <v>39.864999999999995</v>
      </c>
      <c r="EH12" s="278">
        <f>4*0.45</f>
        <v>1.8</v>
      </c>
      <c r="EI12" s="256">
        <v>0.0742</v>
      </c>
      <c r="EJ12" s="261">
        <f>+((((((EH12/4)*(1+EI12)^0.25))/(EG12*0.95))+(1+EI12)^(0.25))^4)-1</f>
        <v>0.12617267743180038</v>
      </c>
      <c r="EK12" s="208">
        <f aca="true" t="shared" si="23" ref="EK12:EK75">EJ12*($FM12/$FO12)</f>
        <v>0.012639665563812508</v>
      </c>
      <c r="EL12" s="279">
        <v>20.5</v>
      </c>
      <c r="EM12" s="279">
        <v>18.6875</v>
      </c>
      <c r="EN12" s="279">
        <f>AVERAGE(EL12:EM12)</f>
        <v>19.59375</v>
      </c>
      <c r="EO12" s="278">
        <v>0.66</v>
      </c>
      <c r="EP12" s="256">
        <v>0.0875</v>
      </c>
      <c r="EQ12" s="261">
        <f>+((((((EO12/4)*(1+EP12)^0.25))/(EN12*0.95))+(1+EP12)^(0.25))^4)-1</f>
        <v>0.12657529657442068</v>
      </c>
      <c r="ER12" s="208">
        <f aca="true" t="shared" si="24" ref="ER12:ER75">EQ12*($FN12/$FO12)</f>
        <v>0.012168934174598509</v>
      </c>
      <c r="ES12" s="261"/>
      <c r="ET12" s="262">
        <v>1.1</v>
      </c>
      <c r="EU12" s="262">
        <v>0.875</v>
      </c>
      <c r="EV12" s="262">
        <v>0.175</v>
      </c>
      <c r="EW12" s="262">
        <v>0.575</v>
      </c>
      <c r="EX12" s="280">
        <v>1.05535275</v>
      </c>
      <c r="FA12" s="262">
        <v>0.65</v>
      </c>
      <c r="FB12" s="262">
        <v>2</v>
      </c>
      <c r="FC12" s="262">
        <v>0.65</v>
      </c>
      <c r="FD12" s="262">
        <v>0.35</v>
      </c>
      <c r="FE12" s="258">
        <v>1.2</v>
      </c>
      <c r="FF12" s="258">
        <v>1.3</v>
      </c>
      <c r="FG12" s="258">
        <v>0.95</v>
      </c>
      <c r="FJ12" s="258">
        <v>0.55</v>
      </c>
      <c r="FL12" s="258">
        <v>1.2</v>
      </c>
      <c r="FM12" s="281">
        <v>1.5743496</v>
      </c>
      <c r="FN12" s="281">
        <v>1.51089576</v>
      </c>
      <c r="FO12" s="258">
        <f>SUM(ET12:FN12)</f>
        <v>15.71559811</v>
      </c>
      <c r="FP12" s="261">
        <f aca="true" t="shared" si="25" ref="FP12:FP75">SUM(H12,O12,V12,AC12,AJ12,AQ12,AX12,BE12,BL12,BS12,BZ12,CG12,CN12,CU12,DB12,DI12,DP12,DW12,ED12,EK12,ER12)</f>
        <v>0.11526259498557849</v>
      </c>
    </row>
    <row r="13" spans="1:172" ht="12.75">
      <c r="A13" s="263">
        <v>36007</v>
      </c>
      <c r="B13" s="255">
        <v>20.5625</v>
      </c>
      <c r="C13" s="255">
        <v>18.5625</v>
      </c>
      <c r="D13" s="255">
        <f aca="true" t="shared" si="26" ref="D13:D76">AVERAGE(B13:C13)</f>
        <v>19.5625</v>
      </c>
      <c r="E13" s="255">
        <v>1.08</v>
      </c>
      <c r="F13" s="256">
        <v>0.0436</v>
      </c>
      <c r="G13" s="261">
        <f aca="true" t="shared" si="27" ref="G13:G76">+((((((E13/4)*(1+F13)^0.25))/(D13*0.95))+(1+F13)^(0.25))^4)-1</f>
        <v>0.10558157468481455</v>
      </c>
      <c r="H13" s="277">
        <f t="shared" si="0"/>
        <v>0.007641426325273525</v>
      </c>
      <c r="I13" s="255">
        <v>30.9375</v>
      </c>
      <c r="J13" s="255">
        <v>28.25</v>
      </c>
      <c r="K13" s="258">
        <f aca="true" t="shared" si="28" ref="K13:K61">AVERAGE(I13:J13)</f>
        <v>29.59375</v>
      </c>
      <c r="L13" s="259">
        <v>1.06</v>
      </c>
      <c r="M13" s="256">
        <v>0.0853</v>
      </c>
      <c r="N13" s="261">
        <f aca="true" t="shared" si="29" ref="N13:N76">+((((((L13/4)*(1+M13)^0.25))/(K13*0.95))+(1+M13)^(0.25))^4)-1</f>
        <v>0.12680186473504684</v>
      </c>
      <c r="O13" s="208">
        <f t="shared" si="1"/>
        <v>0.007508648249688554</v>
      </c>
      <c r="P13" s="260">
        <v>15.8125</v>
      </c>
      <c r="Q13" s="260">
        <v>14.6875</v>
      </c>
      <c r="R13" s="258">
        <f aca="true" t="shared" si="30" ref="R13:R48">AVERAGE(P13:Q13)</f>
        <v>15.25</v>
      </c>
      <c r="S13" s="49">
        <v>0.96</v>
      </c>
      <c r="T13" s="261">
        <v>0.0338</v>
      </c>
      <c r="U13" s="261">
        <f t="shared" si="2"/>
        <v>0.10043101984713587</v>
      </c>
      <c r="V13" s="208">
        <f t="shared" si="3"/>
        <v>0.0011563772304569902</v>
      </c>
      <c r="W13" s="255">
        <v>20.75</v>
      </c>
      <c r="X13" s="255">
        <v>17.0625</v>
      </c>
      <c r="Y13" s="258">
        <f aca="true" t="shared" si="31" ref="Y13:Y61">AVERAGE(W13:X13)</f>
        <v>18.90625</v>
      </c>
      <c r="Z13" s="258">
        <v>0.64</v>
      </c>
      <c r="AA13" s="256">
        <v>0.0805</v>
      </c>
      <c r="AB13" s="261">
        <f aca="true" t="shared" si="32" ref="AB13:AB76">+((((((Z13/4)*(1+AA13)^0.25))/(Y13*0.95))+(1+AA13)^(0.25))^4)-1</f>
        <v>0.11951886069112883</v>
      </c>
      <c r="AC13" s="208">
        <f t="shared" si="4"/>
        <v>0.004521659961869765</v>
      </c>
      <c r="AD13" s="123">
        <v>28.22</v>
      </c>
      <c r="AE13" s="123">
        <v>22.97</v>
      </c>
      <c r="AF13" s="258">
        <f t="shared" si="5"/>
        <v>25.595</v>
      </c>
      <c r="AG13" s="258">
        <v>1.18</v>
      </c>
      <c r="AH13" s="256">
        <v>0.09</v>
      </c>
      <c r="AI13" s="261">
        <f aca="true" t="shared" si="33" ref="AI13:AI76">+((((((AG13/4)*(1+AH13)^0.25))/(AF13*0.95))+(1+AH13)^(0.25))^4)-1</f>
        <v>0.14386729510562812</v>
      </c>
      <c r="AJ13" s="208">
        <f t="shared" si="6"/>
        <v>0.00806551418059033</v>
      </c>
      <c r="AK13" s="255">
        <v>30.75</v>
      </c>
      <c r="AL13" s="255">
        <v>26.5</v>
      </c>
      <c r="AM13" s="258">
        <f aca="true" t="shared" si="34" ref="AM13:AM61">AVERAGE(AK13:AL13)</f>
        <v>28.625</v>
      </c>
      <c r="AN13" s="258">
        <v>1.2</v>
      </c>
      <c r="AP13" s="261"/>
      <c r="AQ13" s="208"/>
      <c r="AR13" s="260">
        <v>25</v>
      </c>
      <c r="AS13" s="260">
        <v>23.0625</v>
      </c>
      <c r="AT13" s="258">
        <f aca="true" t="shared" si="35" ref="AT13:AT48">AVERAGE(AR13:AS13)</f>
        <v>24.03125</v>
      </c>
      <c r="AU13" s="258">
        <v>1.32</v>
      </c>
      <c r="AW13" s="261"/>
      <c r="AX13" s="208"/>
      <c r="AY13" s="255">
        <v>36.5</v>
      </c>
      <c r="AZ13" s="255">
        <v>33.625</v>
      </c>
      <c r="BA13" s="258">
        <f aca="true" t="shared" si="36" ref="BA13:BA61">AVERAGE(AY13:AZ13)</f>
        <v>35.0625</v>
      </c>
      <c r="BB13" s="255">
        <v>1.64</v>
      </c>
      <c r="BC13" s="256">
        <v>0.0583</v>
      </c>
      <c r="BD13" s="261">
        <f aca="true" t="shared" si="37" ref="BD13:BD76">+((((((BB13/4)*(1+BC13)^0.25))/(BA13*0.95))+(1+BC13)^(0.25))^4)-1</f>
        <v>0.1113757734596561</v>
      </c>
      <c r="BE13" s="208">
        <f t="shared" si="7"/>
        <v>0.0045799882151278245</v>
      </c>
      <c r="BF13" s="255">
        <v>41</v>
      </c>
      <c r="BG13" s="255">
        <v>37.125</v>
      </c>
      <c r="BH13" s="258">
        <f aca="true" t="shared" si="38" ref="BH13:BH61">AVERAGE(BF13:BG13)</f>
        <v>39.0625</v>
      </c>
      <c r="BI13" s="258">
        <v>1.48</v>
      </c>
      <c r="BJ13" s="256">
        <v>0.078</v>
      </c>
      <c r="BK13" s="261">
        <f aca="true" t="shared" si="39" ref="BK13:BK76">+((((((BI13/4)*(1+BJ13)^0.25))/(BH13*0.95))+(1+BJ13)^(0.25))^4)-1</f>
        <v>0.12164018701521062</v>
      </c>
      <c r="BL13" s="208">
        <f t="shared" si="8"/>
        <v>0.015206325768690932</v>
      </c>
      <c r="BM13" s="255">
        <v>28</v>
      </c>
      <c r="BN13" s="255">
        <v>26</v>
      </c>
      <c r="BO13" s="258">
        <f aca="true" t="shared" si="40" ref="BO13:BO53">AVERAGE(BM13:BN13)</f>
        <v>27</v>
      </c>
      <c r="BP13" s="258">
        <v>1.22</v>
      </c>
      <c r="BQ13" s="256">
        <v>0.0516</v>
      </c>
      <c r="BR13" s="261">
        <f>+((((((BP13/4)*(1+BQ13)^0.25))/(BO13*0.95))+(1+BQ13)^(0.25))^4)-1</f>
        <v>0.10251684212192047</v>
      </c>
      <c r="BS13" s="208">
        <f t="shared" si="9"/>
        <v>0.004181966211072538</v>
      </c>
      <c r="BT13" s="260">
        <v>25.9375</v>
      </c>
      <c r="BU13" s="260">
        <v>22.125</v>
      </c>
      <c r="BV13" s="258">
        <f aca="true" t="shared" si="41" ref="BV13:BV48">AVERAGE(BT13:BU13)</f>
        <v>24.03125</v>
      </c>
      <c r="BW13" s="49">
        <v>0.98</v>
      </c>
      <c r="BX13" s="256">
        <v>0.106</v>
      </c>
      <c r="BY13" s="261">
        <f t="shared" si="10"/>
        <v>0.15179737944620464</v>
      </c>
      <c r="BZ13" s="208">
        <f t="shared" si="11"/>
        <v>0.0032459456614720985</v>
      </c>
      <c r="CA13" s="255">
        <v>20.46875</v>
      </c>
      <c r="CB13" s="255">
        <v>17</v>
      </c>
      <c r="CC13" s="258">
        <f aca="true" t="shared" si="42" ref="CC13:CC61">AVERAGE(CA13:CB13)</f>
        <v>18.734375</v>
      </c>
      <c r="CD13" s="258">
        <v>0.6</v>
      </c>
      <c r="CE13" s="256">
        <v>0.07</v>
      </c>
      <c r="CF13" s="261">
        <f aca="true" t="shared" si="43" ref="CF13:CF34">+((((((CD13/4)*(1+CE13)^0.25))/(CC13*0.95))+(1+CE13)^(0.25))^4)-1</f>
        <v>0.10653076152339791</v>
      </c>
      <c r="CG13" s="208">
        <f t="shared" si="12"/>
        <v>0.008411043667452366</v>
      </c>
      <c r="CH13" s="255">
        <v>38.625</v>
      </c>
      <c r="CI13" s="255">
        <v>33.875</v>
      </c>
      <c r="CJ13" s="258">
        <f aca="true" t="shared" si="44" ref="CJ13:CJ61">AVERAGE(CH13:CI13)</f>
        <v>36.25</v>
      </c>
      <c r="CK13" s="258">
        <v>1.92</v>
      </c>
      <c r="CL13" s="256">
        <v>0.0561</v>
      </c>
      <c r="CM13" s="261">
        <f aca="true" t="shared" si="45" ref="CM13:CM76">+((((((CK13/4)*(1+CL13)^0.25))/(CJ13*0.95))+(1+CL13)^(0.25))^4)-1</f>
        <v>0.11622345778857501</v>
      </c>
      <c r="CN13" s="208">
        <f t="shared" si="13"/>
        <v>0.009941015581334348</v>
      </c>
      <c r="CO13" s="255">
        <v>34.625</v>
      </c>
      <c r="CP13" s="255">
        <v>28.875</v>
      </c>
      <c r="CQ13" s="258">
        <f t="shared" si="14"/>
        <v>31.75</v>
      </c>
      <c r="CR13" s="258">
        <v>1.3</v>
      </c>
      <c r="CS13" s="256">
        <v>0.0733</v>
      </c>
      <c r="CT13" s="261">
        <f aca="true" t="shared" si="46" ref="CT13:CT76">+((((((CR13/4)*(1+CS13)^0.25))/(CQ13*0.95))+(1+CS13)^(0.25))^4)-1</f>
        <v>0.12031214219800423</v>
      </c>
      <c r="CU13" s="208">
        <f t="shared" si="15"/>
        <v>0.0077180517360991305</v>
      </c>
      <c r="CV13" s="262">
        <v>18</v>
      </c>
      <c r="CW13" s="262">
        <v>17</v>
      </c>
      <c r="CX13" s="262">
        <f t="shared" si="16"/>
        <v>17.5</v>
      </c>
      <c r="CY13" s="262">
        <v>0.8</v>
      </c>
      <c r="DA13" s="261"/>
      <c r="DB13" s="208"/>
      <c r="DC13" s="260">
        <v>27.875</v>
      </c>
      <c r="DD13" s="260">
        <v>25.5</v>
      </c>
      <c r="DE13" s="258">
        <f t="shared" si="17"/>
        <v>26.6875</v>
      </c>
      <c r="DF13" s="258">
        <v>1.44</v>
      </c>
      <c r="DH13" s="261"/>
      <c r="DI13" s="208"/>
      <c r="DJ13" s="255">
        <v>24.5</v>
      </c>
      <c r="DK13" s="255">
        <v>22.6875</v>
      </c>
      <c r="DL13" s="258">
        <f t="shared" si="18"/>
        <v>23.59375</v>
      </c>
      <c r="DM13" s="258">
        <v>0.82</v>
      </c>
      <c r="DN13" s="256">
        <v>0.0453</v>
      </c>
      <c r="DO13" s="261">
        <f aca="true" t="shared" si="47" ref="DO13:DO50">+((((((DM13/4)*(1+DN13)^0.25))/(DL13*0.95))+(1+DN13)^(0.25))^4)-1</f>
        <v>0.08406928186261275</v>
      </c>
      <c r="DP13" s="208">
        <f t="shared" si="19"/>
        <v>0.00345709222234491</v>
      </c>
      <c r="DQ13" s="255">
        <v>25.8125</v>
      </c>
      <c r="DR13" s="255">
        <v>23.4375</v>
      </c>
      <c r="DS13" s="258">
        <f t="shared" si="20"/>
        <v>24.625</v>
      </c>
      <c r="DT13" s="258">
        <v>1.46</v>
      </c>
      <c r="DV13" s="261"/>
      <c r="DW13" s="208"/>
      <c r="DX13" s="255">
        <v>27.6875</v>
      </c>
      <c r="DY13" s="255">
        <v>23.625</v>
      </c>
      <c r="DZ13" s="258">
        <f t="shared" si="21"/>
        <v>25.65625</v>
      </c>
      <c r="EA13" s="258">
        <v>1.2</v>
      </c>
      <c r="EB13" s="256">
        <v>0.0471</v>
      </c>
      <c r="EC13" s="261">
        <f aca="true" t="shared" si="48" ref="EC13:EC76">+((((((EA13/4)*(1+EB13)^0.25))/(DZ13*0.95))+(1+EB13)^(0.25))^4)-1</f>
        <v>0.09961248316266635</v>
      </c>
      <c r="ED13" s="208">
        <f t="shared" si="22"/>
        <v>0.007209415595830686</v>
      </c>
      <c r="EE13" s="123">
        <v>41.22</v>
      </c>
      <c r="EF13" s="123">
        <v>37.51</v>
      </c>
      <c r="EG13" s="258">
        <f>AVERAGE(EE13:EF13)</f>
        <v>39.364999999999995</v>
      </c>
      <c r="EH13" s="278">
        <f aca="true" t="shared" si="49" ref="EH13:EH23">4*0.45</f>
        <v>1.8</v>
      </c>
      <c r="EI13" s="256">
        <v>0.081</v>
      </c>
      <c r="EJ13" s="261">
        <f aca="true" t="shared" si="50" ref="EJ13:EJ76">+((((((EH13/4)*(1+EI13)^0.25))/(EG13*0.95))+(1+EI13)^(0.25))^4)-1</f>
        <v>0.13397796445413745</v>
      </c>
      <c r="EK13" s="208">
        <f t="shared" si="23"/>
        <v>0.013161318702455184</v>
      </c>
      <c r="EL13" s="279">
        <v>18.55</v>
      </c>
      <c r="EM13" s="279">
        <v>16.85</v>
      </c>
      <c r="EN13" s="279">
        <f>AVERAGE(EL13:EM13)</f>
        <v>17.700000000000003</v>
      </c>
      <c r="EO13" s="278">
        <v>0.66</v>
      </c>
      <c r="EP13" s="256">
        <v>0.0895</v>
      </c>
      <c r="EQ13" s="261">
        <f aca="true" t="shared" si="51" ref="EQ13:EQ76">+((((((EO13/4)*(1+EP13)^0.25))/(EN13*0.95))+(1+EP13)^(0.25))^4)-1</f>
        <v>0.13289716919130568</v>
      </c>
      <c r="ER13" s="208">
        <f t="shared" si="24"/>
        <v>0.012535223265671518</v>
      </c>
      <c r="ES13" s="261"/>
      <c r="ET13" s="262">
        <v>1.1</v>
      </c>
      <c r="EU13" s="262">
        <v>0.9</v>
      </c>
      <c r="EV13" s="262">
        <v>0.175</v>
      </c>
      <c r="EW13" s="262">
        <v>0.575</v>
      </c>
      <c r="EX13" s="280">
        <v>0.8520721499999999</v>
      </c>
      <c r="FA13" s="262">
        <v>0.625</v>
      </c>
      <c r="FB13" s="262">
        <v>1.9</v>
      </c>
      <c r="FC13" s="262">
        <v>0.62</v>
      </c>
      <c r="FD13" s="262">
        <v>0.325</v>
      </c>
      <c r="FE13" s="258">
        <v>1.2</v>
      </c>
      <c r="FF13" s="258">
        <v>1.3</v>
      </c>
      <c r="FG13" s="258">
        <v>0.975</v>
      </c>
      <c r="FJ13" s="258">
        <v>0.625</v>
      </c>
      <c r="FL13" s="258">
        <v>1.1</v>
      </c>
      <c r="FM13" s="281">
        <v>1.4930433600000002</v>
      </c>
      <c r="FN13" s="281">
        <v>1.4335826399999998</v>
      </c>
      <c r="FO13" s="258">
        <f>SUM(ET13:FN13)</f>
        <v>15.198698149999998</v>
      </c>
      <c r="FP13" s="261">
        <f t="shared" si="25"/>
        <v>0.1185410125754307</v>
      </c>
    </row>
    <row r="14" spans="1:172" ht="12.75">
      <c r="A14" s="263">
        <v>36038</v>
      </c>
      <c r="B14" s="255">
        <v>19.4375</v>
      </c>
      <c r="C14" s="255">
        <v>17.9375</v>
      </c>
      <c r="D14" s="255">
        <f t="shared" si="26"/>
        <v>18.6875</v>
      </c>
      <c r="E14" s="255">
        <v>1.08</v>
      </c>
      <c r="F14" s="256">
        <v>0.0443</v>
      </c>
      <c r="G14" s="261">
        <f t="shared" si="27"/>
        <v>0.10929335970923582</v>
      </c>
      <c r="H14" s="277">
        <f t="shared" si="0"/>
        <v>0.006060507648948817</v>
      </c>
      <c r="I14" s="255">
        <v>30.5</v>
      </c>
      <c r="J14" s="255">
        <v>27.625</v>
      </c>
      <c r="K14" s="258">
        <f t="shared" si="28"/>
        <v>29.0625</v>
      </c>
      <c r="L14" s="259">
        <v>1.06</v>
      </c>
      <c r="M14" s="256">
        <v>0.0853</v>
      </c>
      <c r="N14" s="261">
        <f t="shared" si="29"/>
        <v>0.1275714071202776</v>
      </c>
      <c r="O14" s="208">
        <f t="shared" si="1"/>
        <v>0.005787865060244861</v>
      </c>
      <c r="P14" s="260">
        <v>16.3125</v>
      </c>
      <c r="Q14" s="260">
        <v>14.625</v>
      </c>
      <c r="R14" s="258">
        <f t="shared" si="30"/>
        <v>15.46875</v>
      </c>
      <c r="S14" s="49">
        <v>0.96</v>
      </c>
      <c r="T14" s="261">
        <v>0.0338</v>
      </c>
      <c r="U14" s="261">
        <f t="shared" si="2"/>
        <v>0.09946689618076654</v>
      </c>
      <c r="V14" s="208">
        <f t="shared" si="3"/>
        <v>0.0008774839001845652</v>
      </c>
      <c r="W14" s="255">
        <v>19.25</v>
      </c>
      <c r="X14" s="255">
        <v>15.25</v>
      </c>
      <c r="Y14" s="258">
        <f t="shared" si="31"/>
        <v>17.25</v>
      </c>
      <c r="Z14" s="258">
        <v>0.64</v>
      </c>
      <c r="AA14" s="256">
        <v>0.0805</v>
      </c>
      <c r="AB14" s="261">
        <f t="shared" si="32"/>
        <v>0.12332005218919773</v>
      </c>
      <c r="AC14" s="208">
        <f t="shared" si="4"/>
        <v>0.0035745723078036648</v>
      </c>
      <c r="AD14" s="123">
        <v>23.49</v>
      </c>
      <c r="AE14" s="123">
        <v>20.3</v>
      </c>
      <c r="AF14" s="258">
        <f t="shared" si="5"/>
        <v>21.895</v>
      </c>
      <c r="AG14" s="258">
        <v>1.18</v>
      </c>
      <c r="AH14" s="256">
        <v>0.0844</v>
      </c>
      <c r="AI14" s="261">
        <f t="shared" si="33"/>
        <v>0.14723924745995065</v>
      </c>
      <c r="AJ14" s="208">
        <f t="shared" si="6"/>
        <v>0.0056891889510433495</v>
      </c>
      <c r="AK14" s="255">
        <v>30.25</v>
      </c>
      <c r="AL14" s="255">
        <v>26.6875</v>
      </c>
      <c r="AM14" s="258">
        <f t="shared" si="34"/>
        <v>28.46875</v>
      </c>
      <c r="AN14" s="258">
        <v>1.2</v>
      </c>
      <c r="AO14" s="256">
        <v>0.0788</v>
      </c>
      <c r="AP14" s="261">
        <f>+((((((AN14/4)*(1+AO14)^0.25))/(AM14*0.95))+(1+AO14)^(0.25))^4)-1</f>
        <v>0.12746867705066456</v>
      </c>
      <c r="AQ14" s="208">
        <f aca="true" t="shared" si="52" ref="AQ14:AQ77">AP14*($EY14/$FO14)</f>
        <v>0.03148633417918535</v>
      </c>
      <c r="AR14" s="260">
        <v>23.8125</v>
      </c>
      <c r="AS14" s="260">
        <v>22.375</v>
      </c>
      <c r="AT14" s="258">
        <f t="shared" si="35"/>
        <v>23.09375</v>
      </c>
      <c r="AU14" s="258">
        <v>1.32</v>
      </c>
      <c r="AW14" s="261"/>
      <c r="AX14" s="208"/>
      <c r="AY14" s="255">
        <v>34.4375</v>
      </c>
      <c r="AZ14" s="255">
        <v>31.5</v>
      </c>
      <c r="BA14" s="258">
        <f t="shared" si="36"/>
        <v>32.96875</v>
      </c>
      <c r="BB14" s="255">
        <v>1.64</v>
      </c>
      <c r="BC14" s="256">
        <v>0.0583</v>
      </c>
      <c r="BD14" s="261">
        <f t="shared" si="37"/>
        <v>0.11481254455955026</v>
      </c>
      <c r="BE14" s="208">
        <f t="shared" si="7"/>
        <v>0.003617361412927377</v>
      </c>
      <c r="BF14" s="255">
        <v>39.75</v>
      </c>
      <c r="BG14" s="255">
        <v>37.375</v>
      </c>
      <c r="BH14" s="258">
        <f t="shared" si="38"/>
        <v>38.5625</v>
      </c>
      <c r="BI14" s="258">
        <v>1.48</v>
      </c>
      <c r="BJ14" s="256">
        <v>0.0726</v>
      </c>
      <c r="BK14" s="261">
        <f t="shared" si="39"/>
        <v>0.11659309960023867</v>
      </c>
      <c r="BL14" s="208">
        <f t="shared" si="8"/>
        <v>0.011167320771623423</v>
      </c>
      <c r="BM14" s="255">
        <v>27.25</v>
      </c>
      <c r="BN14" s="255">
        <v>24.25</v>
      </c>
      <c r="BO14" s="258">
        <f t="shared" si="40"/>
        <v>25.75</v>
      </c>
      <c r="BP14" s="258">
        <v>1.22</v>
      </c>
      <c r="BQ14" s="256">
        <v>0.0516</v>
      </c>
      <c r="BR14" s="261">
        <f aca="true" t="shared" si="53" ref="BR14:BR53">+((((((BP14/4)*(1+BQ14)^0.25))/(BO14*0.95))+(1+BQ14)^(0.25))^4)-1</f>
        <v>0.10503468370450686</v>
      </c>
      <c r="BS14" s="208">
        <f t="shared" si="9"/>
        <v>0.003282819190209731</v>
      </c>
      <c r="BT14" s="260">
        <v>22.4375</v>
      </c>
      <c r="BU14" s="260">
        <v>20.3125</v>
      </c>
      <c r="BV14" s="258">
        <f t="shared" si="41"/>
        <v>21.375</v>
      </c>
      <c r="BW14" s="49">
        <v>0.98</v>
      </c>
      <c r="BX14" s="256">
        <v>0.106</v>
      </c>
      <c r="BY14" s="261">
        <f t="shared" si="10"/>
        <v>0.15758633613831097</v>
      </c>
      <c r="BZ14" s="208">
        <f t="shared" si="11"/>
        <v>0.002581811086443988</v>
      </c>
      <c r="CA14" s="255">
        <v>17.59375</v>
      </c>
      <c r="CB14" s="255">
        <v>14.875</v>
      </c>
      <c r="CC14" s="258">
        <f t="shared" si="42"/>
        <v>16.234375</v>
      </c>
      <c r="CD14" s="258">
        <v>0.6</v>
      </c>
      <c r="CE14" s="256">
        <v>0.07</v>
      </c>
      <c r="CF14" s="261">
        <f t="shared" si="43"/>
        <v>0.11223831209150004</v>
      </c>
      <c r="CG14" s="208">
        <f t="shared" si="12"/>
        <v>0.00678961134671578</v>
      </c>
      <c r="CH14" s="255">
        <v>37</v>
      </c>
      <c r="CI14" s="255">
        <v>33.0625</v>
      </c>
      <c r="CJ14" s="258">
        <f t="shared" si="44"/>
        <v>35.03125</v>
      </c>
      <c r="CK14" s="258">
        <v>1.92</v>
      </c>
      <c r="CL14" s="256">
        <v>0.0561</v>
      </c>
      <c r="CM14" s="261">
        <f t="shared" si="45"/>
        <v>0.11836033598376594</v>
      </c>
      <c r="CN14" s="208">
        <f t="shared" si="13"/>
        <v>0.007756612283184655</v>
      </c>
      <c r="CO14" s="255">
        <v>30.875</v>
      </c>
      <c r="CP14" s="255">
        <v>27.875</v>
      </c>
      <c r="CQ14" s="258">
        <f t="shared" si="14"/>
        <v>29.375</v>
      </c>
      <c r="CR14" s="258">
        <v>1.3</v>
      </c>
      <c r="CS14" s="256">
        <v>0.0733</v>
      </c>
      <c r="CT14" s="261">
        <f t="shared" si="46"/>
        <v>0.12417944115061386</v>
      </c>
      <c r="CU14" s="208">
        <f t="shared" si="15"/>
        <v>0.006103470625581673</v>
      </c>
      <c r="CV14" s="262">
        <v>17.25</v>
      </c>
      <c r="CW14" s="262">
        <v>13.5</v>
      </c>
      <c r="CX14" s="262">
        <f t="shared" si="16"/>
        <v>15.375</v>
      </c>
      <c r="CY14" s="262">
        <v>0.8</v>
      </c>
      <c r="DA14" s="261"/>
      <c r="DB14" s="208"/>
      <c r="DC14" s="260">
        <v>26.375</v>
      </c>
      <c r="DD14" s="260">
        <v>22.75</v>
      </c>
      <c r="DE14" s="258">
        <f t="shared" si="17"/>
        <v>24.5625</v>
      </c>
      <c r="DF14" s="258">
        <v>1.44</v>
      </c>
      <c r="DH14" s="261"/>
      <c r="DI14" s="208"/>
      <c r="DJ14" s="255">
        <v>23.9375</v>
      </c>
      <c r="DK14" s="255">
        <v>17.375</v>
      </c>
      <c r="DL14" s="258">
        <f t="shared" si="18"/>
        <v>20.65625</v>
      </c>
      <c r="DM14" s="258">
        <v>0.82</v>
      </c>
      <c r="DN14" s="256">
        <v>0.0818</v>
      </c>
      <c r="DO14" s="261">
        <f t="shared" si="47"/>
        <v>0.12771823305890617</v>
      </c>
      <c r="DP14" s="208">
        <f t="shared" si="19"/>
        <v>0.004023976733264752</v>
      </c>
      <c r="DQ14" s="255">
        <v>24.0625</v>
      </c>
      <c r="DR14" s="255">
        <v>21.875</v>
      </c>
      <c r="DS14" s="258">
        <f t="shared" si="20"/>
        <v>22.96875</v>
      </c>
      <c r="DT14" s="258">
        <v>1.46</v>
      </c>
      <c r="DV14" s="261"/>
      <c r="DW14" s="208"/>
      <c r="DX14" s="255">
        <v>25.5625</v>
      </c>
      <c r="DY14" s="255">
        <v>23.0625</v>
      </c>
      <c r="DZ14" s="258">
        <f t="shared" si="21"/>
        <v>24.3125</v>
      </c>
      <c r="EA14" s="258">
        <v>1.2</v>
      </c>
      <c r="EB14" s="256">
        <v>0.0471</v>
      </c>
      <c r="EC14" s="261">
        <f t="shared" si="48"/>
        <v>0.10257129850589108</v>
      </c>
      <c r="ED14" s="208">
        <f t="shared" si="22"/>
        <v>0.0056877576168521266</v>
      </c>
      <c r="EE14" s="123">
        <v>42.22</v>
      </c>
      <c r="EF14" s="123">
        <v>37.87</v>
      </c>
      <c r="EG14" s="258">
        <f>AVERAGE(EE14:EF14)</f>
        <v>40.045</v>
      </c>
      <c r="EH14" s="278">
        <f t="shared" si="49"/>
        <v>1.8</v>
      </c>
      <c r="EI14" s="256">
        <v>0.081</v>
      </c>
      <c r="EJ14" s="261">
        <f t="shared" si="50"/>
        <v>0.13306242384365352</v>
      </c>
      <c r="EK14" s="208">
        <f t="shared" si="23"/>
        <v>0.009968680932915905</v>
      </c>
      <c r="EL14" s="279">
        <v>17.49</v>
      </c>
      <c r="EM14" s="279">
        <v>15.35</v>
      </c>
      <c r="EN14" s="279">
        <f>AVERAGE(EL14:EM14)</f>
        <v>16.419999999999998</v>
      </c>
      <c r="EO14" s="278">
        <f>4*0.1650000066</f>
        <v>0.6600000264</v>
      </c>
      <c r="EP14" s="256">
        <v>0.0915</v>
      </c>
      <c r="EQ14" s="261">
        <f t="shared" si="51"/>
        <v>0.13841972827086813</v>
      </c>
      <c r="ER14" s="208">
        <f t="shared" si="24"/>
        <v>0.008823056688515372</v>
      </c>
      <c r="ES14" s="261"/>
      <c r="ET14" s="262">
        <v>1.1</v>
      </c>
      <c r="EU14" s="262">
        <v>0.9</v>
      </c>
      <c r="EV14" s="262">
        <v>0.175</v>
      </c>
      <c r="EW14" s="262">
        <v>0.575</v>
      </c>
      <c r="EX14" s="280">
        <v>0.766486</v>
      </c>
      <c r="EY14" s="262">
        <v>4.9</v>
      </c>
      <c r="FA14" s="262">
        <v>0.625</v>
      </c>
      <c r="FB14" s="262">
        <v>1.9</v>
      </c>
      <c r="FC14" s="262">
        <v>0.62</v>
      </c>
      <c r="FD14" s="262">
        <v>0.325</v>
      </c>
      <c r="FE14" s="258">
        <v>1.2</v>
      </c>
      <c r="FF14" s="258">
        <v>1.3</v>
      </c>
      <c r="FG14" s="258">
        <v>0.975</v>
      </c>
      <c r="FJ14" s="258">
        <v>0.625</v>
      </c>
      <c r="FL14" s="258">
        <v>1.1</v>
      </c>
      <c r="FM14" s="281">
        <v>1.48614</v>
      </c>
      <c r="FN14" s="281">
        <v>1.2644408999999999</v>
      </c>
      <c r="FO14" s="258">
        <f>SUM(ET14:FN14)</f>
        <v>19.8370669</v>
      </c>
      <c r="FP14" s="261">
        <f t="shared" si="25"/>
        <v>0.1232784307356454</v>
      </c>
    </row>
    <row r="15" spans="1:172" ht="12.75">
      <c r="A15" s="263">
        <v>36068</v>
      </c>
      <c r="B15" s="255">
        <v>19.5625</v>
      </c>
      <c r="C15" s="255">
        <v>17.6875</v>
      </c>
      <c r="D15" s="255">
        <f t="shared" si="26"/>
        <v>18.625</v>
      </c>
      <c r="E15" s="255">
        <v>1.08</v>
      </c>
      <c r="F15" s="256">
        <v>0.0454</v>
      </c>
      <c r="G15" s="261">
        <f t="shared" si="27"/>
        <v>0.11068513251225598</v>
      </c>
      <c r="H15" s="277">
        <f t="shared" si="0"/>
        <v>0.00596013351185734</v>
      </c>
      <c r="I15" s="255">
        <v>28.875</v>
      </c>
      <c r="J15" s="255">
        <v>24.75</v>
      </c>
      <c r="K15" s="258">
        <f t="shared" si="28"/>
        <v>26.8125</v>
      </c>
      <c r="L15" s="259">
        <v>1.06</v>
      </c>
      <c r="M15" s="256">
        <v>0.0853</v>
      </c>
      <c r="N15" s="261">
        <f t="shared" si="29"/>
        <v>0.13117395420698275</v>
      </c>
      <c r="O15" s="208">
        <f t="shared" si="1"/>
        <v>0.005779152220899948</v>
      </c>
      <c r="P15" s="260">
        <v>16.5</v>
      </c>
      <c r="Q15" s="260">
        <v>15.1875</v>
      </c>
      <c r="R15" s="258">
        <f t="shared" si="30"/>
        <v>15.84375</v>
      </c>
      <c r="S15" s="49">
        <v>0.96</v>
      </c>
      <c r="T15" s="261">
        <v>0.0338</v>
      </c>
      <c r="U15" s="261">
        <f t="shared" si="2"/>
        <v>0.0978774366562114</v>
      </c>
      <c r="V15" s="208">
        <f t="shared" si="3"/>
        <v>0.0008384837485315083</v>
      </c>
      <c r="W15" s="255">
        <v>19.125</v>
      </c>
      <c r="X15" s="255">
        <v>15.125</v>
      </c>
      <c r="Y15" s="258">
        <f t="shared" si="31"/>
        <v>17.125</v>
      </c>
      <c r="Z15" s="258">
        <v>0.64</v>
      </c>
      <c r="AA15" s="256">
        <v>0.0805</v>
      </c>
      <c r="AB15" s="261">
        <f t="shared" si="32"/>
        <v>0.12363721079894718</v>
      </c>
      <c r="AC15" s="208">
        <f t="shared" si="4"/>
        <v>0.0034800946640681893</v>
      </c>
      <c r="AD15" s="123">
        <v>24.43</v>
      </c>
      <c r="AE15" s="123">
        <v>19.42</v>
      </c>
      <c r="AF15" s="258">
        <f t="shared" si="5"/>
        <v>21.925</v>
      </c>
      <c r="AG15" s="258">
        <v>1.18</v>
      </c>
      <c r="AH15" s="256">
        <v>0.0844</v>
      </c>
      <c r="AI15" s="261">
        <f t="shared" si="33"/>
        <v>0.1471514422037834</v>
      </c>
      <c r="AJ15" s="208">
        <f t="shared" si="6"/>
        <v>0.006419267141584273</v>
      </c>
      <c r="AK15" s="255">
        <v>29.25</v>
      </c>
      <c r="AL15" s="255">
        <v>25.375</v>
      </c>
      <c r="AM15" s="258">
        <f t="shared" si="34"/>
        <v>27.3125</v>
      </c>
      <c r="AN15" s="258">
        <v>1.2</v>
      </c>
      <c r="AO15" s="256">
        <v>0.095</v>
      </c>
      <c r="AP15" s="261">
        <f aca="true" t="shared" si="54" ref="AP15:AP78">+((((((AN15/4)*(1+AO15)^0.25))/(AM15*0.95))+(1+AO15)^(0.25))^4)-1</f>
        <v>0.14652701576444804</v>
      </c>
      <c r="AQ15" s="208">
        <f t="shared" si="52"/>
        <v>0.0351469625464733</v>
      </c>
      <c r="AR15" s="260">
        <v>24.3125</v>
      </c>
      <c r="AS15" s="260">
        <v>22.375</v>
      </c>
      <c r="AT15" s="258">
        <f t="shared" si="35"/>
        <v>23.34375</v>
      </c>
      <c r="AU15" s="258">
        <v>1.32</v>
      </c>
      <c r="AW15" s="261"/>
      <c r="AX15" s="208"/>
      <c r="AY15" s="255">
        <v>37.1875</v>
      </c>
      <c r="AZ15" s="255">
        <v>33.375</v>
      </c>
      <c r="BA15" s="258">
        <f t="shared" si="36"/>
        <v>35.28125</v>
      </c>
      <c r="BB15" s="255">
        <v>1.64</v>
      </c>
      <c r="BC15" s="256">
        <v>0.0583</v>
      </c>
      <c r="BD15" s="261">
        <f t="shared" si="37"/>
        <v>0.11104066897227738</v>
      </c>
      <c r="BE15" s="208">
        <f t="shared" si="7"/>
        <v>0.0033973172228779335</v>
      </c>
      <c r="BF15" s="255">
        <v>41.9375</v>
      </c>
      <c r="BG15" s="255">
        <v>37.125</v>
      </c>
      <c r="BH15" s="258">
        <f t="shared" si="38"/>
        <v>39.53125</v>
      </c>
      <c r="BI15" s="258">
        <v>1.48</v>
      </c>
      <c r="BJ15" s="256">
        <v>0.0726</v>
      </c>
      <c r="BK15" s="261">
        <f t="shared" si="39"/>
        <v>0.11549910513777695</v>
      </c>
      <c r="BL15" s="208">
        <f t="shared" si="8"/>
        <v>0.01074252156745336</v>
      </c>
      <c r="BM15" s="255">
        <v>27.75</v>
      </c>
      <c r="BN15" s="255">
        <v>24.5</v>
      </c>
      <c r="BO15" s="258">
        <f t="shared" si="40"/>
        <v>26.125</v>
      </c>
      <c r="BP15" s="258">
        <v>1.22</v>
      </c>
      <c r="BQ15" s="256">
        <v>0.0516</v>
      </c>
      <c r="BR15" s="261">
        <f t="shared" si="53"/>
        <v>0.10425357157065362</v>
      </c>
      <c r="BS15" s="208">
        <f t="shared" si="9"/>
        <v>0.0031641469549979853</v>
      </c>
      <c r="BT15" s="260">
        <v>23.4375</v>
      </c>
      <c r="BU15" s="260">
        <v>20.625</v>
      </c>
      <c r="BV15" s="258">
        <f t="shared" si="41"/>
        <v>22.03125</v>
      </c>
      <c r="BW15" s="49">
        <v>0.98</v>
      </c>
      <c r="BX15" s="256">
        <v>0.106</v>
      </c>
      <c r="BY15" s="261">
        <f t="shared" si="10"/>
        <v>0.15602414541663068</v>
      </c>
      <c r="BZ15" s="208">
        <f t="shared" si="11"/>
        <v>0.002482270965076363</v>
      </c>
      <c r="CA15" s="255">
        <v>18.625</v>
      </c>
      <c r="CB15" s="255">
        <v>14.96875</v>
      </c>
      <c r="CC15" s="258">
        <f t="shared" si="42"/>
        <v>16.796875</v>
      </c>
      <c r="CD15" s="258">
        <v>0.6</v>
      </c>
      <c r="CE15" s="256">
        <v>0.07</v>
      </c>
      <c r="CF15" s="261">
        <f t="shared" si="43"/>
        <v>0.11080391201429274</v>
      </c>
      <c r="CG15" s="208">
        <f t="shared" si="12"/>
        <v>0.006508941281553231</v>
      </c>
      <c r="CH15" s="255">
        <v>38</v>
      </c>
      <c r="CI15" s="255">
        <v>32.125</v>
      </c>
      <c r="CJ15" s="258">
        <f t="shared" si="44"/>
        <v>35.0625</v>
      </c>
      <c r="CK15" s="258">
        <v>1.92</v>
      </c>
      <c r="CL15" s="256">
        <v>0.0561</v>
      </c>
      <c r="CM15" s="261">
        <f t="shared" si="45"/>
        <v>0.11830364898626722</v>
      </c>
      <c r="CN15" s="208">
        <f t="shared" si="13"/>
        <v>0.007528622243872142</v>
      </c>
      <c r="CO15" s="255">
        <v>34.5</v>
      </c>
      <c r="CP15" s="255">
        <v>28.0625</v>
      </c>
      <c r="CQ15" s="258">
        <f t="shared" si="14"/>
        <v>31.28125</v>
      </c>
      <c r="CR15" s="258">
        <v>1.3</v>
      </c>
      <c r="CS15" s="256">
        <v>0.0733</v>
      </c>
      <c r="CT15" s="261">
        <f t="shared" si="46"/>
        <v>0.12102815671016853</v>
      </c>
      <c r="CU15" s="208">
        <f t="shared" si="15"/>
        <v>0.005776503602493201</v>
      </c>
      <c r="CV15" s="262">
        <v>15.75</v>
      </c>
      <c r="CW15" s="262">
        <v>13.125</v>
      </c>
      <c r="CX15" s="262">
        <f t="shared" si="16"/>
        <v>14.4375</v>
      </c>
      <c r="CY15" s="262">
        <v>0.8</v>
      </c>
      <c r="DA15" s="261"/>
      <c r="DB15" s="208"/>
      <c r="DC15" s="260">
        <v>26.3125</v>
      </c>
      <c r="DD15" s="260">
        <v>22</v>
      </c>
      <c r="DE15" s="258">
        <f t="shared" si="17"/>
        <v>24.15625</v>
      </c>
      <c r="DF15" s="258">
        <v>1.44</v>
      </c>
      <c r="DH15" s="261"/>
      <c r="DI15" s="208"/>
      <c r="DJ15" s="255">
        <v>20.6875</v>
      </c>
      <c r="DK15" s="255">
        <v>18.0625</v>
      </c>
      <c r="DL15" s="258">
        <f t="shared" si="18"/>
        <v>19.375</v>
      </c>
      <c r="DM15" s="258">
        <v>0.82</v>
      </c>
      <c r="DN15" s="256">
        <v>0.0818</v>
      </c>
      <c r="DO15" s="261">
        <f t="shared" si="47"/>
        <v>0.13080542396412342</v>
      </c>
      <c r="DP15" s="208">
        <f t="shared" si="19"/>
        <v>0.004002024877841047</v>
      </c>
      <c r="DQ15" s="255">
        <v>23.75</v>
      </c>
      <c r="DR15" s="255">
        <v>20.5</v>
      </c>
      <c r="DS15" s="258">
        <f t="shared" si="20"/>
        <v>22.125</v>
      </c>
      <c r="DT15" s="258">
        <v>1.46</v>
      </c>
      <c r="DV15" s="261"/>
      <c r="DW15" s="208"/>
      <c r="DX15" s="255">
        <v>27.875</v>
      </c>
      <c r="DY15" s="255">
        <v>23.75</v>
      </c>
      <c r="DZ15" s="258">
        <f t="shared" si="21"/>
        <v>25.8125</v>
      </c>
      <c r="EA15" s="258">
        <v>1.2</v>
      </c>
      <c r="EB15" s="256">
        <v>0.0471</v>
      </c>
      <c r="EC15" s="261">
        <f t="shared" si="48"/>
        <v>0.0992887901995998</v>
      </c>
      <c r="ED15" s="208">
        <f t="shared" si="22"/>
        <v>0.005346467338374295</v>
      </c>
      <c r="EE15" s="123">
        <v>44.72</v>
      </c>
      <c r="EF15" s="123">
        <v>38.45</v>
      </c>
      <c r="EG15" s="258">
        <f>AVERAGE(EE15:EF15)</f>
        <v>41.585</v>
      </c>
      <c r="EH15" s="278">
        <f t="shared" si="49"/>
        <v>1.8</v>
      </c>
      <c r="EI15" s="256">
        <v>0.077</v>
      </c>
      <c r="EJ15" s="261">
        <f t="shared" si="50"/>
        <v>0.12691616159361607</v>
      </c>
      <c r="EK15" s="208">
        <f t="shared" si="23"/>
        <v>0.010681786648127344</v>
      </c>
      <c r="EL15" s="279">
        <v>18.54</v>
      </c>
      <c r="EM15" s="279">
        <v>14.94</v>
      </c>
      <c r="EN15" s="279">
        <f>AVERAGE(EL15:EM15)</f>
        <v>16.74</v>
      </c>
      <c r="EO15" s="278">
        <f aca="true" t="shared" si="55" ref="EO15:EO25">4*0.1650000066</f>
        <v>0.6600000264</v>
      </c>
      <c r="EP15" s="256">
        <v>0.0906</v>
      </c>
      <c r="EQ15" s="261">
        <f t="shared" si="51"/>
        <v>0.13657094724427843</v>
      </c>
      <c r="ER15" s="208">
        <f t="shared" si="24"/>
        <v>0.010011896926291425</v>
      </c>
      <c r="ES15" s="261"/>
      <c r="ET15" s="262">
        <v>1.1</v>
      </c>
      <c r="EU15" s="262">
        <v>0.9</v>
      </c>
      <c r="EV15" s="262">
        <v>0.175</v>
      </c>
      <c r="EW15" s="262">
        <v>0.575</v>
      </c>
      <c r="EX15" s="280">
        <v>0.891142</v>
      </c>
      <c r="EY15" s="262">
        <v>4.9</v>
      </c>
      <c r="FA15" s="262">
        <v>0.625</v>
      </c>
      <c r="FB15" s="262">
        <v>1.9</v>
      </c>
      <c r="FC15" s="262">
        <v>0.62</v>
      </c>
      <c r="FD15" s="262">
        <v>0.325</v>
      </c>
      <c r="FE15" s="258">
        <v>1.2</v>
      </c>
      <c r="FF15" s="258">
        <v>1.3</v>
      </c>
      <c r="FG15" s="258">
        <v>0.975</v>
      </c>
      <c r="FJ15" s="258">
        <v>0.625</v>
      </c>
      <c r="FL15" s="258">
        <v>1.1</v>
      </c>
      <c r="FM15" s="281">
        <v>1.7193051199999998</v>
      </c>
      <c r="FN15" s="281">
        <v>1.4975593200000001</v>
      </c>
      <c r="FO15" s="258">
        <f>SUM(ET15:FN15)</f>
        <v>20.428006440000004</v>
      </c>
      <c r="FP15" s="261">
        <f t="shared" si="25"/>
        <v>0.1272665934623729</v>
      </c>
    </row>
    <row r="16" spans="1:172" ht="12.75">
      <c r="A16" s="263">
        <v>36098</v>
      </c>
      <c r="B16" s="255">
        <v>21.1875</v>
      </c>
      <c r="C16" s="255">
        <v>18.8125</v>
      </c>
      <c r="D16" s="255">
        <f t="shared" si="26"/>
        <v>20</v>
      </c>
      <c r="E16" s="255">
        <v>1.08</v>
      </c>
      <c r="F16" s="256">
        <v>0.0454</v>
      </c>
      <c r="G16" s="261">
        <f t="shared" si="27"/>
        <v>0.10610142179286064</v>
      </c>
      <c r="H16" s="277">
        <f t="shared" si="0"/>
        <v>0.00594710589303217</v>
      </c>
      <c r="I16" s="255">
        <v>30.9375</v>
      </c>
      <c r="J16" s="255">
        <v>28.125</v>
      </c>
      <c r="K16" s="258">
        <f t="shared" si="28"/>
        <v>29.53125</v>
      </c>
      <c r="L16" s="259">
        <v>1.1</v>
      </c>
      <c r="M16" s="256">
        <v>0.0853</v>
      </c>
      <c r="N16" s="261">
        <f t="shared" si="29"/>
        <v>0.128483456601151</v>
      </c>
      <c r="O16" s="208">
        <f t="shared" si="1"/>
        <v>0.005532172374692116</v>
      </c>
      <c r="P16" s="260">
        <v>17.5625</v>
      </c>
      <c r="Q16" s="260">
        <v>16</v>
      </c>
      <c r="R16" s="258">
        <f t="shared" si="30"/>
        <v>16.78125</v>
      </c>
      <c r="S16" s="49">
        <v>0.96</v>
      </c>
      <c r="T16" s="261">
        <v>0.0338</v>
      </c>
      <c r="U16" s="261">
        <f t="shared" si="2"/>
        <v>0.09422113809354249</v>
      </c>
      <c r="V16" s="208">
        <f t="shared" si="3"/>
        <v>0.0008401912941904827</v>
      </c>
      <c r="W16" s="255">
        <v>19.125</v>
      </c>
      <c r="X16" s="255">
        <v>17.6875</v>
      </c>
      <c r="Y16" s="258">
        <f t="shared" si="31"/>
        <v>18.40625</v>
      </c>
      <c r="Z16" s="258">
        <v>0.64</v>
      </c>
      <c r="AA16" s="256">
        <v>0.0805</v>
      </c>
      <c r="AB16" s="261">
        <f t="shared" si="32"/>
        <v>0.12059332417578061</v>
      </c>
      <c r="AC16" s="208">
        <f t="shared" si="4"/>
        <v>0.003226074206704759</v>
      </c>
      <c r="AD16" s="123">
        <v>27.5</v>
      </c>
      <c r="AE16" s="123">
        <v>23.61</v>
      </c>
      <c r="AF16" s="258">
        <f t="shared" si="5"/>
        <v>25.555</v>
      </c>
      <c r="AG16" s="258">
        <v>1.18</v>
      </c>
      <c r="AH16" s="256">
        <v>0.0742</v>
      </c>
      <c r="AI16" s="261">
        <f t="shared" si="33"/>
        <v>0.1273710715360752</v>
      </c>
      <c r="AJ16" s="208">
        <f t="shared" si="6"/>
        <v>0.006323116980611989</v>
      </c>
      <c r="AK16" s="255">
        <v>32.25</v>
      </c>
      <c r="AL16" s="255">
        <v>28.6875</v>
      </c>
      <c r="AM16" s="258">
        <f t="shared" si="34"/>
        <v>30.46875</v>
      </c>
      <c r="AN16" s="258">
        <v>1.78</v>
      </c>
      <c r="AO16" s="256">
        <v>0.095</v>
      </c>
      <c r="AP16" s="261">
        <f t="shared" si="54"/>
        <v>0.1639061524275911</v>
      </c>
      <c r="AQ16" s="208">
        <f t="shared" si="52"/>
        <v>0.034242928194157675</v>
      </c>
      <c r="AR16" s="260">
        <v>26</v>
      </c>
      <c r="AS16" s="260">
        <v>23</v>
      </c>
      <c r="AT16" s="258">
        <f t="shared" si="35"/>
        <v>24.5</v>
      </c>
      <c r="AU16" s="258">
        <v>1.32</v>
      </c>
      <c r="AW16" s="261"/>
      <c r="AX16" s="208"/>
      <c r="AY16" s="255">
        <v>40.25</v>
      </c>
      <c r="AZ16" s="255">
        <v>35.75</v>
      </c>
      <c r="BA16" s="258">
        <f t="shared" si="36"/>
        <v>38</v>
      </c>
      <c r="BB16" s="255">
        <v>1.64</v>
      </c>
      <c r="BC16" s="256">
        <v>0.0588</v>
      </c>
      <c r="BD16" s="261">
        <f t="shared" si="37"/>
        <v>0.10772627400840262</v>
      </c>
      <c r="BE16" s="208">
        <f t="shared" si="7"/>
        <v>0.0034307844976198295</v>
      </c>
      <c r="BF16" s="255">
        <v>44.25</v>
      </c>
      <c r="BG16" s="255">
        <v>40.4375</v>
      </c>
      <c r="BH16" s="258">
        <f t="shared" si="38"/>
        <v>42.34375</v>
      </c>
      <c r="BI16" s="258">
        <v>1.48</v>
      </c>
      <c r="BJ16" s="256">
        <v>0.0683</v>
      </c>
      <c r="BK16" s="261">
        <f t="shared" si="39"/>
        <v>0.10815008796727121</v>
      </c>
      <c r="BL16" s="208">
        <f t="shared" si="8"/>
        <v>0.010470616679488957</v>
      </c>
      <c r="BM16" s="255">
        <v>29.25</v>
      </c>
      <c r="BN16" s="255">
        <v>26.25</v>
      </c>
      <c r="BO16" s="258">
        <f t="shared" si="40"/>
        <v>27.75</v>
      </c>
      <c r="BP16" s="258">
        <v>1.22</v>
      </c>
      <c r="BQ16" s="256">
        <v>0.0518</v>
      </c>
      <c r="BR16" s="261">
        <f t="shared" si="53"/>
        <v>0.10132630027737455</v>
      </c>
      <c r="BS16" s="208">
        <f t="shared" si="9"/>
        <v>0.00333022581446542</v>
      </c>
      <c r="BT16" s="260">
        <v>23.4375</v>
      </c>
      <c r="BU16" s="260">
        <v>21.5625</v>
      </c>
      <c r="BV16" s="258">
        <f t="shared" si="41"/>
        <v>22.5</v>
      </c>
      <c r="BW16" s="49">
        <v>0.98</v>
      </c>
      <c r="BX16" s="256">
        <v>0.1027</v>
      </c>
      <c r="BY16" s="261">
        <f t="shared" si="10"/>
        <v>0.15151889022487453</v>
      </c>
      <c r="BZ16" s="208">
        <f t="shared" si="11"/>
        <v>0.0023162200581351823</v>
      </c>
      <c r="CA16" s="255">
        <v>18.15625</v>
      </c>
      <c r="CB16" s="255">
        <v>16.5</v>
      </c>
      <c r="CC16" s="258">
        <f t="shared" si="42"/>
        <v>17.328125</v>
      </c>
      <c r="CD16" s="258">
        <v>0.6</v>
      </c>
      <c r="CE16" s="256">
        <v>0.0767</v>
      </c>
      <c r="CF16" s="261">
        <f t="shared" si="43"/>
        <v>0.1164834284728864</v>
      </c>
      <c r="CG16" s="208">
        <f t="shared" si="12"/>
        <v>0.006529029226998606</v>
      </c>
      <c r="CH16" s="255">
        <v>38.1875</v>
      </c>
      <c r="CI16" s="255">
        <v>35.5</v>
      </c>
      <c r="CJ16" s="258">
        <f t="shared" si="44"/>
        <v>36.84375</v>
      </c>
      <c r="CK16" s="258">
        <v>1.92</v>
      </c>
      <c r="CL16" s="256">
        <v>0.0481</v>
      </c>
      <c r="CM16" s="261">
        <f t="shared" si="45"/>
        <v>0.10678671884534308</v>
      </c>
      <c r="CN16" s="208">
        <f t="shared" si="13"/>
        <v>0.0070737934984964335</v>
      </c>
      <c r="CO16" s="255">
        <v>35.4375</v>
      </c>
      <c r="CP16" s="255">
        <v>32.375</v>
      </c>
      <c r="CQ16" s="258">
        <f t="shared" si="14"/>
        <v>33.90625</v>
      </c>
      <c r="CR16" s="258">
        <v>1.3</v>
      </c>
      <c r="CS16" s="256">
        <v>0.0733</v>
      </c>
      <c r="CT16" s="261">
        <f t="shared" si="46"/>
        <v>0.11727728485259736</v>
      </c>
      <c r="CU16" s="208">
        <f t="shared" si="15"/>
        <v>0.0059759325308342505</v>
      </c>
      <c r="CV16" s="262">
        <v>17.25</v>
      </c>
      <c r="CW16" s="262">
        <v>14.5</v>
      </c>
      <c r="CX16" s="262">
        <f t="shared" si="16"/>
        <v>15.875</v>
      </c>
      <c r="CY16" s="262">
        <v>0.8</v>
      </c>
      <c r="DA16" s="261"/>
      <c r="DB16" s="208"/>
      <c r="DC16" s="260">
        <v>27</v>
      </c>
      <c r="DD16" s="260">
        <v>25.4375</v>
      </c>
      <c r="DE16" s="258">
        <f t="shared" si="17"/>
        <v>26.21875</v>
      </c>
      <c r="DF16" s="258">
        <v>1.44</v>
      </c>
      <c r="DH16" s="261"/>
      <c r="DI16" s="208"/>
      <c r="DJ16" s="255">
        <v>24.125</v>
      </c>
      <c r="DK16" s="255">
        <v>20.1875</v>
      </c>
      <c r="DL16" s="258">
        <f t="shared" si="18"/>
        <v>22.15625</v>
      </c>
      <c r="DM16" s="258">
        <v>0.82</v>
      </c>
      <c r="DN16" s="256">
        <v>0.0818</v>
      </c>
      <c r="DO16" s="261">
        <f t="shared" si="47"/>
        <v>0.12456420924681044</v>
      </c>
      <c r="DP16" s="208">
        <f t="shared" si="19"/>
        <v>0.0036496641605573837</v>
      </c>
      <c r="DQ16" s="255">
        <v>23.875</v>
      </c>
      <c r="DR16" s="255">
        <v>22.1875</v>
      </c>
      <c r="DS16" s="258">
        <f t="shared" si="20"/>
        <v>23.03125</v>
      </c>
      <c r="DT16" s="258">
        <v>1.46</v>
      </c>
      <c r="DV16" s="261"/>
      <c r="DW16" s="208"/>
      <c r="DX16" s="255">
        <v>28.75</v>
      </c>
      <c r="DY16" s="255">
        <v>26.125</v>
      </c>
      <c r="DZ16" s="258">
        <f t="shared" si="21"/>
        <v>27.4375</v>
      </c>
      <c r="EA16" s="258">
        <v>1.2</v>
      </c>
      <c r="EB16" s="256">
        <v>0.0471</v>
      </c>
      <c r="EC16" s="261">
        <f t="shared" si="48"/>
        <v>0.0961446568652553</v>
      </c>
      <c r="ED16" s="208">
        <f t="shared" si="22"/>
        <v>0.005878928558236494</v>
      </c>
      <c r="EE16" s="123">
        <v>47.22</v>
      </c>
      <c r="EF16" s="123">
        <v>44.06</v>
      </c>
      <c r="EG16" s="258">
        <f>AVERAGE(EE16:EF16)</f>
        <v>45.64</v>
      </c>
      <c r="EH16" s="278">
        <f t="shared" si="49"/>
        <v>1.8</v>
      </c>
      <c r="EI16" s="256">
        <v>0.077</v>
      </c>
      <c r="EJ16" s="261">
        <f t="shared" si="50"/>
        <v>0.12241237157289486</v>
      </c>
      <c r="EK16" s="208">
        <f t="shared" si="23"/>
        <v>0.010781881610800058</v>
      </c>
      <c r="EL16" s="279">
        <v>19.25</v>
      </c>
      <c r="EM16" s="279">
        <v>17.83</v>
      </c>
      <c r="EN16" s="279">
        <f>AVERAGE(EL16:EM16)</f>
        <v>18.54</v>
      </c>
      <c r="EO16" s="278">
        <f t="shared" si="55"/>
        <v>0.6600000264</v>
      </c>
      <c r="EP16" s="256">
        <v>0.0911</v>
      </c>
      <c r="EQ16" s="261">
        <f t="shared" si="51"/>
        <v>0.132564184066144</v>
      </c>
      <c r="ER16" s="208">
        <f t="shared" si="24"/>
        <v>0.010349540907091847</v>
      </c>
      <c r="ES16" s="261"/>
      <c r="ET16" s="262">
        <v>1.1</v>
      </c>
      <c r="EU16" s="262">
        <v>0.845</v>
      </c>
      <c r="EV16" s="262">
        <v>0.175</v>
      </c>
      <c r="EW16" s="262">
        <v>0.525</v>
      </c>
      <c r="EX16" s="280">
        <v>0.974246</v>
      </c>
      <c r="EY16" s="262">
        <v>4.1</v>
      </c>
      <c r="FA16" s="262">
        <v>0.625</v>
      </c>
      <c r="FB16" s="262">
        <v>1.9</v>
      </c>
      <c r="FC16" s="262">
        <v>0.645</v>
      </c>
      <c r="FD16" s="262">
        <v>0.3</v>
      </c>
      <c r="FE16" s="258">
        <v>1.1</v>
      </c>
      <c r="FF16" s="258">
        <v>1.3</v>
      </c>
      <c r="FG16" s="258">
        <v>1</v>
      </c>
      <c r="FJ16" s="258">
        <v>0.575</v>
      </c>
      <c r="FL16" s="258">
        <v>1.2</v>
      </c>
      <c r="FM16" s="281">
        <v>1.72853216</v>
      </c>
      <c r="FN16" s="281">
        <v>1.5321564</v>
      </c>
      <c r="FO16" s="258">
        <f>SUM(ET16:FN16)</f>
        <v>19.624934560000003</v>
      </c>
      <c r="FP16" s="261">
        <f t="shared" si="25"/>
        <v>0.12589820648611363</v>
      </c>
    </row>
    <row r="17" spans="1:172" ht="12.75">
      <c r="A17" s="263">
        <v>36129</v>
      </c>
      <c r="B17" s="255">
        <v>22</v>
      </c>
      <c r="C17" s="255">
        <v>20.3125</v>
      </c>
      <c r="D17" s="255">
        <f t="shared" si="26"/>
        <v>21.15625</v>
      </c>
      <c r="E17" s="255">
        <v>1.08</v>
      </c>
      <c r="F17" s="256">
        <v>0.0454</v>
      </c>
      <c r="G17" s="261">
        <f t="shared" si="27"/>
        <v>0.10271725964004386</v>
      </c>
      <c r="H17" s="277">
        <f t="shared" si="0"/>
        <v>0.005758409801048058</v>
      </c>
      <c r="I17" s="255">
        <v>32.25</v>
      </c>
      <c r="J17" s="255">
        <v>29.1875</v>
      </c>
      <c r="K17" s="258">
        <f t="shared" si="28"/>
        <v>30.71875</v>
      </c>
      <c r="L17" s="259">
        <v>1.1</v>
      </c>
      <c r="M17" s="256">
        <v>0.0845</v>
      </c>
      <c r="N17" s="261">
        <f t="shared" si="29"/>
        <v>0.12595997134305148</v>
      </c>
      <c r="O17" s="208">
        <f t="shared" si="1"/>
        <v>0.005424450131568919</v>
      </c>
      <c r="P17" s="260">
        <v>18.3125</v>
      </c>
      <c r="Q17" s="260">
        <v>16.125</v>
      </c>
      <c r="R17" s="258">
        <f t="shared" si="30"/>
        <v>17.21875</v>
      </c>
      <c r="S17" s="49">
        <v>0.96</v>
      </c>
      <c r="T17" s="261">
        <v>0.0338</v>
      </c>
      <c r="U17" s="261">
        <f t="shared" si="2"/>
        <v>0.0926539254443981</v>
      </c>
      <c r="V17" s="208">
        <f t="shared" si="3"/>
        <v>0.0008263581814470183</v>
      </c>
      <c r="W17" s="255">
        <v>19.4375</v>
      </c>
      <c r="X17" s="255">
        <v>17.4375</v>
      </c>
      <c r="Y17" s="258">
        <f t="shared" si="31"/>
        <v>18.4375</v>
      </c>
      <c r="Z17" s="258">
        <v>0.64</v>
      </c>
      <c r="AA17" s="256">
        <v>0.0805</v>
      </c>
      <c r="AB17" s="261">
        <f t="shared" si="32"/>
        <v>0.12052443971787241</v>
      </c>
      <c r="AC17" s="208">
        <f t="shared" si="4"/>
        <v>0.0032247858797396526</v>
      </c>
      <c r="AD17" s="123">
        <v>28.15</v>
      </c>
      <c r="AE17" s="123">
        <v>25.49</v>
      </c>
      <c r="AF17" s="258">
        <f t="shared" si="5"/>
        <v>26.82</v>
      </c>
      <c r="AG17" s="258">
        <v>1.18</v>
      </c>
      <c r="AH17" s="256">
        <v>0.0742</v>
      </c>
      <c r="AI17" s="261">
        <f t="shared" si="33"/>
        <v>0.12481974043102628</v>
      </c>
      <c r="AJ17" s="208">
        <f t="shared" si="6"/>
        <v>0.0066358505473438165</v>
      </c>
      <c r="AK17" s="255">
        <v>30.75</v>
      </c>
      <c r="AL17" s="255">
        <v>29.5625</v>
      </c>
      <c r="AM17" s="258">
        <f t="shared" si="34"/>
        <v>30.15625</v>
      </c>
      <c r="AN17" s="258">
        <v>1.78</v>
      </c>
      <c r="AO17" s="256">
        <v>0.0788</v>
      </c>
      <c r="AP17" s="261">
        <f t="shared" si="54"/>
        <v>0.1474065581157853</v>
      </c>
      <c r="AQ17" s="208">
        <f t="shared" si="52"/>
        <v>0.030801163443185835</v>
      </c>
      <c r="AR17" s="260">
        <v>26.0625</v>
      </c>
      <c r="AS17" s="260">
        <v>24.4375</v>
      </c>
      <c r="AT17" s="258">
        <f t="shared" si="35"/>
        <v>25.25</v>
      </c>
      <c r="AU17" s="258">
        <v>1.32</v>
      </c>
      <c r="AW17" s="261"/>
      <c r="AX17" s="208"/>
      <c r="AY17" s="255">
        <v>40</v>
      </c>
      <c r="AZ17" s="255">
        <v>38</v>
      </c>
      <c r="BA17" s="258">
        <f t="shared" si="36"/>
        <v>39</v>
      </c>
      <c r="BB17" s="255">
        <v>1.64</v>
      </c>
      <c r="BC17" s="256">
        <v>0.0588</v>
      </c>
      <c r="BD17" s="261">
        <f t="shared" si="37"/>
        <v>0.10645097423679806</v>
      </c>
      <c r="BE17" s="208">
        <f t="shared" si="7"/>
        <v>0.003390752703124153</v>
      </c>
      <c r="BF17" s="255">
        <v>44.4375</v>
      </c>
      <c r="BG17" s="255">
        <v>42</v>
      </c>
      <c r="BH17" s="258">
        <f t="shared" si="38"/>
        <v>43.21875</v>
      </c>
      <c r="BI17" s="258">
        <v>1.48</v>
      </c>
      <c r="BJ17" s="256">
        <v>0.0683</v>
      </c>
      <c r="BK17" s="261">
        <f t="shared" si="39"/>
        <v>0.10733240173902603</v>
      </c>
      <c r="BL17" s="208">
        <f t="shared" si="8"/>
        <v>0.010393238832932685</v>
      </c>
      <c r="BM17" s="255">
        <v>29.625</v>
      </c>
      <c r="BN17" s="255">
        <v>27.125</v>
      </c>
      <c r="BO17" s="258">
        <f t="shared" si="40"/>
        <v>28.375</v>
      </c>
      <c r="BP17" s="258">
        <v>1.22</v>
      </c>
      <c r="BQ17" s="256">
        <v>0.0442</v>
      </c>
      <c r="BR17" s="261">
        <f t="shared" si="53"/>
        <v>0.09226709088188723</v>
      </c>
      <c r="BS17" s="208">
        <f t="shared" si="9"/>
        <v>0.003033004127412687</v>
      </c>
      <c r="BT17" s="260">
        <v>25.9375</v>
      </c>
      <c r="BU17" s="260">
        <v>23.3125</v>
      </c>
      <c r="BV17" s="258">
        <f t="shared" si="41"/>
        <v>24.625</v>
      </c>
      <c r="BW17" s="49">
        <v>0.98</v>
      </c>
      <c r="BX17" s="256">
        <v>0.1027</v>
      </c>
      <c r="BY17" s="261">
        <f t="shared" si="10"/>
        <v>0.14724337639227847</v>
      </c>
      <c r="BZ17" s="208">
        <f t="shared" si="11"/>
        <v>0.002251248731609975</v>
      </c>
      <c r="CA17" s="255">
        <v>18.96875</v>
      </c>
      <c r="CB17" s="255">
        <v>17.125</v>
      </c>
      <c r="CC17" s="258">
        <f t="shared" si="42"/>
        <v>18.046875</v>
      </c>
      <c r="CD17" s="258">
        <v>0.6</v>
      </c>
      <c r="CE17" s="256">
        <v>0.0767</v>
      </c>
      <c r="CF17" s="261">
        <f t="shared" si="43"/>
        <v>0.11487822338908527</v>
      </c>
      <c r="CG17" s="208">
        <f t="shared" si="12"/>
        <v>0.006440162926940156</v>
      </c>
      <c r="CH17" s="255">
        <v>39.5</v>
      </c>
      <c r="CI17" s="255">
        <v>37.125</v>
      </c>
      <c r="CJ17" s="258">
        <f t="shared" si="44"/>
        <v>38.3125</v>
      </c>
      <c r="CK17" s="258">
        <v>1.92</v>
      </c>
      <c r="CL17" s="256">
        <v>0.0481</v>
      </c>
      <c r="CM17" s="261">
        <f t="shared" si="45"/>
        <v>0.10449251524871728</v>
      </c>
      <c r="CN17" s="208">
        <f t="shared" si="13"/>
        <v>0.006923010565550774</v>
      </c>
      <c r="CO17" s="255">
        <v>35.5</v>
      </c>
      <c r="CP17" s="255">
        <v>32.75</v>
      </c>
      <c r="CQ17" s="258">
        <f t="shared" si="14"/>
        <v>34.125</v>
      </c>
      <c r="CR17" s="258">
        <v>1.3</v>
      </c>
      <c r="CS17" s="256">
        <v>0.0675</v>
      </c>
      <c r="CT17" s="261">
        <f t="shared" si="46"/>
        <v>0.11095504506160658</v>
      </c>
      <c r="CU17" s="208">
        <f t="shared" si="15"/>
        <v>0.00565475135069796</v>
      </c>
      <c r="CV17" s="262">
        <v>17.5</v>
      </c>
      <c r="CW17" s="262">
        <v>15.75</v>
      </c>
      <c r="CX17" s="262">
        <f t="shared" si="16"/>
        <v>16.625</v>
      </c>
      <c r="CY17" s="262">
        <v>0.8</v>
      </c>
      <c r="DA17" s="261"/>
      <c r="DB17" s="208"/>
      <c r="DC17" s="260">
        <v>26.125</v>
      </c>
      <c r="DD17" s="260">
        <v>25</v>
      </c>
      <c r="DE17" s="258">
        <f t="shared" si="17"/>
        <v>25.5625</v>
      </c>
      <c r="DF17" s="258">
        <v>1.44</v>
      </c>
      <c r="DH17" s="261"/>
      <c r="DI17" s="208"/>
      <c r="DJ17" s="255">
        <v>24.9375</v>
      </c>
      <c r="DK17" s="255">
        <v>22</v>
      </c>
      <c r="DL17" s="258">
        <f t="shared" si="18"/>
        <v>23.46875</v>
      </c>
      <c r="DM17" s="258">
        <v>0.82</v>
      </c>
      <c r="DN17" s="256">
        <v>0.0818</v>
      </c>
      <c r="DO17" s="261">
        <f t="shared" si="47"/>
        <v>0.12213968317384061</v>
      </c>
      <c r="DP17" s="208">
        <f t="shared" si="19"/>
        <v>0.0035792422450022466</v>
      </c>
      <c r="DQ17" s="255">
        <v>25.75</v>
      </c>
      <c r="DR17" s="255">
        <v>22.875</v>
      </c>
      <c r="DS17" s="258">
        <f t="shared" si="20"/>
        <v>24.3125</v>
      </c>
      <c r="DT17" s="258">
        <v>1.46</v>
      </c>
      <c r="DV17" s="261"/>
      <c r="DW17" s="208"/>
      <c r="DX17" s="255">
        <v>26.625</v>
      </c>
      <c r="DY17" s="255">
        <v>24.9375</v>
      </c>
      <c r="DZ17" s="258">
        <f t="shared" si="21"/>
        <v>25.78125</v>
      </c>
      <c r="EA17" s="258">
        <v>1.2</v>
      </c>
      <c r="EB17" s="256">
        <v>0.0483</v>
      </c>
      <c r="EC17" s="261">
        <f t="shared" si="48"/>
        <v>0.10061309255654716</v>
      </c>
      <c r="ED17" s="208">
        <f t="shared" si="22"/>
        <v>0.006153216601005948</v>
      </c>
      <c r="EE17" s="123">
        <v>46.86</v>
      </c>
      <c r="EF17" s="123">
        <v>42.7</v>
      </c>
      <c r="EG17" s="258">
        <f>AVERAGE(EE17:EF17)</f>
        <v>44.78</v>
      </c>
      <c r="EH17" s="278">
        <f t="shared" si="49"/>
        <v>1.8</v>
      </c>
      <c r="EI17" s="256">
        <v>0.075</v>
      </c>
      <c r="EJ17" s="261">
        <f t="shared" si="50"/>
        <v>0.12121235567376631</v>
      </c>
      <c r="EK17" s="208">
        <f t="shared" si="23"/>
        <v>0.010381146465614145</v>
      </c>
      <c r="EL17" s="279">
        <v>19.17</v>
      </c>
      <c r="EM17" s="279">
        <v>18.01</v>
      </c>
      <c r="EN17" s="279">
        <f>AVERAGE(EL17:EM17)</f>
        <v>18.590000000000003</v>
      </c>
      <c r="EO17" s="278">
        <f t="shared" si="55"/>
        <v>0.6600000264</v>
      </c>
      <c r="EP17" s="256">
        <v>0.0911</v>
      </c>
      <c r="EQ17" s="261">
        <f t="shared" si="51"/>
        <v>0.13245110083031397</v>
      </c>
      <c r="ER17" s="208">
        <f t="shared" si="24"/>
        <v>0.010178992416457752</v>
      </c>
      <c r="ES17" s="261"/>
      <c r="ET17" s="262">
        <v>1.1</v>
      </c>
      <c r="EU17" s="262">
        <v>0.845</v>
      </c>
      <c r="EV17" s="262">
        <v>0.175</v>
      </c>
      <c r="EW17" s="262">
        <v>0.525</v>
      </c>
      <c r="EX17" s="280">
        <v>1.04315024</v>
      </c>
      <c r="EY17" s="262">
        <v>4.1</v>
      </c>
      <c r="FA17" s="262">
        <v>0.625</v>
      </c>
      <c r="FB17" s="262">
        <v>1.9</v>
      </c>
      <c r="FC17" s="262">
        <v>0.645</v>
      </c>
      <c r="FD17" s="262">
        <v>0.3</v>
      </c>
      <c r="FE17" s="258">
        <v>1.1</v>
      </c>
      <c r="FF17" s="258">
        <v>1.3</v>
      </c>
      <c r="FG17" s="258">
        <v>1</v>
      </c>
      <c r="FJ17" s="258">
        <v>0.575</v>
      </c>
      <c r="FL17" s="258">
        <v>1.2</v>
      </c>
      <c r="FM17" s="281">
        <v>1.6804746600000002</v>
      </c>
      <c r="FN17" s="281">
        <v>1.50793548</v>
      </c>
      <c r="FO17" s="258">
        <f>SUM(ET17:FN17)</f>
        <v>19.621560380000002</v>
      </c>
      <c r="FP17" s="261">
        <f t="shared" si="25"/>
        <v>0.12104978495068178</v>
      </c>
    </row>
    <row r="18" spans="1:172" ht="12.75">
      <c r="A18" s="263">
        <v>36160</v>
      </c>
      <c r="B18" s="255">
        <v>23.375</v>
      </c>
      <c r="C18" s="255">
        <v>21.1875</v>
      </c>
      <c r="D18" s="255">
        <f t="shared" si="26"/>
        <v>22.28125</v>
      </c>
      <c r="E18" s="255">
        <v>1.08</v>
      </c>
      <c r="F18" s="256">
        <v>0.0454</v>
      </c>
      <c r="G18" s="261">
        <f t="shared" si="27"/>
        <v>0.09976803976912962</v>
      </c>
      <c r="H18" s="277">
        <f t="shared" si="0"/>
        <v>0.005594056996796164</v>
      </c>
      <c r="I18" s="255">
        <v>32.25</v>
      </c>
      <c r="J18" s="255">
        <v>27.625</v>
      </c>
      <c r="K18" s="258">
        <f t="shared" si="28"/>
        <v>29.9375</v>
      </c>
      <c r="L18" s="259">
        <v>1.1</v>
      </c>
      <c r="M18" s="256">
        <v>0.0895</v>
      </c>
      <c r="N18" s="261">
        <f t="shared" si="29"/>
        <v>0.1322537903745291</v>
      </c>
      <c r="O18" s="208">
        <f t="shared" si="1"/>
        <v>0.005696493408177882</v>
      </c>
      <c r="P18" s="260">
        <v>18.6875</v>
      </c>
      <c r="Q18" s="260">
        <v>17.3125</v>
      </c>
      <c r="R18" s="258">
        <f t="shared" si="30"/>
        <v>18</v>
      </c>
      <c r="S18" s="49">
        <v>0.96</v>
      </c>
      <c r="T18" s="261">
        <v>0.0338</v>
      </c>
      <c r="U18" s="261">
        <f t="shared" si="2"/>
        <v>0.09004855462874062</v>
      </c>
      <c r="V18" s="208">
        <f t="shared" si="3"/>
        <v>0.0008032626201705192</v>
      </c>
      <c r="W18" s="255">
        <v>19.5</v>
      </c>
      <c r="X18" s="255">
        <v>17.8125</v>
      </c>
      <c r="Y18" s="258">
        <f t="shared" si="31"/>
        <v>18.65625</v>
      </c>
      <c r="Z18" s="258">
        <v>0.64</v>
      </c>
      <c r="AA18" s="256">
        <v>0.0805</v>
      </c>
      <c r="AB18" s="261">
        <f t="shared" si="32"/>
        <v>0.12004879673494662</v>
      </c>
      <c r="AC18" s="208">
        <f t="shared" si="4"/>
        <v>0.003212623836480337</v>
      </c>
      <c r="AD18" s="123">
        <v>28.57</v>
      </c>
      <c r="AE18" s="123">
        <v>25.52</v>
      </c>
      <c r="AF18" s="258">
        <f t="shared" si="5"/>
        <v>27.045</v>
      </c>
      <c r="AG18" s="258">
        <v>1.18</v>
      </c>
      <c r="AH18" s="256">
        <v>0.0758</v>
      </c>
      <c r="AI18" s="261">
        <f t="shared" si="33"/>
        <v>0.12606613190625326</v>
      </c>
      <c r="AJ18" s="208">
        <f t="shared" si="6"/>
        <v>0.006631699820838864</v>
      </c>
      <c r="AK18" s="255">
        <v>31.25</v>
      </c>
      <c r="AL18" s="255">
        <v>29.1875</v>
      </c>
      <c r="AM18" s="258">
        <f t="shared" si="34"/>
        <v>30.21875</v>
      </c>
      <c r="AN18" s="258">
        <v>1.78</v>
      </c>
      <c r="AO18" s="256">
        <v>0.0788</v>
      </c>
      <c r="AP18" s="261">
        <f t="shared" si="54"/>
        <v>0.14726137196026357</v>
      </c>
      <c r="AQ18" s="208">
        <f t="shared" si="52"/>
        <v>0.03077623301666475</v>
      </c>
      <c r="AR18" s="260">
        <v>27</v>
      </c>
      <c r="AS18" s="260">
        <v>24.625</v>
      </c>
      <c r="AT18" s="258">
        <f t="shared" si="35"/>
        <v>25.8125</v>
      </c>
      <c r="AU18" s="258">
        <v>1.32</v>
      </c>
      <c r="AW18" s="261"/>
      <c r="AX18" s="208"/>
      <c r="AY18" s="255">
        <v>39.625</v>
      </c>
      <c r="AZ18" s="255">
        <v>37.625</v>
      </c>
      <c r="BA18" s="258">
        <f t="shared" si="36"/>
        <v>38.625</v>
      </c>
      <c r="BB18" s="255">
        <v>1.64</v>
      </c>
      <c r="BC18" s="256">
        <v>0.0588</v>
      </c>
      <c r="BD18" s="261">
        <f t="shared" si="37"/>
        <v>0.10692134492348737</v>
      </c>
      <c r="BE18" s="208">
        <f t="shared" si="7"/>
        <v>0.003406333712703808</v>
      </c>
      <c r="BF18" s="255">
        <v>42.9375</v>
      </c>
      <c r="BG18" s="255">
        <v>40.375</v>
      </c>
      <c r="BH18" s="258">
        <f t="shared" si="38"/>
        <v>41.65625</v>
      </c>
      <c r="BI18" s="258">
        <v>1.48</v>
      </c>
      <c r="BJ18" s="256">
        <v>0.0548</v>
      </c>
      <c r="BK18" s="261">
        <f t="shared" si="39"/>
        <v>0.094804980128532</v>
      </c>
      <c r="BL18" s="208">
        <f t="shared" si="8"/>
        <v>0.00918179336906381</v>
      </c>
      <c r="BM18" s="255">
        <v>30.25</v>
      </c>
      <c r="BN18" s="255">
        <v>25.75</v>
      </c>
      <c r="BO18" s="258">
        <f t="shared" si="40"/>
        <v>28</v>
      </c>
      <c r="BP18" s="258">
        <v>1.22</v>
      </c>
      <c r="BQ18" s="256">
        <v>0.0442</v>
      </c>
      <c r="BR18" s="261">
        <f t="shared" si="53"/>
        <v>0.09292189855695399</v>
      </c>
      <c r="BS18" s="208">
        <f t="shared" si="9"/>
        <v>0.003055065682153948</v>
      </c>
      <c r="BT18" s="260">
        <v>27</v>
      </c>
      <c r="BU18" s="260">
        <v>23.8125</v>
      </c>
      <c r="BV18" s="258">
        <f t="shared" si="41"/>
        <v>25.40625</v>
      </c>
      <c r="BW18" s="49">
        <v>0.98</v>
      </c>
      <c r="BX18" s="256">
        <v>0.1027</v>
      </c>
      <c r="BY18" s="261">
        <f t="shared" si="10"/>
        <v>0.14585387825983065</v>
      </c>
      <c r="BZ18" s="208">
        <f t="shared" si="11"/>
        <v>0.0022303961088432005</v>
      </c>
      <c r="CA18" s="255">
        <v>18.46875</v>
      </c>
      <c r="CB18" s="255">
        <v>16.1875</v>
      </c>
      <c r="CC18" s="258">
        <f t="shared" si="42"/>
        <v>17.328125</v>
      </c>
      <c r="CD18" s="258">
        <v>0.6</v>
      </c>
      <c r="CE18" s="256">
        <v>0.07</v>
      </c>
      <c r="CF18" s="261">
        <f t="shared" si="43"/>
        <v>0.1095358674338156</v>
      </c>
      <c r="CG18" s="208">
        <f t="shared" si="12"/>
        <v>0.0061417452626735</v>
      </c>
      <c r="CH18" s="255">
        <v>40.125</v>
      </c>
      <c r="CI18" s="255">
        <v>37.1875</v>
      </c>
      <c r="CJ18" s="258">
        <f t="shared" si="44"/>
        <v>38.65625</v>
      </c>
      <c r="CK18" s="258">
        <v>1.92</v>
      </c>
      <c r="CL18" s="256">
        <v>0.0436</v>
      </c>
      <c r="CM18" s="261">
        <f t="shared" si="45"/>
        <v>0.09924131164639971</v>
      </c>
      <c r="CN18" s="208">
        <f t="shared" si="13"/>
        <v>0.006576254476181957</v>
      </c>
      <c r="CO18" s="255">
        <v>36.125</v>
      </c>
      <c r="CP18" s="255">
        <v>33.75</v>
      </c>
      <c r="CQ18" s="258">
        <f t="shared" si="14"/>
        <v>34.9375</v>
      </c>
      <c r="CR18" s="258">
        <v>1.3</v>
      </c>
      <c r="CS18" s="256">
        <v>0.0675</v>
      </c>
      <c r="CT18" s="261">
        <f t="shared" si="46"/>
        <v>0.10992964676120853</v>
      </c>
      <c r="CU18" s="208">
        <f t="shared" si="15"/>
        <v>0.0056034770165868915</v>
      </c>
      <c r="CV18" s="262">
        <v>17.25</v>
      </c>
      <c r="CW18" s="262">
        <v>15.5</v>
      </c>
      <c r="CX18" s="262">
        <f t="shared" si="16"/>
        <v>16.375</v>
      </c>
      <c r="CY18" s="262">
        <v>0.8</v>
      </c>
      <c r="DA18" s="261"/>
      <c r="DB18" s="208"/>
      <c r="DC18" s="260">
        <v>26.25</v>
      </c>
      <c r="DD18" s="260">
        <v>25.0625</v>
      </c>
      <c r="DE18" s="258">
        <f t="shared" si="17"/>
        <v>25.65625</v>
      </c>
      <c r="DF18" s="258">
        <v>1.44</v>
      </c>
      <c r="DH18" s="261"/>
      <c r="DI18" s="208"/>
      <c r="DJ18" s="255">
        <v>26.875</v>
      </c>
      <c r="DK18" s="255">
        <v>23.1875</v>
      </c>
      <c r="DL18" s="258">
        <f t="shared" si="18"/>
        <v>25.03125</v>
      </c>
      <c r="DM18" s="258">
        <v>0.82</v>
      </c>
      <c r="DN18" s="256">
        <v>0.0483</v>
      </c>
      <c r="DO18" s="261">
        <f t="shared" si="47"/>
        <v>0.08491889009241538</v>
      </c>
      <c r="DP18" s="208">
        <f t="shared" si="19"/>
        <v>0.002488942802807472</v>
      </c>
      <c r="DQ18" s="255">
        <v>24.625</v>
      </c>
      <c r="DR18" s="255">
        <v>21.625</v>
      </c>
      <c r="DS18" s="258">
        <f t="shared" si="20"/>
        <v>23.125</v>
      </c>
      <c r="DT18" s="258">
        <v>1.46</v>
      </c>
      <c r="DV18" s="261"/>
      <c r="DW18" s="208"/>
      <c r="DX18" s="255">
        <v>27.125</v>
      </c>
      <c r="DY18" s="255">
        <v>25.125</v>
      </c>
      <c r="DZ18" s="258">
        <f t="shared" si="21"/>
        <v>26.125</v>
      </c>
      <c r="EA18" s="258">
        <v>1.2</v>
      </c>
      <c r="EB18" s="256">
        <v>0.0483</v>
      </c>
      <c r="EC18" s="261">
        <f t="shared" si="48"/>
        <v>0.09991230923374061</v>
      </c>
      <c r="ED18" s="208">
        <f t="shared" si="22"/>
        <v>0.006111432301950566</v>
      </c>
      <c r="EE18" s="123">
        <v>44.66</v>
      </c>
      <c r="EF18" s="123">
        <v>42.94</v>
      </c>
      <c r="EG18" s="258">
        <f>AVERAGE(EE18:EF18)</f>
        <v>43.8</v>
      </c>
      <c r="EH18" s="278">
        <f t="shared" si="49"/>
        <v>1.8</v>
      </c>
      <c r="EI18" s="256">
        <v>0.075</v>
      </c>
      <c r="EJ18" s="261">
        <f t="shared" si="50"/>
        <v>0.12226307655398627</v>
      </c>
      <c r="EK18" s="208">
        <f t="shared" si="23"/>
        <v>0.010428385424093184</v>
      </c>
      <c r="EL18" s="279">
        <v>18.69</v>
      </c>
      <c r="EM18" s="279">
        <v>16.55</v>
      </c>
      <c r="EN18" s="279">
        <f>AVERAGE(EL18:EM18)</f>
        <v>17.62</v>
      </c>
      <c r="EO18" s="278">
        <f t="shared" si="55"/>
        <v>0.6600000264</v>
      </c>
      <c r="EP18" s="256">
        <v>0.0911</v>
      </c>
      <c r="EQ18" s="261">
        <f t="shared" si="51"/>
        <v>0.13476114064361155</v>
      </c>
      <c r="ER18" s="208">
        <f t="shared" si="24"/>
        <v>0.01046033770972743</v>
      </c>
      <c r="ES18" s="261"/>
      <c r="ET18" s="262">
        <v>1.1</v>
      </c>
      <c r="EU18" s="262">
        <v>0.845</v>
      </c>
      <c r="EV18" s="262">
        <v>0.175</v>
      </c>
      <c r="EW18" s="262">
        <v>0.525</v>
      </c>
      <c r="EX18" s="280">
        <v>1.03200944</v>
      </c>
      <c r="EY18" s="262">
        <v>4.1</v>
      </c>
      <c r="FA18" s="262">
        <v>0.625</v>
      </c>
      <c r="FB18" s="262">
        <v>1.9</v>
      </c>
      <c r="FC18" s="262">
        <v>0.645</v>
      </c>
      <c r="FD18" s="262">
        <v>0.3</v>
      </c>
      <c r="FE18" s="258">
        <v>1.1</v>
      </c>
      <c r="FF18" s="258">
        <v>1.3</v>
      </c>
      <c r="FG18" s="258">
        <v>1</v>
      </c>
      <c r="FJ18" s="258">
        <v>0.575</v>
      </c>
      <c r="FL18" s="258">
        <v>1.2</v>
      </c>
      <c r="FM18" s="281">
        <v>1.67331996</v>
      </c>
      <c r="FN18" s="281">
        <v>1.52278386</v>
      </c>
      <c r="FO18" s="258">
        <f>SUM(ET18:FN18)</f>
        <v>19.61811326</v>
      </c>
      <c r="FP18" s="261">
        <f t="shared" si="25"/>
        <v>0.11839853356591429</v>
      </c>
    </row>
    <row r="19" spans="1:172" ht="12.75">
      <c r="A19" s="263">
        <v>36189</v>
      </c>
      <c r="B19" s="255">
        <v>23.375</v>
      </c>
      <c r="C19" s="255">
        <v>19.8125</v>
      </c>
      <c r="D19" s="255">
        <f t="shared" si="26"/>
        <v>21.59375</v>
      </c>
      <c r="E19" s="255">
        <v>1.08</v>
      </c>
      <c r="F19" s="256">
        <v>0.0454</v>
      </c>
      <c r="G19" s="261">
        <f t="shared" si="27"/>
        <v>0.1015331136730766</v>
      </c>
      <c r="H19" s="277">
        <f t="shared" si="0"/>
        <v>0.006673899439932433</v>
      </c>
      <c r="I19" s="255">
        <v>33</v>
      </c>
      <c r="J19" s="255">
        <v>28.875</v>
      </c>
      <c r="K19" s="258">
        <f t="shared" si="28"/>
        <v>30.9375</v>
      </c>
      <c r="L19" s="259">
        <v>1.1</v>
      </c>
      <c r="M19" s="256">
        <v>0.0895</v>
      </c>
      <c r="N19" s="261">
        <f t="shared" si="29"/>
        <v>0.1308524897335821</v>
      </c>
      <c r="O19" s="208">
        <f t="shared" si="1"/>
        <v>0.005954606969087002</v>
      </c>
      <c r="P19" s="260">
        <v>18.125</v>
      </c>
      <c r="Q19" s="260">
        <v>15.875</v>
      </c>
      <c r="R19" s="258">
        <f t="shared" si="30"/>
        <v>17</v>
      </c>
      <c r="S19" s="49">
        <v>0.96</v>
      </c>
      <c r="T19" s="261">
        <v>0.0338</v>
      </c>
      <c r="U19" s="261">
        <f t="shared" si="2"/>
        <v>0.09342723804674091</v>
      </c>
      <c r="V19" s="208">
        <f t="shared" si="3"/>
        <v>0.000944783080905081</v>
      </c>
      <c r="W19" s="255">
        <v>19.75</v>
      </c>
      <c r="X19" s="255">
        <v>16.375</v>
      </c>
      <c r="Y19" s="258">
        <f t="shared" si="31"/>
        <v>18.0625</v>
      </c>
      <c r="Z19" s="258">
        <v>0.64</v>
      </c>
      <c r="AA19" s="256">
        <v>0.0805</v>
      </c>
      <c r="AB19" s="261">
        <f t="shared" si="32"/>
        <v>0.12136700267187006</v>
      </c>
      <c r="AC19" s="208">
        <f t="shared" si="4"/>
        <v>0.003221725477412092</v>
      </c>
      <c r="AD19" s="123">
        <v>28.39</v>
      </c>
      <c r="AE19" s="123">
        <v>24.33</v>
      </c>
      <c r="AF19" s="258">
        <f t="shared" si="5"/>
        <v>26.36</v>
      </c>
      <c r="AG19" s="258">
        <v>1.18</v>
      </c>
      <c r="AH19" s="256">
        <v>0.0758</v>
      </c>
      <c r="AI19" s="261">
        <f t="shared" si="33"/>
        <v>0.1273954060262723</v>
      </c>
      <c r="AJ19" s="208">
        <f t="shared" si="6"/>
        <v>0.005949127507179152</v>
      </c>
      <c r="AK19" s="255">
        <v>31.3125</v>
      </c>
      <c r="AL19" s="255">
        <v>27.0625</v>
      </c>
      <c r="AM19" s="258">
        <f t="shared" si="34"/>
        <v>29.1875</v>
      </c>
      <c r="AN19" s="258">
        <v>1.78</v>
      </c>
      <c r="AO19" s="256">
        <v>0.0788</v>
      </c>
      <c r="AP19" s="261">
        <f t="shared" si="54"/>
        <v>0.1497383393992382</v>
      </c>
      <c r="AQ19" s="208">
        <f t="shared" si="52"/>
        <v>0.03255592727105557</v>
      </c>
      <c r="AR19" s="260">
        <v>27</v>
      </c>
      <c r="AS19" s="260">
        <v>23.4375</v>
      </c>
      <c r="AT19" s="258">
        <f t="shared" si="35"/>
        <v>25.21875</v>
      </c>
      <c r="AU19" s="258">
        <v>1.32</v>
      </c>
      <c r="AW19" s="261"/>
      <c r="AX19" s="208"/>
      <c r="AY19" s="255">
        <v>40.125</v>
      </c>
      <c r="AZ19" s="255">
        <v>36</v>
      </c>
      <c r="BA19" s="258">
        <f t="shared" si="36"/>
        <v>38.0625</v>
      </c>
      <c r="BB19" s="255">
        <v>1.68</v>
      </c>
      <c r="BC19" s="256">
        <v>0.0588</v>
      </c>
      <c r="BD19" s="261">
        <f t="shared" si="37"/>
        <v>0.10885662286884346</v>
      </c>
      <c r="BE19" s="208">
        <f t="shared" si="7"/>
        <v>0.003715243056241233</v>
      </c>
      <c r="BF19" s="255">
        <v>42.9375</v>
      </c>
      <c r="BG19" s="255">
        <v>38.125</v>
      </c>
      <c r="BH19" s="258">
        <f t="shared" si="38"/>
        <v>40.53125</v>
      </c>
      <c r="BI19" s="258">
        <v>1.48</v>
      </c>
      <c r="BJ19" s="256">
        <v>0.0548</v>
      </c>
      <c r="BK19" s="261">
        <f t="shared" si="39"/>
        <v>0.09593135526606722</v>
      </c>
      <c r="BL19" s="208">
        <f t="shared" si="8"/>
        <v>0.0092160067143818</v>
      </c>
      <c r="BM19" s="255">
        <v>27</v>
      </c>
      <c r="BN19" s="255">
        <v>23.375</v>
      </c>
      <c r="BO19" s="258">
        <f t="shared" si="40"/>
        <v>25.1875</v>
      </c>
      <c r="BP19" s="258">
        <v>1.22</v>
      </c>
      <c r="BQ19" s="256">
        <v>0.0442</v>
      </c>
      <c r="BR19" s="261">
        <f t="shared" si="53"/>
        <v>0.09846621430281277</v>
      </c>
      <c r="BS19" s="208">
        <f t="shared" si="9"/>
        <v>0.0033606216077790127</v>
      </c>
      <c r="BT19" s="260">
        <v>27.0625</v>
      </c>
      <c r="BU19" s="260">
        <v>22.1875</v>
      </c>
      <c r="BV19" s="258">
        <f t="shared" si="41"/>
        <v>24.625</v>
      </c>
      <c r="BW19" s="49">
        <v>0.98</v>
      </c>
      <c r="BX19" s="256">
        <v>0.1027</v>
      </c>
      <c r="BY19" s="261">
        <f t="shared" si="10"/>
        <v>0.14724337639227847</v>
      </c>
      <c r="BZ19" s="208">
        <f t="shared" si="11"/>
        <v>0.002233498287530979</v>
      </c>
      <c r="CA19" s="255">
        <v>18.59375</v>
      </c>
      <c r="CB19" s="255">
        <v>14.25</v>
      </c>
      <c r="CC19" s="258">
        <f t="shared" si="42"/>
        <v>16.421875</v>
      </c>
      <c r="CD19" s="258">
        <v>0.62</v>
      </c>
      <c r="CE19" s="256">
        <v>0.07</v>
      </c>
      <c r="CF19" s="261">
        <f t="shared" si="43"/>
        <v>0.11316145159210778</v>
      </c>
      <c r="CG19" s="208">
        <f t="shared" si="12"/>
        <v>0.0057217267207125945</v>
      </c>
      <c r="CH19" s="255">
        <v>40.25</v>
      </c>
      <c r="CI19" s="255">
        <v>33.5625</v>
      </c>
      <c r="CJ19" s="258">
        <f t="shared" si="44"/>
        <v>36.90625</v>
      </c>
      <c r="CK19" s="258">
        <v>1.92</v>
      </c>
      <c r="CL19" s="256">
        <v>0.0436</v>
      </c>
      <c r="CM19" s="261">
        <f t="shared" si="45"/>
        <v>0.10193376290475431</v>
      </c>
      <c r="CN19" s="208">
        <f t="shared" si="13"/>
        <v>0.006700234618537443</v>
      </c>
      <c r="CO19" s="255">
        <v>36.625</v>
      </c>
      <c r="CP19" s="255">
        <v>30</v>
      </c>
      <c r="CQ19" s="258">
        <f t="shared" si="14"/>
        <v>33.3125</v>
      </c>
      <c r="CR19" s="258">
        <v>1.3</v>
      </c>
      <c r="CS19" s="256">
        <v>0.0675</v>
      </c>
      <c r="CT19" s="261">
        <f t="shared" si="46"/>
        <v>0.11203122593092307</v>
      </c>
      <c r="CU19" s="208">
        <f t="shared" si="15"/>
        <v>0.005664579677483197</v>
      </c>
      <c r="CV19" s="262">
        <v>17.5</v>
      </c>
      <c r="CW19" s="262">
        <v>15.875</v>
      </c>
      <c r="CX19" s="262">
        <f t="shared" si="16"/>
        <v>16.6875</v>
      </c>
      <c r="CY19" s="262">
        <v>0.8</v>
      </c>
      <c r="DA19" s="261"/>
      <c r="DB19" s="208"/>
      <c r="DC19" s="260">
        <v>26.6875</v>
      </c>
      <c r="DD19" s="260">
        <v>25.5</v>
      </c>
      <c r="DE19" s="258">
        <f t="shared" si="17"/>
        <v>26.09375</v>
      </c>
      <c r="DF19" s="258">
        <v>1.44</v>
      </c>
      <c r="DH19" s="261"/>
      <c r="DI19" s="208"/>
      <c r="DJ19" s="255">
        <v>26.6875</v>
      </c>
      <c r="DK19" s="255">
        <v>25.8125</v>
      </c>
      <c r="DL19" s="258">
        <f t="shared" si="18"/>
        <v>26.25</v>
      </c>
      <c r="DM19" s="258">
        <v>0.82</v>
      </c>
      <c r="DN19" s="256">
        <v>0.0483</v>
      </c>
      <c r="DO19" s="261">
        <f t="shared" si="47"/>
        <v>0.08319779898985957</v>
      </c>
      <c r="DP19" s="208">
        <f t="shared" si="19"/>
        <v>0.0033653514541374437</v>
      </c>
      <c r="DQ19" s="255">
        <v>24.375</v>
      </c>
      <c r="DR19" s="255">
        <v>21.375</v>
      </c>
      <c r="DS19" s="258">
        <f t="shared" si="20"/>
        <v>22.875</v>
      </c>
      <c r="DT19" s="258">
        <v>1.46</v>
      </c>
      <c r="DV19" s="261"/>
      <c r="DW19" s="208"/>
      <c r="DX19" s="255">
        <v>27.375</v>
      </c>
      <c r="DY19" s="255">
        <v>23.4375</v>
      </c>
      <c r="DZ19" s="258">
        <f t="shared" si="21"/>
        <v>25.40625</v>
      </c>
      <c r="EA19" s="258">
        <v>1.2</v>
      </c>
      <c r="EB19" s="256">
        <v>0.0471</v>
      </c>
      <c r="EC19" s="261">
        <f t="shared" si="48"/>
        <v>0.10013882589384315</v>
      </c>
      <c r="ED19" s="208">
        <f t="shared" si="22"/>
        <v>0.005569597125345677</v>
      </c>
      <c r="EE19" s="123">
        <v>44.68</v>
      </c>
      <c r="EF19" s="123">
        <v>40.6</v>
      </c>
      <c r="EG19" s="258">
        <f>AVERAGE(EE19:EF19)</f>
        <v>42.64</v>
      </c>
      <c r="EH19" s="278">
        <f t="shared" si="49"/>
        <v>1.8</v>
      </c>
      <c r="EI19" s="256">
        <v>0.075</v>
      </c>
      <c r="EJ19" s="261">
        <f t="shared" si="50"/>
        <v>0.12357023522800148</v>
      </c>
      <c r="EK19" s="208">
        <f t="shared" si="23"/>
        <v>0.009792654519982508</v>
      </c>
      <c r="EL19" s="279">
        <v>18.46</v>
      </c>
      <c r="EM19" s="279">
        <v>15.84</v>
      </c>
      <c r="EN19" s="279">
        <f>AVERAGE(EL19:EM19)</f>
        <v>17.15</v>
      </c>
      <c r="EO19" s="278">
        <f t="shared" si="55"/>
        <v>0.6600000264</v>
      </c>
      <c r="EP19" s="256">
        <v>0.0883</v>
      </c>
      <c r="EQ19" s="261">
        <f t="shared" si="51"/>
        <v>0.13306067357071805</v>
      </c>
      <c r="ER19" s="208">
        <f t="shared" si="24"/>
        <v>0.008824335505304556</v>
      </c>
      <c r="ES19" s="261"/>
      <c r="ET19" s="262">
        <v>1.3</v>
      </c>
      <c r="EU19" s="262">
        <v>0.9</v>
      </c>
      <c r="EV19" s="262">
        <v>0.2</v>
      </c>
      <c r="EW19" s="262">
        <v>0.525</v>
      </c>
      <c r="EX19" s="280">
        <v>0.9235723200000001</v>
      </c>
      <c r="EY19" s="262">
        <v>4.3</v>
      </c>
      <c r="FA19" s="262">
        <v>0.675</v>
      </c>
      <c r="FB19" s="262">
        <v>1.9</v>
      </c>
      <c r="FC19" s="262">
        <v>0.675</v>
      </c>
      <c r="FD19" s="262">
        <v>0.3</v>
      </c>
      <c r="FE19" s="258">
        <v>1</v>
      </c>
      <c r="FF19" s="258">
        <v>1.3</v>
      </c>
      <c r="FG19" s="258">
        <v>1</v>
      </c>
      <c r="FJ19" s="258">
        <v>0.8</v>
      </c>
      <c r="FL19" s="258">
        <v>1.1</v>
      </c>
      <c r="FM19" s="281">
        <v>1.5673210199999998</v>
      </c>
      <c r="FN19" s="281">
        <v>1.3116069000000001</v>
      </c>
      <c r="FO19" s="258">
        <f>SUM(ET19:FN19)</f>
        <v>19.777500240000006</v>
      </c>
      <c r="FP19" s="261">
        <f t="shared" si="25"/>
        <v>0.11946391903300778</v>
      </c>
    </row>
    <row r="20" spans="1:172" ht="12.75">
      <c r="A20" s="263">
        <v>36217</v>
      </c>
      <c r="B20" s="255">
        <v>20.0625</v>
      </c>
      <c r="C20" s="255">
        <v>18.3125</v>
      </c>
      <c r="D20" s="255">
        <f t="shared" si="26"/>
        <v>19.1875</v>
      </c>
      <c r="E20" s="255">
        <v>1.08</v>
      </c>
      <c r="F20" s="256">
        <v>0.0459</v>
      </c>
      <c r="G20" s="261">
        <f t="shared" si="27"/>
        <v>0.10925912478113342</v>
      </c>
      <c r="H20" s="277">
        <f t="shared" si="0"/>
        <v>0.007166314280308163</v>
      </c>
      <c r="I20" s="255">
        <v>29.6875</v>
      </c>
      <c r="J20" s="255">
        <v>23.25</v>
      </c>
      <c r="K20" s="258">
        <f t="shared" si="28"/>
        <v>26.46875</v>
      </c>
      <c r="L20" s="259">
        <v>1.1</v>
      </c>
      <c r="M20" s="256">
        <v>0.0895</v>
      </c>
      <c r="N20" s="261">
        <f t="shared" si="29"/>
        <v>0.13794854815590107</v>
      </c>
      <c r="O20" s="208">
        <f t="shared" si="1"/>
        <v>0.006264038585898476</v>
      </c>
      <c r="P20" s="260">
        <v>16.75</v>
      </c>
      <c r="Q20" s="260">
        <v>15.0625</v>
      </c>
      <c r="R20" s="258">
        <f t="shared" si="30"/>
        <v>15.90625</v>
      </c>
      <c r="S20" s="49">
        <v>0.96</v>
      </c>
      <c r="T20" s="261">
        <v>0.0338</v>
      </c>
      <c r="U20" s="261">
        <f t="shared" si="2"/>
        <v>0.09761997545189671</v>
      </c>
      <c r="V20" s="208">
        <f t="shared" si="3"/>
        <v>0.0009850617835572661</v>
      </c>
      <c r="W20" s="255">
        <v>17.25</v>
      </c>
      <c r="X20" s="255">
        <v>13.25</v>
      </c>
      <c r="Y20" s="258">
        <f t="shared" si="31"/>
        <v>15.25</v>
      </c>
      <c r="Z20" s="258">
        <v>0.64</v>
      </c>
      <c r="AA20" s="256">
        <v>0.0755</v>
      </c>
      <c r="AB20" s="261">
        <f t="shared" si="32"/>
        <v>0.12380418629027301</v>
      </c>
      <c r="AC20" s="208">
        <f t="shared" si="4"/>
        <v>0.0032793624100530337</v>
      </c>
      <c r="AD20" s="123">
        <v>25.39</v>
      </c>
      <c r="AE20" s="123">
        <v>23.4</v>
      </c>
      <c r="AF20" s="258">
        <f t="shared" si="5"/>
        <v>24.395</v>
      </c>
      <c r="AG20" s="258">
        <v>1.18</v>
      </c>
      <c r="AH20" s="256">
        <v>0.0793</v>
      </c>
      <c r="AI20" s="261">
        <f t="shared" si="33"/>
        <v>0.13531226238335803</v>
      </c>
      <c r="AJ20" s="208">
        <f t="shared" si="6"/>
        <v>0.006330610614349514</v>
      </c>
      <c r="AK20" s="255">
        <v>28.9375</v>
      </c>
      <c r="AL20" s="255">
        <v>26.5</v>
      </c>
      <c r="AM20" s="258">
        <f t="shared" si="34"/>
        <v>27.71875</v>
      </c>
      <c r="AN20" s="258">
        <v>1.78</v>
      </c>
      <c r="AO20" s="256">
        <v>0.0788</v>
      </c>
      <c r="AP20" s="261">
        <f t="shared" si="54"/>
        <v>0.1535922658093809</v>
      </c>
      <c r="AQ20" s="208">
        <f t="shared" si="52"/>
        <v>0.033322116891198135</v>
      </c>
      <c r="AR20" s="260">
        <v>24.1875</v>
      </c>
      <c r="AS20" s="260">
        <v>22.375</v>
      </c>
      <c r="AT20" s="258">
        <f t="shared" si="35"/>
        <v>23.28125</v>
      </c>
      <c r="AU20" s="258">
        <v>1.32</v>
      </c>
      <c r="AW20" s="261"/>
      <c r="AX20" s="208"/>
      <c r="AY20" s="255">
        <v>36.375</v>
      </c>
      <c r="AZ20" s="255">
        <v>33.625</v>
      </c>
      <c r="BA20" s="258">
        <f t="shared" si="36"/>
        <v>35</v>
      </c>
      <c r="BB20" s="255">
        <v>1.68</v>
      </c>
      <c r="BC20" s="256">
        <v>0.06</v>
      </c>
      <c r="BD20" s="261">
        <f t="shared" si="37"/>
        <v>0.11458124841173412</v>
      </c>
      <c r="BE20" s="208">
        <f t="shared" si="7"/>
        <v>0.003902223170520649</v>
      </c>
      <c r="BF20" s="255">
        <v>38.625</v>
      </c>
      <c r="BG20" s="255">
        <v>36.5</v>
      </c>
      <c r="BH20" s="258">
        <f t="shared" si="38"/>
        <v>37.5625</v>
      </c>
      <c r="BI20" s="258">
        <v>1.48</v>
      </c>
      <c r="BJ20" s="256">
        <v>0.0548</v>
      </c>
      <c r="BK20" s="261">
        <f t="shared" si="39"/>
        <v>0.09923267282370807</v>
      </c>
      <c r="BL20" s="208">
        <f t="shared" si="8"/>
        <v>0.009512684014215086</v>
      </c>
      <c r="BM20" s="255">
        <v>24.8125</v>
      </c>
      <c r="BN20" s="255">
        <v>22.125</v>
      </c>
      <c r="BO20" s="258">
        <f t="shared" si="40"/>
        <v>23.46875</v>
      </c>
      <c r="BP20" s="258">
        <v>1.22</v>
      </c>
      <c r="BQ20" s="256">
        <v>0.0442</v>
      </c>
      <c r="BR20" s="261">
        <f t="shared" si="53"/>
        <v>0.10252186258571028</v>
      </c>
      <c r="BS20" s="208">
        <f t="shared" si="9"/>
        <v>0.0034915240775638358</v>
      </c>
      <c r="BT20" s="260">
        <v>23.25</v>
      </c>
      <c r="BU20" s="260">
        <v>20.375</v>
      </c>
      <c r="BV20" s="258">
        <f t="shared" si="41"/>
        <v>21.8125</v>
      </c>
      <c r="BW20" s="49">
        <v>0.98</v>
      </c>
      <c r="BX20" s="256">
        <v>0.1027</v>
      </c>
      <c r="BY20" s="261">
        <f t="shared" si="10"/>
        <v>0.15308347687971358</v>
      </c>
      <c r="BZ20" s="208">
        <f t="shared" si="11"/>
        <v>0.0023170977364553556</v>
      </c>
      <c r="CA20" s="255">
        <v>15.4375</v>
      </c>
      <c r="CB20" s="255">
        <v>13</v>
      </c>
      <c r="CC20" s="258">
        <f t="shared" si="42"/>
        <v>14.21875</v>
      </c>
      <c r="CD20" s="258">
        <v>0.62</v>
      </c>
      <c r="CE20" s="256">
        <v>0.07</v>
      </c>
      <c r="CF20" s="261">
        <f t="shared" si="43"/>
        <v>0.11996413860506316</v>
      </c>
      <c r="CG20" s="208">
        <f t="shared" si="12"/>
        <v>0.00605265919142979</v>
      </c>
      <c r="CH20" s="255">
        <v>34.75</v>
      </c>
      <c r="CI20" s="255">
        <v>31.75</v>
      </c>
      <c r="CJ20" s="258">
        <f t="shared" si="44"/>
        <v>33.25</v>
      </c>
      <c r="CK20" s="258">
        <v>1.92</v>
      </c>
      <c r="CL20" s="256">
        <v>0.0436</v>
      </c>
      <c r="CM20" s="261">
        <f t="shared" si="45"/>
        <v>0.10849430023671824</v>
      </c>
      <c r="CN20" s="208">
        <f t="shared" si="13"/>
        <v>0.007116149380437767</v>
      </c>
      <c r="CO20" s="255">
        <v>34.8125</v>
      </c>
      <c r="CP20" s="255">
        <v>28.625</v>
      </c>
      <c r="CQ20" s="258">
        <f t="shared" si="14"/>
        <v>31.71875</v>
      </c>
      <c r="CR20" s="258">
        <v>1.3</v>
      </c>
      <c r="CS20" s="256">
        <v>0.0675</v>
      </c>
      <c r="CT20" s="261">
        <f t="shared" si="46"/>
        <v>0.11430490456328624</v>
      </c>
      <c r="CU20" s="208">
        <f t="shared" si="15"/>
        <v>0.00576712873759825</v>
      </c>
      <c r="CV20" s="262">
        <v>16.375</v>
      </c>
      <c r="CW20" s="262">
        <v>14.75</v>
      </c>
      <c r="CX20" s="262">
        <f t="shared" si="16"/>
        <v>15.5625</v>
      </c>
      <c r="CY20" s="262">
        <v>0.8</v>
      </c>
      <c r="DA20" s="261"/>
      <c r="DB20" s="208"/>
      <c r="DC20" s="260">
        <v>25.5</v>
      </c>
      <c r="DD20" s="260">
        <v>21.5</v>
      </c>
      <c r="DE20" s="258">
        <f t="shared" si="17"/>
        <v>23.5</v>
      </c>
      <c r="DF20" s="258">
        <v>1.44</v>
      </c>
      <c r="DH20" s="261"/>
      <c r="DI20" s="208"/>
      <c r="DJ20" s="255">
        <v>29</v>
      </c>
      <c r="DK20" s="255">
        <v>25.25</v>
      </c>
      <c r="DL20" s="258">
        <f t="shared" si="18"/>
        <v>27.125</v>
      </c>
      <c r="DM20" s="258">
        <v>0.82</v>
      </c>
      <c r="DN20" s="256">
        <v>0.0453</v>
      </c>
      <c r="DO20" s="261">
        <f t="shared" si="47"/>
        <v>0.07896204135711016</v>
      </c>
      <c r="DP20" s="208">
        <f t="shared" si="19"/>
        <v>0.0031871546343867174</v>
      </c>
      <c r="DQ20" s="255">
        <v>22.4375</v>
      </c>
      <c r="DR20" s="255">
        <v>19.5625</v>
      </c>
      <c r="DS20" s="258">
        <f t="shared" si="20"/>
        <v>21</v>
      </c>
      <c r="DT20" s="258">
        <v>1.46</v>
      </c>
      <c r="DV20" s="261"/>
      <c r="DW20" s="208"/>
      <c r="DX20" s="255">
        <v>24.75</v>
      </c>
      <c r="DY20" s="255">
        <v>22.25</v>
      </c>
      <c r="DZ20" s="258">
        <f t="shared" si="21"/>
        <v>23.5</v>
      </c>
      <c r="EA20" s="258">
        <v>1.2</v>
      </c>
      <c r="EB20" s="256">
        <v>0.0471</v>
      </c>
      <c r="EC20" s="261">
        <f t="shared" si="48"/>
        <v>0.10452777380461487</v>
      </c>
      <c r="ED20" s="208">
        <f t="shared" si="22"/>
        <v>0.005801217747723179</v>
      </c>
      <c r="EE20" s="123">
        <v>41.2</v>
      </c>
      <c r="EF20" s="123">
        <v>38.55</v>
      </c>
      <c r="EG20" s="258">
        <f>AVERAGE(EE20:EF20)</f>
        <v>39.875</v>
      </c>
      <c r="EH20" s="278">
        <f t="shared" si="49"/>
        <v>1.8</v>
      </c>
      <c r="EI20" s="256">
        <v>0.0807</v>
      </c>
      <c r="EJ20" s="261">
        <f t="shared" si="50"/>
        <v>0.13297381891573412</v>
      </c>
      <c r="EK20" s="208">
        <f t="shared" si="23"/>
        <v>0.010061998596163675</v>
      </c>
      <c r="EL20" s="279">
        <v>17.31</v>
      </c>
      <c r="EM20" s="279">
        <v>15.36</v>
      </c>
      <c r="EN20" s="279">
        <f>AVERAGE(EL20:EM20)</f>
        <v>16.335</v>
      </c>
      <c r="EO20" s="278">
        <f t="shared" si="55"/>
        <v>0.6600000264</v>
      </c>
      <c r="EP20" s="256">
        <v>0.0883</v>
      </c>
      <c r="EQ20" s="261">
        <f t="shared" si="51"/>
        <v>0.13532948067749717</v>
      </c>
      <c r="ER20" s="208">
        <f t="shared" si="24"/>
        <v>0.009682101720512093</v>
      </c>
      <c r="ES20" s="261"/>
      <c r="ET20" s="262">
        <v>1.3</v>
      </c>
      <c r="EU20" s="262">
        <v>0.9</v>
      </c>
      <c r="EV20" s="262">
        <v>0.2</v>
      </c>
      <c r="EW20" s="262">
        <v>0.525</v>
      </c>
      <c r="EX20" s="280">
        <v>0.9272859199999999</v>
      </c>
      <c r="EY20" s="262">
        <v>4.3</v>
      </c>
      <c r="FA20" s="262">
        <v>0.675</v>
      </c>
      <c r="FB20" s="262">
        <v>1.9</v>
      </c>
      <c r="FC20" s="262">
        <v>0.675</v>
      </c>
      <c r="FD20" s="262">
        <v>0.3</v>
      </c>
      <c r="FE20" s="258">
        <v>1</v>
      </c>
      <c r="FF20" s="258">
        <v>1.3</v>
      </c>
      <c r="FG20" s="258">
        <v>1</v>
      </c>
      <c r="FJ20" s="258">
        <v>0.8</v>
      </c>
      <c r="FL20" s="258">
        <v>1.1</v>
      </c>
      <c r="FM20" s="281">
        <v>1.4997654000000002</v>
      </c>
      <c r="FN20" s="281">
        <v>1.41802029</v>
      </c>
      <c r="FO20" s="258">
        <f>SUM(ET20:FN20)</f>
        <v>19.820071610000007</v>
      </c>
      <c r="FP20" s="261">
        <f t="shared" si="25"/>
        <v>0.124239443572371</v>
      </c>
    </row>
    <row r="21" spans="1:172" ht="12.75">
      <c r="A21" s="263">
        <v>36250</v>
      </c>
      <c r="B21" s="255">
        <v>20</v>
      </c>
      <c r="C21" s="255">
        <v>17.5</v>
      </c>
      <c r="D21" s="255">
        <f t="shared" si="26"/>
        <v>18.75</v>
      </c>
      <c r="E21" s="255">
        <v>1.08</v>
      </c>
      <c r="F21" s="256">
        <v>0.0466</v>
      </c>
      <c r="G21" s="261">
        <f t="shared" si="27"/>
        <v>0.11151445780087132</v>
      </c>
      <c r="H21" s="277">
        <f t="shared" si="0"/>
        <v>0.0070805135986307345</v>
      </c>
      <c r="I21" s="255">
        <v>26.25</v>
      </c>
      <c r="J21" s="255">
        <v>22.75</v>
      </c>
      <c r="K21" s="258">
        <f t="shared" si="28"/>
        <v>24.5</v>
      </c>
      <c r="L21" s="259">
        <v>1.1</v>
      </c>
      <c r="M21" s="256">
        <v>0.0895</v>
      </c>
      <c r="N21" s="261">
        <f t="shared" si="29"/>
        <v>0.1419106458397379</v>
      </c>
      <c r="O21" s="208">
        <f t="shared" si="1"/>
        <v>0.00623803371623852</v>
      </c>
      <c r="P21" s="260">
        <v>16.625</v>
      </c>
      <c r="Q21" s="260">
        <v>14.875</v>
      </c>
      <c r="R21" s="258">
        <f t="shared" si="30"/>
        <v>15.75</v>
      </c>
      <c r="S21" s="49">
        <v>0.96</v>
      </c>
      <c r="T21" s="261">
        <v>0.0338</v>
      </c>
      <c r="U21" s="261">
        <f t="shared" si="2"/>
        <v>0.09826754600502996</v>
      </c>
      <c r="V21" s="208">
        <f t="shared" si="3"/>
        <v>0.0009599096069127327</v>
      </c>
      <c r="W21" s="255">
        <v>15.75</v>
      </c>
      <c r="X21" s="255">
        <v>13.125</v>
      </c>
      <c r="Y21" s="258">
        <f t="shared" si="31"/>
        <v>14.4375</v>
      </c>
      <c r="Z21" s="258">
        <v>0.64</v>
      </c>
      <c r="AA21" s="256">
        <v>0.0724</v>
      </c>
      <c r="AB21" s="261">
        <f t="shared" si="32"/>
        <v>0.1233228984664414</v>
      </c>
      <c r="AC21" s="208">
        <f t="shared" si="4"/>
        <v>0.0031622285737503636</v>
      </c>
      <c r="AD21" s="123">
        <v>25.94</v>
      </c>
      <c r="AE21" s="123">
        <v>24.67</v>
      </c>
      <c r="AF21" s="258">
        <f t="shared" si="5"/>
        <v>25.305</v>
      </c>
      <c r="AG21" s="258">
        <v>1.18</v>
      </c>
      <c r="AH21" s="256">
        <v>0.0756</v>
      </c>
      <c r="AI21" s="261">
        <f t="shared" si="33"/>
        <v>0.1293760184584405</v>
      </c>
      <c r="AJ21" s="208">
        <f t="shared" si="6"/>
        <v>0.005901699953623788</v>
      </c>
      <c r="AK21" s="255">
        <v>28.125</v>
      </c>
      <c r="AL21" s="255">
        <v>25.125</v>
      </c>
      <c r="AM21" s="258">
        <f t="shared" si="34"/>
        <v>26.625</v>
      </c>
      <c r="AN21" s="258">
        <v>1.78</v>
      </c>
      <c r="AO21" s="256">
        <v>0.0788</v>
      </c>
      <c r="AP21" s="261">
        <f t="shared" si="54"/>
        <v>0.15674560282125416</v>
      </c>
      <c r="AQ21" s="208">
        <f t="shared" si="52"/>
        <v>0.03291956242203889</v>
      </c>
      <c r="AR21" s="260">
        <v>23.6875</v>
      </c>
      <c r="AS21" s="260">
        <v>20.625</v>
      </c>
      <c r="AT21" s="258">
        <f t="shared" si="35"/>
        <v>22.15625</v>
      </c>
      <c r="AU21" s="258">
        <v>1.32</v>
      </c>
      <c r="AW21" s="261"/>
      <c r="AX21" s="208"/>
      <c r="AY21" s="255">
        <v>37.875</v>
      </c>
      <c r="AZ21" s="255">
        <v>34.6875</v>
      </c>
      <c r="BA21" s="258">
        <f t="shared" si="36"/>
        <v>36.28125</v>
      </c>
      <c r="BB21" s="255">
        <v>1.68</v>
      </c>
      <c r="BC21" s="256">
        <v>0.06</v>
      </c>
      <c r="BD21" s="261">
        <f t="shared" si="37"/>
        <v>0.11261859977888378</v>
      </c>
      <c r="BE21" s="208">
        <f t="shared" si="7"/>
        <v>0.0037128219927010367</v>
      </c>
      <c r="BF21" s="255">
        <v>38.8125</v>
      </c>
      <c r="BG21" s="255">
        <v>34.6875</v>
      </c>
      <c r="BH21" s="258">
        <f t="shared" si="38"/>
        <v>36.75</v>
      </c>
      <c r="BI21" s="258">
        <v>1.48</v>
      </c>
      <c r="BJ21" s="256">
        <v>0.057</v>
      </c>
      <c r="BK21" s="261">
        <f t="shared" si="39"/>
        <v>0.10252537398567729</v>
      </c>
      <c r="BL21" s="208">
        <f t="shared" si="8"/>
        <v>0.009514263932502003</v>
      </c>
      <c r="BM21" s="255">
        <v>25.5</v>
      </c>
      <c r="BN21" s="255">
        <v>21</v>
      </c>
      <c r="BO21" s="258">
        <f t="shared" si="40"/>
        <v>23.25</v>
      </c>
      <c r="BP21" s="258">
        <v>1.22</v>
      </c>
      <c r="BQ21" s="256">
        <v>0.0442</v>
      </c>
      <c r="BR21" s="261">
        <f t="shared" si="53"/>
        <v>0.10308193014193257</v>
      </c>
      <c r="BS21" s="208">
        <f t="shared" si="9"/>
        <v>0.0033984160523437873</v>
      </c>
      <c r="BT21" s="260">
        <v>22.9375</v>
      </c>
      <c r="BU21" s="260">
        <v>20.75</v>
      </c>
      <c r="BV21" s="258">
        <f t="shared" si="41"/>
        <v>21.84375</v>
      </c>
      <c r="BW21" s="49">
        <v>0.98</v>
      </c>
      <c r="BX21" s="256">
        <v>0.097</v>
      </c>
      <c r="BY21" s="261">
        <f t="shared" si="10"/>
        <v>0.14705012725495492</v>
      </c>
      <c r="BZ21" s="208">
        <f t="shared" si="11"/>
        <v>0.0021546507812845845</v>
      </c>
      <c r="CA21" s="255">
        <v>14.9375</v>
      </c>
      <c r="CB21" s="255">
        <v>12.25</v>
      </c>
      <c r="CC21" s="258">
        <f t="shared" si="42"/>
        <v>13.59375</v>
      </c>
      <c r="CD21" s="258">
        <v>0.62</v>
      </c>
      <c r="CE21" s="256">
        <v>0.065</v>
      </c>
      <c r="CF21" s="261">
        <f t="shared" si="43"/>
        <v>0.11705822751028294</v>
      </c>
      <c r="CG21" s="208">
        <f t="shared" si="12"/>
        <v>0.005717315722402663</v>
      </c>
      <c r="CH21" s="255">
        <v>36</v>
      </c>
      <c r="CI21" s="255">
        <v>32.0625</v>
      </c>
      <c r="CJ21" s="258">
        <f t="shared" si="44"/>
        <v>34.03125</v>
      </c>
      <c r="CK21" s="258">
        <v>1.92</v>
      </c>
      <c r="CL21" s="256">
        <v>0.0464</v>
      </c>
      <c r="CM21" s="261">
        <f t="shared" si="45"/>
        <v>0.10994147455476422</v>
      </c>
      <c r="CN21" s="208">
        <f t="shared" si="13"/>
        <v>0.006980638394248109</v>
      </c>
      <c r="CO21" s="255">
        <v>35</v>
      </c>
      <c r="CP21" s="255">
        <v>32.875</v>
      </c>
      <c r="CQ21" s="258">
        <f t="shared" si="14"/>
        <v>33.9375</v>
      </c>
      <c r="CR21" s="258">
        <v>1.3</v>
      </c>
      <c r="CS21" s="256">
        <v>0.066</v>
      </c>
      <c r="CT21" s="261">
        <f t="shared" si="46"/>
        <v>0.10963734898049426</v>
      </c>
      <c r="CU21" s="208">
        <f t="shared" si="15"/>
        <v>0.005354867850136067</v>
      </c>
      <c r="CV21" s="262">
        <v>15.9375</v>
      </c>
      <c r="CW21" s="262">
        <v>14.25</v>
      </c>
      <c r="CX21" s="262">
        <f t="shared" si="16"/>
        <v>15.09375</v>
      </c>
      <c r="CY21" s="262">
        <v>0.8</v>
      </c>
      <c r="DA21" s="261"/>
      <c r="DB21" s="208"/>
      <c r="DC21" s="260">
        <v>25</v>
      </c>
      <c r="DD21" s="260">
        <v>21.625</v>
      </c>
      <c r="DE21" s="258">
        <f t="shared" si="17"/>
        <v>23.3125</v>
      </c>
      <c r="DF21" s="258">
        <v>1.44</v>
      </c>
      <c r="DH21" s="261"/>
      <c r="DI21" s="208"/>
      <c r="DJ21" s="255">
        <v>28.9375</v>
      </c>
      <c r="DK21" s="255">
        <v>26.5</v>
      </c>
      <c r="DL21" s="258">
        <f t="shared" si="18"/>
        <v>27.71875</v>
      </c>
      <c r="DM21" s="258">
        <v>0.82</v>
      </c>
      <c r="DN21" s="256">
        <v>0.049</v>
      </c>
      <c r="DO21" s="261">
        <f t="shared" si="47"/>
        <v>0.08204914501152905</v>
      </c>
      <c r="DP21" s="208">
        <f t="shared" si="19"/>
        <v>0.003205931794878086</v>
      </c>
      <c r="DQ21" s="255">
        <v>20.375</v>
      </c>
      <c r="DR21" s="255">
        <v>15</v>
      </c>
      <c r="DS21" s="258">
        <f t="shared" si="20"/>
        <v>17.6875</v>
      </c>
      <c r="DT21" s="258">
        <v>1.46</v>
      </c>
      <c r="DU21" s="256">
        <v>0.06</v>
      </c>
      <c r="DV21" s="261">
        <f>+((((((DT21/4)*(1+DU21)^0.25))/(DS21*0.95))+(1+DU21)^(0.25))^4)-1</f>
        <v>0.155146587447053</v>
      </c>
      <c r="DW21" s="208">
        <f aca="true" t="shared" si="56" ref="DW21:DW75">DV21*($FK21/$FO21)</f>
        <v>0.0056832102443006545</v>
      </c>
      <c r="DX21" s="255">
        <v>25</v>
      </c>
      <c r="DY21" s="255">
        <v>21.3125</v>
      </c>
      <c r="DZ21" s="258">
        <f t="shared" si="21"/>
        <v>23.15625</v>
      </c>
      <c r="EA21" s="258">
        <v>1.2</v>
      </c>
      <c r="EB21" s="256">
        <v>0.0475</v>
      </c>
      <c r="EC21" s="261">
        <f t="shared" si="48"/>
        <v>0.10581994930282868</v>
      </c>
      <c r="ED21" s="208">
        <f t="shared" si="22"/>
        <v>0.005685261771315863</v>
      </c>
      <c r="EE21" s="123">
        <v>42.52</v>
      </c>
      <c r="EF21" s="123">
        <v>38.12</v>
      </c>
      <c r="EG21" s="258">
        <f>AVERAGE(EE21:EF21)</f>
        <v>40.32</v>
      </c>
      <c r="EH21" s="278">
        <f t="shared" si="49"/>
        <v>1.8</v>
      </c>
      <c r="EI21" s="256">
        <v>0.0781</v>
      </c>
      <c r="EJ21" s="261">
        <f t="shared" si="50"/>
        <v>0.12966239226172416</v>
      </c>
      <c r="EK21" s="208">
        <f t="shared" si="23"/>
        <v>0.009319432363231494</v>
      </c>
      <c r="EL21" s="279">
        <v>17.79</v>
      </c>
      <c r="EM21" s="279">
        <v>16.11</v>
      </c>
      <c r="EN21" s="279">
        <f>AVERAGE(EL21:EM21)</f>
        <v>16.95</v>
      </c>
      <c r="EO21" s="278">
        <f t="shared" si="55"/>
        <v>0.6600000264</v>
      </c>
      <c r="EP21" s="256">
        <v>0.0861</v>
      </c>
      <c r="EQ21" s="261">
        <f t="shared" si="51"/>
        <v>0.13130535985055225</v>
      </c>
      <c r="ER21" s="208">
        <f t="shared" si="24"/>
        <v>0.008617877941690145</v>
      </c>
      <c r="ES21" s="261"/>
      <c r="ET21" s="262">
        <v>1.3</v>
      </c>
      <c r="EU21" s="262">
        <v>0.9</v>
      </c>
      <c r="EV21" s="262">
        <v>0.2</v>
      </c>
      <c r="EW21" s="262">
        <v>0.525</v>
      </c>
      <c r="EX21" s="280">
        <v>0.9339703999999999</v>
      </c>
      <c r="EY21" s="262">
        <v>4.3</v>
      </c>
      <c r="FA21" s="262">
        <v>0.675</v>
      </c>
      <c r="FB21" s="262">
        <v>1.9</v>
      </c>
      <c r="FC21" s="262">
        <v>0.675</v>
      </c>
      <c r="FD21" s="262">
        <v>0.3</v>
      </c>
      <c r="FE21" s="258">
        <v>1</v>
      </c>
      <c r="FF21" s="258">
        <v>1.3</v>
      </c>
      <c r="FG21" s="258">
        <v>1</v>
      </c>
      <c r="FJ21" s="258">
        <v>0.8</v>
      </c>
      <c r="FK21" s="258">
        <v>0.75</v>
      </c>
      <c r="FL21" s="258">
        <v>1.1</v>
      </c>
      <c r="FM21" s="281">
        <v>1.47158448</v>
      </c>
      <c r="FN21" s="281">
        <v>1.34377839</v>
      </c>
      <c r="FO21" s="258">
        <f>SUM(ET21:FN21)</f>
        <v>20.474333270000006</v>
      </c>
      <c r="FP21" s="261">
        <f t="shared" si="25"/>
        <v>0.12560663671222952</v>
      </c>
    </row>
    <row r="22" spans="1:172" ht="12.75">
      <c r="A22" s="263">
        <v>36280</v>
      </c>
      <c r="B22" s="255">
        <v>18.9375</v>
      </c>
      <c r="C22" s="255">
        <v>16.8125</v>
      </c>
      <c r="D22" s="255">
        <f t="shared" si="26"/>
        <v>17.875</v>
      </c>
      <c r="E22" s="255">
        <v>1.08</v>
      </c>
      <c r="F22" s="256">
        <v>0.0466</v>
      </c>
      <c r="G22" s="261">
        <f t="shared" si="27"/>
        <v>0.11476771590482748</v>
      </c>
      <c r="H22" s="277">
        <f t="shared" si="0"/>
        <v>0.006450313877896107</v>
      </c>
      <c r="I22" s="255">
        <v>27.375</v>
      </c>
      <c r="J22" s="255">
        <v>23.875</v>
      </c>
      <c r="K22" s="258">
        <f t="shared" si="28"/>
        <v>25.625</v>
      </c>
      <c r="L22" s="259">
        <v>1.1</v>
      </c>
      <c r="M22" s="256">
        <v>0.0812</v>
      </c>
      <c r="N22" s="261">
        <f t="shared" si="29"/>
        <v>0.13088934492440663</v>
      </c>
      <c r="O22" s="208">
        <f t="shared" si="1"/>
        <v>0.00468134619063027</v>
      </c>
      <c r="P22" s="260">
        <v>16.25</v>
      </c>
      <c r="Q22" s="260">
        <v>14.375</v>
      </c>
      <c r="R22" s="258">
        <f t="shared" si="30"/>
        <v>15.3125</v>
      </c>
      <c r="S22" s="49">
        <v>0.96</v>
      </c>
      <c r="T22" s="261">
        <v>0.0338</v>
      </c>
      <c r="U22" s="261">
        <f t="shared" si="2"/>
        <v>0.10015268001724364</v>
      </c>
      <c r="V22" s="208">
        <f t="shared" si="3"/>
        <v>0.0008955071311398828</v>
      </c>
      <c r="W22" s="255">
        <v>17.4375</v>
      </c>
      <c r="X22" s="255">
        <v>14.5</v>
      </c>
      <c r="Y22" s="258">
        <f t="shared" si="31"/>
        <v>15.96875</v>
      </c>
      <c r="Z22" s="258">
        <v>0.64</v>
      </c>
      <c r="AA22" s="256">
        <v>0.0724</v>
      </c>
      <c r="AB22" s="261">
        <f t="shared" si="32"/>
        <v>0.11836283952431526</v>
      </c>
      <c r="AC22" s="208">
        <f t="shared" si="4"/>
        <v>0.0027214246475328998</v>
      </c>
      <c r="AD22" s="123">
        <v>26</v>
      </c>
      <c r="AE22" s="123">
        <v>22.44</v>
      </c>
      <c r="AF22" s="258">
        <f t="shared" si="5"/>
        <v>24.22</v>
      </c>
      <c r="AG22" s="258">
        <v>1.18</v>
      </c>
      <c r="AH22" s="256">
        <v>0.0721</v>
      </c>
      <c r="AI22" s="261">
        <f t="shared" si="33"/>
        <v>0.12814833327312503</v>
      </c>
      <c r="AJ22" s="208">
        <f t="shared" si="6"/>
        <v>0.005963733419508785</v>
      </c>
      <c r="AK22" s="255">
        <v>26.875</v>
      </c>
      <c r="AL22" s="255">
        <v>24.625</v>
      </c>
      <c r="AM22" s="258">
        <f t="shared" si="34"/>
        <v>25.75</v>
      </c>
      <c r="AN22" s="258">
        <v>1.78</v>
      </c>
      <c r="AO22" s="256">
        <v>0.0788</v>
      </c>
      <c r="AP22" s="261">
        <f t="shared" si="54"/>
        <v>0.15946632330865018</v>
      </c>
      <c r="AQ22" s="208">
        <f t="shared" si="52"/>
        <v>0.030961429390456718</v>
      </c>
      <c r="AR22" s="260">
        <v>21.3125</v>
      </c>
      <c r="AS22" s="260">
        <v>20</v>
      </c>
      <c r="AT22" s="258">
        <f t="shared" si="35"/>
        <v>20.65625</v>
      </c>
      <c r="AU22" s="258">
        <v>1.34</v>
      </c>
      <c r="AW22" s="261"/>
      <c r="AX22" s="208"/>
      <c r="AY22" s="255">
        <v>38</v>
      </c>
      <c r="AZ22" s="255">
        <v>35.4375</v>
      </c>
      <c r="BA22" s="258">
        <f t="shared" si="36"/>
        <v>36.71875</v>
      </c>
      <c r="BB22" s="255">
        <v>1.68</v>
      </c>
      <c r="BC22" s="256">
        <v>0.06</v>
      </c>
      <c r="BD22" s="261">
        <f t="shared" si="37"/>
        <v>0.11198035633458026</v>
      </c>
      <c r="BE22" s="208">
        <f t="shared" si="7"/>
        <v>0.003718978147487766</v>
      </c>
      <c r="BF22" s="255">
        <v>37.625</v>
      </c>
      <c r="BG22" s="255">
        <v>34.125</v>
      </c>
      <c r="BH22" s="258">
        <f t="shared" si="38"/>
        <v>35.875</v>
      </c>
      <c r="BI22" s="258">
        <v>1.56</v>
      </c>
      <c r="BJ22" s="256">
        <v>0.057</v>
      </c>
      <c r="BK22" s="261">
        <f t="shared" si="39"/>
        <v>0.10621885279059784</v>
      </c>
      <c r="BL22" s="208">
        <f t="shared" si="8"/>
        <v>0.00976882964885677</v>
      </c>
      <c r="BM22" s="255">
        <v>23.4375</v>
      </c>
      <c r="BN22" s="255">
        <v>19.5</v>
      </c>
      <c r="BO22" s="258">
        <f t="shared" si="40"/>
        <v>21.46875</v>
      </c>
      <c r="BP22" s="258">
        <v>1.22</v>
      </c>
      <c r="BQ22" s="256">
        <v>0.0442</v>
      </c>
      <c r="BR22" s="261">
        <f t="shared" si="53"/>
        <v>0.10807674343770479</v>
      </c>
      <c r="BS22" s="208">
        <f t="shared" si="9"/>
        <v>0.0033132325944922134</v>
      </c>
      <c r="BT22" s="260">
        <v>22.75</v>
      </c>
      <c r="BU22" s="260">
        <v>20.8125</v>
      </c>
      <c r="BV22" s="258">
        <f t="shared" si="41"/>
        <v>21.78125</v>
      </c>
      <c r="BW22" s="49">
        <v>0.98</v>
      </c>
      <c r="BX22" s="256">
        <v>0.097</v>
      </c>
      <c r="BY22" s="261">
        <f t="shared" si="10"/>
        <v>0.14719616169307193</v>
      </c>
      <c r="BZ22" s="208">
        <f t="shared" si="11"/>
        <v>0.0022562445221470727</v>
      </c>
      <c r="CA22" s="255">
        <v>14.53125</v>
      </c>
      <c r="CB22" s="255">
        <v>12.25</v>
      </c>
      <c r="CC22" s="258">
        <f t="shared" si="42"/>
        <v>13.390625</v>
      </c>
      <c r="CD22" s="258">
        <v>0.62</v>
      </c>
      <c r="CE22" s="256">
        <v>0.065</v>
      </c>
      <c r="CF22" s="261">
        <f t="shared" si="43"/>
        <v>0.11786231405390635</v>
      </c>
      <c r="CG22" s="208">
        <f t="shared" si="12"/>
        <v>0.0052692819957363725</v>
      </c>
      <c r="CH22" s="255">
        <v>38.4375</v>
      </c>
      <c r="CI22" s="255">
        <v>32.125</v>
      </c>
      <c r="CJ22" s="258">
        <f t="shared" si="44"/>
        <v>35.28125</v>
      </c>
      <c r="CK22" s="258">
        <v>1.96</v>
      </c>
      <c r="CL22" s="256">
        <v>0.0464</v>
      </c>
      <c r="CM22" s="261">
        <f t="shared" si="45"/>
        <v>0.1089457965521512</v>
      </c>
      <c r="CN22" s="208">
        <f t="shared" si="13"/>
        <v>0.0072363948446015096</v>
      </c>
      <c r="CO22" s="255">
        <v>35.875</v>
      </c>
      <c r="CP22" s="255">
        <v>31.125</v>
      </c>
      <c r="CQ22" s="258">
        <f t="shared" si="14"/>
        <v>33.5</v>
      </c>
      <c r="CR22" s="258">
        <v>1.38</v>
      </c>
      <c r="CS22" s="256">
        <v>0.061</v>
      </c>
      <c r="CT22" s="261">
        <f t="shared" si="46"/>
        <v>0.1077607626901238</v>
      </c>
      <c r="CU22" s="208">
        <f t="shared" si="15"/>
        <v>0.006056500624698212</v>
      </c>
      <c r="CV22" s="262">
        <v>16.875</v>
      </c>
      <c r="CW22" s="262">
        <v>14</v>
      </c>
      <c r="CX22" s="262">
        <f t="shared" si="16"/>
        <v>15.4375</v>
      </c>
      <c r="CY22" s="262">
        <v>0.8</v>
      </c>
      <c r="CZ22" s="261">
        <v>0.1217</v>
      </c>
      <c r="DA22" s="261">
        <f aca="true" t="shared" si="57" ref="DA22:DA27">+((((((CY22/4)*(1+CZ22)^0.25))/(CX22*1))+(1+CZ22)^(0.25))^4)-1</f>
        <v>0.1809679954200527</v>
      </c>
      <c r="DB22" s="208">
        <f aca="true" t="shared" si="58" ref="DB22:DB55">DA22*($FH22/$FO22)</f>
        <v>0.002311586817516227</v>
      </c>
      <c r="DC22" s="260">
        <v>24.8125</v>
      </c>
      <c r="DD22" s="260">
        <v>21.625</v>
      </c>
      <c r="DE22" s="258">
        <f t="shared" si="17"/>
        <v>23.21875</v>
      </c>
      <c r="DF22" s="258">
        <v>1.44</v>
      </c>
      <c r="DH22" s="261"/>
      <c r="DI22" s="208"/>
      <c r="DJ22" s="255">
        <v>29.5</v>
      </c>
      <c r="DK22" s="255">
        <v>26.875</v>
      </c>
      <c r="DL22" s="258">
        <f t="shared" si="18"/>
        <v>28.1875</v>
      </c>
      <c r="DM22" s="258">
        <v>0.82</v>
      </c>
      <c r="DN22" s="256">
        <v>0.049</v>
      </c>
      <c r="DO22" s="261">
        <f t="shared" si="47"/>
        <v>0.08149324491092735</v>
      </c>
      <c r="DP22" s="208">
        <f t="shared" si="19"/>
        <v>0.0034351363826020226</v>
      </c>
      <c r="DQ22" s="255">
        <v>17.9375</v>
      </c>
      <c r="DR22" s="255">
        <v>16.5625</v>
      </c>
      <c r="DS22" s="258">
        <f t="shared" si="20"/>
        <v>17.25</v>
      </c>
      <c r="DT22" s="258">
        <v>1.46</v>
      </c>
      <c r="DU22" s="256">
        <v>0.06</v>
      </c>
      <c r="DV22" s="261">
        <f aca="true" t="shared" si="59" ref="DV22:DV40">+((((((DT22/4)*(1+DU22)^0.25))/(DS22*0.95))+(1+DU22)^(0.25))^4)-1</f>
        <v>0.15764007552111647</v>
      </c>
      <c r="DW22" s="208">
        <f t="shared" si="56"/>
        <v>0.004429939024357969</v>
      </c>
      <c r="DX22" s="255">
        <v>24.4375</v>
      </c>
      <c r="DY22" s="255">
        <v>21</v>
      </c>
      <c r="DZ22" s="258">
        <f t="shared" si="21"/>
        <v>22.71875</v>
      </c>
      <c r="EA22" s="258">
        <v>1.22</v>
      </c>
      <c r="EB22" s="256">
        <v>0.0475</v>
      </c>
      <c r="EC22" s="261">
        <f t="shared" si="48"/>
        <v>0.1079784644199393</v>
      </c>
      <c r="ED22" s="208">
        <f t="shared" si="22"/>
        <v>0.00606873616043228</v>
      </c>
      <c r="EE22" s="123">
        <v>42.74</v>
      </c>
      <c r="EF22" s="123">
        <v>36.42</v>
      </c>
      <c r="EG22" s="258">
        <f>AVERAGE(EE22:EF22)</f>
        <v>39.58</v>
      </c>
      <c r="EH22" s="278">
        <f t="shared" si="49"/>
        <v>1.8</v>
      </c>
      <c r="EI22" s="256">
        <v>0.075</v>
      </c>
      <c r="EJ22" s="261">
        <f t="shared" si="50"/>
        <v>0.12739260704457278</v>
      </c>
      <c r="EK22" s="208">
        <f t="shared" si="23"/>
        <v>0.010676568434076808</v>
      </c>
      <c r="EL22" s="279">
        <v>18.09</v>
      </c>
      <c r="EM22" s="279">
        <v>15.21</v>
      </c>
      <c r="EN22" s="279">
        <f>AVERAGE(EL22:EM22)</f>
        <v>16.65</v>
      </c>
      <c r="EO22" s="278">
        <f t="shared" si="55"/>
        <v>0.6600000264</v>
      </c>
      <c r="EP22" s="256">
        <v>0.0855</v>
      </c>
      <c r="EQ22" s="261">
        <f t="shared" si="51"/>
        <v>0.13150716510605176</v>
      </c>
      <c r="ER22" s="208">
        <f t="shared" si="24"/>
        <v>0.009714110758736478</v>
      </c>
      <c r="ES22" s="261"/>
      <c r="ET22" s="262">
        <v>1.1</v>
      </c>
      <c r="EU22" s="262">
        <v>0.7</v>
      </c>
      <c r="EV22" s="262">
        <v>0.175</v>
      </c>
      <c r="EW22" s="262">
        <v>0.45</v>
      </c>
      <c r="EX22" s="280">
        <v>0.91082897</v>
      </c>
      <c r="EY22" s="262">
        <v>3.8</v>
      </c>
      <c r="FA22" s="262">
        <v>0.65</v>
      </c>
      <c r="FB22" s="262">
        <v>1.8</v>
      </c>
      <c r="FC22" s="262">
        <v>0.6</v>
      </c>
      <c r="FD22" s="262">
        <v>0.3</v>
      </c>
      <c r="FE22" s="258">
        <v>0.875</v>
      </c>
      <c r="FF22" s="258">
        <v>1.3</v>
      </c>
      <c r="FG22" s="258">
        <v>1.1</v>
      </c>
      <c r="FH22" s="258">
        <v>0.25</v>
      </c>
      <c r="FJ22" s="258">
        <v>0.825</v>
      </c>
      <c r="FK22" s="258">
        <v>0.55</v>
      </c>
      <c r="FL22" s="258">
        <v>1.1</v>
      </c>
      <c r="FM22" s="281">
        <v>1.6402839599999999</v>
      </c>
      <c r="FN22" s="281">
        <v>1.4457233999999999</v>
      </c>
      <c r="FO22" s="258">
        <f>SUM(ET22:FN22)</f>
        <v>19.571836330000004</v>
      </c>
      <c r="FP22" s="261">
        <f t="shared" si="25"/>
        <v>0.12592929461290636</v>
      </c>
    </row>
    <row r="23" spans="1:172" ht="12.75">
      <c r="A23" s="263">
        <v>36311</v>
      </c>
      <c r="B23" s="255">
        <v>19.0625</v>
      </c>
      <c r="C23" s="255">
        <v>17.875</v>
      </c>
      <c r="D23" s="255">
        <f t="shared" si="26"/>
        <v>18.46875</v>
      </c>
      <c r="E23" s="255">
        <v>1.08</v>
      </c>
      <c r="F23" s="256">
        <v>0.0466</v>
      </c>
      <c r="G23" s="261">
        <f t="shared" si="27"/>
        <v>0.11252576605316267</v>
      </c>
      <c r="H23" s="277">
        <f t="shared" si="0"/>
        <v>0.006207738166311156</v>
      </c>
      <c r="I23" s="255">
        <v>25.9375</v>
      </c>
      <c r="J23" s="255">
        <v>23.75</v>
      </c>
      <c r="K23" s="258">
        <f t="shared" si="28"/>
        <v>24.84375</v>
      </c>
      <c r="L23" s="259">
        <v>1.1</v>
      </c>
      <c r="M23" s="256">
        <v>0.0812</v>
      </c>
      <c r="N23" s="261">
        <f t="shared" si="29"/>
        <v>0.1324791669289167</v>
      </c>
      <c r="O23" s="208">
        <f t="shared" si="1"/>
        <v>0.004650871664507502</v>
      </c>
      <c r="P23" s="260">
        <v>16.9375</v>
      </c>
      <c r="Q23" s="260">
        <v>15.625</v>
      </c>
      <c r="R23" s="258">
        <f t="shared" si="30"/>
        <v>16.28125</v>
      </c>
      <c r="S23" s="49">
        <v>0.96</v>
      </c>
      <c r="T23" s="261">
        <v>0.0345</v>
      </c>
      <c r="U23" s="261">
        <f t="shared" si="2"/>
        <v>0.09685981834190693</v>
      </c>
      <c r="V23" s="208">
        <f t="shared" si="3"/>
        <v>0.000850100802636823</v>
      </c>
      <c r="W23" s="255">
        <v>19.8125</v>
      </c>
      <c r="X23" s="255">
        <v>17</v>
      </c>
      <c r="Y23" s="258">
        <f t="shared" si="31"/>
        <v>18.40625</v>
      </c>
      <c r="Z23" s="258">
        <v>0.64</v>
      </c>
      <c r="AA23" s="256">
        <v>0.0724</v>
      </c>
      <c r="AB23" s="261">
        <f t="shared" si="32"/>
        <v>0.11219276339297268</v>
      </c>
      <c r="AC23" s="208">
        <f t="shared" si="4"/>
        <v>0.0025320139044764014</v>
      </c>
      <c r="AD23" s="123">
        <v>31.15</v>
      </c>
      <c r="AE23" s="123">
        <v>25.51</v>
      </c>
      <c r="AF23" s="258">
        <f t="shared" si="5"/>
        <v>28.33</v>
      </c>
      <c r="AG23" s="258">
        <v>1.18</v>
      </c>
      <c r="AH23" s="256">
        <v>0.0679</v>
      </c>
      <c r="AI23" s="261">
        <f t="shared" si="33"/>
        <v>0.11549664058913134</v>
      </c>
      <c r="AJ23" s="208">
        <f t="shared" si="6"/>
        <v>0.006082908582476679</v>
      </c>
      <c r="AK23" s="255">
        <v>27.625</v>
      </c>
      <c r="AL23" s="255">
        <v>26.5</v>
      </c>
      <c r="AM23" s="258">
        <f t="shared" si="34"/>
        <v>27.0625</v>
      </c>
      <c r="AN23" s="258">
        <v>1.78</v>
      </c>
      <c r="AO23" s="256">
        <v>0.0788</v>
      </c>
      <c r="AP23" s="261">
        <f t="shared" si="54"/>
        <v>0.1554529006773806</v>
      </c>
      <c r="AQ23" s="208">
        <f t="shared" si="52"/>
        <v>0.029625872820038642</v>
      </c>
      <c r="AR23" s="260">
        <v>22.375</v>
      </c>
      <c r="AS23" s="260">
        <v>20.125</v>
      </c>
      <c r="AT23" s="258">
        <f t="shared" si="35"/>
        <v>21.25</v>
      </c>
      <c r="AU23" s="258">
        <v>1.34</v>
      </c>
      <c r="AW23" s="261"/>
      <c r="AX23" s="208"/>
      <c r="AY23" s="255">
        <v>38.1875</v>
      </c>
      <c r="AZ23" s="255">
        <v>35</v>
      </c>
      <c r="BA23" s="258">
        <f t="shared" si="36"/>
        <v>36.59375</v>
      </c>
      <c r="BB23" s="255">
        <v>1.68</v>
      </c>
      <c r="BC23" s="256">
        <v>0.06</v>
      </c>
      <c r="BD23" s="261">
        <f t="shared" si="37"/>
        <v>0.11216112646071008</v>
      </c>
      <c r="BE23" s="208">
        <f t="shared" si="7"/>
        <v>0.003656322090432269</v>
      </c>
      <c r="BF23" s="255">
        <v>38.625</v>
      </c>
      <c r="BG23" s="255">
        <v>36.375</v>
      </c>
      <c r="BH23" s="258">
        <f t="shared" si="38"/>
        <v>37.5</v>
      </c>
      <c r="BI23" s="258">
        <v>1.56</v>
      </c>
      <c r="BJ23" s="256">
        <v>0.057</v>
      </c>
      <c r="BK23" s="261">
        <f t="shared" si="39"/>
        <v>0.10405109214195307</v>
      </c>
      <c r="BL23" s="208">
        <f t="shared" si="8"/>
        <v>0.009393076847802552</v>
      </c>
      <c r="BM23" s="255">
        <v>27</v>
      </c>
      <c r="BN23" s="255">
        <v>21.3125</v>
      </c>
      <c r="BO23" s="258">
        <f t="shared" si="40"/>
        <v>24.15625</v>
      </c>
      <c r="BP23" s="258">
        <v>1.22</v>
      </c>
      <c r="BQ23" s="256">
        <v>0.0442</v>
      </c>
      <c r="BR23" s="261">
        <f t="shared" si="53"/>
        <v>0.10082898495757275</v>
      </c>
      <c r="BS23" s="208">
        <f t="shared" si="9"/>
        <v>0.0030340684391866593</v>
      </c>
      <c r="BT23" s="260">
        <v>25</v>
      </c>
      <c r="BU23" s="260">
        <v>21.6875</v>
      </c>
      <c r="BV23" s="258">
        <f t="shared" si="41"/>
        <v>23.34375</v>
      </c>
      <c r="BW23" s="49">
        <v>0.98</v>
      </c>
      <c r="BX23" s="256">
        <v>0.097</v>
      </c>
      <c r="BY23" s="261">
        <f t="shared" si="10"/>
        <v>0.14378354461814347</v>
      </c>
      <c r="BZ23" s="208">
        <f t="shared" si="11"/>
        <v>0.0021633120425831056</v>
      </c>
      <c r="CA23" s="255">
        <v>15.25</v>
      </c>
      <c r="CB23" s="255">
        <v>13.71875</v>
      </c>
      <c r="CC23" s="258">
        <f t="shared" si="42"/>
        <v>14.484375</v>
      </c>
      <c r="CD23" s="258">
        <v>0.62</v>
      </c>
      <c r="CE23" s="256">
        <v>0.065</v>
      </c>
      <c r="CF23" s="261">
        <f t="shared" si="43"/>
        <v>0.11380328675226248</v>
      </c>
      <c r="CG23" s="208">
        <f t="shared" si="12"/>
        <v>0.004994035042958053</v>
      </c>
      <c r="CH23" s="255">
        <v>39.875</v>
      </c>
      <c r="CI23" s="255">
        <v>37</v>
      </c>
      <c r="CJ23" s="258">
        <f t="shared" si="44"/>
        <v>38.4375</v>
      </c>
      <c r="CK23" s="258">
        <v>1.96</v>
      </c>
      <c r="CL23" s="256">
        <v>0.0464</v>
      </c>
      <c r="CM23" s="261">
        <f t="shared" si="45"/>
        <v>0.10370688454072963</v>
      </c>
      <c r="CN23" s="208">
        <f t="shared" si="13"/>
        <v>0.006761447300709963</v>
      </c>
      <c r="CO23" s="255">
        <v>33.9375</v>
      </c>
      <c r="CP23" s="255">
        <v>31.0625</v>
      </c>
      <c r="CQ23" s="258">
        <f t="shared" si="14"/>
        <v>32.5</v>
      </c>
      <c r="CR23" s="258">
        <v>1.38</v>
      </c>
      <c r="CS23" s="256">
        <v>0.061</v>
      </c>
      <c r="CT23" s="261">
        <f t="shared" si="46"/>
        <v>0.10922363223352516</v>
      </c>
      <c r="CU23" s="208">
        <f t="shared" si="15"/>
        <v>0.006025568492098532</v>
      </c>
      <c r="CV23" s="262">
        <v>15</v>
      </c>
      <c r="CW23" s="262">
        <v>13.25</v>
      </c>
      <c r="CX23" s="262">
        <f t="shared" si="16"/>
        <v>14.125</v>
      </c>
      <c r="CY23" s="262">
        <v>0.8</v>
      </c>
      <c r="CZ23" s="261">
        <v>0.1217</v>
      </c>
      <c r="DA23" s="261">
        <f t="shared" si="57"/>
        <v>0.1865920012748168</v>
      </c>
      <c r="DB23" s="208">
        <f t="shared" si="58"/>
        <v>0.0023394930465299663</v>
      </c>
      <c r="DC23" s="260">
        <v>30</v>
      </c>
      <c r="DD23" s="260">
        <v>23.0625</v>
      </c>
      <c r="DE23" s="258">
        <f t="shared" si="17"/>
        <v>26.53125</v>
      </c>
      <c r="DF23" s="258">
        <v>1.44</v>
      </c>
      <c r="DH23" s="261"/>
      <c r="DI23" s="208"/>
      <c r="DJ23" s="255">
        <v>29.5</v>
      </c>
      <c r="DK23" s="255">
        <v>28.125</v>
      </c>
      <c r="DL23" s="258">
        <f t="shared" si="18"/>
        <v>28.8125</v>
      </c>
      <c r="DM23" s="258">
        <v>0.82</v>
      </c>
      <c r="DN23" s="256">
        <v>0.049</v>
      </c>
      <c r="DO23" s="261">
        <f t="shared" si="47"/>
        <v>0.08078049506358909</v>
      </c>
      <c r="DP23" s="208">
        <f t="shared" si="19"/>
        <v>0.003342328916446805</v>
      </c>
      <c r="DQ23" s="255">
        <v>21</v>
      </c>
      <c r="DR23" s="255">
        <v>17.0625</v>
      </c>
      <c r="DS23" s="258">
        <f t="shared" si="20"/>
        <v>19.03125</v>
      </c>
      <c r="DT23" s="258">
        <v>1.46</v>
      </c>
      <c r="DU23" s="256">
        <v>0.06</v>
      </c>
      <c r="DV23" s="261">
        <f t="shared" si="59"/>
        <v>0.14822604360639424</v>
      </c>
      <c r="DW23" s="208">
        <f t="shared" si="56"/>
        <v>0.0040886123259182795</v>
      </c>
      <c r="DX23" s="255">
        <v>25.375</v>
      </c>
      <c r="DY23" s="255">
        <v>23.25</v>
      </c>
      <c r="DZ23" s="258">
        <f t="shared" si="21"/>
        <v>24.3125</v>
      </c>
      <c r="EA23" s="258">
        <v>1.22</v>
      </c>
      <c r="EB23" s="256">
        <v>0.0475</v>
      </c>
      <c r="EC23" s="261">
        <f t="shared" si="48"/>
        <v>0.10393564577396841</v>
      </c>
      <c r="ED23" s="208">
        <f t="shared" si="22"/>
        <v>0.00573384476944093</v>
      </c>
      <c r="EE23" s="123">
        <v>46.93</v>
      </c>
      <c r="EF23" s="123">
        <v>42.43</v>
      </c>
      <c r="EG23" s="258">
        <f>AVERAGE(EE23:EF23)</f>
        <v>44.68</v>
      </c>
      <c r="EH23" s="278">
        <f t="shared" si="49"/>
        <v>1.8</v>
      </c>
      <c r="EI23" s="256">
        <v>0.0736</v>
      </c>
      <c r="EJ23" s="261">
        <f t="shared" si="50"/>
        <v>0.11985710680292216</v>
      </c>
      <c r="EK23" s="208">
        <f t="shared" si="23"/>
        <v>0.010733770235502123</v>
      </c>
      <c r="EL23" s="279">
        <v>18.82</v>
      </c>
      <c r="EM23" s="279">
        <v>17.31</v>
      </c>
      <c r="EN23" s="279">
        <f>AVERAGE(EL23:EM23)</f>
        <v>18.064999999999998</v>
      </c>
      <c r="EO23" s="278">
        <f t="shared" si="55"/>
        <v>0.6600000264</v>
      </c>
      <c r="EP23" s="256">
        <v>0.0855</v>
      </c>
      <c r="EQ23" s="261">
        <f t="shared" si="51"/>
        <v>0.12785165320920666</v>
      </c>
      <c r="ER23" s="208">
        <f t="shared" si="24"/>
        <v>0.009801059373730402</v>
      </c>
      <c r="ES23" s="261"/>
      <c r="ET23" s="262">
        <v>1.1</v>
      </c>
      <c r="EU23" s="262">
        <v>0.7</v>
      </c>
      <c r="EV23" s="262">
        <v>0.175</v>
      </c>
      <c r="EW23" s="262">
        <v>0.45</v>
      </c>
      <c r="EX23" s="280">
        <v>1.05015453</v>
      </c>
      <c r="EY23" s="262">
        <v>3.8</v>
      </c>
      <c r="FA23" s="262">
        <v>0.65</v>
      </c>
      <c r="FB23" s="262">
        <v>1.8</v>
      </c>
      <c r="FC23" s="262">
        <v>0.6</v>
      </c>
      <c r="FD23" s="262">
        <v>0.3</v>
      </c>
      <c r="FE23" s="258">
        <v>0.875</v>
      </c>
      <c r="FF23" s="258">
        <v>1.3</v>
      </c>
      <c r="FG23" s="258">
        <v>1.1</v>
      </c>
      <c r="FH23" s="258">
        <v>0.25</v>
      </c>
      <c r="FJ23" s="258">
        <v>0.825</v>
      </c>
      <c r="FK23" s="258">
        <v>0.55</v>
      </c>
      <c r="FL23" s="258">
        <v>1.1</v>
      </c>
      <c r="FM23" s="281">
        <v>1.7856641400000002</v>
      </c>
      <c r="FN23" s="281">
        <v>1.528544</v>
      </c>
      <c r="FO23" s="258">
        <f>SUM(ET23:FN23)</f>
        <v>19.939362670000005</v>
      </c>
      <c r="FP23" s="261">
        <f t="shared" si="25"/>
        <v>0.12201644486378685</v>
      </c>
    </row>
    <row r="24" spans="1:172" ht="12.75">
      <c r="A24" s="263">
        <v>36341</v>
      </c>
      <c r="B24" s="255">
        <v>19.4375</v>
      </c>
      <c r="C24" s="255">
        <v>18.4375</v>
      </c>
      <c r="D24" s="255">
        <f t="shared" si="26"/>
        <v>18.9375</v>
      </c>
      <c r="E24" s="255">
        <v>1.08</v>
      </c>
      <c r="F24" s="256">
        <v>0.0466</v>
      </c>
      <c r="G24" s="261">
        <f t="shared" si="27"/>
        <v>0.11085731051964731</v>
      </c>
      <c r="H24" s="277">
        <f t="shared" si="0"/>
        <v>0.006035308053648468</v>
      </c>
      <c r="I24" s="255">
        <v>26.3125</v>
      </c>
      <c r="J24" s="255">
        <v>24.375</v>
      </c>
      <c r="K24" s="258">
        <f t="shared" si="28"/>
        <v>25.34375</v>
      </c>
      <c r="L24" s="259">
        <v>1.1</v>
      </c>
      <c r="M24" s="256">
        <v>0.0812</v>
      </c>
      <c r="N24" s="261">
        <f t="shared" si="29"/>
        <v>0.13145019813148462</v>
      </c>
      <c r="O24" s="208">
        <f t="shared" si="1"/>
        <v>0.004554090995667984</v>
      </c>
      <c r="P24" s="260">
        <v>19.75</v>
      </c>
      <c r="Q24" s="260">
        <v>16.375</v>
      </c>
      <c r="R24" s="258">
        <f t="shared" si="30"/>
        <v>18.0625</v>
      </c>
      <c r="S24" s="49">
        <v>0.96</v>
      </c>
      <c r="T24" s="261">
        <v>0.0345</v>
      </c>
      <c r="U24" s="261">
        <f t="shared" si="2"/>
        <v>0.09058800494664632</v>
      </c>
      <c r="V24" s="208">
        <f t="shared" si="3"/>
        <v>0.0007846051651257208</v>
      </c>
      <c r="W24" s="255">
        <v>19.9375</v>
      </c>
      <c r="X24" s="255">
        <v>18.125</v>
      </c>
      <c r="Y24" s="258">
        <f t="shared" si="31"/>
        <v>19.03125</v>
      </c>
      <c r="Z24" s="258">
        <v>0.64</v>
      </c>
      <c r="AA24" s="256">
        <v>0.0724</v>
      </c>
      <c r="AB24" s="261">
        <f t="shared" si="32"/>
        <v>0.11086862304992828</v>
      </c>
      <c r="AC24" s="208">
        <f t="shared" si="4"/>
        <v>0.002469241608499156</v>
      </c>
      <c r="AD24" s="123">
        <v>36.82</v>
      </c>
      <c r="AE24" s="123">
        <v>30.54</v>
      </c>
      <c r="AF24" s="258">
        <f t="shared" si="5"/>
        <v>33.68</v>
      </c>
      <c r="AG24" s="258">
        <v>1.18</v>
      </c>
      <c r="AH24" s="256">
        <v>0.0679</v>
      </c>
      <c r="AI24" s="261">
        <f t="shared" si="33"/>
        <v>0.10783176236214764</v>
      </c>
      <c r="AJ24" s="208">
        <f t="shared" si="6"/>
        <v>0.006702185248447011</v>
      </c>
      <c r="AK24" s="255">
        <v>27.6875</v>
      </c>
      <c r="AL24" s="255">
        <v>25.875</v>
      </c>
      <c r="AM24" s="258">
        <f t="shared" si="34"/>
        <v>26.78125</v>
      </c>
      <c r="AN24" s="258">
        <v>1.78</v>
      </c>
      <c r="AO24" s="256">
        <v>0.0788</v>
      </c>
      <c r="AP24" s="261">
        <f t="shared" si="54"/>
        <v>0.15627895001810121</v>
      </c>
      <c r="AQ24" s="208">
        <f t="shared" si="52"/>
        <v>0.02939182142183232</v>
      </c>
      <c r="AR24" s="260">
        <v>23.625</v>
      </c>
      <c r="AS24" s="260">
        <v>21.5</v>
      </c>
      <c r="AT24" s="258">
        <f t="shared" si="35"/>
        <v>22.5625</v>
      </c>
      <c r="AU24" s="258">
        <v>1.34</v>
      </c>
      <c r="AW24" s="261"/>
      <c r="AX24" s="208"/>
      <c r="AY24" s="255">
        <v>39.5</v>
      </c>
      <c r="AZ24" s="255">
        <v>37</v>
      </c>
      <c r="BA24" s="258">
        <f t="shared" si="36"/>
        <v>38.25</v>
      </c>
      <c r="BB24" s="255">
        <v>1.68</v>
      </c>
      <c r="BC24" s="256">
        <v>0.06</v>
      </c>
      <c r="BD24" s="261">
        <f t="shared" si="37"/>
        <v>0.10986345080333204</v>
      </c>
      <c r="BE24" s="208">
        <f t="shared" si="7"/>
        <v>0.0035343455811672835</v>
      </c>
      <c r="BF24" s="255">
        <v>39.5</v>
      </c>
      <c r="BG24" s="255">
        <v>36.8125</v>
      </c>
      <c r="BH24" s="258">
        <f t="shared" si="38"/>
        <v>38.15625</v>
      </c>
      <c r="BI24" s="258">
        <v>1.56</v>
      </c>
      <c r="BJ24" s="256">
        <v>0.057</v>
      </c>
      <c r="BK24" s="261">
        <f t="shared" si="39"/>
        <v>0.10322882553779134</v>
      </c>
      <c r="BL24" s="208">
        <f t="shared" si="8"/>
        <v>0.009196358868807274</v>
      </c>
      <c r="BM24" s="255">
        <v>26.375</v>
      </c>
      <c r="BN24" s="255">
        <v>22.625</v>
      </c>
      <c r="BO24" s="258">
        <f t="shared" si="40"/>
        <v>24.5</v>
      </c>
      <c r="BP24" s="258">
        <v>1.22</v>
      </c>
      <c r="BQ24" s="256">
        <v>0.0442</v>
      </c>
      <c r="BR24" s="261">
        <f t="shared" si="53"/>
        <v>0.10001886513357094</v>
      </c>
      <c r="BS24" s="208">
        <f t="shared" si="9"/>
        <v>0.002970130912650356</v>
      </c>
      <c r="BT24" s="260">
        <v>25.625</v>
      </c>
      <c r="BU24" s="260">
        <v>23.25</v>
      </c>
      <c r="BV24" s="258">
        <f t="shared" si="41"/>
        <v>24.4375</v>
      </c>
      <c r="BW24" s="49">
        <v>0.98</v>
      </c>
      <c r="BX24" s="256">
        <v>0.097</v>
      </c>
      <c r="BY24" s="261">
        <f t="shared" si="10"/>
        <v>0.14165822895752056</v>
      </c>
      <c r="BZ24" s="208">
        <f t="shared" si="11"/>
        <v>0.0021033206300438852</v>
      </c>
      <c r="CA24" s="255">
        <v>16.0625</v>
      </c>
      <c r="CB24" s="255">
        <v>14.5</v>
      </c>
      <c r="CC24" s="258">
        <f t="shared" si="42"/>
        <v>15.28125</v>
      </c>
      <c r="CD24" s="258">
        <v>0.62</v>
      </c>
      <c r="CE24" s="256">
        <v>0.065</v>
      </c>
      <c r="CF24" s="261">
        <f t="shared" si="43"/>
        <v>0.1112176649514558</v>
      </c>
      <c r="CG24" s="208">
        <f t="shared" si="12"/>
        <v>0.004816418819772485</v>
      </c>
      <c r="CH24" s="255">
        <v>39.9375</v>
      </c>
      <c r="CI24" s="255">
        <v>37.625</v>
      </c>
      <c r="CJ24" s="258">
        <f t="shared" si="44"/>
        <v>38.78125</v>
      </c>
      <c r="CK24" s="258">
        <v>1.96</v>
      </c>
      <c r="CL24" s="256">
        <v>0.0464</v>
      </c>
      <c r="CM24" s="261">
        <f t="shared" si="45"/>
        <v>0.10318881683144632</v>
      </c>
      <c r="CN24" s="208">
        <f t="shared" si="13"/>
        <v>0.006639240550471429</v>
      </c>
      <c r="CO24" s="255">
        <v>33.875</v>
      </c>
      <c r="CP24" s="255">
        <v>30.75</v>
      </c>
      <c r="CQ24" s="258">
        <f t="shared" si="14"/>
        <v>32.3125</v>
      </c>
      <c r="CR24" s="258">
        <v>1.38</v>
      </c>
      <c r="CS24" s="256">
        <v>0.061</v>
      </c>
      <c r="CT24" s="261">
        <f t="shared" si="46"/>
        <v>0.10950816860277279</v>
      </c>
      <c r="CU24" s="208">
        <f t="shared" si="15"/>
        <v>0.0059618578947166</v>
      </c>
      <c r="CV24" s="262">
        <v>15.5625</v>
      </c>
      <c r="CW24" s="262">
        <v>13.25</v>
      </c>
      <c r="CX24" s="262">
        <f t="shared" si="16"/>
        <v>14.40625</v>
      </c>
      <c r="CY24" s="262">
        <v>0.8</v>
      </c>
      <c r="CZ24" s="261">
        <v>0.1217</v>
      </c>
      <c r="DA24" s="261">
        <f t="shared" si="57"/>
        <v>0.18529881588370944</v>
      </c>
      <c r="DB24" s="208">
        <f t="shared" si="58"/>
        <v>0.002292741392664305</v>
      </c>
      <c r="DC24" s="260">
        <v>28.6875</v>
      </c>
      <c r="DD24" s="260">
        <v>26.8125</v>
      </c>
      <c r="DE24" s="258">
        <f t="shared" si="17"/>
        <v>27.75</v>
      </c>
      <c r="DF24" s="258">
        <v>1.44</v>
      </c>
      <c r="DH24" s="261"/>
      <c r="DI24" s="208"/>
      <c r="DJ24" s="255">
        <v>28.6875</v>
      </c>
      <c r="DK24" s="255">
        <v>28</v>
      </c>
      <c r="DL24" s="258">
        <f t="shared" si="18"/>
        <v>28.34375</v>
      </c>
      <c r="DM24" s="258">
        <v>0.82</v>
      </c>
      <c r="DN24" s="256">
        <v>0.049</v>
      </c>
      <c r="DO24" s="261">
        <f t="shared" si="47"/>
        <v>0.0813120771770699</v>
      </c>
      <c r="DP24" s="208">
        <f t="shared" si="19"/>
        <v>0.0033201019757646993</v>
      </c>
      <c r="DQ24" s="255">
        <v>20.4375</v>
      </c>
      <c r="DR24" s="255">
        <v>19.3125</v>
      </c>
      <c r="DS24" s="258">
        <f t="shared" si="20"/>
        <v>19.875</v>
      </c>
      <c r="DT24" s="258">
        <v>1.46</v>
      </c>
      <c r="DU24" s="256">
        <v>0.06</v>
      </c>
      <c r="DV24" s="261">
        <f t="shared" si="59"/>
        <v>0.1443724289515096</v>
      </c>
      <c r="DW24" s="208">
        <f t="shared" si="56"/>
        <v>0.003929971235507334</v>
      </c>
      <c r="DX24" s="255">
        <v>27.0625</v>
      </c>
      <c r="DY24" s="255">
        <v>24.0625</v>
      </c>
      <c r="DZ24" s="258">
        <f t="shared" si="21"/>
        <v>25.5625</v>
      </c>
      <c r="EA24" s="258">
        <v>1.22</v>
      </c>
      <c r="EB24" s="256">
        <v>0.0475</v>
      </c>
      <c r="EC24" s="261">
        <f t="shared" si="48"/>
        <v>0.10112410476410805</v>
      </c>
      <c r="ED24" s="208">
        <f t="shared" si="22"/>
        <v>0.005505411605603098</v>
      </c>
      <c r="EE24" s="123">
        <v>48.57</v>
      </c>
      <c r="EF24" s="123">
        <v>45.29</v>
      </c>
      <c r="EG24" s="258">
        <f>AVERAGE(EE24:EF24)</f>
        <v>46.93</v>
      </c>
      <c r="EH24" s="278">
        <f>4*0.465</f>
        <v>1.86</v>
      </c>
      <c r="EI24" s="256">
        <v>0.0736</v>
      </c>
      <c r="EJ24" s="261">
        <f t="shared" si="50"/>
        <v>0.11909563928848321</v>
      </c>
      <c r="EK24" s="208">
        <f t="shared" si="23"/>
        <v>0.010849314828779186</v>
      </c>
      <c r="EL24" s="279">
        <v>19.35</v>
      </c>
      <c r="EM24" s="279">
        <v>17.89</v>
      </c>
      <c r="EN24" s="279">
        <f>AVERAGE(EL24:EM24)</f>
        <v>18.62</v>
      </c>
      <c r="EO24" s="278">
        <f t="shared" si="55"/>
        <v>0.6600000264</v>
      </c>
      <c r="EP24" s="256">
        <v>0.0855</v>
      </c>
      <c r="EQ24" s="261">
        <f t="shared" si="51"/>
        <v>0.1265716613187966</v>
      </c>
      <c r="ER24" s="208">
        <f t="shared" si="24"/>
        <v>0.009606453559713181</v>
      </c>
      <c r="ES24" s="261"/>
      <c r="ET24" s="262">
        <v>1.1</v>
      </c>
      <c r="EU24" s="262">
        <v>0.7</v>
      </c>
      <c r="EV24" s="262">
        <v>0.175</v>
      </c>
      <c r="EW24" s="262">
        <v>0.45</v>
      </c>
      <c r="EX24" s="280">
        <v>1.25581974</v>
      </c>
      <c r="EY24" s="262">
        <v>3.8</v>
      </c>
      <c r="FA24" s="262">
        <v>0.65</v>
      </c>
      <c r="FB24" s="262">
        <v>1.8</v>
      </c>
      <c r="FC24" s="262">
        <v>0.6</v>
      </c>
      <c r="FD24" s="262">
        <v>0.3</v>
      </c>
      <c r="FE24" s="258">
        <v>0.875</v>
      </c>
      <c r="FF24" s="258">
        <v>1.3</v>
      </c>
      <c r="FG24" s="258">
        <v>1.1</v>
      </c>
      <c r="FH24" s="258">
        <v>0.25</v>
      </c>
      <c r="FJ24" s="258">
        <v>0.825</v>
      </c>
      <c r="FK24" s="258">
        <v>0.55</v>
      </c>
      <c r="FL24" s="258">
        <v>1.1</v>
      </c>
      <c r="FM24" s="281">
        <v>1.8406195600000002</v>
      </c>
      <c r="FN24" s="281">
        <v>1.53350144</v>
      </c>
      <c r="FO24" s="258">
        <f>SUM(ET24:FN24)</f>
        <v>20.20494074</v>
      </c>
      <c r="FP24" s="261">
        <f t="shared" si="25"/>
        <v>0.12066292034888176</v>
      </c>
    </row>
    <row r="25" spans="1:172" ht="12.75">
      <c r="A25" s="263">
        <v>36371</v>
      </c>
      <c r="B25" s="255">
        <v>20.75</v>
      </c>
      <c r="C25" s="255">
        <v>18.5</v>
      </c>
      <c r="D25" s="255">
        <f t="shared" si="26"/>
        <v>19.625</v>
      </c>
      <c r="E25" s="255">
        <v>1.08</v>
      </c>
      <c r="F25" s="256">
        <v>0.0461</v>
      </c>
      <c r="G25" s="261">
        <f t="shared" si="27"/>
        <v>0.10802790095842352</v>
      </c>
      <c r="H25" s="277">
        <f t="shared" si="0"/>
        <v>0.005720749086592537</v>
      </c>
      <c r="I25" s="255">
        <v>26.25</v>
      </c>
      <c r="J25" s="255">
        <v>24.125</v>
      </c>
      <c r="K25" s="258">
        <f t="shared" si="28"/>
        <v>25.1875</v>
      </c>
      <c r="L25" s="259">
        <v>1.1</v>
      </c>
      <c r="M25" s="256">
        <v>0.0812</v>
      </c>
      <c r="N25" s="261">
        <f t="shared" si="29"/>
        <v>0.13176728765584578</v>
      </c>
      <c r="O25" s="208">
        <f t="shared" si="1"/>
        <v>0.005074834346663643</v>
      </c>
      <c r="P25" s="260">
        <v>18.875</v>
      </c>
      <c r="Q25" s="260">
        <v>17.125</v>
      </c>
      <c r="R25" s="258">
        <f t="shared" si="30"/>
        <v>18</v>
      </c>
      <c r="S25" s="49">
        <v>0.96</v>
      </c>
      <c r="T25" s="261">
        <v>0.0345</v>
      </c>
      <c r="U25" s="261">
        <f t="shared" si="2"/>
        <v>0.0907866412879017</v>
      </c>
      <c r="V25" s="208">
        <f t="shared" si="3"/>
        <v>0.0008741303961371237</v>
      </c>
      <c r="W25" s="255">
        <v>19.3125</v>
      </c>
      <c r="X25" s="255">
        <v>18.375</v>
      </c>
      <c r="Y25" s="258">
        <f t="shared" si="31"/>
        <v>18.84375</v>
      </c>
      <c r="Z25" s="258">
        <v>0.66</v>
      </c>
      <c r="AA25" s="256">
        <v>0.0724</v>
      </c>
      <c r="AB25" s="261">
        <f t="shared" si="32"/>
        <v>0.11248755172266556</v>
      </c>
      <c r="AC25" s="208">
        <f t="shared" si="4"/>
        <v>0.0031138421018190045</v>
      </c>
      <c r="AD25" s="123">
        <v>38.04</v>
      </c>
      <c r="AE25" s="123">
        <v>35.78</v>
      </c>
      <c r="AF25" s="258">
        <f t="shared" si="5"/>
        <v>36.91</v>
      </c>
      <c r="AG25" s="258">
        <v>1.18</v>
      </c>
      <c r="AH25" s="256">
        <v>0.0758</v>
      </c>
      <c r="AI25" s="261">
        <f t="shared" si="33"/>
        <v>0.11246254806562384</v>
      </c>
      <c r="AJ25" s="208">
        <f t="shared" si="6"/>
        <v>0.006675503364222772</v>
      </c>
      <c r="AK25" s="255">
        <v>27.9375</v>
      </c>
      <c r="AL25" s="255">
        <v>26.375</v>
      </c>
      <c r="AM25" s="258">
        <f t="shared" si="34"/>
        <v>27.15625</v>
      </c>
      <c r="AN25" s="258">
        <v>1.78</v>
      </c>
      <c r="AO25" s="256">
        <v>0.0888</v>
      </c>
      <c r="AP25" s="261">
        <f t="shared" si="54"/>
        <v>0.16588947222148498</v>
      </c>
      <c r="AQ25" s="208">
        <f t="shared" si="52"/>
        <v>0.030347764078569473</v>
      </c>
      <c r="AR25" s="260">
        <v>23.75</v>
      </c>
      <c r="AS25" s="260">
        <v>23</v>
      </c>
      <c r="AT25" s="258">
        <f t="shared" si="35"/>
        <v>23.375</v>
      </c>
      <c r="AU25" s="258">
        <v>1.34</v>
      </c>
      <c r="AW25" s="261"/>
      <c r="AX25" s="208"/>
      <c r="AY25" s="255">
        <v>39.9375</v>
      </c>
      <c r="AZ25" s="255">
        <v>37.5</v>
      </c>
      <c r="BA25" s="258">
        <f t="shared" si="36"/>
        <v>38.71875</v>
      </c>
      <c r="BB25" s="255">
        <v>1.68</v>
      </c>
      <c r="BC25" s="256">
        <v>0.06</v>
      </c>
      <c r="BD25" s="261">
        <f t="shared" si="37"/>
        <v>0.10924945881842896</v>
      </c>
      <c r="BE25" s="208">
        <f t="shared" si="7"/>
        <v>0.003681642472503942</v>
      </c>
      <c r="BF25" s="255">
        <v>39.4375</v>
      </c>
      <c r="BG25" s="255">
        <v>36.75</v>
      </c>
      <c r="BH25" s="258">
        <f t="shared" si="38"/>
        <v>38.09375</v>
      </c>
      <c r="BI25" s="258">
        <v>1.56</v>
      </c>
      <c r="BJ25" s="256">
        <v>0.0582</v>
      </c>
      <c r="BK25" s="261">
        <f t="shared" si="39"/>
        <v>0.104558467079229</v>
      </c>
      <c r="BL25" s="208">
        <f t="shared" si="8"/>
        <v>0.009060579800706091</v>
      </c>
      <c r="BM25" s="255">
        <v>27.875</v>
      </c>
      <c r="BN25" s="255">
        <v>24</v>
      </c>
      <c r="BO25" s="258">
        <f t="shared" si="40"/>
        <v>25.9375</v>
      </c>
      <c r="BP25" s="258">
        <v>1.22</v>
      </c>
      <c r="BQ25" s="256">
        <v>0.0442</v>
      </c>
      <c r="BR25" s="261">
        <f t="shared" si="53"/>
        <v>0.09686800677543461</v>
      </c>
      <c r="BS25" s="208">
        <f t="shared" si="9"/>
        <v>0.003031223765819073</v>
      </c>
      <c r="BT25" s="260">
        <v>28.0625</v>
      </c>
      <c r="BU25" s="260">
        <v>24.875</v>
      </c>
      <c r="BV25" s="258">
        <f t="shared" si="41"/>
        <v>26.46875</v>
      </c>
      <c r="BW25" s="49">
        <v>0.98</v>
      </c>
      <c r="BX25" s="256">
        <v>0.097</v>
      </c>
      <c r="BY25" s="261">
        <f t="shared" si="10"/>
        <v>0.13818361366420406</v>
      </c>
      <c r="BZ25" s="208">
        <f t="shared" si="11"/>
        <v>0.0021620422868653443</v>
      </c>
      <c r="CA25" s="255">
        <v>16.5625</v>
      </c>
      <c r="CB25" s="255">
        <v>15.40625</v>
      </c>
      <c r="CC25" s="258">
        <f t="shared" si="42"/>
        <v>15.984375</v>
      </c>
      <c r="CD25" s="258">
        <v>0.62</v>
      </c>
      <c r="CE25" s="256">
        <v>0.0667</v>
      </c>
      <c r="CF25" s="261">
        <f t="shared" si="43"/>
        <v>0.11092404783507814</v>
      </c>
      <c r="CG25" s="208">
        <f t="shared" si="12"/>
        <v>0.0052066046550027</v>
      </c>
      <c r="CH25" s="255">
        <v>39.5</v>
      </c>
      <c r="CI25" s="255">
        <v>36.5625</v>
      </c>
      <c r="CJ25" s="258">
        <f t="shared" si="44"/>
        <v>38.03125</v>
      </c>
      <c r="CK25" s="258">
        <v>1.96</v>
      </c>
      <c r="CL25" s="256">
        <v>0.0464</v>
      </c>
      <c r="CM25" s="261">
        <f t="shared" si="45"/>
        <v>0.1043314629886618</v>
      </c>
      <c r="CN25" s="208">
        <f t="shared" si="13"/>
        <v>0.007031817814235905</v>
      </c>
      <c r="CO25" s="255">
        <v>34.375</v>
      </c>
      <c r="CP25" s="255">
        <v>30.6875</v>
      </c>
      <c r="CQ25" s="258">
        <f t="shared" si="14"/>
        <v>32.53125</v>
      </c>
      <c r="CR25" s="258">
        <v>1.38</v>
      </c>
      <c r="CS25" s="256">
        <v>0.061</v>
      </c>
      <c r="CT25" s="261">
        <f t="shared" si="46"/>
        <v>0.10917653367054792</v>
      </c>
      <c r="CU25" s="208">
        <f t="shared" si="15"/>
        <v>0.005255978482763397</v>
      </c>
      <c r="CV25" s="262">
        <v>16</v>
      </c>
      <c r="CW25" s="262">
        <v>15.125</v>
      </c>
      <c r="CX25" s="262">
        <f t="shared" si="16"/>
        <v>15.5625</v>
      </c>
      <c r="CY25" s="262">
        <v>0.82</v>
      </c>
      <c r="CZ25" s="261">
        <v>0.1217</v>
      </c>
      <c r="DA25" s="261">
        <f t="shared" si="57"/>
        <v>0.18198134110485564</v>
      </c>
      <c r="DB25" s="208">
        <f t="shared" si="58"/>
        <v>0.0021902371804500137</v>
      </c>
      <c r="DC25" s="260">
        <v>30.75</v>
      </c>
      <c r="DD25" s="260">
        <v>28.1875</v>
      </c>
      <c r="DE25" s="258">
        <f t="shared" si="17"/>
        <v>29.46875</v>
      </c>
      <c r="DF25" s="258">
        <v>1.44</v>
      </c>
      <c r="DH25" s="261"/>
      <c r="DI25" s="208"/>
      <c r="DJ25" s="255">
        <v>29.125</v>
      </c>
      <c r="DK25" s="255">
        <v>28.625</v>
      </c>
      <c r="DL25" s="258">
        <f t="shared" si="18"/>
        <v>28.875</v>
      </c>
      <c r="DM25" s="258">
        <v>0.82</v>
      </c>
      <c r="DN25" s="256">
        <v>0.049</v>
      </c>
      <c r="DO25" s="261">
        <f t="shared" si="47"/>
        <v>0.08071093598145618</v>
      </c>
      <c r="DP25" s="208">
        <f t="shared" si="19"/>
        <v>0.003302749128342828</v>
      </c>
      <c r="DQ25" s="255">
        <v>23.875</v>
      </c>
      <c r="DR25" s="255">
        <v>19.75</v>
      </c>
      <c r="DS25" s="258">
        <f t="shared" si="20"/>
        <v>21.8125</v>
      </c>
      <c r="DT25" s="258">
        <v>1.46</v>
      </c>
      <c r="DU25" s="256">
        <v>0.06</v>
      </c>
      <c r="DV25" s="261">
        <f t="shared" si="59"/>
        <v>0.13668089700650476</v>
      </c>
      <c r="DW25" s="208">
        <f t="shared" si="56"/>
        <v>0.004112558747278597</v>
      </c>
      <c r="DX25" s="255">
        <v>28.6875</v>
      </c>
      <c r="DY25" s="255">
        <v>25</v>
      </c>
      <c r="DZ25" s="258">
        <f t="shared" si="21"/>
        <v>26.84375</v>
      </c>
      <c r="EA25" s="258">
        <v>1.22</v>
      </c>
      <c r="EB25" s="256">
        <v>0.0471</v>
      </c>
      <c r="EC25" s="261">
        <f t="shared" si="48"/>
        <v>0.09809934739500936</v>
      </c>
      <c r="ED25" s="208">
        <f t="shared" si="22"/>
        <v>0.005667240478294035</v>
      </c>
      <c r="EE25" s="123">
        <v>48.78</v>
      </c>
      <c r="EF25" s="123">
        <v>45.35</v>
      </c>
      <c r="EG25" s="258">
        <f>AVERAGE(EE25:EF25)</f>
        <v>47.065</v>
      </c>
      <c r="EH25" s="278">
        <f aca="true" t="shared" si="60" ref="EH25:EH35">4*0.465</f>
        <v>1.86</v>
      </c>
      <c r="EI25" s="256">
        <v>0.0758</v>
      </c>
      <c r="EJ25" s="261">
        <f t="shared" si="50"/>
        <v>0.12125606585810034</v>
      </c>
      <c r="EK25" s="208">
        <f t="shared" si="23"/>
        <v>0.010396724884740522</v>
      </c>
      <c r="EL25" s="279">
        <v>18.86</v>
      </c>
      <c r="EM25" s="279">
        <v>17.59</v>
      </c>
      <c r="EN25" s="279">
        <f>AVERAGE(EL25:EM25)</f>
        <v>18.225</v>
      </c>
      <c r="EO25" s="278">
        <f t="shared" si="55"/>
        <v>0.6600000264</v>
      </c>
      <c r="EP25" s="256">
        <v>0.085</v>
      </c>
      <c r="EQ25" s="261">
        <f t="shared" si="51"/>
        <v>0.12695520140994088</v>
      </c>
      <c r="ER25" s="208">
        <f t="shared" si="24"/>
        <v>0.009216029601684068</v>
      </c>
      <c r="ES25" s="261"/>
      <c r="ET25" s="262">
        <v>1.1</v>
      </c>
      <c r="EU25" s="262">
        <v>0.8</v>
      </c>
      <c r="EV25" s="262">
        <v>0.2</v>
      </c>
      <c r="EW25" s="262">
        <v>0.575</v>
      </c>
      <c r="EX25" s="280">
        <v>1.23296805</v>
      </c>
      <c r="EY25" s="262">
        <v>3.8</v>
      </c>
      <c r="FA25" s="262">
        <v>0.7</v>
      </c>
      <c r="FB25" s="262">
        <v>1.8</v>
      </c>
      <c r="FC25" s="262">
        <v>0.65</v>
      </c>
      <c r="FD25" s="262">
        <v>0.325</v>
      </c>
      <c r="FE25" s="258">
        <v>0.975</v>
      </c>
      <c r="FF25" s="258">
        <v>1.4</v>
      </c>
      <c r="FG25" s="258">
        <v>1</v>
      </c>
      <c r="FH25" s="258">
        <v>0.25</v>
      </c>
      <c r="FJ25" s="258">
        <v>0.85</v>
      </c>
      <c r="FK25" s="258">
        <v>0.625</v>
      </c>
      <c r="FL25" s="258">
        <v>1.2</v>
      </c>
      <c r="FM25" s="281">
        <v>1.78102002</v>
      </c>
      <c r="FN25" s="281">
        <v>1.507888</v>
      </c>
      <c r="FO25" s="258">
        <f>SUM(ET25:FN25)</f>
        <v>20.77187607</v>
      </c>
      <c r="FP25" s="261">
        <f t="shared" si="25"/>
        <v>0.12212225267269107</v>
      </c>
    </row>
    <row r="26" spans="1:172" ht="12.75">
      <c r="A26" s="263">
        <v>36403</v>
      </c>
      <c r="B26" s="255">
        <v>19.1875</v>
      </c>
      <c r="C26" s="255">
        <v>17.875</v>
      </c>
      <c r="D26" s="255">
        <f t="shared" si="26"/>
        <v>18.53125</v>
      </c>
      <c r="E26" s="255">
        <v>1.08</v>
      </c>
      <c r="F26" s="256">
        <v>0.0466</v>
      </c>
      <c r="G26" s="261">
        <f t="shared" si="27"/>
        <v>0.11229831791158307</v>
      </c>
      <c r="H26" s="277">
        <f t="shared" si="0"/>
        <v>0.005940786028739695</v>
      </c>
      <c r="I26" s="255">
        <v>26.375</v>
      </c>
      <c r="J26" s="255">
        <v>24.25</v>
      </c>
      <c r="K26" s="258">
        <f t="shared" si="28"/>
        <v>25.3125</v>
      </c>
      <c r="L26" s="259">
        <v>1.1</v>
      </c>
      <c r="M26" s="256">
        <v>0.0812</v>
      </c>
      <c r="N26" s="261">
        <f t="shared" si="29"/>
        <v>0.131513297550246</v>
      </c>
      <c r="O26" s="208">
        <f t="shared" si="1"/>
        <v>0.005059849840283968</v>
      </c>
      <c r="P26" s="260">
        <v>18.4375</v>
      </c>
      <c r="Q26" s="260">
        <v>16.1875</v>
      </c>
      <c r="R26" s="258">
        <f t="shared" si="30"/>
        <v>17.3125</v>
      </c>
      <c r="S26" s="49">
        <v>0.96</v>
      </c>
      <c r="T26" s="261">
        <v>0.0345</v>
      </c>
      <c r="U26" s="261">
        <f t="shared" si="2"/>
        <v>0.09306824124172164</v>
      </c>
      <c r="V26" s="208">
        <f t="shared" si="3"/>
        <v>0.00089517815755954</v>
      </c>
      <c r="W26" s="255">
        <v>19.3125</v>
      </c>
      <c r="X26" s="255">
        <v>17.5</v>
      </c>
      <c r="Y26" s="258">
        <f t="shared" si="31"/>
        <v>18.40625</v>
      </c>
      <c r="Z26" s="258">
        <v>0.66</v>
      </c>
      <c r="AA26" s="256">
        <v>0.072</v>
      </c>
      <c r="AB26" s="261">
        <f t="shared" si="32"/>
        <v>0.11303855160632659</v>
      </c>
      <c r="AC26" s="208">
        <f t="shared" si="4"/>
        <v>0.003125880729064595</v>
      </c>
      <c r="AD26" s="123">
        <v>37.61</v>
      </c>
      <c r="AE26" s="123">
        <v>35.84</v>
      </c>
      <c r="AF26" s="258">
        <f t="shared" si="5"/>
        <v>36.725</v>
      </c>
      <c r="AG26" s="258">
        <v>1.18</v>
      </c>
      <c r="AH26" s="256">
        <v>0.0744</v>
      </c>
      <c r="AI26" s="261">
        <f t="shared" si="33"/>
        <v>0.11120161815058838</v>
      </c>
      <c r="AJ26" s="208">
        <f t="shared" si="6"/>
        <v>0.0065481074393326484</v>
      </c>
      <c r="AK26" s="255">
        <v>30</v>
      </c>
      <c r="AL26" s="255">
        <v>26.5625</v>
      </c>
      <c r="AM26" s="258">
        <f t="shared" si="34"/>
        <v>28.28125</v>
      </c>
      <c r="AN26" s="258">
        <v>1.78</v>
      </c>
      <c r="AO26" s="256">
        <v>0.0888</v>
      </c>
      <c r="AP26" s="261">
        <f t="shared" si="54"/>
        <v>0.16274700214771842</v>
      </c>
      <c r="AQ26" s="208">
        <f t="shared" si="52"/>
        <v>0.029742301263632677</v>
      </c>
      <c r="AR26" s="260">
        <v>23.75</v>
      </c>
      <c r="AS26" s="260">
        <v>21.5625</v>
      </c>
      <c r="AT26" s="258">
        <f t="shared" si="35"/>
        <v>22.65625</v>
      </c>
      <c r="AU26" s="258">
        <v>1.34</v>
      </c>
      <c r="AW26" s="261"/>
      <c r="AX26" s="208"/>
      <c r="AY26" s="255">
        <v>40.125</v>
      </c>
      <c r="AZ26" s="255">
        <v>38.5625</v>
      </c>
      <c r="BA26" s="258">
        <f t="shared" si="36"/>
        <v>39.34375</v>
      </c>
      <c r="BB26" s="255">
        <v>1.68</v>
      </c>
      <c r="BC26" s="256">
        <v>0.06</v>
      </c>
      <c r="BD26" s="261">
        <f t="shared" si="37"/>
        <v>0.10845394053059287</v>
      </c>
      <c r="BE26" s="208">
        <f t="shared" si="7"/>
        <v>0.003651080011733789</v>
      </c>
      <c r="BF26" s="255">
        <v>39.5</v>
      </c>
      <c r="BG26" s="255">
        <v>37.625</v>
      </c>
      <c r="BH26" s="258">
        <f t="shared" si="38"/>
        <v>38.5625</v>
      </c>
      <c r="BI26" s="258">
        <v>1.56</v>
      </c>
      <c r="BJ26" s="256">
        <v>0.0613</v>
      </c>
      <c r="BK26" s="261">
        <f t="shared" si="39"/>
        <v>0.1072201012800611</v>
      </c>
      <c r="BL26" s="208">
        <f t="shared" si="8"/>
        <v>0.009281682160636387</v>
      </c>
      <c r="BM26" s="255">
        <v>27.6875</v>
      </c>
      <c r="BN26" s="255">
        <v>25</v>
      </c>
      <c r="BO26" s="258">
        <f t="shared" si="40"/>
        <v>26.34375</v>
      </c>
      <c r="BP26" s="258">
        <v>1.22</v>
      </c>
      <c r="BQ26" s="256">
        <v>0.0442</v>
      </c>
      <c r="BR26" s="261">
        <f t="shared" si="53"/>
        <v>0.0960409929717776</v>
      </c>
      <c r="BS26" s="208">
        <f t="shared" si="9"/>
        <v>0.003002257735535684</v>
      </c>
      <c r="BT26" s="260">
        <v>27</v>
      </c>
      <c r="BU26" s="260">
        <v>24.75</v>
      </c>
      <c r="BV26" s="258">
        <f t="shared" si="41"/>
        <v>25.875</v>
      </c>
      <c r="BW26" s="49">
        <v>0.98</v>
      </c>
      <c r="BX26" s="256">
        <v>0.097</v>
      </c>
      <c r="BY26" s="261">
        <f t="shared" si="10"/>
        <v>0.1391420514046524</v>
      </c>
      <c r="BZ26" s="208">
        <f t="shared" si="11"/>
        <v>0.0021748020675435844</v>
      </c>
      <c r="CA26" s="255">
        <v>16.34375</v>
      </c>
      <c r="CB26" s="255">
        <v>15</v>
      </c>
      <c r="CC26" s="258">
        <f t="shared" si="42"/>
        <v>15.671875</v>
      </c>
      <c r="CD26" s="258">
        <v>0.62</v>
      </c>
      <c r="CE26" s="256">
        <v>0.0667</v>
      </c>
      <c r="CF26" s="261">
        <f t="shared" si="43"/>
        <v>0.11181963237267922</v>
      </c>
      <c r="CG26" s="208">
        <f t="shared" si="12"/>
        <v>0.0052432510205452166</v>
      </c>
      <c r="CH26" s="255">
        <v>38</v>
      </c>
      <c r="CI26" s="255">
        <v>35.8125</v>
      </c>
      <c r="CJ26" s="258">
        <f t="shared" si="44"/>
        <v>36.90625</v>
      </c>
      <c r="CK26" s="258">
        <v>1.96</v>
      </c>
      <c r="CL26" s="256">
        <v>0.0464</v>
      </c>
      <c r="CM26" s="261">
        <f t="shared" si="45"/>
        <v>0.10613431130351669</v>
      </c>
      <c r="CN26" s="208">
        <f t="shared" si="13"/>
        <v>0.007145980324248215</v>
      </c>
      <c r="CO26" s="255">
        <v>34.1875</v>
      </c>
      <c r="CP26" s="255">
        <v>32.75</v>
      </c>
      <c r="CQ26" s="258">
        <f t="shared" si="14"/>
        <v>33.46875</v>
      </c>
      <c r="CR26" s="258">
        <v>1.38</v>
      </c>
      <c r="CS26" s="256">
        <v>0.061</v>
      </c>
      <c r="CT26" s="261">
        <f t="shared" si="46"/>
        <v>0.1078051328563745</v>
      </c>
      <c r="CU26" s="208">
        <f t="shared" si="15"/>
        <v>0.005184625760531109</v>
      </c>
      <c r="CV26" s="262">
        <v>16</v>
      </c>
      <c r="CW26" s="262">
        <v>14</v>
      </c>
      <c r="CX26" s="262">
        <f t="shared" si="16"/>
        <v>15</v>
      </c>
      <c r="CY26" s="262">
        <v>0.82</v>
      </c>
      <c r="CZ26" s="261">
        <v>0.1217</v>
      </c>
      <c r="DA26" s="261">
        <f t="shared" si="57"/>
        <v>0.18428814407017913</v>
      </c>
      <c r="DB26" s="208">
        <f t="shared" si="58"/>
        <v>0.0022157225583582744</v>
      </c>
      <c r="DC26" s="260">
        <v>30.75</v>
      </c>
      <c r="DD26" s="260">
        <v>28.375</v>
      </c>
      <c r="DE26" s="258">
        <f t="shared" si="17"/>
        <v>29.5625</v>
      </c>
      <c r="DF26" s="258">
        <v>1.44</v>
      </c>
      <c r="DH26" s="261"/>
      <c r="DI26" s="208"/>
      <c r="DJ26" s="255">
        <v>28.9375</v>
      </c>
      <c r="DK26" s="255">
        <v>27.75</v>
      </c>
      <c r="DL26" s="258">
        <f t="shared" si="18"/>
        <v>28.34375</v>
      </c>
      <c r="DM26" s="258">
        <v>0.82</v>
      </c>
      <c r="DN26" s="256">
        <v>0.049</v>
      </c>
      <c r="DO26" s="261">
        <f t="shared" si="47"/>
        <v>0.0813120771770699</v>
      </c>
      <c r="DP26" s="208">
        <f t="shared" si="19"/>
        <v>0.003323930660664849</v>
      </c>
      <c r="DQ26" s="255">
        <v>24.6875</v>
      </c>
      <c r="DR26" s="255">
        <v>22.8125</v>
      </c>
      <c r="DS26" s="258">
        <f t="shared" si="20"/>
        <v>23.75</v>
      </c>
      <c r="DT26" s="258">
        <v>1.46</v>
      </c>
      <c r="DU26" s="256">
        <v>0.06</v>
      </c>
      <c r="DV26" s="261">
        <f t="shared" si="59"/>
        <v>0.13027415411069976</v>
      </c>
      <c r="DW26" s="208">
        <f t="shared" si="56"/>
        <v>0.003915761693332235</v>
      </c>
      <c r="DX26" s="255">
        <v>28.875</v>
      </c>
      <c r="DY26" s="255">
        <v>26.5</v>
      </c>
      <c r="DZ26" s="258">
        <f t="shared" si="21"/>
        <v>27.6875</v>
      </c>
      <c r="EA26" s="258">
        <v>1.22</v>
      </c>
      <c r="EB26" s="256">
        <v>0.0471</v>
      </c>
      <c r="EC26" s="261">
        <f t="shared" si="48"/>
        <v>0.0965182205420545</v>
      </c>
      <c r="ED26" s="208">
        <f t="shared" si="22"/>
        <v>0.005570170985268103</v>
      </c>
      <c r="EE26" s="123">
        <v>47.19</v>
      </c>
      <c r="EF26" s="123">
        <v>44.68</v>
      </c>
      <c r="EG26" s="258">
        <f>AVERAGE(EE26:EF26)</f>
        <v>45.935</v>
      </c>
      <c r="EH26" s="278">
        <f t="shared" si="60"/>
        <v>1.86</v>
      </c>
      <c r="EI26" s="256">
        <v>0.0758</v>
      </c>
      <c r="EJ26" s="261">
        <f t="shared" si="50"/>
        <v>0.12239212890281648</v>
      </c>
      <c r="EK26" s="208">
        <f t="shared" si="23"/>
        <v>0.010539317970266946</v>
      </c>
      <c r="EL26" s="279">
        <v>19.03</v>
      </c>
      <c r="EM26" s="279">
        <v>18.01</v>
      </c>
      <c r="EN26" s="279">
        <f>AVERAGE(EL26:EM26)</f>
        <v>18.520000000000003</v>
      </c>
      <c r="EO26" s="278">
        <f>4*0.1700000018</f>
        <v>0.6800000072</v>
      </c>
      <c r="EP26" s="256">
        <v>0.085</v>
      </c>
      <c r="EQ26" s="261">
        <f t="shared" si="51"/>
        <v>0.12754646004629588</v>
      </c>
      <c r="ER26" s="208">
        <f t="shared" si="24"/>
        <v>0.009374624050611338</v>
      </c>
      <c r="ES26" s="261"/>
      <c r="ET26" s="262">
        <v>1.1</v>
      </c>
      <c r="EU26" s="262">
        <v>0.8</v>
      </c>
      <c r="EV26" s="262">
        <v>0.2</v>
      </c>
      <c r="EW26" s="262">
        <v>0.575</v>
      </c>
      <c r="EX26" s="280">
        <v>1.2244095700000002</v>
      </c>
      <c r="EY26" s="262">
        <v>3.8</v>
      </c>
      <c r="FA26" s="262">
        <v>0.7</v>
      </c>
      <c r="FB26" s="262">
        <v>1.8</v>
      </c>
      <c r="FC26" s="262">
        <v>0.65</v>
      </c>
      <c r="FD26" s="262">
        <v>0.325</v>
      </c>
      <c r="FE26" s="258">
        <v>0.975</v>
      </c>
      <c r="FF26" s="258">
        <v>1.4</v>
      </c>
      <c r="FG26" s="258">
        <v>1</v>
      </c>
      <c r="FH26" s="258">
        <v>0.25</v>
      </c>
      <c r="FJ26" s="258">
        <v>0.85</v>
      </c>
      <c r="FK26" s="258">
        <v>0.625</v>
      </c>
      <c r="FL26" s="258">
        <v>1.2</v>
      </c>
      <c r="FM26" s="281">
        <v>1.7905277</v>
      </c>
      <c r="FN26" s="281">
        <v>1.528296</v>
      </c>
      <c r="FO26" s="258">
        <f>SUM(ET26:FN26)</f>
        <v>20.793233269999998</v>
      </c>
      <c r="FP26" s="261">
        <f t="shared" si="25"/>
        <v>0.12193531045788884</v>
      </c>
    </row>
    <row r="27" spans="1:172" ht="12.75">
      <c r="A27" s="263">
        <v>36433</v>
      </c>
      <c r="B27" s="255">
        <v>18.875</v>
      </c>
      <c r="C27" s="255">
        <v>15.625</v>
      </c>
      <c r="D27" s="255">
        <f t="shared" si="26"/>
        <v>17.25</v>
      </c>
      <c r="E27" s="255">
        <v>1.08</v>
      </c>
      <c r="F27" s="256">
        <v>0.0466</v>
      </c>
      <c r="G27" s="261">
        <f t="shared" si="27"/>
        <v>0.11729845795250049</v>
      </c>
      <c r="H27" s="277">
        <f t="shared" si="0"/>
        <v>0.006205984463642507</v>
      </c>
      <c r="I27" s="255">
        <v>25.5</v>
      </c>
      <c r="J27" s="255">
        <v>23.75</v>
      </c>
      <c r="K27" s="258">
        <f t="shared" si="28"/>
        <v>24.625</v>
      </c>
      <c r="L27" s="259">
        <v>1.1</v>
      </c>
      <c r="M27" s="256">
        <v>0.0812</v>
      </c>
      <c r="N27" s="261">
        <f t="shared" si="29"/>
        <v>0.13294270944963582</v>
      </c>
      <c r="O27" s="208">
        <f t="shared" si="1"/>
        <v>0.005115407180811603</v>
      </c>
      <c r="P27" s="260">
        <v>18.6875</v>
      </c>
      <c r="Q27" s="260">
        <v>17.4375</v>
      </c>
      <c r="R27" s="258">
        <f t="shared" si="30"/>
        <v>18.0625</v>
      </c>
      <c r="S27" s="49">
        <v>0.96</v>
      </c>
      <c r="T27" s="261">
        <v>0.0345</v>
      </c>
      <c r="U27" s="261">
        <f t="shared" si="2"/>
        <v>0.09058800494664632</v>
      </c>
      <c r="V27" s="208">
        <f t="shared" si="3"/>
        <v>0.0008714177199296223</v>
      </c>
      <c r="W27" s="255">
        <v>20.375</v>
      </c>
      <c r="X27" s="255">
        <v>18.8125</v>
      </c>
      <c r="Y27" s="258">
        <f t="shared" si="31"/>
        <v>19.59375</v>
      </c>
      <c r="Z27" s="258">
        <v>0.66</v>
      </c>
      <c r="AA27" s="256">
        <v>0.072</v>
      </c>
      <c r="AB27" s="261">
        <f t="shared" si="32"/>
        <v>0.11051836131290038</v>
      </c>
      <c r="AC27" s="208">
        <f t="shared" si="4"/>
        <v>0.0030565251783258567</v>
      </c>
      <c r="AD27" s="123">
        <v>37.3</v>
      </c>
      <c r="AE27" s="123">
        <v>35.33</v>
      </c>
      <c r="AF27" s="258">
        <f t="shared" si="5"/>
        <v>36.315</v>
      </c>
      <c r="AG27" s="258">
        <v>1.18</v>
      </c>
      <c r="AH27" s="256">
        <v>0.0761</v>
      </c>
      <c r="AI27" s="261">
        <f t="shared" si="33"/>
        <v>0.11338133038503617</v>
      </c>
      <c r="AJ27" s="208">
        <f t="shared" si="6"/>
        <v>0.006871244208564359</v>
      </c>
      <c r="AK27" s="255">
        <v>31.0625</v>
      </c>
      <c r="AL27" s="255">
        <v>28.3125</v>
      </c>
      <c r="AM27" s="258">
        <f t="shared" si="34"/>
        <v>29.6875</v>
      </c>
      <c r="AN27" s="258">
        <v>1.78</v>
      </c>
      <c r="AO27" s="256">
        <v>0.0888</v>
      </c>
      <c r="AP27" s="261">
        <f t="shared" si="54"/>
        <v>0.15916162494056119</v>
      </c>
      <c r="AQ27" s="208">
        <f t="shared" si="52"/>
        <v>0.029090263632210754</v>
      </c>
      <c r="AR27" s="260">
        <v>23.375</v>
      </c>
      <c r="AS27" s="260">
        <v>21.25</v>
      </c>
      <c r="AT27" s="258">
        <f t="shared" si="35"/>
        <v>22.3125</v>
      </c>
      <c r="AU27" s="258">
        <v>1.34</v>
      </c>
      <c r="AW27" s="261"/>
      <c r="AX27" s="208"/>
      <c r="AY27" s="255">
        <v>40.125</v>
      </c>
      <c r="AZ27" s="255">
        <v>37.5</v>
      </c>
      <c r="BA27" s="258">
        <f t="shared" si="36"/>
        <v>38.8125</v>
      </c>
      <c r="BB27" s="255">
        <v>1.68</v>
      </c>
      <c r="BC27" s="256">
        <v>0.06</v>
      </c>
      <c r="BD27" s="261">
        <f t="shared" si="37"/>
        <v>0.10912847016913352</v>
      </c>
      <c r="BE27" s="208">
        <f t="shared" si="7"/>
        <v>0.0036741916270891612</v>
      </c>
      <c r="BF27" s="255">
        <v>40</v>
      </c>
      <c r="BG27" s="255">
        <v>35.6875</v>
      </c>
      <c r="BH27" s="258">
        <f t="shared" si="38"/>
        <v>37.84375</v>
      </c>
      <c r="BI27" s="258">
        <v>1.56</v>
      </c>
      <c r="BJ27" s="256">
        <v>0.0613</v>
      </c>
      <c r="BK27" s="261">
        <f t="shared" si="39"/>
        <v>0.10810640963286522</v>
      </c>
      <c r="BL27" s="208">
        <f t="shared" si="8"/>
        <v>0.00935943527432581</v>
      </c>
      <c r="BM27" s="255">
        <v>27.4375</v>
      </c>
      <c r="BN27" s="255">
        <v>23.3125</v>
      </c>
      <c r="BO27" s="258">
        <f t="shared" si="40"/>
        <v>25.375</v>
      </c>
      <c r="BP27" s="258">
        <v>1.22</v>
      </c>
      <c r="BQ27" s="256">
        <v>0.0442</v>
      </c>
      <c r="BR27" s="261">
        <f t="shared" si="53"/>
        <v>0.0980576393415653</v>
      </c>
      <c r="BS27" s="208">
        <f t="shared" si="9"/>
        <v>0.0030656352877830146</v>
      </c>
      <c r="BT27" s="260">
        <v>26.5625</v>
      </c>
      <c r="BU27" s="260">
        <v>24.625</v>
      </c>
      <c r="BV27" s="258">
        <f t="shared" si="41"/>
        <v>25.59375</v>
      </c>
      <c r="BW27" s="49">
        <v>0.98</v>
      </c>
      <c r="BX27" s="256">
        <v>0.097</v>
      </c>
      <c r="BY27" s="261">
        <f t="shared" si="10"/>
        <v>0.13961179032081317</v>
      </c>
      <c r="BZ27" s="208">
        <f t="shared" si="11"/>
        <v>0.0021823839217013715</v>
      </c>
      <c r="CA27" s="255">
        <v>15.78125</v>
      </c>
      <c r="CB27" s="255">
        <v>14.8125</v>
      </c>
      <c r="CC27" s="258">
        <f t="shared" si="42"/>
        <v>15.296875</v>
      </c>
      <c r="CD27" s="258">
        <v>0.62</v>
      </c>
      <c r="CE27" s="256">
        <v>0.0667</v>
      </c>
      <c r="CF27" s="261">
        <f t="shared" si="43"/>
        <v>0.11294340007865311</v>
      </c>
      <c r="CG27" s="208">
        <f t="shared" si="12"/>
        <v>0.005296526743784449</v>
      </c>
      <c r="CH27" s="255">
        <v>37.875</v>
      </c>
      <c r="CI27" s="255">
        <v>34</v>
      </c>
      <c r="CJ27" s="258">
        <f t="shared" si="44"/>
        <v>35.9375</v>
      </c>
      <c r="CK27" s="258">
        <v>1.96</v>
      </c>
      <c r="CL27" s="256">
        <v>0.0464</v>
      </c>
      <c r="CM27" s="261">
        <f t="shared" si="45"/>
        <v>0.10777913275736628</v>
      </c>
      <c r="CN27" s="208">
        <f t="shared" si="13"/>
        <v>0.007257522927578865</v>
      </c>
      <c r="CO27" s="255">
        <v>34</v>
      </c>
      <c r="CP27" s="255">
        <v>30.3125</v>
      </c>
      <c r="CQ27" s="258">
        <f t="shared" si="14"/>
        <v>32.15625</v>
      </c>
      <c r="CR27" s="258">
        <v>1.38</v>
      </c>
      <c r="CS27" s="256">
        <v>0.061</v>
      </c>
      <c r="CT27" s="261">
        <f t="shared" si="46"/>
        <v>0.10974785945222276</v>
      </c>
      <c r="CU27" s="208">
        <f t="shared" si="15"/>
        <v>0.00527863647661407</v>
      </c>
      <c r="CV27" s="262">
        <v>14.75</v>
      </c>
      <c r="CW27" s="262">
        <v>13</v>
      </c>
      <c r="CX27" s="262">
        <f t="shared" si="16"/>
        <v>13.875</v>
      </c>
      <c r="CY27" s="262">
        <v>0.82</v>
      </c>
      <c r="CZ27" s="261">
        <v>0.1217</v>
      </c>
      <c r="DA27" s="261">
        <f t="shared" si="57"/>
        <v>0.18947514601134197</v>
      </c>
      <c r="DB27" s="208">
        <f t="shared" si="58"/>
        <v>0.002278336958322766</v>
      </c>
      <c r="DC27" s="260">
        <v>30.125</v>
      </c>
      <c r="DD27" s="260">
        <v>26.0625</v>
      </c>
      <c r="DE27" s="258">
        <f t="shared" si="17"/>
        <v>28.09375</v>
      </c>
      <c r="DF27" s="258">
        <v>1.44</v>
      </c>
      <c r="DH27" s="261"/>
      <c r="DI27" s="208"/>
      <c r="DJ27" s="255">
        <v>28.75</v>
      </c>
      <c r="DK27" s="255">
        <v>26.875</v>
      </c>
      <c r="DL27" s="258">
        <f t="shared" si="18"/>
        <v>27.8125</v>
      </c>
      <c r="DM27" s="258">
        <v>0.82</v>
      </c>
      <c r="DN27" s="256">
        <v>0.049</v>
      </c>
      <c r="DO27" s="261">
        <f t="shared" si="47"/>
        <v>0.08193644862202754</v>
      </c>
      <c r="DP27" s="208">
        <f t="shared" si="19"/>
        <v>0.003349822213629843</v>
      </c>
      <c r="DQ27" s="255">
        <v>24.1875</v>
      </c>
      <c r="DR27" s="255">
        <v>22.375</v>
      </c>
      <c r="DS27" s="258">
        <f t="shared" si="20"/>
        <v>23.28125</v>
      </c>
      <c r="DT27" s="258">
        <v>1.46</v>
      </c>
      <c r="DU27" s="256">
        <v>0.0667</v>
      </c>
      <c r="DV27" s="261">
        <f t="shared" si="59"/>
        <v>0.13887735618555785</v>
      </c>
      <c r="DW27" s="208">
        <f t="shared" si="56"/>
        <v>0.0041748142161712725</v>
      </c>
      <c r="DX27" s="255">
        <v>28.125</v>
      </c>
      <c r="DY27" s="255">
        <v>25.375</v>
      </c>
      <c r="DZ27" s="258">
        <f t="shared" si="21"/>
        <v>26.75</v>
      </c>
      <c r="EA27" s="258">
        <v>1.22</v>
      </c>
      <c r="EB27" s="256">
        <v>0.0471</v>
      </c>
      <c r="EC27" s="261">
        <f t="shared" si="48"/>
        <v>0.09828129476316594</v>
      </c>
      <c r="ED27" s="208">
        <f t="shared" si="22"/>
        <v>0.005672543192314989</v>
      </c>
      <c r="EE27" s="123">
        <v>48.11</v>
      </c>
      <c r="EF27" s="123">
        <v>44.19</v>
      </c>
      <c r="EG27" s="258">
        <f>AVERAGE(EE27:EF27)</f>
        <v>46.15</v>
      </c>
      <c r="EH27" s="278">
        <f t="shared" si="60"/>
        <v>1.86</v>
      </c>
      <c r="EI27" s="256">
        <v>0.0758</v>
      </c>
      <c r="EJ27" s="261">
        <f t="shared" si="50"/>
        <v>0.12217162223889155</v>
      </c>
      <c r="EK27" s="208">
        <f t="shared" si="23"/>
        <v>0.010653717005803295</v>
      </c>
      <c r="EL27" s="279">
        <v>19.22</v>
      </c>
      <c r="EM27" s="279">
        <v>17.5</v>
      </c>
      <c r="EN27" s="279">
        <f>AVERAGE(EL27:EM27)</f>
        <v>18.36</v>
      </c>
      <c r="EO27" s="278">
        <f aca="true" t="shared" si="61" ref="EO27:EO40">4*0.1700000018</f>
        <v>0.6800000072</v>
      </c>
      <c r="EP27" s="256">
        <v>0.085</v>
      </c>
      <c r="EQ27" s="261">
        <f t="shared" si="51"/>
        <v>0.1279226474356363</v>
      </c>
      <c r="ER27" s="208">
        <f t="shared" si="24"/>
        <v>0.009031855939378863</v>
      </c>
      <c r="ES27" s="261"/>
      <c r="ET27" s="262">
        <v>1.1</v>
      </c>
      <c r="EU27" s="262">
        <v>0.8</v>
      </c>
      <c r="EV27" s="262">
        <v>0.2</v>
      </c>
      <c r="EW27" s="262">
        <v>0.575</v>
      </c>
      <c r="EX27" s="280">
        <v>1.25999302</v>
      </c>
      <c r="EY27" s="262">
        <v>3.8</v>
      </c>
      <c r="FA27" s="262">
        <v>0.7</v>
      </c>
      <c r="FB27" s="262">
        <v>1.8</v>
      </c>
      <c r="FC27" s="262">
        <v>0.65</v>
      </c>
      <c r="FD27" s="262">
        <v>0.325</v>
      </c>
      <c r="FE27" s="258">
        <v>0.975</v>
      </c>
      <c r="FF27" s="258">
        <v>1.4</v>
      </c>
      <c r="FG27" s="258">
        <v>1</v>
      </c>
      <c r="FH27" s="258">
        <v>0.25</v>
      </c>
      <c r="FJ27" s="258">
        <v>0.85</v>
      </c>
      <c r="FK27" s="258">
        <v>0.625</v>
      </c>
      <c r="FL27" s="258">
        <v>1.2</v>
      </c>
      <c r="FM27" s="281">
        <v>1.8130305399999997</v>
      </c>
      <c r="FN27" s="281">
        <v>1.467925</v>
      </c>
      <c r="FO27" s="258">
        <f>SUM(ET27:FN27)</f>
        <v>20.79094856</v>
      </c>
      <c r="FP27" s="261">
        <f t="shared" si="25"/>
        <v>0.12248626416798246</v>
      </c>
    </row>
    <row r="28" spans="1:172" ht="12.75">
      <c r="A28" s="263">
        <v>36462</v>
      </c>
      <c r="B28" s="255">
        <v>17.875</v>
      </c>
      <c r="C28" s="255">
        <v>15.5625</v>
      </c>
      <c r="D28" s="255">
        <f t="shared" si="26"/>
        <v>16.71875</v>
      </c>
      <c r="E28" s="255">
        <v>1.08</v>
      </c>
      <c r="F28" s="256">
        <v>0.0489</v>
      </c>
      <c r="G28" s="261">
        <f t="shared" si="27"/>
        <v>0.1220625223908316</v>
      </c>
      <c r="H28" s="277">
        <f t="shared" si="0"/>
        <v>0.005814688383096945</v>
      </c>
      <c r="I28" s="255">
        <v>25</v>
      </c>
      <c r="J28" s="255">
        <v>22.5</v>
      </c>
      <c r="K28" s="258">
        <f t="shared" si="28"/>
        <v>23.75</v>
      </c>
      <c r="L28" s="259">
        <v>1.14</v>
      </c>
      <c r="M28" s="256">
        <v>0.0796</v>
      </c>
      <c r="N28" s="261">
        <f t="shared" si="29"/>
        <v>0.13519048658991384</v>
      </c>
      <c r="O28" s="208">
        <f t="shared" si="1"/>
        <v>0.004991050207499615</v>
      </c>
      <c r="P28" s="260">
        <v>18.375</v>
      </c>
      <c r="Q28" s="260">
        <v>16.8125</v>
      </c>
      <c r="R28" s="258">
        <f t="shared" si="30"/>
        <v>17.59375</v>
      </c>
      <c r="S28" s="49">
        <v>0.96</v>
      </c>
      <c r="T28" s="261">
        <v>0.0345</v>
      </c>
      <c r="U28" s="261">
        <f t="shared" si="2"/>
        <v>0.09211287201379004</v>
      </c>
      <c r="V28" s="208">
        <f t="shared" si="3"/>
        <v>0.0008775955737131506</v>
      </c>
      <c r="W28" s="255">
        <v>21.25</v>
      </c>
      <c r="X28" s="255">
        <v>18.125</v>
      </c>
      <c r="Y28" s="258">
        <f t="shared" si="31"/>
        <v>19.6875</v>
      </c>
      <c r="Z28" s="258">
        <v>0.66</v>
      </c>
      <c r="AA28" s="256">
        <v>0.072</v>
      </c>
      <c r="AB28" s="261">
        <f t="shared" si="32"/>
        <v>0.1103325170235101</v>
      </c>
      <c r="AC28" s="208">
        <f t="shared" si="4"/>
        <v>0.0031535439008557064</v>
      </c>
      <c r="AD28" s="123">
        <v>37.73</v>
      </c>
      <c r="AE28" s="123">
        <v>34.72</v>
      </c>
      <c r="AF28" s="258">
        <f t="shared" si="5"/>
        <v>36.224999999999994</v>
      </c>
      <c r="AG28" s="258">
        <v>1.18</v>
      </c>
      <c r="AH28" s="256">
        <v>0.0761</v>
      </c>
      <c r="AI28" s="261">
        <f t="shared" si="33"/>
        <v>0.11347514409259563</v>
      </c>
      <c r="AJ28" s="208">
        <f t="shared" si="6"/>
        <v>0.006574716940683027</v>
      </c>
      <c r="AK28" s="255">
        <v>29.6875</v>
      </c>
      <c r="AL28" s="255">
        <v>27</v>
      </c>
      <c r="AM28" s="258">
        <f t="shared" si="34"/>
        <v>28.34375</v>
      </c>
      <c r="AN28" s="258">
        <v>1.78</v>
      </c>
      <c r="AO28" s="256">
        <v>0.0888</v>
      </c>
      <c r="AP28" s="261">
        <f t="shared" si="54"/>
        <v>0.1625799130747776</v>
      </c>
      <c r="AQ28" s="208">
        <f t="shared" si="52"/>
        <v>0.03097925598666239</v>
      </c>
      <c r="AR28" s="260">
        <v>23.4375</v>
      </c>
      <c r="AS28" s="260">
        <v>21</v>
      </c>
      <c r="AT28" s="258">
        <f t="shared" si="35"/>
        <v>22.21875</v>
      </c>
      <c r="AU28" s="258">
        <v>1.34</v>
      </c>
      <c r="AW28" s="261"/>
      <c r="AX28" s="208"/>
      <c r="AY28" s="255">
        <v>41.125</v>
      </c>
      <c r="AZ28" s="255">
        <v>39.4375</v>
      </c>
      <c r="BA28" s="258">
        <f t="shared" si="36"/>
        <v>40.28125</v>
      </c>
      <c r="BB28" s="255">
        <v>1.68</v>
      </c>
      <c r="BC28" s="256">
        <v>0.06</v>
      </c>
      <c r="BD28" s="261">
        <f t="shared" si="37"/>
        <v>0.1073077033639287</v>
      </c>
      <c r="BE28" s="208">
        <f t="shared" si="7"/>
        <v>0.0036549466897871532</v>
      </c>
      <c r="BF28" s="255">
        <v>39.375</v>
      </c>
      <c r="BG28" s="255">
        <v>36.5625</v>
      </c>
      <c r="BH28" s="258">
        <f t="shared" si="38"/>
        <v>37.96875</v>
      </c>
      <c r="BI28" s="258">
        <v>1.56</v>
      </c>
      <c r="BJ28" s="256">
        <v>0.0656</v>
      </c>
      <c r="BK28" s="261">
        <f t="shared" si="39"/>
        <v>0.1124388279750832</v>
      </c>
      <c r="BL28" s="208">
        <f t="shared" si="8"/>
        <v>0.009641240581087226</v>
      </c>
      <c r="BM28" s="255">
        <v>26.375</v>
      </c>
      <c r="BN28" s="255">
        <v>23.75</v>
      </c>
      <c r="BO28" s="258">
        <f t="shared" si="40"/>
        <v>25.0625</v>
      </c>
      <c r="BP28" s="258">
        <v>1.24</v>
      </c>
      <c r="BQ28" s="256">
        <v>0.0442</v>
      </c>
      <c r="BR28" s="261">
        <f t="shared" si="53"/>
        <v>0.09965361740391732</v>
      </c>
      <c r="BS28" s="208">
        <f t="shared" si="9"/>
        <v>0.003085677471402028</v>
      </c>
      <c r="BT28" s="260">
        <v>25.625</v>
      </c>
      <c r="BU28" s="260">
        <v>23.4375</v>
      </c>
      <c r="BV28" s="258">
        <f t="shared" si="41"/>
        <v>24.53125</v>
      </c>
      <c r="BW28" s="49">
        <v>0.98</v>
      </c>
      <c r="BX28" s="256">
        <v>0.097</v>
      </c>
      <c r="BY28" s="261">
        <f t="shared" si="10"/>
        <v>0.1414850082024035</v>
      </c>
      <c r="BZ28" s="208">
        <f t="shared" si="11"/>
        <v>0.002190472928753543</v>
      </c>
      <c r="CA28" s="255">
        <v>15.375</v>
      </c>
      <c r="CB28" s="255">
        <v>14</v>
      </c>
      <c r="CC28" s="258">
        <f t="shared" si="42"/>
        <v>14.6875</v>
      </c>
      <c r="CD28" s="258">
        <v>0.62</v>
      </c>
      <c r="CE28" s="256">
        <v>0.0667</v>
      </c>
      <c r="CF28" s="261">
        <f t="shared" si="43"/>
        <v>0.11489393051588603</v>
      </c>
      <c r="CG28" s="208">
        <f t="shared" si="12"/>
        <v>0.005336368446466901</v>
      </c>
      <c r="CH28" s="255">
        <v>39</v>
      </c>
      <c r="CI28" s="255">
        <v>34.5</v>
      </c>
      <c r="CJ28" s="258">
        <f t="shared" si="44"/>
        <v>36.75</v>
      </c>
      <c r="CK28" s="258">
        <v>1.96</v>
      </c>
      <c r="CL28" s="256">
        <v>0.0444</v>
      </c>
      <c r="CM28" s="261">
        <f t="shared" si="45"/>
        <v>0.10427895130065279</v>
      </c>
      <c r="CN28" s="208">
        <f t="shared" si="13"/>
        <v>0.006457792886045397</v>
      </c>
      <c r="CO28" s="255">
        <v>32.5</v>
      </c>
      <c r="CP28" s="255">
        <v>30.25</v>
      </c>
      <c r="CQ28" s="258">
        <f t="shared" si="14"/>
        <v>31.375</v>
      </c>
      <c r="CR28" s="258">
        <v>1.38</v>
      </c>
      <c r="CS28" s="256">
        <v>0.061</v>
      </c>
      <c r="CT28" s="261">
        <f t="shared" si="46"/>
        <v>0.11098273902831335</v>
      </c>
      <c r="CU28" s="208">
        <f t="shared" si="15"/>
        <v>0.005286881105782276</v>
      </c>
      <c r="CV28" s="262">
        <v>15.375</v>
      </c>
      <c r="CW28" s="262">
        <v>13.625</v>
      </c>
      <c r="CX28" s="262">
        <f t="shared" si="16"/>
        <v>14.5</v>
      </c>
      <c r="CY28" s="262">
        <v>0.82</v>
      </c>
      <c r="DA28" s="261"/>
      <c r="DB28" s="208"/>
      <c r="DC28" s="260">
        <v>27.375</v>
      </c>
      <c r="DD28" s="260">
        <v>25.5</v>
      </c>
      <c r="DE28" s="258">
        <f t="shared" si="17"/>
        <v>26.4375</v>
      </c>
      <c r="DF28" s="258">
        <v>1.44</v>
      </c>
      <c r="DG28" s="261">
        <v>0.0367</v>
      </c>
      <c r="DH28" s="261">
        <f>+((((((DF28/4)*(1+DG28)^0.25))/(DE28*0.95))+(1+DG28)^(0.25))^4)-1</f>
        <v>0.09742924246353435</v>
      </c>
      <c r="DI28" s="208">
        <f aca="true" t="shared" si="62" ref="DI28:DI65">DH28*($FI28/$FO28)</f>
        <v>0.0015084009309313641</v>
      </c>
      <c r="DJ28" s="255">
        <v>27.3125</v>
      </c>
      <c r="DK28" s="255">
        <v>22.875</v>
      </c>
      <c r="DL28" s="258">
        <f t="shared" si="18"/>
        <v>25.09375</v>
      </c>
      <c r="DM28" s="258">
        <v>0.82</v>
      </c>
      <c r="DN28" s="256">
        <v>0.05</v>
      </c>
      <c r="DO28" s="261">
        <f t="shared" si="47"/>
        <v>0.0865857442217901</v>
      </c>
      <c r="DP28" s="208">
        <f t="shared" si="19"/>
        <v>0.003505979923450719</v>
      </c>
      <c r="DQ28" s="255">
        <v>24</v>
      </c>
      <c r="DR28" s="255">
        <v>22.25</v>
      </c>
      <c r="DS28" s="258">
        <f t="shared" si="20"/>
        <v>23.125</v>
      </c>
      <c r="DT28" s="258">
        <v>1.5</v>
      </c>
      <c r="DU28" s="256">
        <v>0.0667</v>
      </c>
      <c r="DV28" s="261">
        <f t="shared" si="59"/>
        <v>0.14141917004497562</v>
      </c>
      <c r="DW28" s="208">
        <f t="shared" si="56"/>
        <v>0.004210487733566904</v>
      </c>
      <c r="DX28" s="255">
        <v>27.3125</v>
      </c>
      <c r="DY28" s="255">
        <v>25</v>
      </c>
      <c r="DZ28" s="258">
        <f t="shared" si="21"/>
        <v>26.15625</v>
      </c>
      <c r="EA28" s="258">
        <v>1.22</v>
      </c>
      <c r="EB28" s="256">
        <v>0.0471</v>
      </c>
      <c r="EC28" s="261">
        <f t="shared" si="48"/>
        <v>0.09946446758770655</v>
      </c>
      <c r="ED28" s="208">
        <f t="shared" si="22"/>
        <v>0.00615964126212078</v>
      </c>
      <c r="EE28" s="123">
        <v>48.59</v>
      </c>
      <c r="EF28" s="123">
        <v>45.56</v>
      </c>
      <c r="EG28" s="258">
        <f>AVERAGE(EE28:EF28)</f>
        <v>47.075</v>
      </c>
      <c r="EH28" s="278">
        <f t="shared" si="60"/>
        <v>1.86</v>
      </c>
      <c r="EI28" s="256">
        <v>0.0758</v>
      </c>
      <c r="EJ28" s="261">
        <f t="shared" si="50"/>
        <v>0.12124625942630773</v>
      </c>
      <c r="EK28" s="208">
        <f t="shared" si="23"/>
        <v>0.010845938920694187</v>
      </c>
      <c r="EL28" s="279">
        <v>18.73</v>
      </c>
      <c r="EM28" s="279">
        <v>17.14</v>
      </c>
      <c r="EN28" s="279">
        <f>AVERAGE(EL28:EM28)</f>
        <v>17.935000000000002</v>
      </c>
      <c r="EO28" s="278">
        <f t="shared" si="61"/>
        <v>0.6800000072</v>
      </c>
      <c r="EP28" s="256">
        <v>0.085</v>
      </c>
      <c r="EQ28" s="261">
        <f t="shared" si="51"/>
        <v>0.12895497163833203</v>
      </c>
      <c r="ER28" s="208">
        <f t="shared" si="24"/>
        <v>0.00895653478839566</v>
      </c>
      <c r="ES28" s="261"/>
      <c r="ET28" s="262">
        <v>1</v>
      </c>
      <c r="EU28" s="262">
        <v>0.775</v>
      </c>
      <c r="EV28" s="262">
        <v>0.2</v>
      </c>
      <c r="EW28" s="262">
        <v>0.6</v>
      </c>
      <c r="EX28" s="280">
        <v>1.21627621</v>
      </c>
      <c r="EY28" s="262">
        <v>4</v>
      </c>
      <c r="FA28" s="262">
        <v>0.715</v>
      </c>
      <c r="FB28" s="262">
        <v>1.8</v>
      </c>
      <c r="FC28" s="262">
        <v>0.65</v>
      </c>
      <c r="FD28" s="262">
        <v>0.325</v>
      </c>
      <c r="FE28" s="258">
        <v>0.975</v>
      </c>
      <c r="FF28" s="258">
        <v>1.3</v>
      </c>
      <c r="FG28" s="258">
        <v>1</v>
      </c>
      <c r="FI28" s="258">
        <v>0.325</v>
      </c>
      <c r="FJ28" s="258">
        <v>0.85</v>
      </c>
      <c r="FK28" s="258">
        <v>0.625</v>
      </c>
      <c r="FL28" s="258">
        <v>1.3</v>
      </c>
      <c r="FM28" s="281">
        <v>1.8778232</v>
      </c>
      <c r="FN28" s="281">
        <v>1.458001</v>
      </c>
      <c r="FO28" s="258">
        <f>SUM(ET28:FN28)</f>
        <v>20.992100409999995</v>
      </c>
      <c r="FP28" s="261">
        <f t="shared" si="25"/>
        <v>0.12323121466099496</v>
      </c>
    </row>
    <row r="29" spans="1:172" ht="12.75">
      <c r="A29" s="263">
        <v>36494</v>
      </c>
      <c r="B29" s="255">
        <v>19.1875</v>
      </c>
      <c r="C29" s="255">
        <v>17.1875</v>
      </c>
      <c r="D29" s="255">
        <f t="shared" si="26"/>
        <v>18.1875</v>
      </c>
      <c r="E29" s="255">
        <v>1.08</v>
      </c>
      <c r="F29" s="256">
        <v>0.0516</v>
      </c>
      <c r="G29" s="261">
        <f t="shared" si="27"/>
        <v>0.11888901050391554</v>
      </c>
      <c r="H29" s="277">
        <f t="shared" si="0"/>
        <v>0.005687285741878869</v>
      </c>
      <c r="I29" s="255">
        <v>23.625</v>
      </c>
      <c r="J29" s="255">
        <v>22</v>
      </c>
      <c r="K29" s="258">
        <f t="shared" si="28"/>
        <v>22.8125</v>
      </c>
      <c r="L29" s="259">
        <v>1.14</v>
      </c>
      <c r="M29" s="256">
        <v>0.0739</v>
      </c>
      <c r="N29" s="261">
        <f t="shared" si="29"/>
        <v>0.13151420864328345</v>
      </c>
      <c r="O29" s="208">
        <f t="shared" si="1"/>
        <v>0.004875708296237072</v>
      </c>
      <c r="P29" s="260">
        <v>18.0625</v>
      </c>
      <c r="Q29" s="260">
        <v>16.4375</v>
      </c>
      <c r="R29" s="258">
        <f t="shared" si="30"/>
        <v>17.25</v>
      </c>
      <c r="S29" s="49">
        <v>0.96</v>
      </c>
      <c r="T29" s="261">
        <v>0.042</v>
      </c>
      <c r="U29" s="261">
        <f t="shared" si="2"/>
        <v>0.10121104647608359</v>
      </c>
      <c r="V29" s="208">
        <f t="shared" si="3"/>
        <v>0.0009683252288908777</v>
      </c>
      <c r="W29" s="255">
        <v>19.75</v>
      </c>
      <c r="X29" s="255">
        <v>18.3125</v>
      </c>
      <c r="Y29" s="258">
        <f t="shared" si="31"/>
        <v>19.03125</v>
      </c>
      <c r="Z29" s="258">
        <v>0.66</v>
      </c>
      <c r="AA29" s="256">
        <v>0.072</v>
      </c>
      <c r="AB29" s="261">
        <f t="shared" si="32"/>
        <v>0.11167239944026308</v>
      </c>
      <c r="AC29" s="208">
        <f t="shared" si="4"/>
        <v>0.0032052391170860643</v>
      </c>
      <c r="AD29" s="123">
        <v>36.68</v>
      </c>
      <c r="AE29" s="123">
        <v>34.32</v>
      </c>
      <c r="AF29" s="258">
        <f t="shared" si="5"/>
        <v>35.5</v>
      </c>
      <c r="AG29" s="258">
        <v>1.18</v>
      </c>
      <c r="AH29" s="256">
        <v>0.0783</v>
      </c>
      <c r="AI29" s="261">
        <f t="shared" si="33"/>
        <v>0.11652643244932603</v>
      </c>
      <c r="AJ29" s="208">
        <f t="shared" si="6"/>
        <v>0.00635506802074439</v>
      </c>
      <c r="AK29" s="255">
        <v>29.6875</v>
      </c>
      <c r="AL29" s="255">
        <v>24.875</v>
      </c>
      <c r="AM29" s="258">
        <f t="shared" si="34"/>
        <v>27.28125</v>
      </c>
      <c r="AN29" s="258">
        <v>1.78</v>
      </c>
      <c r="AO29" s="256">
        <v>0.0908</v>
      </c>
      <c r="AP29" s="261">
        <f t="shared" si="54"/>
        <v>0.16766812500664852</v>
      </c>
      <c r="AQ29" s="208">
        <f t="shared" si="52"/>
        <v>0.032082916080337656</v>
      </c>
      <c r="AR29" s="260">
        <v>23</v>
      </c>
      <c r="AS29" s="260">
        <v>21.125</v>
      </c>
      <c r="AT29" s="258">
        <f t="shared" si="35"/>
        <v>22.0625</v>
      </c>
      <c r="AU29" s="258">
        <v>1.34</v>
      </c>
      <c r="AW29" s="261"/>
      <c r="AX29" s="208"/>
      <c r="AY29" s="255">
        <v>41.125</v>
      </c>
      <c r="AZ29" s="255">
        <v>39</v>
      </c>
      <c r="BA29" s="258">
        <f t="shared" si="36"/>
        <v>40.0625</v>
      </c>
      <c r="BB29" s="255">
        <v>1.68</v>
      </c>
      <c r="BC29" s="256">
        <v>0.059</v>
      </c>
      <c r="BD29" s="261">
        <f t="shared" si="37"/>
        <v>0.10652540418653889</v>
      </c>
      <c r="BE29" s="208">
        <f t="shared" si="7"/>
        <v>0.0036435318370825684</v>
      </c>
      <c r="BF29" s="255">
        <v>38.6875</v>
      </c>
      <c r="BG29" s="255">
        <v>34.375</v>
      </c>
      <c r="BH29" s="258">
        <f t="shared" si="38"/>
        <v>36.53125</v>
      </c>
      <c r="BI29" s="258">
        <v>1.56</v>
      </c>
      <c r="BJ29" s="256">
        <v>0.0649</v>
      </c>
      <c r="BK29" s="261">
        <f t="shared" si="39"/>
        <v>0.1135809501013223</v>
      </c>
      <c r="BL29" s="208">
        <f t="shared" si="8"/>
        <v>0.009780055932673911</v>
      </c>
      <c r="BM29" s="255">
        <v>27</v>
      </c>
      <c r="BN29" s="255">
        <v>23</v>
      </c>
      <c r="BO29" s="258">
        <f t="shared" si="40"/>
        <v>25</v>
      </c>
      <c r="BP29" s="258">
        <v>1.24</v>
      </c>
      <c r="BQ29" s="256">
        <v>0.0428</v>
      </c>
      <c r="BR29" s="261">
        <f t="shared" si="53"/>
        <v>0.09832042146228792</v>
      </c>
      <c r="BS29" s="208">
        <f t="shared" si="9"/>
        <v>0.0030571758793023506</v>
      </c>
      <c r="BT29" s="260">
        <v>27.15625</v>
      </c>
      <c r="BU29" s="260">
        <v>24</v>
      </c>
      <c r="BV29" s="258">
        <f t="shared" si="41"/>
        <v>25.578125</v>
      </c>
      <c r="BW29" s="49">
        <v>0.98</v>
      </c>
      <c r="BX29" s="256">
        <v>0.097</v>
      </c>
      <c r="BY29" s="261">
        <f t="shared" si="10"/>
        <v>0.13963819413108092</v>
      </c>
      <c r="BZ29" s="208">
        <f t="shared" si="11"/>
        <v>0.0021709554972291394</v>
      </c>
      <c r="CA29" s="255">
        <v>15.0625</v>
      </c>
      <c r="CB29" s="255">
        <v>13.125</v>
      </c>
      <c r="CC29" s="258">
        <f t="shared" si="42"/>
        <v>14.09375</v>
      </c>
      <c r="CD29" s="258">
        <v>0.62</v>
      </c>
      <c r="CE29" s="256">
        <v>0.0667</v>
      </c>
      <c r="CF29" s="261">
        <f t="shared" si="43"/>
        <v>0.1169594747903775</v>
      </c>
      <c r="CG29" s="208">
        <f t="shared" si="12"/>
        <v>0.005455108102676752</v>
      </c>
      <c r="CH29" s="255">
        <v>39.4375</v>
      </c>
      <c r="CI29" s="255">
        <v>35.625</v>
      </c>
      <c r="CJ29" s="258">
        <f t="shared" si="44"/>
        <v>37.53125</v>
      </c>
      <c r="CK29" s="258">
        <v>1.96</v>
      </c>
      <c r="CL29" s="256">
        <v>0.0513</v>
      </c>
      <c r="CM29" s="261">
        <f t="shared" si="45"/>
        <v>0.11029407954135229</v>
      </c>
      <c r="CN29" s="208">
        <f t="shared" si="13"/>
        <v>0.006858969776345193</v>
      </c>
      <c r="CO29" s="255">
        <v>33.1875</v>
      </c>
      <c r="CP29" s="255">
        <v>30.5</v>
      </c>
      <c r="CQ29" s="258">
        <f t="shared" si="14"/>
        <v>31.84375</v>
      </c>
      <c r="CR29" s="258">
        <v>1.38</v>
      </c>
      <c r="CS29" s="256">
        <v>0.061</v>
      </c>
      <c r="CT29" s="261">
        <f t="shared" si="46"/>
        <v>0.11023441718124571</v>
      </c>
      <c r="CU29" s="208">
        <f t="shared" si="15"/>
        <v>0.005273276532809381</v>
      </c>
      <c r="CV29" s="262">
        <v>14.25</v>
      </c>
      <c r="CW29" s="262">
        <v>13.125</v>
      </c>
      <c r="CX29" s="262">
        <f t="shared" si="16"/>
        <v>13.6875</v>
      </c>
      <c r="CY29" s="262">
        <v>0.82</v>
      </c>
      <c r="DA29" s="261"/>
      <c r="DB29" s="208"/>
      <c r="DC29" s="260">
        <v>30.25</v>
      </c>
      <c r="DD29" s="260">
        <v>26.125</v>
      </c>
      <c r="DE29" s="258">
        <f t="shared" si="17"/>
        <v>28.1875</v>
      </c>
      <c r="DF29" s="258">
        <v>1.44</v>
      </c>
      <c r="DG29" s="261">
        <v>0.0367</v>
      </c>
      <c r="DH29" s="261">
        <f aca="true" t="shared" si="63" ref="DH29:DH65">+((((((DF29/4)*(1+DG29)^0.25))/(DE29*0.95))+(1+DG29)^(0.25))^4)-1</f>
        <v>0.09358311125023211</v>
      </c>
      <c r="DI29" s="208">
        <f t="shared" si="62"/>
        <v>0.0014549369610565362</v>
      </c>
      <c r="DJ29" s="255">
        <v>24.8125</v>
      </c>
      <c r="DK29" s="255">
        <v>22.875</v>
      </c>
      <c r="DL29" s="258">
        <f t="shared" si="18"/>
        <v>23.84375</v>
      </c>
      <c r="DM29" s="258">
        <v>0.82</v>
      </c>
      <c r="DN29" s="256">
        <v>0.05</v>
      </c>
      <c r="DO29" s="261">
        <f t="shared" si="47"/>
        <v>0.08852974585998563</v>
      </c>
      <c r="DP29" s="208">
        <f t="shared" si="19"/>
        <v>0.003599742863898365</v>
      </c>
      <c r="DQ29" s="255">
        <v>23.9375</v>
      </c>
      <c r="DR29" s="255">
        <v>19.125</v>
      </c>
      <c r="DS29" s="258">
        <f t="shared" si="20"/>
        <v>21.53125</v>
      </c>
      <c r="DT29" s="258">
        <v>1.5</v>
      </c>
      <c r="DU29" s="256">
        <v>0.0667</v>
      </c>
      <c r="DV29" s="261">
        <f t="shared" si="59"/>
        <v>0.1471016840341135</v>
      </c>
      <c r="DW29" s="208">
        <f t="shared" si="56"/>
        <v>0.004398058463664894</v>
      </c>
      <c r="DX29" s="255">
        <v>29.4375</v>
      </c>
      <c r="DY29" s="255">
        <v>26.5</v>
      </c>
      <c r="DZ29" s="258">
        <f t="shared" si="21"/>
        <v>27.96875</v>
      </c>
      <c r="EA29" s="258">
        <v>1.22</v>
      </c>
      <c r="EB29" s="256">
        <v>0.0471</v>
      </c>
      <c r="EC29" s="261">
        <f t="shared" si="48"/>
        <v>0.09601273842602831</v>
      </c>
      <c r="ED29" s="208">
        <f t="shared" si="22"/>
        <v>0.005970841533351362</v>
      </c>
      <c r="EE29" s="123">
        <v>52.43</v>
      </c>
      <c r="EF29" s="123">
        <v>48.47</v>
      </c>
      <c r="EG29" s="258">
        <f>AVERAGE(EE29:EF29)</f>
        <v>50.45</v>
      </c>
      <c r="EH29" s="278">
        <f t="shared" si="60"/>
        <v>1.86</v>
      </c>
      <c r="EI29" s="256">
        <v>0.0719</v>
      </c>
      <c r="EJ29" s="261">
        <f t="shared" si="50"/>
        <v>0.11410828128557671</v>
      </c>
      <c r="EK29" s="208">
        <f t="shared" si="23"/>
        <v>0.010500170747717707</v>
      </c>
      <c r="EL29" s="279">
        <v>17.75</v>
      </c>
      <c r="EM29" s="279">
        <v>16.19</v>
      </c>
      <c r="EN29" s="279">
        <f>AVERAGE(EL29:EM29)</f>
        <v>16.97</v>
      </c>
      <c r="EO29" s="278">
        <f t="shared" si="61"/>
        <v>0.6800000072</v>
      </c>
      <c r="EP29" s="256">
        <v>0.0821</v>
      </c>
      <c r="EQ29" s="261">
        <f t="shared" si="51"/>
        <v>0.12846968771430478</v>
      </c>
      <c r="ER29" s="208">
        <f t="shared" si="24"/>
        <v>0.008607967816983532</v>
      </c>
      <c r="ES29" s="261"/>
      <c r="ET29" s="262">
        <v>1</v>
      </c>
      <c r="EU29" s="262">
        <v>0.775</v>
      </c>
      <c r="EV29" s="262">
        <v>0.2</v>
      </c>
      <c r="EW29" s="262">
        <v>0.6</v>
      </c>
      <c r="EX29" s="280">
        <v>1.1400723599999998</v>
      </c>
      <c r="EY29" s="262">
        <v>4</v>
      </c>
      <c r="FA29" s="262">
        <v>0.715</v>
      </c>
      <c r="FB29" s="262">
        <v>1.8</v>
      </c>
      <c r="FC29" s="262">
        <v>0.65</v>
      </c>
      <c r="FD29" s="262">
        <v>0.325</v>
      </c>
      <c r="FE29" s="258">
        <v>0.975</v>
      </c>
      <c r="FF29" s="258">
        <v>1.3</v>
      </c>
      <c r="FG29" s="258">
        <v>1</v>
      </c>
      <c r="FI29" s="258">
        <v>0.325</v>
      </c>
      <c r="FJ29" s="258">
        <v>0.85</v>
      </c>
      <c r="FK29" s="258">
        <v>0.625</v>
      </c>
      <c r="FL29" s="258">
        <v>1.3</v>
      </c>
      <c r="FM29" s="281">
        <v>1.9236048399999999</v>
      </c>
      <c r="FN29" s="281">
        <v>1.4006725899999999</v>
      </c>
      <c r="FO29" s="258">
        <f>SUM(ET29:FN29)</f>
        <v>20.904349789999998</v>
      </c>
      <c r="FP29" s="261">
        <f t="shared" si="25"/>
        <v>0.12394533442996662</v>
      </c>
    </row>
    <row r="30" spans="1:172" ht="12.75">
      <c r="A30" s="263">
        <v>36525</v>
      </c>
      <c r="B30" s="255">
        <v>19</v>
      </c>
      <c r="C30" s="255">
        <v>16.5625</v>
      </c>
      <c r="D30" s="255">
        <f t="shared" si="26"/>
        <v>17.78125</v>
      </c>
      <c r="E30" s="255">
        <v>1.08</v>
      </c>
      <c r="F30" s="256">
        <v>0.0516</v>
      </c>
      <c r="G30" s="261">
        <f t="shared" si="27"/>
        <v>0.1204631388005386</v>
      </c>
      <c r="H30" s="277">
        <f t="shared" si="0"/>
        <v>0.00585923376915715</v>
      </c>
      <c r="I30" s="255">
        <v>22.6875</v>
      </c>
      <c r="J30" s="255">
        <v>19.625</v>
      </c>
      <c r="K30" s="258">
        <f t="shared" si="28"/>
        <v>21.15625</v>
      </c>
      <c r="L30" s="259">
        <v>1.14</v>
      </c>
      <c r="M30" s="256">
        <v>0.0739</v>
      </c>
      <c r="N30" s="261">
        <f t="shared" si="29"/>
        <v>0.13612041559775045</v>
      </c>
      <c r="O30" s="208">
        <f t="shared" si="1"/>
        <v>0.005131113478817317</v>
      </c>
      <c r="P30" s="260">
        <v>17.8125</v>
      </c>
      <c r="Q30" s="260">
        <v>15.375</v>
      </c>
      <c r="R30" s="258">
        <f t="shared" si="30"/>
        <v>16.59375</v>
      </c>
      <c r="S30" s="49">
        <v>0.96</v>
      </c>
      <c r="T30" s="261">
        <v>0.042</v>
      </c>
      <c r="U30" s="261">
        <f t="shared" si="2"/>
        <v>0.10360342704727743</v>
      </c>
      <c r="V30" s="208">
        <f t="shared" si="3"/>
        <v>0.0010078380895602282</v>
      </c>
      <c r="W30" s="255">
        <v>19.25</v>
      </c>
      <c r="X30" s="255">
        <v>15.75</v>
      </c>
      <c r="Y30" s="258">
        <f t="shared" si="31"/>
        <v>17.5</v>
      </c>
      <c r="Z30" s="258">
        <v>0.66</v>
      </c>
      <c r="AA30" s="256">
        <v>0.072</v>
      </c>
      <c r="AB30" s="261">
        <f t="shared" si="32"/>
        <v>0.11519536057090884</v>
      </c>
      <c r="AC30" s="208">
        <f t="shared" si="4"/>
        <v>0.0033618078696665272</v>
      </c>
      <c r="AD30" s="123">
        <v>35.75</v>
      </c>
      <c r="AE30" s="123">
        <v>32.28</v>
      </c>
      <c r="AF30" s="258">
        <f t="shared" si="5"/>
        <v>34.015</v>
      </c>
      <c r="AG30" s="258">
        <v>1.18</v>
      </c>
      <c r="AH30" s="256">
        <v>0.0783</v>
      </c>
      <c r="AI30" s="261">
        <f t="shared" si="33"/>
        <v>0.11821811664663606</v>
      </c>
      <c r="AJ30" s="208">
        <f t="shared" si="6"/>
        <v>0.00628381868368976</v>
      </c>
      <c r="AK30" s="255">
        <v>26.0625</v>
      </c>
      <c r="AL30" s="255">
        <v>22.5</v>
      </c>
      <c r="AM30" s="258">
        <f t="shared" si="34"/>
        <v>24.28125</v>
      </c>
      <c r="AN30" s="258">
        <v>1.78</v>
      </c>
      <c r="AO30" s="256">
        <v>0.0908</v>
      </c>
      <c r="AP30" s="261">
        <f t="shared" si="54"/>
        <v>0.17743974569171628</v>
      </c>
      <c r="AQ30" s="208">
        <f t="shared" si="52"/>
        <v>0.03452212719341537</v>
      </c>
      <c r="AR30" s="260">
        <v>23</v>
      </c>
      <c r="AS30" s="260">
        <v>20</v>
      </c>
      <c r="AT30" s="258">
        <f t="shared" si="35"/>
        <v>21.5</v>
      </c>
      <c r="AU30" s="258">
        <v>1.34</v>
      </c>
      <c r="AW30" s="261"/>
      <c r="AX30" s="208"/>
      <c r="AY30" s="255">
        <v>40.5</v>
      </c>
      <c r="AZ30" s="255">
        <v>38.875</v>
      </c>
      <c r="BA30" s="258">
        <f t="shared" si="36"/>
        <v>39.6875</v>
      </c>
      <c r="BB30" s="255">
        <v>1.68</v>
      </c>
      <c r="BC30" s="256">
        <v>0.059</v>
      </c>
      <c r="BD30" s="261">
        <f t="shared" si="37"/>
        <v>0.10698195316070191</v>
      </c>
      <c r="BE30" s="208">
        <f t="shared" si="7"/>
        <v>0.0037205163289539063</v>
      </c>
      <c r="BF30" s="255">
        <v>34.9375</v>
      </c>
      <c r="BG30" s="255">
        <v>31.1875</v>
      </c>
      <c r="BH30" s="258">
        <f t="shared" si="38"/>
        <v>33.0625</v>
      </c>
      <c r="BI30" s="258">
        <v>1.56</v>
      </c>
      <c r="BJ30" s="256">
        <v>0.0649</v>
      </c>
      <c r="BK30" s="261">
        <f t="shared" si="39"/>
        <v>0.11878332641223643</v>
      </c>
      <c r="BL30" s="208">
        <f t="shared" si="8"/>
        <v>0.01039955219217403</v>
      </c>
      <c r="BM30" s="255">
        <v>25.125</v>
      </c>
      <c r="BN30" s="255">
        <v>21.125</v>
      </c>
      <c r="BO30" s="258">
        <f t="shared" si="40"/>
        <v>23.125</v>
      </c>
      <c r="BP30" s="258">
        <v>1.24</v>
      </c>
      <c r="BQ30" s="256">
        <v>0.0402</v>
      </c>
      <c r="BR30" s="261">
        <f t="shared" si="53"/>
        <v>0.10016732705092557</v>
      </c>
      <c r="BS30" s="208">
        <f t="shared" si="9"/>
        <v>0.0031668397834677614</v>
      </c>
      <c r="BT30" s="260">
        <v>28.1875</v>
      </c>
      <c r="BU30" s="260">
        <v>24.75</v>
      </c>
      <c r="BV30" s="258">
        <f t="shared" si="41"/>
        <v>26.46875</v>
      </c>
      <c r="BW30" s="49">
        <v>0.98</v>
      </c>
      <c r="BX30" s="256">
        <v>0.097</v>
      </c>
      <c r="BY30" s="261">
        <f t="shared" si="10"/>
        <v>0.13818361366420406</v>
      </c>
      <c r="BZ30" s="208">
        <f t="shared" si="11"/>
        <v>0.0021843717809933174</v>
      </c>
      <c r="CA30" s="255">
        <v>14.625</v>
      </c>
      <c r="CB30" s="255">
        <v>12.5</v>
      </c>
      <c r="CC30" s="258">
        <f t="shared" si="42"/>
        <v>13.5625</v>
      </c>
      <c r="CD30" s="258">
        <v>0.62</v>
      </c>
      <c r="CE30" s="256">
        <v>0.0667</v>
      </c>
      <c r="CF30" s="261">
        <f t="shared" si="43"/>
        <v>0.11896363004179622</v>
      </c>
      <c r="CG30" s="208">
        <f t="shared" si="12"/>
        <v>0.005641641353930182</v>
      </c>
      <c r="CH30" s="255">
        <v>38</v>
      </c>
      <c r="CI30" s="255">
        <v>33.25</v>
      </c>
      <c r="CJ30" s="258">
        <f t="shared" si="44"/>
        <v>35.625</v>
      </c>
      <c r="CK30" s="258">
        <v>1.96</v>
      </c>
      <c r="CL30" s="256">
        <v>0.0513</v>
      </c>
      <c r="CM30" s="261">
        <f t="shared" si="45"/>
        <v>0.11351920884259448</v>
      </c>
      <c r="CN30" s="208">
        <f t="shared" si="13"/>
        <v>0.007177932312554239</v>
      </c>
      <c r="CO30" s="255">
        <v>32.875</v>
      </c>
      <c r="CP30" s="255">
        <v>28.9375</v>
      </c>
      <c r="CQ30" s="258">
        <f t="shared" si="14"/>
        <v>30.90625</v>
      </c>
      <c r="CR30" s="258">
        <v>1.38</v>
      </c>
      <c r="CS30" s="256">
        <v>0.0607</v>
      </c>
      <c r="CT30" s="261">
        <f t="shared" si="46"/>
        <v>0.11143980498823791</v>
      </c>
      <c r="CU30" s="208">
        <f t="shared" si="15"/>
        <v>0.005420345801353563</v>
      </c>
      <c r="CV30" s="262">
        <v>13.875</v>
      </c>
      <c r="CW30" s="262">
        <v>10.9375</v>
      </c>
      <c r="CX30" s="262">
        <f t="shared" si="16"/>
        <v>12.40625</v>
      </c>
      <c r="CY30" s="262">
        <v>0.82</v>
      </c>
      <c r="DA30" s="261"/>
      <c r="DB30" s="208"/>
      <c r="DC30" s="260">
        <v>29.5</v>
      </c>
      <c r="DD30" s="260">
        <v>28</v>
      </c>
      <c r="DE30" s="258">
        <f t="shared" si="17"/>
        <v>28.75</v>
      </c>
      <c r="DF30" s="258">
        <v>1.44</v>
      </c>
      <c r="DG30" s="261">
        <v>0.0367</v>
      </c>
      <c r="DH30" s="261">
        <f t="shared" si="63"/>
        <v>0.09244823098006716</v>
      </c>
      <c r="DI30" s="208">
        <f t="shared" si="62"/>
        <v>0.0014613983641095284</v>
      </c>
      <c r="DJ30" s="255">
        <v>23.625</v>
      </c>
      <c r="DK30" s="255">
        <v>20.375</v>
      </c>
      <c r="DL30" s="258">
        <f t="shared" si="18"/>
        <v>22</v>
      </c>
      <c r="DM30" s="258">
        <v>0.82</v>
      </c>
      <c r="DN30" s="256">
        <v>0.05</v>
      </c>
      <c r="DO30" s="261">
        <f t="shared" si="47"/>
        <v>0.09180626133668213</v>
      </c>
      <c r="DP30" s="208">
        <f t="shared" si="19"/>
        <v>0.0037955776281442606</v>
      </c>
      <c r="DQ30" s="255">
        <v>22.125</v>
      </c>
      <c r="DR30" s="255">
        <v>19.3125</v>
      </c>
      <c r="DS30" s="258">
        <f t="shared" si="20"/>
        <v>20.71875</v>
      </c>
      <c r="DT30" s="258">
        <v>1.5</v>
      </c>
      <c r="DU30" s="256">
        <v>0.0667</v>
      </c>
      <c r="DV30" s="261">
        <f t="shared" si="59"/>
        <v>0.15034455849265504</v>
      </c>
      <c r="DW30" s="208">
        <f t="shared" si="56"/>
        <v>0.004570401799361716</v>
      </c>
      <c r="DX30" s="255">
        <v>29.25</v>
      </c>
      <c r="DY30" s="255">
        <v>27.0625</v>
      </c>
      <c r="DZ30" s="258">
        <f t="shared" si="21"/>
        <v>28.15625</v>
      </c>
      <c r="EA30" s="258">
        <v>1.22</v>
      </c>
      <c r="EB30" s="256">
        <v>0.0463</v>
      </c>
      <c r="EC30" s="261">
        <f t="shared" si="48"/>
        <v>0.09484433848077511</v>
      </c>
      <c r="ED30" s="208">
        <f t="shared" si="22"/>
        <v>0.005997101713314123</v>
      </c>
      <c r="EE30" s="123">
        <v>50.26</v>
      </c>
      <c r="EF30" s="123">
        <v>46.19</v>
      </c>
      <c r="EG30" s="258">
        <f>AVERAGE(EE30:EF30)</f>
        <v>48.224999999999994</v>
      </c>
      <c r="EH30" s="278">
        <f t="shared" si="60"/>
        <v>1.86</v>
      </c>
      <c r="EI30" s="256">
        <v>0.0719</v>
      </c>
      <c r="EJ30" s="261">
        <f t="shared" si="50"/>
        <v>0.1160852912742909</v>
      </c>
      <c r="EK30" s="208">
        <f t="shared" si="23"/>
        <v>0.010186526929825688</v>
      </c>
      <c r="EL30" s="279">
        <v>17.05</v>
      </c>
      <c r="EM30" s="279">
        <v>14.58</v>
      </c>
      <c r="EN30" s="279">
        <f>AVERAGE(EL30:EM30)</f>
        <v>15.815000000000001</v>
      </c>
      <c r="EO30" s="278">
        <f t="shared" si="61"/>
        <v>0.6800000072</v>
      </c>
      <c r="EP30" s="256">
        <v>0.085</v>
      </c>
      <c r="EQ30" s="261">
        <f t="shared" si="51"/>
        <v>0.13494705835255716</v>
      </c>
      <c r="ER30" s="208">
        <f t="shared" si="24"/>
        <v>0.008024804755460972</v>
      </c>
      <c r="ES30" s="261"/>
      <c r="ET30" s="262">
        <v>1</v>
      </c>
      <c r="EU30" s="262">
        <v>0.775</v>
      </c>
      <c r="EV30" s="262">
        <v>0.2</v>
      </c>
      <c r="EW30" s="262">
        <v>0.6</v>
      </c>
      <c r="EX30" s="280">
        <v>1.09283088</v>
      </c>
      <c r="EY30" s="262">
        <v>4</v>
      </c>
      <c r="FA30" s="262">
        <v>0.715</v>
      </c>
      <c r="FB30" s="262">
        <v>1.8</v>
      </c>
      <c r="FC30" s="262">
        <v>0.65</v>
      </c>
      <c r="FD30" s="262">
        <v>0.325</v>
      </c>
      <c r="FE30" s="258">
        <v>0.975</v>
      </c>
      <c r="FF30" s="258">
        <v>1.3</v>
      </c>
      <c r="FG30" s="258">
        <v>1</v>
      </c>
      <c r="FI30" s="258">
        <v>0.325</v>
      </c>
      <c r="FJ30" s="258">
        <v>0.85</v>
      </c>
      <c r="FK30" s="258">
        <v>0.625</v>
      </c>
      <c r="FL30" s="258">
        <v>1.3</v>
      </c>
      <c r="FM30" s="281">
        <v>1.804107</v>
      </c>
      <c r="FN30" s="281">
        <v>1.22260003</v>
      </c>
      <c r="FO30" s="258">
        <f>SUM(ET30:FN30)</f>
        <v>20.55953791</v>
      </c>
      <c r="FP30" s="261">
        <f t="shared" si="25"/>
        <v>0.12791294982794965</v>
      </c>
    </row>
    <row r="31" spans="1:172" ht="12.75">
      <c r="A31" s="263">
        <v>36556</v>
      </c>
      <c r="B31" s="255">
        <v>18</v>
      </c>
      <c r="C31" s="255">
        <v>16</v>
      </c>
      <c r="D31" s="255">
        <f t="shared" si="26"/>
        <v>17</v>
      </c>
      <c r="E31" s="255">
        <v>1.08</v>
      </c>
      <c r="F31" s="256">
        <v>0.0516</v>
      </c>
      <c r="G31" s="261">
        <f t="shared" si="27"/>
        <v>0.12370698872143726</v>
      </c>
      <c r="H31" s="277">
        <f t="shared" si="0"/>
        <v>0.0065210750034075185</v>
      </c>
      <c r="I31" s="255">
        <v>20.5</v>
      </c>
      <c r="J31" s="255">
        <v>16.75</v>
      </c>
      <c r="K31" s="258">
        <f t="shared" si="28"/>
        <v>18.625</v>
      </c>
      <c r="L31" s="259">
        <v>1.14</v>
      </c>
      <c r="M31" s="256">
        <v>0.0739</v>
      </c>
      <c r="N31" s="261">
        <f t="shared" si="29"/>
        <v>0.1447806219666794</v>
      </c>
      <c r="O31" s="208">
        <f t="shared" si="1"/>
        <v>0.005227884323110619</v>
      </c>
      <c r="P31" s="260">
        <v>16.4375</v>
      </c>
      <c r="Q31" s="260">
        <v>14.1875</v>
      </c>
      <c r="R31" s="258">
        <f t="shared" si="30"/>
        <v>15.3125</v>
      </c>
      <c r="S31" s="49">
        <v>0.96</v>
      </c>
      <c r="T31" s="261">
        <v>0.042</v>
      </c>
      <c r="U31" s="261">
        <f t="shared" si="2"/>
        <v>0.10887898295411791</v>
      </c>
      <c r="V31" s="208">
        <f t="shared" si="3"/>
        <v>0.0010904923325721844</v>
      </c>
      <c r="W31" s="255">
        <v>18.9375</v>
      </c>
      <c r="X31" s="255">
        <v>16.125</v>
      </c>
      <c r="Y31" s="258">
        <f t="shared" si="31"/>
        <v>17.53125</v>
      </c>
      <c r="Z31" s="258">
        <v>0.66</v>
      </c>
      <c r="AA31" s="256">
        <v>0.072</v>
      </c>
      <c r="AB31" s="261">
        <f t="shared" si="32"/>
        <v>0.11511722119818124</v>
      </c>
      <c r="AC31" s="208">
        <f t="shared" si="4"/>
        <v>0.0029127720257393283</v>
      </c>
      <c r="AD31" s="123">
        <v>36.74</v>
      </c>
      <c r="AE31" s="123">
        <v>32.28</v>
      </c>
      <c r="AF31" s="258">
        <f t="shared" si="5"/>
        <v>34.510000000000005</v>
      </c>
      <c r="AG31" s="258">
        <v>1.18</v>
      </c>
      <c r="AH31" s="256">
        <v>0.0783</v>
      </c>
      <c r="AI31" s="261">
        <f t="shared" si="33"/>
        <v>0.11763782886183316</v>
      </c>
      <c r="AJ31" s="208">
        <f t="shared" si="6"/>
        <v>0.007006248290158693</v>
      </c>
      <c r="AK31" s="255">
        <v>24.25</v>
      </c>
      <c r="AL31" s="255">
        <v>22.0625</v>
      </c>
      <c r="AM31" s="258">
        <f t="shared" si="34"/>
        <v>23.15625</v>
      </c>
      <c r="AN31" s="258">
        <v>1.78</v>
      </c>
      <c r="AO31" s="256">
        <v>0.0908</v>
      </c>
      <c r="AP31" s="261">
        <f t="shared" si="54"/>
        <v>0.18177634108933605</v>
      </c>
      <c r="AQ31" s="208">
        <f t="shared" si="52"/>
        <v>0.03066283426900705</v>
      </c>
      <c r="AR31" s="260">
        <v>21.875</v>
      </c>
      <c r="AS31" s="260">
        <v>18.875</v>
      </c>
      <c r="AT31" s="258">
        <f t="shared" si="35"/>
        <v>20.375</v>
      </c>
      <c r="AU31" s="258">
        <v>1.34</v>
      </c>
      <c r="AW31" s="261"/>
      <c r="AX31" s="208"/>
      <c r="AY31" s="255">
        <v>39.75</v>
      </c>
      <c r="AZ31" s="255">
        <v>36.5</v>
      </c>
      <c r="BA31" s="258">
        <f t="shared" si="36"/>
        <v>38.125</v>
      </c>
      <c r="BB31" s="255">
        <v>1.72</v>
      </c>
      <c r="BC31" s="256">
        <v>0.059</v>
      </c>
      <c r="BD31" s="261">
        <f t="shared" si="37"/>
        <v>0.11019379460031264</v>
      </c>
      <c r="BE31" s="208">
        <f t="shared" si="7"/>
        <v>0.004124206925713327</v>
      </c>
      <c r="BF31" s="255">
        <v>36.375</v>
      </c>
      <c r="BG31" s="255">
        <v>31.3125</v>
      </c>
      <c r="BH31" s="258">
        <f t="shared" si="38"/>
        <v>33.84375</v>
      </c>
      <c r="BI31" s="258">
        <v>1.56</v>
      </c>
      <c r="BJ31" s="256">
        <v>0.0649</v>
      </c>
      <c r="BK31" s="261">
        <f t="shared" si="39"/>
        <v>0.11751690245827251</v>
      </c>
      <c r="BL31" s="208">
        <f t="shared" si="8"/>
        <v>0.009292157335073683</v>
      </c>
      <c r="BM31" s="255">
        <v>22.25</v>
      </c>
      <c r="BN31" s="255">
        <v>19.1875</v>
      </c>
      <c r="BO31" s="258">
        <f t="shared" si="40"/>
        <v>20.71875</v>
      </c>
      <c r="BP31" s="258">
        <v>1.24</v>
      </c>
      <c r="BQ31" s="256">
        <v>0.0402</v>
      </c>
      <c r="BR31" s="261">
        <f t="shared" si="53"/>
        <v>0.10729617593924212</v>
      </c>
      <c r="BS31" s="208">
        <f t="shared" si="9"/>
        <v>0.0033935984608961284</v>
      </c>
      <c r="BT31" s="260">
        <v>30.75</v>
      </c>
      <c r="BU31" s="260">
        <v>25.0625</v>
      </c>
      <c r="BV31" s="258">
        <f t="shared" si="41"/>
        <v>27.90625</v>
      </c>
      <c r="BW31" s="49">
        <v>0.98</v>
      </c>
      <c r="BX31" s="256">
        <v>0.097</v>
      </c>
      <c r="BY31" s="261">
        <f t="shared" si="10"/>
        <v>0.13603428838249276</v>
      </c>
      <c r="BZ31" s="208">
        <f t="shared" si="11"/>
        <v>0.002330540797996934</v>
      </c>
      <c r="CA31" s="255">
        <v>14.125</v>
      </c>
      <c r="CB31" s="255">
        <v>12.1875</v>
      </c>
      <c r="CC31" s="258">
        <f t="shared" si="42"/>
        <v>13.15625</v>
      </c>
      <c r="CD31" s="258">
        <v>0.62</v>
      </c>
      <c r="CE31" s="256">
        <v>0.0667</v>
      </c>
      <c r="CF31" s="261">
        <f t="shared" si="43"/>
        <v>0.12060743865504175</v>
      </c>
      <c r="CG31" s="208">
        <f t="shared" si="12"/>
        <v>0.0055019412065572615</v>
      </c>
      <c r="CH31" s="255">
        <v>33.6875</v>
      </c>
      <c r="CI31" s="255">
        <v>30.375</v>
      </c>
      <c r="CJ31" s="258">
        <f t="shared" si="44"/>
        <v>32.03125</v>
      </c>
      <c r="CK31" s="258">
        <v>2</v>
      </c>
      <c r="CL31" s="256">
        <v>0.0513</v>
      </c>
      <c r="CM31" s="261">
        <f t="shared" si="45"/>
        <v>0.12211876067699778</v>
      </c>
      <c r="CN31" s="208">
        <f t="shared" si="13"/>
        <v>0.00772482401450494</v>
      </c>
      <c r="CO31" s="255">
        <v>30.6875</v>
      </c>
      <c r="CP31" s="255">
        <v>28.25</v>
      </c>
      <c r="CQ31" s="258">
        <f t="shared" si="14"/>
        <v>29.46875</v>
      </c>
      <c r="CR31" s="258">
        <v>1.38</v>
      </c>
      <c r="CS31" s="256">
        <v>0.0607</v>
      </c>
      <c r="CT31" s="261">
        <f t="shared" si="46"/>
        <v>0.11396059664014024</v>
      </c>
      <c r="CU31" s="208">
        <f t="shared" si="15"/>
        <v>0.00585712226656746</v>
      </c>
      <c r="CV31" s="262">
        <v>12.875</v>
      </c>
      <c r="CW31" s="262">
        <v>11.25</v>
      </c>
      <c r="CX31" s="262">
        <f t="shared" si="16"/>
        <v>12.0625</v>
      </c>
      <c r="CY31" s="262">
        <v>0.82</v>
      </c>
      <c r="CZ31" s="261">
        <v>0.0825</v>
      </c>
      <c r="DA31" s="261">
        <f aca="true" t="shared" si="64" ref="DA31:DA55">+((((((CY31/4)*(1+CZ31)^0.25))/(CX31*1))+(1+CZ31)^(0.25))^4)-1</f>
        <v>0.15798481989020474</v>
      </c>
      <c r="DB31" s="208">
        <f t="shared" si="58"/>
        <v>0.0018737982863711714</v>
      </c>
      <c r="DC31" s="260">
        <v>29.5</v>
      </c>
      <c r="DD31" s="260">
        <v>28.375</v>
      </c>
      <c r="DE31" s="258">
        <f t="shared" si="17"/>
        <v>28.9375</v>
      </c>
      <c r="DF31" s="258">
        <v>1.46</v>
      </c>
      <c r="DG31" s="261">
        <v>0.0433</v>
      </c>
      <c r="DH31" s="261">
        <f t="shared" si="63"/>
        <v>0.09982194666469346</v>
      </c>
      <c r="DI31" s="208">
        <f t="shared" si="62"/>
        <v>0.0017101505951457022</v>
      </c>
      <c r="DJ31" s="255">
        <v>23</v>
      </c>
      <c r="DK31" s="255">
        <v>19</v>
      </c>
      <c r="DL31" s="258">
        <f t="shared" si="18"/>
        <v>21</v>
      </c>
      <c r="DM31" s="258">
        <v>0.82</v>
      </c>
      <c r="DN31" s="256">
        <v>0.05</v>
      </c>
      <c r="DO31" s="261">
        <f t="shared" si="47"/>
        <v>0.0938276791472612</v>
      </c>
      <c r="DP31" s="208">
        <f t="shared" si="19"/>
        <v>0.003338564006133785</v>
      </c>
      <c r="DQ31" s="255">
        <v>22.25</v>
      </c>
      <c r="DR31" s="255">
        <v>19.875</v>
      </c>
      <c r="DS31" s="258">
        <f t="shared" si="20"/>
        <v>21.0625</v>
      </c>
      <c r="DT31" s="258">
        <v>1.5</v>
      </c>
      <c r="DU31" s="256">
        <v>0.0667</v>
      </c>
      <c r="DV31" s="261">
        <f t="shared" si="59"/>
        <v>0.148941196709506</v>
      </c>
      <c r="DW31" s="208">
        <f t="shared" si="56"/>
        <v>0.004710760765636446</v>
      </c>
      <c r="DX31" s="255">
        <v>27.5625</v>
      </c>
      <c r="DY31" s="255">
        <v>24.5</v>
      </c>
      <c r="DZ31" s="258">
        <f t="shared" si="21"/>
        <v>26.03125</v>
      </c>
      <c r="EA31" s="258">
        <v>1.22</v>
      </c>
      <c r="EB31" s="256">
        <v>0.0463</v>
      </c>
      <c r="EC31" s="261">
        <f t="shared" si="48"/>
        <v>0.09888035704575526</v>
      </c>
      <c r="ED31" s="208">
        <f t="shared" si="22"/>
        <v>0.006776077089261087</v>
      </c>
      <c r="EE31" s="123">
        <v>46.75</v>
      </c>
      <c r="EF31" s="123">
        <v>43.12</v>
      </c>
      <c r="EG31" s="258">
        <f>AVERAGE(EE31:EF31)</f>
        <v>44.935</v>
      </c>
      <c r="EH31" s="278">
        <f t="shared" si="60"/>
        <v>1.86</v>
      </c>
      <c r="EI31" s="256">
        <v>0.0719</v>
      </c>
      <c r="EJ31" s="261">
        <f t="shared" si="50"/>
        <v>0.11937319488308851</v>
      </c>
      <c r="EK31" s="208">
        <f t="shared" si="23"/>
        <v>0.01092996557974367</v>
      </c>
      <c r="EL31" s="279">
        <v>16.56</v>
      </c>
      <c r="EM31" s="279">
        <v>14.4</v>
      </c>
      <c r="EN31" s="279">
        <f>AVERAGE(EL31:EM31)</f>
        <v>15.48</v>
      </c>
      <c r="EO31" s="278">
        <f t="shared" si="61"/>
        <v>0.6800000072</v>
      </c>
      <c r="EP31" s="256">
        <v>0.085</v>
      </c>
      <c r="EQ31" s="261">
        <f t="shared" si="51"/>
        <v>0.13604666367225526</v>
      </c>
      <c r="ER31" s="208">
        <f t="shared" si="24"/>
        <v>0.008951214864783607</v>
      </c>
      <c r="ES31" s="261"/>
      <c r="ET31" s="262">
        <v>1</v>
      </c>
      <c r="EU31" s="262">
        <v>0.685</v>
      </c>
      <c r="EV31" s="262">
        <v>0.19</v>
      </c>
      <c r="EW31" s="262">
        <v>0.48</v>
      </c>
      <c r="EX31" s="280">
        <v>1.1298312000000001</v>
      </c>
      <c r="EY31" s="262">
        <v>3.2</v>
      </c>
      <c r="FA31" s="262">
        <v>0.71</v>
      </c>
      <c r="FB31" s="262">
        <v>1.5</v>
      </c>
      <c r="FC31" s="262">
        <v>0.6</v>
      </c>
      <c r="FD31" s="262">
        <v>0.325</v>
      </c>
      <c r="FE31" s="258">
        <v>0.8654</v>
      </c>
      <c r="FF31" s="258">
        <v>1.2</v>
      </c>
      <c r="FG31" s="258">
        <v>0.975</v>
      </c>
      <c r="FH31" s="258">
        <v>0.225</v>
      </c>
      <c r="FI31" s="258">
        <v>0.325</v>
      </c>
      <c r="FJ31" s="258">
        <v>0.675</v>
      </c>
      <c r="FK31" s="258">
        <v>0.6</v>
      </c>
      <c r="FL31" s="258">
        <v>1.3</v>
      </c>
      <c r="FM31" s="281">
        <v>1.7369488</v>
      </c>
      <c r="FN31" s="281">
        <v>1.24815674</v>
      </c>
      <c r="FO31" s="258">
        <f>SUM(ET31:FN31)</f>
        <v>18.970336739999997</v>
      </c>
      <c r="FP31" s="261">
        <f t="shared" si="25"/>
        <v>0.12993622843838062</v>
      </c>
    </row>
    <row r="32" spans="1:172" ht="12.75">
      <c r="A32" s="263">
        <v>36585</v>
      </c>
      <c r="B32" s="255">
        <v>17.4375</v>
      </c>
      <c r="C32" s="255">
        <v>16</v>
      </c>
      <c r="D32" s="255">
        <f t="shared" si="26"/>
        <v>16.71875</v>
      </c>
      <c r="E32" s="255">
        <v>1.08</v>
      </c>
      <c r="F32" s="256">
        <v>0.0524</v>
      </c>
      <c r="G32" s="261">
        <f t="shared" si="27"/>
        <v>0.1258066532215767</v>
      </c>
      <c r="H32" s="277">
        <f t="shared" si="0"/>
        <v>0.006673399711907316</v>
      </c>
      <c r="I32" s="255">
        <v>18.25</v>
      </c>
      <c r="J32" s="255">
        <v>15.6875</v>
      </c>
      <c r="K32" s="258">
        <f t="shared" si="28"/>
        <v>16.96875</v>
      </c>
      <c r="L32" s="259">
        <v>1.14</v>
      </c>
      <c r="M32" s="256">
        <v>0.0734</v>
      </c>
      <c r="N32" s="261">
        <f t="shared" si="29"/>
        <v>0.15134583679572455</v>
      </c>
      <c r="O32" s="208">
        <f t="shared" si="1"/>
        <v>0.005499264131890535</v>
      </c>
      <c r="P32" s="260">
        <v>15.5</v>
      </c>
      <c r="Q32" s="260">
        <v>13.375</v>
      </c>
      <c r="R32" s="258">
        <f t="shared" si="30"/>
        <v>14.4375</v>
      </c>
      <c r="S32" s="49">
        <v>0.96</v>
      </c>
      <c r="T32" s="261">
        <v>0.042</v>
      </c>
      <c r="U32" s="261">
        <f t="shared" si="2"/>
        <v>0.11303311639920155</v>
      </c>
      <c r="V32" s="208">
        <f t="shared" si="3"/>
        <v>0.0011392074898162784</v>
      </c>
      <c r="W32" s="255">
        <v>17.75</v>
      </c>
      <c r="X32" s="255">
        <v>14.75</v>
      </c>
      <c r="Y32" s="258">
        <f t="shared" si="31"/>
        <v>16.25</v>
      </c>
      <c r="Z32" s="258">
        <v>0.66</v>
      </c>
      <c r="AA32" s="256">
        <v>0.072</v>
      </c>
      <c r="AB32" s="261">
        <f t="shared" si="32"/>
        <v>0.11857128925635463</v>
      </c>
      <c r="AC32" s="208">
        <f t="shared" si="4"/>
        <v>0.003019008310806102</v>
      </c>
      <c r="AD32" s="123">
        <v>37.88</v>
      </c>
      <c r="AE32" s="123">
        <v>32.25</v>
      </c>
      <c r="AF32" s="258">
        <f t="shared" si="5"/>
        <v>35.065</v>
      </c>
      <c r="AG32" s="258">
        <v>1.18</v>
      </c>
      <c r="AH32" s="256">
        <v>0.0839</v>
      </c>
      <c r="AI32" s="261">
        <f t="shared" si="33"/>
        <v>0.12280796127398164</v>
      </c>
      <c r="AJ32" s="208">
        <f t="shared" si="6"/>
        <v>0.008124085104408083</v>
      </c>
      <c r="AK32" s="255">
        <v>23.625</v>
      </c>
      <c r="AL32" s="255">
        <v>20.3125</v>
      </c>
      <c r="AM32" s="258">
        <f t="shared" si="34"/>
        <v>21.96875</v>
      </c>
      <c r="AN32" s="258">
        <v>1.78</v>
      </c>
      <c r="AO32" s="256">
        <v>0.0916</v>
      </c>
      <c r="AP32" s="261">
        <f t="shared" si="54"/>
        <v>0.18772127444700293</v>
      </c>
      <c r="AQ32" s="208">
        <f t="shared" si="52"/>
        <v>0.031864492167538894</v>
      </c>
      <c r="AR32" s="260">
        <v>20</v>
      </c>
      <c r="AS32" s="260">
        <v>17.5</v>
      </c>
      <c r="AT32" s="258">
        <f t="shared" si="35"/>
        <v>18.75</v>
      </c>
      <c r="AU32" s="258">
        <v>1.34</v>
      </c>
      <c r="AW32" s="261"/>
      <c r="AX32" s="208"/>
      <c r="AY32" s="255">
        <v>39.3125</v>
      </c>
      <c r="AZ32" s="255">
        <v>36.1875</v>
      </c>
      <c r="BA32" s="258">
        <f t="shared" si="36"/>
        <v>37.75</v>
      </c>
      <c r="BB32" s="255">
        <v>1.72</v>
      </c>
      <c r="BC32" s="256">
        <v>0.061</v>
      </c>
      <c r="BD32" s="261">
        <f t="shared" si="37"/>
        <v>0.11280913188414621</v>
      </c>
      <c r="BE32" s="208">
        <f t="shared" si="7"/>
        <v>0.004248602838930094</v>
      </c>
      <c r="BF32" s="255">
        <v>35.6875</v>
      </c>
      <c r="BG32" s="255">
        <v>29.6875</v>
      </c>
      <c r="BH32" s="258">
        <f t="shared" si="38"/>
        <v>32.6875</v>
      </c>
      <c r="BI32" s="258">
        <v>1.56</v>
      </c>
      <c r="BJ32" s="256">
        <v>0.0621</v>
      </c>
      <c r="BK32" s="261">
        <f t="shared" si="39"/>
        <v>0.11646977840695083</v>
      </c>
      <c r="BL32" s="208">
        <f t="shared" si="8"/>
        <v>0.009267189362766758</v>
      </c>
      <c r="BM32" s="255">
        <v>22.5</v>
      </c>
      <c r="BN32" s="255">
        <v>18.5</v>
      </c>
      <c r="BO32" s="258">
        <f t="shared" si="40"/>
        <v>20.5</v>
      </c>
      <c r="BP32" s="258">
        <v>1.24</v>
      </c>
      <c r="BQ32" s="256">
        <v>0.0402</v>
      </c>
      <c r="BR32" s="261">
        <f t="shared" si="53"/>
        <v>0.10802919214483375</v>
      </c>
      <c r="BS32" s="208">
        <f t="shared" si="9"/>
        <v>0.003438237778095208</v>
      </c>
      <c r="BT32" s="260">
        <v>27.9375</v>
      </c>
      <c r="BU32" s="260">
        <v>22.9375</v>
      </c>
      <c r="BV32" s="258">
        <f t="shared" si="41"/>
        <v>25.4375</v>
      </c>
      <c r="BW32" s="49">
        <v>0.98</v>
      </c>
      <c r="BX32" s="256">
        <v>0.122</v>
      </c>
      <c r="BY32" s="261">
        <f t="shared" si="10"/>
        <v>0.16585445823001366</v>
      </c>
      <c r="BZ32" s="208">
        <f t="shared" si="11"/>
        <v>0.002859262576852252</v>
      </c>
      <c r="CA32" s="255">
        <v>13.34375</v>
      </c>
      <c r="CB32" s="255">
        <v>10.875</v>
      </c>
      <c r="CC32" s="258">
        <f t="shared" si="42"/>
        <v>12.109375</v>
      </c>
      <c r="CD32" s="258">
        <v>0.62</v>
      </c>
      <c r="CE32" s="256">
        <v>0.0667</v>
      </c>
      <c r="CF32" s="261">
        <f t="shared" si="43"/>
        <v>0.12536188097252254</v>
      </c>
      <c r="CG32" s="208">
        <f t="shared" si="12"/>
        <v>0.005754742820459463</v>
      </c>
      <c r="CH32" s="255">
        <v>32.875</v>
      </c>
      <c r="CI32" s="255">
        <v>27.4375</v>
      </c>
      <c r="CJ32" s="258">
        <f t="shared" si="44"/>
        <v>30.15625</v>
      </c>
      <c r="CK32" s="258">
        <v>2</v>
      </c>
      <c r="CL32" s="256">
        <v>0.0513</v>
      </c>
      <c r="CM32" s="261">
        <f t="shared" si="45"/>
        <v>0.12663702825580936</v>
      </c>
      <c r="CN32" s="208">
        <f t="shared" si="13"/>
        <v>0.008060936234181705</v>
      </c>
      <c r="CO32" s="255">
        <v>29.6875</v>
      </c>
      <c r="CP32" s="255">
        <v>23.6875</v>
      </c>
      <c r="CQ32" s="258">
        <f t="shared" si="14"/>
        <v>26.6875</v>
      </c>
      <c r="CR32" s="258">
        <v>1.38</v>
      </c>
      <c r="CS32" s="256">
        <v>0.0607</v>
      </c>
      <c r="CT32" s="261">
        <f t="shared" si="46"/>
        <v>0.11962432987753435</v>
      </c>
      <c r="CU32" s="208">
        <f t="shared" si="15"/>
        <v>0.006186822591627501</v>
      </c>
      <c r="CV32" s="262">
        <v>14</v>
      </c>
      <c r="CW32" s="262">
        <v>11</v>
      </c>
      <c r="CX32" s="262">
        <f t="shared" si="16"/>
        <v>12.5</v>
      </c>
      <c r="CY32" s="262">
        <v>0.82</v>
      </c>
      <c r="CZ32" s="261">
        <v>0.086</v>
      </c>
      <c r="DA32" s="261">
        <f t="shared" si="64"/>
        <v>0.15901338306141266</v>
      </c>
      <c r="DB32" s="208">
        <f t="shared" si="58"/>
        <v>0.0018978405628481073</v>
      </c>
      <c r="DC32" s="260">
        <v>29.625</v>
      </c>
      <c r="DD32" s="260">
        <v>28.75</v>
      </c>
      <c r="DE32" s="258">
        <f t="shared" si="17"/>
        <v>29.1875</v>
      </c>
      <c r="DF32" s="258">
        <v>1.46</v>
      </c>
      <c r="DG32" s="261">
        <v>0.0433</v>
      </c>
      <c r="DH32" s="261">
        <f t="shared" si="63"/>
        <v>0.0993282816771408</v>
      </c>
      <c r="DI32" s="208">
        <f t="shared" si="62"/>
        <v>0.0017123786822095398</v>
      </c>
      <c r="DJ32" s="255">
        <v>19.9375</v>
      </c>
      <c r="DK32" s="255">
        <v>17.0625</v>
      </c>
      <c r="DL32" s="258">
        <f t="shared" si="18"/>
        <v>18.5</v>
      </c>
      <c r="DM32" s="258">
        <v>0.82</v>
      </c>
      <c r="DN32" s="256">
        <v>0.05</v>
      </c>
      <c r="DO32" s="261">
        <f t="shared" si="47"/>
        <v>0.0998538790193646</v>
      </c>
      <c r="DP32" s="208">
        <f t="shared" si="19"/>
        <v>0.0035752979713818468</v>
      </c>
      <c r="DQ32" s="255">
        <v>21.25</v>
      </c>
      <c r="DR32" s="255">
        <v>18.5625</v>
      </c>
      <c r="DS32" s="258">
        <f t="shared" si="20"/>
        <v>19.90625</v>
      </c>
      <c r="DT32" s="258">
        <v>1.5</v>
      </c>
      <c r="DU32" s="256">
        <v>0.0667</v>
      </c>
      <c r="DV32" s="261">
        <f t="shared" si="59"/>
        <v>0.15385989280863277</v>
      </c>
      <c r="DW32" s="208">
        <f t="shared" si="56"/>
        <v>0.004896888382531692</v>
      </c>
      <c r="DX32" s="255">
        <v>26</v>
      </c>
      <c r="DY32" s="255">
        <v>21.75</v>
      </c>
      <c r="DZ32" s="258">
        <f t="shared" si="21"/>
        <v>23.875</v>
      </c>
      <c r="EA32" s="258">
        <v>1.22</v>
      </c>
      <c r="EB32" s="256">
        <v>0.0463</v>
      </c>
      <c r="EC32" s="261">
        <f t="shared" si="48"/>
        <v>0.10372476287210808</v>
      </c>
      <c r="ED32" s="208">
        <f t="shared" si="22"/>
        <v>0.007152688831838057</v>
      </c>
      <c r="EE32" s="123">
        <v>45.13</v>
      </c>
      <c r="EF32" s="123">
        <v>39.38</v>
      </c>
      <c r="EG32" s="258">
        <f>AVERAGE(EE32:EF32)</f>
        <v>42.255</v>
      </c>
      <c r="EH32" s="278">
        <f t="shared" si="60"/>
        <v>1.86</v>
      </c>
      <c r="EI32" s="256">
        <v>0.0719</v>
      </c>
      <c r="EJ32" s="261">
        <f t="shared" si="50"/>
        <v>0.12243640097714392</v>
      </c>
      <c r="EK32" s="208">
        <f t="shared" si="23"/>
        <v>0.010392840477510615</v>
      </c>
      <c r="EL32" s="279">
        <v>15.63</v>
      </c>
      <c r="EM32" s="279">
        <v>13.56</v>
      </c>
      <c r="EN32" s="279">
        <f>AVERAGE(EL32:EM32)</f>
        <v>14.595</v>
      </c>
      <c r="EO32" s="278">
        <f t="shared" si="61"/>
        <v>0.6800000072</v>
      </c>
      <c r="EP32" s="256">
        <v>0.085</v>
      </c>
      <c r="EQ32" s="261">
        <f t="shared" si="51"/>
        <v>0.1391988325733411</v>
      </c>
      <c r="ER32" s="208">
        <f t="shared" si="24"/>
        <v>0.008485650626514471</v>
      </c>
      <c r="ES32" s="261"/>
      <c r="ET32" s="262">
        <v>1</v>
      </c>
      <c r="EU32" s="262">
        <v>0.685</v>
      </c>
      <c r="EV32" s="262">
        <v>0.19</v>
      </c>
      <c r="EW32" s="262">
        <v>0.48</v>
      </c>
      <c r="EX32" s="280">
        <v>1.247109</v>
      </c>
      <c r="EY32" s="262">
        <v>3.2</v>
      </c>
      <c r="FA32" s="262">
        <v>0.71</v>
      </c>
      <c r="FB32" s="262">
        <v>1.5</v>
      </c>
      <c r="FC32" s="262">
        <v>0.6</v>
      </c>
      <c r="FD32" s="262">
        <v>0.325</v>
      </c>
      <c r="FE32" s="258">
        <v>0.8654</v>
      </c>
      <c r="FF32" s="258">
        <v>1.2</v>
      </c>
      <c r="FG32" s="258">
        <v>0.975</v>
      </c>
      <c r="FH32" s="258">
        <v>0.225</v>
      </c>
      <c r="FI32" s="258">
        <v>0.325</v>
      </c>
      <c r="FJ32" s="258">
        <v>0.675</v>
      </c>
      <c r="FK32" s="258">
        <v>0.6</v>
      </c>
      <c r="FL32" s="258">
        <v>1.3</v>
      </c>
      <c r="FM32" s="281">
        <v>1.6002217799999998</v>
      </c>
      <c r="FN32" s="281">
        <v>1.14922754</v>
      </c>
      <c r="FO32" s="258">
        <f>SUM(ET32:FN32)</f>
        <v>18.851958319999994</v>
      </c>
      <c r="FP32" s="261">
        <f t="shared" si="25"/>
        <v>0.13424883665411452</v>
      </c>
    </row>
    <row r="33" spans="1:172" ht="12.75">
      <c r="A33" s="263">
        <v>36616</v>
      </c>
      <c r="B33" s="255">
        <v>18.375</v>
      </c>
      <c r="C33" s="255">
        <v>16.75</v>
      </c>
      <c r="D33" s="255">
        <f t="shared" si="26"/>
        <v>17.5625</v>
      </c>
      <c r="E33" s="255">
        <v>1.08</v>
      </c>
      <c r="F33" s="256">
        <v>0.0524</v>
      </c>
      <c r="G33" s="261">
        <f t="shared" si="27"/>
        <v>0.1221946869412418</v>
      </c>
      <c r="H33" s="277">
        <f t="shared" si="0"/>
        <v>0.00624609706127661</v>
      </c>
      <c r="I33" s="255">
        <v>18.875</v>
      </c>
      <c r="J33" s="255">
        <v>15.25</v>
      </c>
      <c r="K33" s="258">
        <f t="shared" si="28"/>
        <v>17.0625</v>
      </c>
      <c r="L33" s="259">
        <v>1.14</v>
      </c>
      <c r="M33" s="256">
        <v>0.0709</v>
      </c>
      <c r="N33" s="261">
        <f t="shared" si="29"/>
        <v>0.14822578681136744</v>
      </c>
      <c r="O33" s="208">
        <f t="shared" si="1"/>
        <v>0.005190040435386244</v>
      </c>
      <c r="P33" s="260">
        <v>16.125</v>
      </c>
      <c r="Q33" s="260">
        <v>13.5</v>
      </c>
      <c r="R33" s="258">
        <f t="shared" si="30"/>
        <v>14.8125</v>
      </c>
      <c r="S33" s="49">
        <v>0.96</v>
      </c>
      <c r="T33" s="261">
        <v>0.042</v>
      </c>
      <c r="U33" s="261">
        <f t="shared" si="2"/>
        <v>0.11119124013117165</v>
      </c>
      <c r="V33" s="208">
        <f t="shared" si="3"/>
        <v>0.001079892638260328</v>
      </c>
      <c r="W33" s="255">
        <v>18.6875</v>
      </c>
      <c r="X33" s="255">
        <v>14.6875</v>
      </c>
      <c r="Y33" s="258">
        <f t="shared" si="31"/>
        <v>16.6875</v>
      </c>
      <c r="Z33" s="258">
        <v>0.66</v>
      </c>
      <c r="AA33" s="256">
        <v>0.072</v>
      </c>
      <c r="AB33" s="261">
        <f t="shared" si="32"/>
        <v>0.11733129528861741</v>
      </c>
      <c r="AC33" s="208">
        <f t="shared" si="4"/>
        <v>0.0028788000933641124</v>
      </c>
      <c r="AD33" s="123">
        <v>46</v>
      </c>
      <c r="AE33" s="123">
        <v>35.81</v>
      </c>
      <c r="AF33" s="258">
        <f t="shared" si="5"/>
        <v>40.905</v>
      </c>
      <c r="AG33" s="258">
        <v>1.18</v>
      </c>
      <c r="AH33" s="256">
        <v>0.1117</v>
      </c>
      <c r="AI33" s="261">
        <f t="shared" si="33"/>
        <v>0.14584379693410354</v>
      </c>
      <c r="AJ33" s="208">
        <f t="shared" si="6"/>
        <v>0.010957371746277842</v>
      </c>
      <c r="AK33" s="255">
        <v>27.875</v>
      </c>
      <c r="AL33" s="255">
        <v>20.1875</v>
      </c>
      <c r="AM33" s="258">
        <f t="shared" si="34"/>
        <v>24.03125</v>
      </c>
      <c r="AN33" s="258">
        <v>1.78</v>
      </c>
      <c r="AO33" s="256">
        <v>0.0916</v>
      </c>
      <c r="AP33" s="261">
        <f t="shared" si="54"/>
        <v>0.17923156138587526</v>
      </c>
      <c r="AQ33" s="208">
        <f t="shared" si="52"/>
        <v>0.029317090800156372</v>
      </c>
      <c r="AR33" s="260">
        <v>21.375</v>
      </c>
      <c r="AS33" s="260">
        <v>18.625</v>
      </c>
      <c r="AT33" s="258">
        <f t="shared" si="35"/>
        <v>20</v>
      </c>
      <c r="AU33" s="258">
        <v>1.34</v>
      </c>
      <c r="AW33" s="261"/>
      <c r="AX33" s="208"/>
      <c r="AY33" s="255">
        <v>42.875</v>
      </c>
      <c r="AZ33" s="255">
        <v>36.5</v>
      </c>
      <c r="BA33" s="258">
        <f t="shared" si="36"/>
        <v>39.6875</v>
      </c>
      <c r="BB33" s="255">
        <v>1.72</v>
      </c>
      <c r="BC33" s="256">
        <v>0.061</v>
      </c>
      <c r="BD33" s="261">
        <f t="shared" si="37"/>
        <v>0.11023670293083798</v>
      </c>
      <c r="BE33" s="208">
        <f t="shared" si="7"/>
        <v>0.004000745908470461</v>
      </c>
      <c r="BF33" s="255">
        <v>33.3125</v>
      </c>
      <c r="BG33" s="255">
        <v>29.375</v>
      </c>
      <c r="BH33" s="258">
        <f t="shared" si="38"/>
        <v>31.34375</v>
      </c>
      <c r="BI33" s="258">
        <v>1.56</v>
      </c>
      <c r="BJ33" s="256">
        <v>0.0621</v>
      </c>
      <c r="BK33" s="261">
        <f t="shared" si="39"/>
        <v>0.11884639857546642</v>
      </c>
      <c r="BL33" s="208">
        <f t="shared" si="8"/>
        <v>0.009112419199238372</v>
      </c>
      <c r="BM33" s="255">
        <v>19.875</v>
      </c>
      <c r="BN33" s="255">
        <v>17.75</v>
      </c>
      <c r="BO33" s="258">
        <f t="shared" si="40"/>
        <v>18.8125</v>
      </c>
      <c r="BP33" s="258">
        <v>1.24</v>
      </c>
      <c r="BQ33" s="256">
        <v>0.0402</v>
      </c>
      <c r="BR33" s="261">
        <f t="shared" si="53"/>
        <v>0.11427156318051068</v>
      </c>
      <c r="BS33" s="208">
        <f t="shared" si="9"/>
        <v>0.0035046594553451473</v>
      </c>
      <c r="BT33" s="260">
        <v>26.25</v>
      </c>
      <c r="BU33" s="260">
        <v>23.25</v>
      </c>
      <c r="BV33" s="258">
        <f t="shared" si="41"/>
        <v>24.75</v>
      </c>
      <c r="BW33" s="49">
        <v>0.98</v>
      </c>
      <c r="BX33" s="256">
        <v>0.122</v>
      </c>
      <c r="BY33" s="261">
        <f t="shared" si="10"/>
        <v>0.16709069949613653</v>
      </c>
      <c r="BZ33" s="208">
        <f t="shared" si="11"/>
        <v>0.0027758247497878586</v>
      </c>
      <c r="CA33" s="255">
        <v>12.78125</v>
      </c>
      <c r="CB33" s="255">
        <v>11.15625</v>
      </c>
      <c r="CC33" s="258">
        <f t="shared" si="42"/>
        <v>11.96875</v>
      </c>
      <c r="CD33" s="258">
        <v>0.62</v>
      </c>
      <c r="CE33" s="256">
        <v>0.0667</v>
      </c>
      <c r="CF33" s="261">
        <f t="shared" si="43"/>
        <v>0.12606518252315912</v>
      </c>
      <c r="CG33" s="208">
        <f t="shared" si="12"/>
        <v>0.005576586632932218</v>
      </c>
      <c r="CH33" s="255">
        <v>29.5</v>
      </c>
      <c r="CI33" s="255">
        <v>26.1875</v>
      </c>
      <c r="CJ33" s="258">
        <f t="shared" si="44"/>
        <v>27.84375</v>
      </c>
      <c r="CK33" s="258">
        <v>2</v>
      </c>
      <c r="CL33" s="256">
        <v>0.0513</v>
      </c>
      <c r="CM33" s="261">
        <f t="shared" si="45"/>
        <v>0.13307102326970432</v>
      </c>
      <c r="CN33" s="208">
        <f t="shared" si="13"/>
        <v>0.00816246154256099</v>
      </c>
      <c r="CO33" s="255">
        <v>26.75</v>
      </c>
      <c r="CP33" s="255">
        <v>24</v>
      </c>
      <c r="CQ33" s="258">
        <f t="shared" si="14"/>
        <v>25.375</v>
      </c>
      <c r="CR33" s="258">
        <v>1.38</v>
      </c>
      <c r="CS33" s="256">
        <v>0.06</v>
      </c>
      <c r="CT33" s="261">
        <f t="shared" si="46"/>
        <v>0.12199650672530504</v>
      </c>
      <c r="CU33" s="208">
        <f t="shared" si="15"/>
        <v>0.00608006771969243</v>
      </c>
      <c r="CV33" s="262">
        <v>12.25</v>
      </c>
      <c r="CW33" s="262">
        <v>10.75</v>
      </c>
      <c r="CX33" s="262">
        <f t="shared" si="16"/>
        <v>11.5</v>
      </c>
      <c r="CY33" s="262">
        <v>0.82</v>
      </c>
      <c r="CZ33" s="261">
        <v>0.086</v>
      </c>
      <c r="DA33" s="261">
        <f t="shared" si="64"/>
        <v>0.1655318236109662</v>
      </c>
      <c r="DB33" s="208">
        <f t="shared" si="58"/>
        <v>0.001903796058152772</v>
      </c>
      <c r="DC33" s="260">
        <v>29.4375</v>
      </c>
      <c r="DD33" s="260">
        <v>27.5625</v>
      </c>
      <c r="DE33" s="258">
        <f t="shared" si="17"/>
        <v>28.5</v>
      </c>
      <c r="DF33" s="258">
        <v>1.46</v>
      </c>
      <c r="DG33" s="261">
        <v>0.045</v>
      </c>
      <c r="DH33" s="261">
        <f t="shared" si="63"/>
        <v>0.10250065814907106</v>
      </c>
      <c r="DI33" s="208">
        <f t="shared" si="62"/>
        <v>0.0017028108962241478</v>
      </c>
      <c r="DJ33" s="255">
        <v>19.9375</v>
      </c>
      <c r="DK33" s="255">
        <v>17.5</v>
      </c>
      <c r="DL33" s="258">
        <f t="shared" si="18"/>
        <v>18.71875</v>
      </c>
      <c r="DM33" s="258">
        <v>0.82</v>
      </c>
      <c r="DN33" s="256">
        <v>0.05</v>
      </c>
      <c r="DO33" s="261">
        <f t="shared" si="47"/>
        <v>0.09926122596274922</v>
      </c>
      <c r="DP33" s="208">
        <f t="shared" si="19"/>
        <v>0.003424836262773603</v>
      </c>
      <c r="DQ33" s="255">
        <v>22.3125</v>
      </c>
      <c r="DR33" s="255">
        <v>18.1875</v>
      </c>
      <c r="DS33" s="258">
        <f t="shared" si="20"/>
        <v>20.25</v>
      </c>
      <c r="DT33" s="258">
        <v>1.5</v>
      </c>
      <c r="DU33" s="256">
        <v>0.0667</v>
      </c>
      <c r="DV33" s="261">
        <f t="shared" si="59"/>
        <v>0.15233722126016858</v>
      </c>
      <c r="DW33" s="208">
        <f t="shared" si="56"/>
        <v>0.00467211673692683</v>
      </c>
      <c r="DX33" s="255">
        <v>27.625</v>
      </c>
      <c r="DY33" s="255">
        <v>23</v>
      </c>
      <c r="DZ33" s="258">
        <f t="shared" si="21"/>
        <v>25.3125</v>
      </c>
      <c r="EA33" s="258">
        <v>1.22</v>
      </c>
      <c r="EB33" s="256">
        <v>0.0463</v>
      </c>
      <c r="EC33" s="261">
        <f t="shared" si="48"/>
        <v>0.10040173190956381</v>
      </c>
      <c r="ED33" s="208">
        <f t="shared" si="22"/>
        <v>0.006671768403544846</v>
      </c>
      <c r="EE33" s="123">
        <v>44.75</v>
      </c>
      <c r="EF33" s="123">
        <v>39.69</v>
      </c>
      <c r="EG33" s="258">
        <f>AVERAGE(EE33:EF33)</f>
        <v>42.22</v>
      </c>
      <c r="EH33" s="278">
        <f t="shared" si="60"/>
        <v>1.86</v>
      </c>
      <c r="EI33" s="256">
        <v>0.0719</v>
      </c>
      <c r="EJ33" s="261">
        <f t="shared" si="50"/>
        <v>0.12247902231786267</v>
      </c>
      <c r="EK33" s="208">
        <f t="shared" si="23"/>
        <v>0.010904245922328233</v>
      </c>
      <c r="EL33" s="279">
        <v>19</v>
      </c>
      <c r="EM33" s="279">
        <v>14</v>
      </c>
      <c r="EN33" s="279">
        <f>AVERAGE(EL33:EM33)</f>
        <v>16.5</v>
      </c>
      <c r="EO33" s="278">
        <f t="shared" si="61"/>
        <v>0.6800000072</v>
      </c>
      <c r="EP33" s="256">
        <v>0.085</v>
      </c>
      <c r="EQ33" s="261">
        <f t="shared" si="51"/>
        <v>0.1328398412597318</v>
      </c>
      <c r="ER33" s="208">
        <f t="shared" si="24"/>
        <v>0.01016115850775461</v>
      </c>
      <c r="ES33" s="261"/>
      <c r="ET33" s="262">
        <v>1</v>
      </c>
      <c r="EU33" s="262">
        <v>0.685</v>
      </c>
      <c r="EV33" s="262">
        <v>0.19</v>
      </c>
      <c r="EW33" s="262">
        <v>0.48</v>
      </c>
      <c r="EX33" s="280">
        <v>1.46981281</v>
      </c>
      <c r="EY33" s="262">
        <v>3.2</v>
      </c>
      <c r="FA33" s="262">
        <v>0.71</v>
      </c>
      <c r="FB33" s="262">
        <v>1.5</v>
      </c>
      <c r="FC33" s="262">
        <v>0.6</v>
      </c>
      <c r="FD33" s="262">
        <v>0.325</v>
      </c>
      <c r="FE33" s="258">
        <v>0.8654</v>
      </c>
      <c r="FF33" s="258">
        <v>1.2</v>
      </c>
      <c r="FG33" s="258">
        <v>0.975</v>
      </c>
      <c r="FH33" s="258">
        <v>0.225</v>
      </c>
      <c r="FI33" s="258">
        <v>0.325</v>
      </c>
      <c r="FJ33" s="258">
        <v>0.675</v>
      </c>
      <c r="FK33" s="258">
        <v>0.6</v>
      </c>
      <c r="FL33" s="258">
        <v>1.3</v>
      </c>
      <c r="FM33" s="281">
        <v>1.74171672</v>
      </c>
      <c r="FN33" s="281">
        <v>1.49643712</v>
      </c>
      <c r="FO33" s="258">
        <f>SUM(ET33:FN33)</f>
        <v>19.563366649999995</v>
      </c>
      <c r="FP33" s="261">
        <f t="shared" si="25"/>
        <v>0.13432279077045403</v>
      </c>
    </row>
    <row r="34" spans="1:172" ht="12.75">
      <c r="A34" s="263">
        <v>36644</v>
      </c>
      <c r="B34" s="255">
        <v>18.3125</v>
      </c>
      <c r="C34" s="255">
        <v>16.875</v>
      </c>
      <c r="D34" s="255">
        <f t="shared" si="26"/>
        <v>17.59375</v>
      </c>
      <c r="E34" s="255">
        <v>1.08</v>
      </c>
      <c r="F34" s="256">
        <v>0.0524</v>
      </c>
      <c r="G34" s="261">
        <f t="shared" si="27"/>
        <v>0.12206772213410977</v>
      </c>
      <c r="H34" s="277">
        <f t="shared" si="0"/>
        <v>0.006728389011452012</v>
      </c>
      <c r="I34" s="255">
        <v>16.875</v>
      </c>
      <c r="J34" s="255">
        <v>14.25</v>
      </c>
      <c r="K34" s="258">
        <f t="shared" si="28"/>
        <v>15.5625</v>
      </c>
      <c r="L34" s="259">
        <v>1.14</v>
      </c>
      <c r="M34" s="256">
        <v>0.0709</v>
      </c>
      <c r="N34" s="261">
        <f t="shared" si="29"/>
        <v>0.155893978203127</v>
      </c>
      <c r="O34" s="208">
        <f t="shared" si="1"/>
        <v>0.0049409156175300286</v>
      </c>
      <c r="P34" s="260">
        <v>16.375</v>
      </c>
      <c r="Q34" s="260">
        <v>14.9375</v>
      </c>
      <c r="R34" s="258">
        <f t="shared" si="30"/>
        <v>15.65625</v>
      </c>
      <c r="S34" s="49">
        <v>0.96</v>
      </c>
      <c r="T34" s="261">
        <v>0.042</v>
      </c>
      <c r="U34" s="261">
        <f t="shared" si="2"/>
        <v>0.10737691559633866</v>
      </c>
      <c r="V34" s="208">
        <f t="shared" si="3"/>
        <v>0.0008877944714020334</v>
      </c>
      <c r="W34" s="255">
        <v>18.875</v>
      </c>
      <c r="X34" s="255">
        <v>16</v>
      </c>
      <c r="Y34" s="258">
        <f t="shared" si="31"/>
        <v>17.4375</v>
      </c>
      <c r="Z34" s="258">
        <v>0.66</v>
      </c>
      <c r="AA34" s="256">
        <v>0.0789</v>
      </c>
      <c r="AB34" s="261">
        <f t="shared" si="32"/>
        <v>0.12253153318118182</v>
      </c>
      <c r="AC34" s="208">
        <f t="shared" si="4"/>
        <v>0.003039279452008509</v>
      </c>
      <c r="AD34" s="123">
        <v>47.25</v>
      </c>
      <c r="AE34" s="123">
        <v>41.62</v>
      </c>
      <c r="AF34" s="258">
        <f t="shared" si="5"/>
        <v>44.435</v>
      </c>
      <c r="AG34" s="258">
        <v>1.18</v>
      </c>
      <c r="AH34" s="256">
        <v>0.1117</v>
      </c>
      <c r="AI34" s="261">
        <f t="shared" si="33"/>
        <v>0.14310296400777012</v>
      </c>
      <c r="AJ34" s="208">
        <f t="shared" si="6"/>
        <v>0.011999874667500387</v>
      </c>
      <c r="AK34" s="255">
        <v>30.125</v>
      </c>
      <c r="AL34" s="255">
        <v>26</v>
      </c>
      <c r="AM34" s="258">
        <f t="shared" si="34"/>
        <v>28.0625</v>
      </c>
      <c r="AN34" s="258">
        <v>1.78</v>
      </c>
      <c r="AO34" s="256">
        <v>0.0944</v>
      </c>
      <c r="AP34" s="261">
        <f t="shared" si="54"/>
        <v>0.16932118807510754</v>
      </c>
      <c r="AQ34" s="208">
        <f t="shared" si="52"/>
        <v>0.027065718306734897</v>
      </c>
      <c r="AR34" s="260">
        <v>20.625</v>
      </c>
      <c r="AS34" s="260">
        <v>19.25</v>
      </c>
      <c r="AT34" s="258">
        <f t="shared" si="35"/>
        <v>19.9375</v>
      </c>
      <c r="AU34" s="258">
        <v>1.34</v>
      </c>
      <c r="AW34" s="261"/>
      <c r="AX34" s="208"/>
      <c r="AY34" s="255">
        <v>42.75</v>
      </c>
      <c r="AZ34" s="255">
        <v>38.5</v>
      </c>
      <c r="BA34" s="258">
        <f t="shared" si="36"/>
        <v>40.625</v>
      </c>
      <c r="BB34" s="255">
        <v>1.72</v>
      </c>
      <c r="BC34" s="256">
        <v>0.061</v>
      </c>
      <c r="BD34" s="261">
        <f t="shared" si="37"/>
        <v>0.1090815220042527</v>
      </c>
      <c r="BE34" s="208">
        <f t="shared" si="7"/>
        <v>0.003908182161207965</v>
      </c>
      <c r="BF34" s="255">
        <v>34.875</v>
      </c>
      <c r="BG34" s="255">
        <v>32.0625</v>
      </c>
      <c r="BH34" s="258">
        <f t="shared" si="38"/>
        <v>33.46875</v>
      </c>
      <c r="BI34" s="258">
        <v>1.66</v>
      </c>
      <c r="BJ34" s="256">
        <v>0.0621</v>
      </c>
      <c r="BK34" s="261">
        <f t="shared" si="39"/>
        <v>0.11864624936787904</v>
      </c>
      <c r="BL34" s="208">
        <f t="shared" si="8"/>
        <v>0.009809695469123875</v>
      </c>
      <c r="BM34" s="255">
        <v>22</v>
      </c>
      <c r="BN34" s="255">
        <v>18.875</v>
      </c>
      <c r="BO34" s="258">
        <f t="shared" si="40"/>
        <v>20.4375</v>
      </c>
      <c r="BP34" s="258">
        <v>1.24</v>
      </c>
      <c r="BQ34" s="256">
        <v>0.0402</v>
      </c>
      <c r="BR34" s="261">
        <f t="shared" si="53"/>
        <v>0.10824157541058832</v>
      </c>
      <c r="BS34" s="208">
        <f t="shared" si="9"/>
        <v>0.0028339877370939346</v>
      </c>
      <c r="BT34" s="260">
        <v>27.8125</v>
      </c>
      <c r="BU34" s="260">
        <v>25.25</v>
      </c>
      <c r="BV34" s="258">
        <f t="shared" si="41"/>
        <v>26.53125</v>
      </c>
      <c r="BW34" s="49">
        <v>0.98</v>
      </c>
      <c r="BX34" s="256">
        <v>0.122</v>
      </c>
      <c r="BY34" s="261">
        <f t="shared" si="10"/>
        <v>0.16402156456191475</v>
      </c>
      <c r="BZ34" s="208">
        <f t="shared" si="11"/>
        <v>0.002938289367878936</v>
      </c>
      <c r="CA34" s="255">
        <v>13.1875</v>
      </c>
      <c r="CB34" s="255">
        <v>12.0625</v>
      </c>
      <c r="CC34" s="258">
        <f t="shared" si="42"/>
        <v>12.625</v>
      </c>
      <c r="CD34" s="258">
        <v>0.62</v>
      </c>
      <c r="CE34" s="256">
        <v>0.0667</v>
      </c>
      <c r="CF34" s="261">
        <f t="shared" si="43"/>
        <v>0.1229197163877418</v>
      </c>
      <c r="CG34" s="208">
        <f t="shared" si="12"/>
        <v>0.004573361957100103</v>
      </c>
      <c r="CH34" s="255">
        <v>32.1875</v>
      </c>
      <c r="CI34" s="255">
        <v>26.625</v>
      </c>
      <c r="CJ34" s="258">
        <f t="shared" si="44"/>
        <v>29.40625</v>
      </c>
      <c r="CK34" s="258">
        <v>2</v>
      </c>
      <c r="CL34" s="256">
        <v>0.0519</v>
      </c>
      <c r="CM34" s="261">
        <f t="shared" si="45"/>
        <v>0.1292540519876102</v>
      </c>
      <c r="CN34" s="208">
        <f t="shared" si="13"/>
        <v>0.007124500464779858</v>
      </c>
      <c r="CO34" s="255">
        <v>28.25</v>
      </c>
      <c r="CP34" s="255">
        <v>25.1875</v>
      </c>
      <c r="CQ34" s="258">
        <f t="shared" si="14"/>
        <v>26.71875</v>
      </c>
      <c r="CR34" s="258">
        <v>1.46</v>
      </c>
      <c r="CS34" s="256">
        <v>0.06</v>
      </c>
      <c r="CT34" s="261">
        <f t="shared" si="46"/>
        <v>0.12229815748276063</v>
      </c>
      <c r="CU34" s="208">
        <f t="shared" si="15"/>
        <v>0.0053928725107119675</v>
      </c>
      <c r="CV34" s="262">
        <v>13.125</v>
      </c>
      <c r="CW34" s="262">
        <v>11.125</v>
      </c>
      <c r="CX34" s="262">
        <f t="shared" si="16"/>
        <v>12.125</v>
      </c>
      <c r="CY34" s="262">
        <v>0.84</v>
      </c>
      <c r="CZ34" s="261">
        <v>0.086</v>
      </c>
      <c r="DA34" s="261">
        <f t="shared" si="64"/>
        <v>0.163213547108227</v>
      </c>
      <c r="DB34" s="208">
        <f t="shared" si="58"/>
        <v>0.0017992704667276432</v>
      </c>
      <c r="DC34" s="260">
        <v>28.8125</v>
      </c>
      <c r="DD34" s="260">
        <v>26.5625</v>
      </c>
      <c r="DE34" s="258">
        <f t="shared" si="17"/>
        <v>27.6875</v>
      </c>
      <c r="DF34" s="258">
        <v>1.46</v>
      </c>
      <c r="DG34" s="261">
        <v>0.05</v>
      </c>
      <c r="DH34" s="261">
        <f t="shared" si="63"/>
        <v>0.10950645192720221</v>
      </c>
      <c r="DI34" s="208">
        <f t="shared" si="62"/>
        <v>0.001961703293534831</v>
      </c>
      <c r="DJ34" s="255">
        <v>19.375</v>
      </c>
      <c r="DK34" s="255">
        <v>17.75</v>
      </c>
      <c r="DL34" s="258">
        <f t="shared" si="18"/>
        <v>18.5625</v>
      </c>
      <c r="DM34" s="258">
        <v>0.82</v>
      </c>
      <c r="DN34" s="256">
        <v>0.05</v>
      </c>
      <c r="DO34" s="261">
        <f t="shared" si="47"/>
        <v>0.0996830996727589</v>
      </c>
      <c r="DP34" s="208">
        <f t="shared" si="19"/>
        <v>0.003296727393972967</v>
      </c>
      <c r="DQ34" s="255">
        <v>22.4375</v>
      </c>
      <c r="DR34" s="255">
        <v>19.75</v>
      </c>
      <c r="DS34" s="258">
        <f t="shared" si="20"/>
        <v>21.09375</v>
      </c>
      <c r="DT34" s="258">
        <v>1.5</v>
      </c>
      <c r="DU34" s="256">
        <v>0.0667</v>
      </c>
      <c r="DV34" s="261">
        <f t="shared" si="59"/>
        <v>0.14881594890162275</v>
      </c>
      <c r="DW34" s="208">
        <f t="shared" si="56"/>
        <v>0.004306446277130222</v>
      </c>
      <c r="DX34" s="255">
        <v>26.9375</v>
      </c>
      <c r="DY34" s="255">
        <v>24.875</v>
      </c>
      <c r="DZ34" s="258">
        <f t="shared" si="21"/>
        <v>25.90625</v>
      </c>
      <c r="EA34" s="258">
        <v>1.24</v>
      </c>
      <c r="EB34" s="256">
        <v>0.0463</v>
      </c>
      <c r="EC34" s="261">
        <f t="shared" si="48"/>
        <v>0.10002131182193152</v>
      </c>
      <c r="ED34" s="208">
        <f t="shared" si="22"/>
        <v>0.006064506750586856</v>
      </c>
      <c r="EE34" s="123">
        <v>48.06</v>
      </c>
      <c r="EF34" s="123">
        <v>43.12</v>
      </c>
      <c r="EG34" s="258">
        <f>AVERAGE(EE34:EF34)</f>
        <v>45.59</v>
      </c>
      <c r="EH34" s="278">
        <f t="shared" si="60"/>
        <v>1.86</v>
      </c>
      <c r="EI34" s="256">
        <v>0.0719</v>
      </c>
      <c r="EJ34" s="261">
        <f t="shared" si="50"/>
        <v>0.11868017580293477</v>
      </c>
      <c r="EK34" s="208">
        <f t="shared" si="23"/>
        <v>0.012130129924802183</v>
      </c>
      <c r="EL34" s="279">
        <v>19.31</v>
      </c>
      <c r="EM34" s="279">
        <v>17.12</v>
      </c>
      <c r="EN34" s="279">
        <f>AVERAGE(EL34:EM34)</f>
        <v>18.215</v>
      </c>
      <c r="EO34" s="278">
        <f t="shared" si="61"/>
        <v>0.6800000072</v>
      </c>
      <c r="EP34" s="256">
        <v>0.085</v>
      </c>
      <c r="EQ34" s="261">
        <f t="shared" si="51"/>
        <v>0.12826935908940862</v>
      </c>
      <c r="ER34" s="208">
        <f t="shared" si="24"/>
        <v>0.010722658471670641</v>
      </c>
      <c r="ES34" s="261"/>
      <c r="ET34" s="262">
        <v>1</v>
      </c>
      <c r="EU34" s="262">
        <v>0.575</v>
      </c>
      <c r="EV34" s="262">
        <v>0.15</v>
      </c>
      <c r="EW34" s="262">
        <v>0.45</v>
      </c>
      <c r="EX34" s="280">
        <v>1.52131038</v>
      </c>
      <c r="EY34" s="262">
        <v>2.9</v>
      </c>
      <c r="FA34" s="262">
        <v>0.65</v>
      </c>
      <c r="FB34" s="262">
        <v>1.5</v>
      </c>
      <c r="FC34" s="262">
        <v>0.475</v>
      </c>
      <c r="FD34" s="262">
        <v>0.325</v>
      </c>
      <c r="FE34" s="258">
        <v>0.675</v>
      </c>
      <c r="FF34" s="258">
        <v>1</v>
      </c>
      <c r="FG34" s="258">
        <v>0.8</v>
      </c>
      <c r="FH34" s="258">
        <v>0.2</v>
      </c>
      <c r="FI34" s="258">
        <v>0.325</v>
      </c>
      <c r="FJ34" s="258">
        <v>0.6</v>
      </c>
      <c r="FK34" s="258">
        <v>0.525</v>
      </c>
      <c r="FL34" s="258">
        <v>1.1</v>
      </c>
      <c r="FM34" s="281">
        <v>1.8542872799999999</v>
      </c>
      <c r="FN34" s="281">
        <v>1.51659387</v>
      </c>
      <c r="FO34" s="258">
        <f>SUM(ET34:FN34)</f>
        <v>18.14219153</v>
      </c>
      <c r="FP34" s="261">
        <f t="shared" si="25"/>
        <v>0.13152430377294985</v>
      </c>
    </row>
    <row r="35" spans="1:172" ht="12.75">
      <c r="A35" s="263">
        <v>36677</v>
      </c>
      <c r="B35" s="255">
        <v>18.4375</v>
      </c>
      <c r="C35" s="255">
        <v>15.75</v>
      </c>
      <c r="D35" s="255">
        <f t="shared" si="26"/>
        <v>17.09375</v>
      </c>
      <c r="E35" s="255">
        <v>1.08</v>
      </c>
      <c r="F35" s="256">
        <v>0.0536</v>
      </c>
      <c r="G35" s="261">
        <f t="shared" si="27"/>
        <v>0.1254380534565196</v>
      </c>
      <c r="H35" s="277">
        <f t="shared" si="0"/>
        <v>0.007234371205853308</v>
      </c>
      <c r="I35" s="255">
        <v>18.375</v>
      </c>
      <c r="J35" s="255">
        <v>14.9375</v>
      </c>
      <c r="K35" s="258">
        <f t="shared" si="28"/>
        <v>16.65625</v>
      </c>
      <c r="L35" s="259">
        <v>1.14</v>
      </c>
      <c r="M35" s="256">
        <v>0.0659</v>
      </c>
      <c r="N35" s="261">
        <f t="shared" si="29"/>
        <v>0.14479252183456026</v>
      </c>
      <c r="O35" s="208">
        <f t="shared" si="1"/>
        <v>0.004801594273853285</v>
      </c>
      <c r="P35" s="260">
        <v>17.75</v>
      </c>
      <c r="Q35" s="260">
        <v>15.9375</v>
      </c>
      <c r="R35" s="258">
        <f t="shared" si="30"/>
        <v>16.84375</v>
      </c>
      <c r="S35" s="49">
        <v>0.96</v>
      </c>
      <c r="T35" s="261">
        <v>0.0427</v>
      </c>
      <c r="U35" s="261">
        <f t="shared" si="2"/>
        <v>0.10341035623839656</v>
      </c>
      <c r="V35" s="208">
        <f t="shared" si="3"/>
        <v>0.000894595638576381</v>
      </c>
      <c r="W35" s="255">
        <v>23.6875</v>
      </c>
      <c r="X35" s="255">
        <v>17.0625</v>
      </c>
      <c r="Y35" s="258">
        <f t="shared" si="31"/>
        <v>20.375</v>
      </c>
      <c r="Z35" s="258">
        <v>0.66</v>
      </c>
      <c r="AA35" s="256">
        <v>0.0789</v>
      </c>
      <c r="AB35" s="261">
        <f t="shared" si="32"/>
        <v>0.11616087622942928</v>
      </c>
      <c r="AC35" s="208">
        <f t="shared" si="4"/>
        <v>0.003014698441087283</v>
      </c>
      <c r="AD35" s="123">
        <v>50.88</v>
      </c>
      <c r="AE35" s="123">
        <v>46.06</v>
      </c>
      <c r="AF35" s="258">
        <f t="shared" si="5"/>
        <v>48.47</v>
      </c>
      <c r="AG35" s="258">
        <v>1.18</v>
      </c>
      <c r="AH35" s="256">
        <v>0.1222</v>
      </c>
      <c r="AI35" s="261">
        <f t="shared" si="33"/>
        <v>0.1512353395725261</v>
      </c>
      <c r="AJ35" s="208">
        <f t="shared" si="6"/>
        <v>0.01426365318117942</v>
      </c>
      <c r="AK35" s="255">
        <v>30.875</v>
      </c>
      <c r="AL35" s="255">
        <v>28.5</v>
      </c>
      <c r="AM35" s="258">
        <f t="shared" si="34"/>
        <v>29.6875</v>
      </c>
      <c r="AN35" s="258">
        <v>1.78</v>
      </c>
      <c r="AO35" s="256">
        <v>0.0964</v>
      </c>
      <c r="AP35" s="261">
        <f t="shared" si="54"/>
        <v>0.16725276045631232</v>
      </c>
      <c r="AQ35" s="208">
        <f t="shared" si="52"/>
        <v>0.027973240264093424</v>
      </c>
      <c r="AR35" s="260">
        <v>20.5</v>
      </c>
      <c r="AS35" s="260">
        <v>19.125</v>
      </c>
      <c r="AT35" s="258">
        <f t="shared" si="35"/>
        <v>19.8125</v>
      </c>
      <c r="AU35" s="258">
        <v>1.34</v>
      </c>
      <c r="AW35" s="261"/>
      <c r="AX35" s="208"/>
      <c r="AY35" s="255">
        <v>41</v>
      </c>
      <c r="AZ35" s="255">
        <v>38.625</v>
      </c>
      <c r="BA35" s="258">
        <f t="shared" si="36"/>
        <v>39.8125</v>
      </c>
      <c r="BB35" s="255">
        <v>1.72</v>
      </c>
      <c r="BC35" s="256">
        <v>0.0638</v>
      </c>
      <c r="BD35" s="261">
        <f t="shared" si="37"/>
        <v>0.11300900417215454</v>
      </c>
      <c r="BE35" s="208">
        <f t="shared" si="7"/>
        <v>0.0042364090570376645</v>
      </c>
      <c r="BF35" s="255">
        <v>37.125</v>
      </c>
      <c r="BG35" s="255">
        <v>32.75</v>
      </c>
      <c r="BH35" s="258">
        <f t="shared" si="38"/>
        <v>34.9375</v>
      </c>
      <c r="BI35" s="258">
        <v>1.66</v>
      </c>
      <c r="BJ35" s="256">
        <v>0.0624</v>
      </c>
      <c r="BK35" s="261">
        <f t="shared" si="39"/>
        <v>0.11653989997727732</v>
      </c>
      <c r="BL35" s="208">
        <f t="shared" si="8"/>
        <v>0.010081783878536664</v>
      </c>
      <c r="BM35" s="255">
        <v>22.5</v>
      </c>
      <c r="BN35" s="255">
        <v>20</v>
      </c>
      <c r="BO35" s="258">
        <f t="shared" si="40"/>
        <v>21.25</v>
      </c>
      <c r="BP35" s="258">
        <v>1.24</v>
      </c>
      <c r="BQ35" s="256">
        <v>0.037</v>
      </c>
      <c r="BR35" s="261">
        <f t="shared" si="53"/>
        <v>0.102179116595847</v>
      </c>
      <c r="BS35" s="208">
        <f t="shared" si="9"/>
        <v>0.002799156861266642</v>
      </c>
      <c r="BT35" s="260">
        <v>28.1875</v>
      </c>
      <c r="BU35" s="260">
        <v>25.9375</v>
      </c>
      <c r="BV35" s="258">
        <f t="shared" si="41"/>
        <v>27.0625</v>
      </c>
      <c r="BW35" s="49">
        <v>0.98</v>
      </c>
      <c r="BX35" s="256">
        <v>0.122</v>
      </c>
      <c r="BY35" s="261">
        <f t="shared" si="10"/>
        <v>0.16318547776524173</v>
      </c>
      <c r="BZ35" s="208">
        <f t="shared" si="11"/>
        <v>0.0030586962563113624</v>
      </c>
      <c r="CA35" s="255">
        <v>14.71875</v>
      </c>
      <c r="CB35" s="255">
        <v>12.34375</v>
      </c>
      <c r="CC35" s="258">
        <f t="shared" si="42"/>
        <v>13.53125</v>
      </c>
      <c r="CD35" s="258">
        <v>0.62</v>
      </c>
      <c r="CF35" s="261"/>
      <c r="CG35" s="208"/>
      <c r="CH35" s="255">
        <v>34.375</v>
      </c>
      <c r="CI35" s="255">
        <v>29.875</v>
      </c>
      <c r="CJ35" s="258">
        <f t="shared" si="44"/>
        <v>32.125</v>
      </c>
      <c r="CK35" s="258">
        <v>2</v>
      </c>
      <c r="CL35" s="256">
        <v>0.0519</v>
      </c>
      <c r="CM35" s="261">
        <f t="shared" si="45"/>
        <v>0.12254732361288756</v>
      </c>
      <c r="CN35" s="208">
        <f t="shared" si="13"/>
        <v>0.0070676545503535375</v>
      </c>
      <c r="CO35" s="255">
        <v>30.375</v>
      </c>
      <c r="CP35" s="255">
        <v>27</v>
      </c>
      <c r="CQ35" s="258">
        <f t="shared" si="14"/>
        <v>28.6875</v>
      </c>
      <c r="CR35" s="258">
        <v>1.46</v>
      </c>
      <c r="CS35" s="256">
        <v>0.0567</v>
      </c>
      <c r="CT35" s="261">
        <f t="shared" si="46"/>
        <v>0.11445679973553724</v>
      </c>
      <c r="CU35" s="208">
        <f t="shared" si="15"/>
        <v>0.005280840724193193</v>
      </c>
      <c r="CV35" s="262">
        <v>15</v>
      </c>
      <c r="CW35" s="262">
        <v>11.8125</v>
      </c>
      <c r="CX35" s="262">
        <f t="shared" si="16"/>
        <v>13.40625</v>
      </c>
      <c r="CY35" s="262">
        <v>0.84</v>
      </c>
      <c r="CZ35" s="261">
        <v>0.086</v>
      </c>
      <c r="DA35" s="261">
        <f t="shared" si="64"/>
        <v>0.1556614761423396</v>
      </c>
      <c r="DB35" s="208">
        <f t="shared" si="58"/>
        <v>0.0017954884818985274</v>
      </c>
      <c r="DC35" s="260">
        <v>27</v>
      </c>
      <c r="DD35" s="260">
        <v>25.9375</v>
      </c>
      <c r="DE35" s="258">
        <f t="shared" si="17"/>
        <v>26.46875</v>
      </c>
      <c r="DF35" s="258">
        <v>1.46</v>
      </c>
      <c r="DG35" s="261">
        <v>0.05</v>
      </c>
      <c r="DH35" s="261">
        <f t="shared" si="63"/>
        <v>0.11230596127796533</v>
      </c>
      <c r="DI35" s="208">
        <f t="shared" si="62"/>
        <v>0.0021050269179990013</v>
      </c>
      <c r="DJ35" s="255">
        <v>20.1875</v>
      </c>
      <c r="DK35" s="255">
        <v>18</v>
      </c>
      <c r="DL35" s="258">
        <f t="shared" si="18"/>
        <v>19.09375</v>
      </c>
      <c r="DM35" s="258">
        <v>0.82</v>
      </c>
      <c r="DN35" s="256">
        <v>0.05</v>
      </c>
      <c r="DO35" s="261">
        <f t="shared" si="47"/>
        <v>0.09827737201702513</v>
      </c>
      <c r="DP35" s="208">
        <f t="shared" si="19"/>
        <v>0.0034007622282819197</v>
      </c>
      <c r="DQ35" s="255">
        <v>22.625</v>
      </c>
      <c r="DR35" s="255">
        <v>20.5625</v>
      </c>
      <c r="DS35" s="258">
        <f t="shared" si="20"/>
        <v>21.59375</v>
      </c>
      <c r="DT35" s="258">
        <v>1.5</v>
      </c>
      <c r="DV35" s="261"/>
      <c r="DW35" s="208"/>
      <c r="DX35" s="255">
        <v>27.625</v>
      </c>
      <c r="DY35" s="255">
        <v>25.625</v>
      </c>
      <c r="DZ35" s="258">
        <f t="shared" si="21"/>
        <v>26.625</v>
      </c>
      <c r="EA35" s="258">
        <v>1.24</v>
      </c>
      <c r="EB35" s="256">
        <v>0.0457</v>
      </c>
      <c r="EC35" s="261">
        <f t="shared" si="48"/>
        <v>0.0979145311612526</v>
      </c>
      <c r="ED35" s="208">
        <f t="shared" si="22"/>
        <v>0.006211712075270996</v>
      </c>
      <c r="EE35" s="123">
        <v>51.88</v>
      </c>
      <c r="EF35" s="123">
        <v>46.25</v>
      </c>
      <c r="EG35" s="258">
        <f>AVERAGE(EE35:EF35)</f>
        <v>49.065</v>
      </c>
      <c r="EH35" s="278">
        <f t="shared" si="60"/>
        <v>1.86</v>
      </c>
      <c r="EI35" s="256">
        <v>0.0679</v>
      </c>
      <c r="EJ35" s="261">
        <f t="shared" si="50"/>
        <v>0.11115551282902625</v>
      </c>
      <c r="EK35" s="208">
        <f t="shared" si="23"/>
        <v>0.013007778232692035</v>
      </c>
      <c r="EL35" s="279">
        <v>20.56</v>
      </c>
      <c r="EM35" s="279">
        <v>18</v>
      </c>
      <c r="EN35" s="279">
        <f>AVERAGE(EL35:EM35)</f>
        <v>19.28</v>
      </c>
      <c r="EO35" s="278">
        <f t="shared" si="61"/>
        <v>0.6800000072</v>
      </c>
      <c r="EP35" s="256">
        <v>0.0855</v>
      </c>
      <c r="EQ35" s="261">
        <f t="shared" si="51"/>
        <v>0.12636483489848982</v>
      </c>
      <c r="ER35" s="208">
        <f t="shared" si="24"/>
        <v>0.01184095608443626</v>
      </c>
      <c r="ES35" s="261"/>
      <c r="ET35" s="262">
        <v>1</v>
      </c>
      <c r="EU35" s="262">
        <v>0.575</v>
      </c>
      <c r="EV35" s="262">
        <v>0.15</v>
      </c>
      <c r="EW35" s="262">
        <v>0.45</v>
      </c>
      <c r="EX35" s="280">
        <v>1.63533225</v>
      </c>
      <c r="EY35" s="262">
        <v>2.9</v>
      </c>
      <c r="FA35" s="262">
        <v>0.65</v>
      </c>
      <c r="FB35" s="262">
        <v>1.5</v>
      </c>
      <c r="FC35" s="262">
        <v>0.475</v>
      </c>
      <c r="FD35" s="262">
        <v>0.325</v>
      </c>
      <c r="FF35" s="258">
        <v>1</v>
      </c>
      <c r="FG35" s="258">
        <v>0.8</v>
      </c>
      <c r="FH35" s="258">
        <v>0.2</v>
      </c>
      <c r="FI35" s="258">
        <v>0.325</v>
      </c>
      <c r="FJ35" s="258">
        <v>0.6</v>
      </c>
      <c r="FL35" s="258">
        <v>1.1</v>
      </c>
      <c r="FM35" s="281">
        <v>2.02908684</v>
      </c>
      <c r="FN35" s="281">
        <v>1.62475938</v>
      </c>
      <c r="FO35" s="258">
        <f>SUM(ET35:FN35)</f>
        <v>17.339178469999997</v>
      </c>
      <c r="FP35" s="261">
        <f t="shared" si="25"/>
        <v>0.12906841835292088</v>
      </c>
    </row>
    <row r="36" spans="1:172" ht="12.75">
      <c r="A36" s="263">
        <v>36707</v>
      </c>
      <c r="B36" s="255">
        <v>17.3125</v>
      </c>
      <c r="C36" s="255">
        <v>15.5</v>
      </c>
      <c r="D36" s="255">
        <f t="shared" si="26"/>
        <v>16.40625</v>
      </c>
      <c r="E36" s="255">
        <v>1.08</v>
      </c>
      <c r="F36" s="256">
        <v>0.0536</v>
      </c>
      <c r="G36" s="261">
        <f t="shared" si="27"/>
        <v>0.12852644780367206</v>
      </c>
      <c r="H36" s="277">
        <f t="shared" si="0"/>
        <v>0.007293005843641554</v>
      </c>
      <c r="I36" s="255">
        <v>20.5625</v>
      </c>
      <c r="J36" s="255">
        <v>17.5</v>
      </c>
      <c r="K36" s="258">
        <f t="shared" si="28"/>
        <v>19.03125</v>
      </c>
      <c r="L36" s="259">
        <v>1.14</v>
      </c>
      <c r="M36" s="256">
        <v>0.0709</v>
      </c>
      <c r="N36" s="261">
        <f t="shared" si="29"/>
        <v>0.1400382182087514</v>
      </c>
      <c r="O36" s="208">
        <f t="shared" si="1"/>
        <v>0.004569077008504454</v>
      </c>
      <c r="P36" s="260">
        <v>18.125</v>
      </c>
      <c r="Q36" s="260">
        <v>15.3125</v>
      </c>
      <c r="R36" s="258">
        <f t="shared" si="30"/>
        <v>16.71875</v>
      </c>
      <c r="S36" s="49">
        <v>0.96</v>
      </c>
      <c r="T36" s="261">
        <v>0.0427</v>
      </c>
      <c r="U36" s="261">
        <f t="shared" si="2"/>
        <v>0.10387401632747562</v>
      </c>
      <c r="V36" s="208">
        <f t="shared" si="3"/>
        <v>0.0008841220865716102</v>
      </c>
      <c r="W36" s="255">
        <v>22.5</v>
      </c>
      <c r="X36" s="255">
        <v>19.5</v>
      </c>
      <c r="Y36" s="258">
        <f t="shared" si="31"/>
        <v>21</v>
      </c>
      <c r="Z36" s="258">
        <v>0.66</v>
      </c>
      <c r="AA36" s="256">
        <v>0.0789</v>
      </c>
      <c r="AB36" s="261">
        <f t="shared" si="32"/>
        <v>0.11503818597702176</v>
      </c>
      <c r="AC36" s="208">
        <f t="shared" si="4"/>
        <v>0.002937437232640675</v>
      </c>
      <c r="AD36" s="123">
        <v>51.38</v>
      </c>
      <c r="AE36" s="123">
        <v>45.62</v>
      </c>
      <c r="AF36" s="258">
        <f t="shared" si="5"/>
        <v>48.5</v>
      </c>
      <c r="AG36" s="258">
        <v>1.18</v>
      </c>
      <c r="AH36" s="256">
        <v>0.1211</v>
      </c>
      <c r="AI36" s="261">
        <f t="shared" si="33"/>
        <v>0.15008876409651295</v>
      </c>
      <c r="AJ36" s="208">
        <f t="shared" si="6"/>
        <v>0.013513021054241283</v>
      </c>
      <c r="AK36" s="255">
        <v>32.6875</v>
      </c>
      <c r="AL36" s="255">
        <v>30.125</v>
      </c>
      <c r="AM36" s="258">
        <f t="shared" si="34"/>
        <v>31.40625</v>
      </c>
      <c r="AN36" s="258">
        <v>1.78</v>
      </c>
      <c r="AO36" s="256">
        <v>0.0964</v>
      </c>
      <c r="AP36" s="261">
        <f t="shared" si="54"/>
        <v>0.16328877986706036</v>
      </c>
      <c r="AQ36" s="208">
        <f t="shared" si="52"/>
        <v>0.026870045300037355</v>
      </c>
      <c r="AR36" s="260">
        <v>19.9375</v>
      </c>
      <c r="AS36" s="260">
        <v>18.75</v>
      </c>
      <c r="AT36" s="258">
        <f t="shared" si="35"/>
        <v>19.34375</v>
      </c>
      <c r="AU36" s="258">
        <v>1.34</v>
      </c>
      <c r="AW36" s="261"/>
      <c r="AX36" s="208"/>
      <c r="AY36" s="255">
        <v>41.375</v>
      </c>
      <c r="AZ36" s="255">
        <v>37.875</v>
      </c>
      <c r="BA36" s="258">
        <f t="shared" si="36"/>
        <v>39.625</v>
      </c>
      <c r="BB36" s="255">
        <v>1.72</v>
      </c>
      <c r="BC36" s="256">
        <v>0.0638</v>
      </c>
      <c r="BD36" s="261">
        <f t="shared" si="37"/>
        <v>0.11324583653344011</v>
      </c>
      <c r="BE36" s="208">
        <f t="shared" si="7"/>
        <v>0.004176857488228646</v>
      </c>
      <c r="BF36" s="255">
        <v>37.5</v>
      </c>
      <c r="BG36" s="255">
        <v>32.375</v>
      </c>
      <c r="BH36" s="258">
        <f t="shared" si="38"/>
        <v>34.9375</v>
      </c>
      <c r="BI36" s="258">
        <v>1.66</v>
      </c>
      <c r="BJ36" s="256">
        <v>0.0624</v>
      </c>
      <c r="BK36" s="261">
        <f t="shared" si="39"/>
        <v>0.11653989997727732</v>
      </c>
      <c r="BL36" s="208">
        <f t="shared" si="8"/>
        <v>0.009919275597462706</v>
      </c>
      <c r="BM36" s="255">
        <v>23.875</v>
      </c>
      <c r="BN36" s="255">
        <v>21.5</v>
      </c>
      <c r="BO36" s="258">
        <f t="shared" si="40"/>
        <v>22.6875</v>
      </c>
      <c r="BP36" s="258">
        <v>1.24</v>
      </c>
      <c r="BQ36" s="256">
        <v>0.0403</v>
      </c>
      <c r="BR36" s="261">
        <f t="shared" si="53"/>
        <v>0.10145449366432557</v>
      </c>
      <c r="BS36" s="208">
        <f t="shared" si="9"/>
        <v>0.0027345064631112363</v>
      </c>
      <c r="BT36" s="260">
        <v>28.1875</v>
      </c>
      <c r="BU36" s="260">
        <v>26.5625</v>
      </c>
      <c r="BV36" s="258">
        <f t="shared" si="41"/>
        <v>27.375</v>
      </c>
      <c r="BW36" s="49">
        <v>0.98</v>
      </c>
      <c r="BX36" s="256">
        <v>0.122</v>
      </c>
      <c r="BY36" s="261">
        <f t="shared" si="10"/>
        <v>0.16270902233819262</v>
      </c>
      <c r="BZ36" s="208">
        <f t="shared" si="11"/>
        <v>0.0030006065527846603</v>
      </c>
      <c r="CA36" s="255">
        <v>15.625</v>
      </c>
      <c r="CB36" s="255">
        <v>12.875</v>
      </c>
      <c r="CC36" s="258">
        <f t="shared" si="42"/>
        <v>14.25</v>
      </c>
      <c r="CD36" s="258">
        <v>0.62</v>
      </c>
      <c r="CF36" s="261"/>
      <c r="CG36" s="208"/>
      <c r="CH36" s="255">
        <v>35.0625</v>
      </c>
      <c r="CI36" s="255">
        <v>32</v>
      </c>
      <c r="CJ36" s="258">
        <f t="shared" si="44"/>
        <v>33.53125</v>
      </c>
      <c r="CK36" s="258">
        <v>2</v>
      </c>
      <c r="CL36" s="256">
        <v>0.0519</v>
      </c>
      <c r="CM36" s="261">
        <f t="shared" si="45"/>
        <v>0.11951494976619781</v>
      </c>
      <c r="CN36" s="208">
        <f t="shared" si="13"/>
        <v>0.006781664334011919</v>
      </c>
      <c r="CO36" s="255">
        <v>31.3125</v>
      </c>
      <c r="CP36" s="255">
        <v>26.5625</v>
      </c>
      <c r="CQ36" s="258">
        <f t="shared" si="14"/>
        <v>28.9375</v>
      </c>
      <c r="CR36" s="258">
        <v>1.46</v>
      </c>
      <c r="CS36" s="256">
        <v>0.0567</v>
      </c>
      <c r="CT36" s="261">
        <f t="shared" si="46"/>
        <v>0.11394790668128185</v>
      </c>
      <c r="CU36" s="208">
        <f t="shared" si="15"/>
        <v>0.005172617860359591</v>
      </c>
      <c r="CV36" s="262">
        <v>13.9375</v>
      </c>
      <c r="CW36" s="262">
        <v>11.5</v>
      </c>
      <c r="CX36" s="262">
        <f t="shared" si="16"/>
        <v>12.71875</v>
      </c>
      <c r="CY36" s="262">
        <v>0.84</v>
      </c>
      <c r="CZ36" s="261">
        <v>0.086</v>
      </c>
      <c r="DA36" s="261">
        <f t="shared" si="64"/>
        <v>0.15952002249577957</v>
      </c>
      <c r="DB36" s="208">
        <f t="shared" si="58"/>
        <v>0.0018103362788282307</v>
      </c>
      <c r="DC36" s="260">
        <v>27.625</v>
      </c>
      <c r="DD36" s="260">
        <v>24.5</v>
      </c>
      <c r="DE36" s="258">
        <f t="shared" si="17"/>
        <v>26.0625</v>
      </c>
      <c r="DF36" s="258">
        <v>1.46</v>
      </c>
      <c r="DG36" s="261">
        <v>0.05</v>
      </c>
      <c r="DH36" s="261">
        <f t="shared" si="63"/>
        <v>0.11329858335204901</v>
      </c>
      <c r="DI36" s="208">
        <f t="shared" si="62"/>
        <v>0.002089401477201167</v>
      </c>
      <c r="DJ36" s="255">
        <v>19.6875</v>
      </c>
      <c r="DK36" s="255">
        <v>17.5</v>
      </c>
      <c r="DL36" s="258">
        <f t="shared" si="18"/>
        <v>18.59375</v>
      </c>
      <c r="DM36" s="258">
        <v>0.82</v>
      </c>
      <c r="DN36" s="256">
        <v>0.05</v>
      </c>
      <c r="DO36" s="261">
        <f t="shared" si="47"/>
        <v>0.0995981479440331</v>
      </c>
      <c r="DP36" s="208">
        <f t="shared" si="19"/>
        <v>0.0033909123953130373</v>
      </c>
      <c r="DQ36" s="255">
        <v>22.25</v>
      </c>
      <c r="DR36" s="255">
        <v>20.125</v>
      </c>
      <c r="DS36" s="258">
        <f t="shared" si="20"/>
        <v>21.1875</v>
      </c>
      <c r="DT36" s="258">
        <v>1.5</v>
      </c>
      <c r="DU36" s="256">
        <v>0.0667</v>
      </c>
      <c r="DV36" s="261">
        <f t="shared" si="59"/>
        <v>0.1484424830605977</v>
      </c>
      <c r="DW36" s="208">
        <f t="shared" si="56"/>
        <v>0.0044221306612404684</v>
      </c>
      <c r="DX36" s="255">
        <v>27.4375</v>
      </c>
      <c r="DY36" s="255">
        <v>24.0625</v>
      </c>
      <c r="DZ36" s="258">
        <f t="shared" si="21"/>
        <v>25.75</v>
      </c>
      <c r="EA36" s="258">
        <v>1.24</v>
      </c>
      <c r="EB36" s="256">
        <v>0.0463</v>
      </c>
      <c r="EC36" s="261">
        <f t="shared" si="48"/>
        <v>0.10035347414752582</v>
      </c>
      <c r="ED36" s="208">
        <f t="shared" si="22"/>
        <v>0.006263818338433844</v>
      </c>
      <c r="EE36" s="123">
        <v>51.88</v>
      </c>
      <c r="EF36" s="123">
        <v>48</v>
      </c>
      <c r="EG36" s="258">
        <f>AVERAGE(EE36:EF36)</f>
        <v>49.94</v>
      </c>
      <c r="EH36" s="278">
        <f>0.48*4</f>
        <v>1.92</v>
      </c>
      <c r="EI36" s="256">
        <v>0.0719</v>
      </c>
      <c r="EJ36" s="261">
        <f t="shared" si="50"/>
        <v>0.11594216329513385</v>
      </c>
      <c r="EK36" s="208">
        <f t="shared" si="23"/>
        <v>0.012573677588167437</v>
      </c>
      <c r="EL36" s="279">
        <v>20.62</v>
      </c>
      <c r="EM36" s="279">
        <v>18.88</v>
      </c>
      <c r="EN36" s="279">
        <f>AVERAGE(EL36:EM36)</f>
        <v>19.75</v>
      </c>
      <c r="EO36" s="278">
        <f t="shared" si="61"/>
        <v>0.6800000072</v>
      </c>
      <c r="EP36" s="256">
        <v>0.0855</v>
      </c>
      <c r="EQ36" s="261">
        <f t="shared" si="51"/>
        <v>0.1253791610311643</v>
      </c>
      <c r="ER36" s="208">
        <f t="shared" si="24"/>
        <v>0.011029918881474286</v>
      </c>
      <c r="ES36" s="261"/>
      <c r="ET36" s="262">
        <v>1</v>
      </c>
      <c r="EU36" s="262">
        <v>0.575</v>
      </c>
      <c r="EV36" s="262">
        <v>0.15</v>
      </c>
      <c r="EW36" s="262">
        <v>0.45</v>
      </c>
      <c r="EX36" s="280">
        <v>1.5866831700000001</v>
      </c>
      <c r="EY36" s="262">
        <v>2.9</v>
      </c>
      <c r="FA36" s="262">
        <v>0.65</v>
      </c>
      <c r="FB36" s="262">
        <v>1.5</v>
      </c>
      <c r="FC36" s="262">
        <v>0.475</v>
      </c>
      <c r="FD36" s="262">
        <v>0.325</v>
      </c>
      <c r="FF36" s="258">
        <v>1</v>
      </c>
      <c r="FG36" s="258">
        <v>0.8</v>
      </c>
      <c r="FH36" s="258">
        <v>0.2</v>
      </c>
      <c r="FI36" s="258">
        <v>0.325</v>
      </c>
      <c r="FJ36" s="258">
        <v>0.6</v>
      </c>
      <c r="FK36" s="258">
        <v>0.525</v>
      </c>
      <c r="FL36" s="258">
        <v>1.1</v>
      </c>
      <c r="FM36" s="281">
        <v>1.9112031999999999</v>
      </c>
      <c r="FN36" s="281">
        <v>1.55036124</v>
      </c>
      <c r="FO36" s="258">
        <f>SUM(ET36:FN36)</f>
        <v>17.62324761</v>
      </c>
      <c r="FP36" s="261">
        <f t="shared" si="25"/>
        <v>0.12943243244225416</v>
      </c>
    </row>
    <row r="37" spans="1:172" ht="12.75">
      <c r="A37" s="263">
        <v>36738</v>
      </c>
      <c r="B37" s="255">
        <v>18.1875</v>
      </c>
      <c r="C37" s="255">
        <v>16.0625</v>
      </c>
      <c r="D37" s="255">
        <f t="shared" si="26"/>
        <v>17.125</v>
      </c>
      <c r="E37" s="255">
        <v>1.08</v>
      </c>
      <c r="F37" s="256">
        <v>0.0596</v>
      </c>
      <c r="G37" s="261">
        <f t="shared" si="27"/>
        <v>0.13171204348081034</v>
      </c>
      <c r="H37" s="277">
        <f t="shared" si="0"/>
        <v>0.005533481203865991</v>
      </c>
      <c r="I37" s="255">
        <v>20.625</v>
      </c>
      <c r="J37" s="255">
        <v>17.75</v>
      </c>
      <c r="K37" s="258">
        <f t="shared" si="28"/>
        <v>19.1875</v>
      </c>
      <c r="L37" s="259">
        <v>1.14</v>
      </c>
      <c r="M37" s="256">
        <v>0.0684</v>
      </c>
      <c r="N37" s="261">
        <f t="shared" si="29"/>
        <v>0.13680197871447364</v>
      </c>
      <c r="O37" s="208">
        <f t="shared" si="1"/>
        <v>0.003941018991931029</v>
      </c>
      <c r="P37" s="260">
        <v>17.0625</v>
      </c>
      <c r="Q37" s="260">
        <v>15.8125</v>
      </c>
      <c r="R37" s="258">
        <f t="shared" si="30"/>
        <v>16.4375</v>
      </c>
      <c r="S37" s="49">
        <v>0.96</v>
      </c>
      <c r="T37" s="261">
        <v>0.0427</v>
      </c>
      <c r="U37" s="261">
        <f t="shared" si="2"/>
        <v>0.10494359173999279</v>
      </c>
      <c r="V37" s="208">
        <f t="shared" si="3"/>
        <v>0.0010077453850088466</v>
      </c>
      <c r="W37" s="255">
        <v>24.5</v>
      </c>
      <c r="X37" s="255">
        <v>21</v>
      </c>
      <c r="Y37" s="258">
        <f t="shared" si="31"/>
        <v>22.75</v>
      </c>
      <c r="Z37" s="258">
        <v>0.68</v>
      </c>
      <c r="AA37" s="256">
        <v>0.0789</v>
      </c>
      <c r="AB37" s="261">
        <f t="shared" si="32"/>
        <v>0.11324834661464767</v>
      </c>
      <c r="AC37" s="208">
        <f t="shared" si="4"/>
        <v>0.00339841792530403</v>
      </c>
      <c r="AD37" s="123">
        <v>54.44</v>
      </c>
      <c r="AE37" s="123">
        <v>46.81</v>
      </c>
      <c r="AF37" s="258">
        <f t="shared" si="5"/>
        <v>50.625</v>
      </c>
      <c r="AG37" s="258">
        <v>1.18</v>
      </c>
      <c r="AH37" s="256">
        <v>0.1238</v>
      </c>
      <c r="AI37" s="261">
        <f t="shared" si="33"/>
        <v>0.1516276278327564</v>
      </c>
      <c r="AJ37" s="208">
        <f t="shared" si="6"/>
        <v>0.01245834401683623</v>
      </c>
      <c r="AK37" s="255">
        <v>33.1875</v>
      </c>
      <c r="AL37" s="255">
        <v>30.9375</v>
      </c>
      <c r="AM37" s="258">
        <f t="shared" si="34"/>
        <v>32.0625</v>
      </c>
      <c r="AN37" s="258">
        <v>1.78</v>
      </c>
      <c r="AO37" s="256">
        <v>0.0964</v>
      </c>
      <c r="AP37" s="261">
        <f t="shared" si="54"/>
        <v>0.16188979116580215</v>
      </c>
      <c r="AQ37" s="208">
        <f t="shared" si="52"/>
        <v>0.032646276267762134</v>
      </c>
      <c r="AR37" s="260">
        <v>20.125</v>
      </c>
      <c r="AS37" s="260">
        <v>19.1875</v>
      </c>
      <c r="AT37" s="258">
        <f t="shared" si="35"/>
        <v>19.65625</v>
      </c>
      <c r="AU37" s="258">
        <v>1.34</v>
      </c>
      <c r="AW37" s="261"/>
      <c r="AX37" s="208"/>
      <c r="AY37" s="255">
        <v>40.6875</v>
      </c>
      <c r="AZ37" s="255">
        <v>37.625</v>
      </c>
      <c r="BA37" s="258">
        <f t="shared" si="36"/>
        <v>39.15625</v>
      </c>
      <c r="BB37" s="255">
        <v>1.72</v>
      </c>
      <c r="BC37" s="256">
        <v>0.0638</v>
      </c>
      <c r="BD37" s="261">
        <f t="shared" si="37"/>
        <v>0.11384801072165107</v>
      </c>
      <c r="BE37" s="208">
        <f t="shared" si="7"/>
        <v>0.0036897260094245973</v>
      </c>
      <c r="BF37" s="255">
        <v>35.5</v>
      </c>
      <c r="BG37" s="255">
        <v>32.125</v>
      </c>
      <c r="BH37" s="258">
        <f t="shared" si="38"/>
        <v>33.8125</v>
      </c>
      <c r="BI37" s="258">
        <v>1.66</v>
      </c>
      <c r="BJ37" s="256">
        <v>0.0624</v>
      </c>
      <c r="BK37" s="261">
        <f t="shared" si="39"/>
        <v>0.11837607151646701</v>
      </c>
      <c r="BL37" s="208">
        <f t="shared" si="8"/>
        <v>0.009093871310351628</v>
      </c>
      <c r="BM37" s="255">
        <v>24</v>
      </c>
      <c r="BN37" s="255">
        <v>21.625</v>
      </c>
      <c r="BO37" s="258">
        <f t="shared" si="40"/>
        <v>22.8125</v>
      </c>
      <c r="BP37" s="258">
        <v>1.24</v>
      </c>
      <c r="BQ37" s="256">
        <v>0.0453</v>
      </c>
      <c r="BR37" s="261">
        <f t="shared" si="53"/>
        <v>0.10640451080934299</v>
      </c>
      <c r="BS37" s="208">
        <f t="shared" si="9"/>
        <v>0.0029376008309443557</v>
      </c>
      <c r="BT37" s="260">
        <v>28.6875</v>
      </c>
      <c r="BU37" s="260">
        <v>26.1875</v>
      </c>
      <c r="BV37" s="258">
        <f t="shared" si="41"/>
        <v>27.4375</v>
      </c>
      <c r="BW37" s="49">
        <v>0.98</v>
      </c>
      <c r="BX37" s="256">
        <v>0.1316</v>
      </c>
      <c r="BY37" s="261">
        <f t="shared" si="10"/>
        <v>0.17256255938152965</v>
      </c>
      <c r="BZ37" s="208">
        <f t="shared" si="11"/>
        <v>0.002899876590155014</v>
      </c>
      <c r="CA37" s="255">
        <v>13.890625</v>
      </c>
      <c r="CB37" s="255">
        <v>12.625</v>
      </c>
      <c r="CC37" s="258">
        <f t="shared" si="42"/>
        <v>13.2578125</v>
      </c>
      <c r="CD37" s="258">
        <v>0.62</v>
      </c>
      <c r="CE37" s="256">
        <v>0.0667</v>
      </c>
      <c r="CF37" s="261">
        <f>+((((((CD37/4)*(1+CE37)^0.25))/(CC37*0.95))+(1+CE37)^(0.25))^4)-1</f>
        <v>0.12018686986123028</v>
      </c>
      <c r="CG37" s="208">
        <f t="shared" si="12"/>
        <v>0.004905020745820514</v>
      </c>
      <c r="CH37" s="255">
        <v>33.5</v>
      </c>
      <c r="CI37" s="255">
        <v>31.25</v>
      </c>
      <c r="CJ37" s="258">
        <f t="shared" si="44"/>
        <v>32.375</v>
      </c>
      <c r="CK37" s="258">
        <v>2</v>
      </c>
      <c r="CL37" s="256">
        <v>0.0544</v>
      </c>
      <c r="CM37" s="261">
        <f t="shared" si="45"/>
        <v>0.1246550956180914</v>
      </c>
      <c r="CN37" s="208">
        <f t="shared" si="13"/>
        <v>0.007182178268009225</v>
      </c>
      <c r="CO37" s="255">
        <v>29.125</v>
      </c>
      <c r="CP37" s="255">
        <v>26.875</v>
      </c>
      <c r="CQ37" s="258">
        <f t="shared" si="14"/>
        <v>28</v>
      </c>
      <c r="CR37" s="258">
        <v>1.46</v>
      </c>
      <c r="CS37" s="256">
        <v>0.0567</v>
      </c>
      <c r="CT37" s="261">
        <f t="shared" si="46"/>
        <v>0.11590406440698398</v>
      </c>
      <c r="CU37" s="208">
        <f t="shared" si="15"/>
        <v>0.00528673046489244</v>
      </c>
      <c r="CV37" s="262">
        <v>15.1875</v>
      </c>
      <c r="CW37" s="262">
        <v>12.25</v>
      </c>
      <c r="CX37" s="262">
        <f t="shared" si="16"/>
        <v>13.71875</v>
      </c>
      <c r="CY37" s="262">
        <v>0.84</v>
      </c>
      <c r="CZ37" s="261">
        <v>0.086</v>
      </c>
      <c r="DA37" s="261">
        <f t="shared" si="64"/>
        <v>0.15403832479238644</v>
      </c>
      <c r="DB37" s="208">
        <f t="shared" si="58"/>
        <v>0.0016640876721867753</v>
      </c>
      <c r="DC37" s="260">
        <v>27.5625</v>
      </c>
      <c r="DD37" s="260">
        <v>26.0625</v>
      </c>
      <c r="DE37" s="258">
        <f t="shared" si="17"/>
        <v>26.8125</v>
      </c>
      <c r="DF37" s="258">
        <v>1.46</v>
      </c>
      <c r="DG37" s="261">
        <v>0.05</v>
      </c>
      <c r="DH37" s="261">
        <f t="shared" si="63"/>
        <v>0.11149004191437362</v>
      </c>
      <c r="DI37" s="208">
        <f t="shared" si="62"/>
        <v>0.001605913805942801</v>
      </c>
      <c r="DJ37" s="255">
        <v>18.5625</v>
      </c>
      <c r="DK37" s="255">
        <v>16.875</v>
      </c>
      <c r="DL37" s="258">
        <f t="shared" si="18"/>
        <v>17.71875</v>
      </c>
      <c r="DM37" s="258">
        <v>0.82</v>
      </c>
      <c r="DN37" s="256">
        <v>0.05</v>
      </c>
      <c r="DO37" s="261">
        <f t="shared" si="47"/>
        <v>0.10209211150663866</v>
      </c>
      <c r="DP37" s="208">
        <f t="shared" si="19"/>
        <v>0.0029410901374004395</v>
      </c>
      <c r="DQ37" s="255">
        <v>22.4375</v>
      </c>
      <c r="DR37" s="255">
        <v>20.5625</v>
      </c>
      <c r="DS37" s="258">
        <f t="shared" si="20"/>
        <v>21.5</v>
      </c>
      <c r="DT37" s="258">
        <v>1.55</v>
      </c>
      <c r="DU37" s="256">
        <v>0.0667</v>
      </c>
      <c r="DV37" s="261">
        <f t="shared" si="59"/>
        <v>0.14998198683148067</v>
      </c>
      <c r="DW37" s="208">
        <f t="shared" si="56"/>
        <v>0.004320711323803962</v>
      </c>
      <c r="DX37" s="255">
        <v>25.5</v>
      </c>
      <c r="DY37" s="255">
        <v>23.9375</v>
      </c>
      <c r="DZ37" s="258">
        <f t="shared" si="21"/>
        <v>24.71875</v>
      </c>
      <c r="EA37" s="258">
        <v>1.24</v>
      </c>
      <c r="EB37" s="256">
        <v>0.0463</v>
      </c>
      <c r="EC37" s="261">
        <f t="shared" si="48"/>
        <v>0.10265312343043509</v>
      </c>
      <c r="ED37" s="208">
        <f t="shared" si="22"/>
        <v>0.0059145037640830934</v>
      </c>
      <c r="EE37" s="123">
        <v>52.38</v>
      </c>
      <c r="EF37" s="123">
        <v>48.12</v>
      </c>
      <c r="EG37" s="258">
        <f>AVERAGE(EE37:EF37)</f>
        <v>50.25</v>
      </c>
      <c r="EH37" s="278">
        <f aca="true" t="shared" si="65" ref="EH37:EH47">0.48*4</f>
        <v>1.92</v>
      </c>
      <c r="EI37" s="256">
        <v>0.0719</v>
      </c>
      <c r="EJ37" s="261">
        <f t="shared" si="50"/>
        <v>0.11566636962600807</v>
      </c>
      <c r="EK37" s="208">
        <f t="shared" si="23"/>
        <v>0.010724919657100502</v>
      </c>
      <c r="EL37" s="279">
        <v>20.19</v>
      </c>
      <c r="EM37" s="279">
        <v>18.88</v>
      </c>
      <c r="EN37" s="279">
        <f>AVERAGE(EL37:EM37)</f>
        <v>19.535</v>
      </c>
      <c r="EO37" s="278">
        <f t="shared" si="61"/>
        <v>0.6800000072</v>
      </c>
      <c r="EP37" s="256">
        <v>0.0855</v>
      </c>
      <c r="EQ37" s="261">
        <f t="shared" si="51"/>
        <v>0.12582408852477323</v>
      </c>
      <c r="ER37" s="208">
        <f t="shared" si="24"/>
        <v>0.00942415525550322</v>
      </c>
      <c r="ES37" s="261"/>
      <c r="ET37" s="262">
        <v>0.875</v>
      </c>
      <c r="EU37" s="262">
        <v>0.6</v>
      </c>
      <c r="EV37" s="262">
        <v>0.2</v>
      </c>
      <c r="EW37" s="262">
        <v>0.625</v>
      </c>
      <c r="EX37" s="280">
        <v>1.71126426</v>
      </c>
      <c r="EY37" s="262">
        <v>4.2</v>
      </c>
      <c r="FA37" s="262">
        <v>0.675</v>
      </c>
      <c r="FB37" s="262">
        <v>1.6</v>
      </c>
      <c r="FC37" s="262">
        <v>0.575</v>
      </c>
      <c r="FD37" s="262">
        <v>0.35</v>
      </c>
      <c r="FE37" s="258">
        <v>0.85</v>
      </c>
      <c r="FF37" s="258">
        <v>1.2</v>
      </c>
      <c r="FG37" s="258">
        <v>0.95</v>
      </c>
      <c r="FH37" s="258">
        <v>0.225</v>
      </c>
      <c r="FI37" s="258">
        <v>0.3</v>
      </c>
      <c r="FJ37" s="258">
        <v>0.6</v>
      </c>
      <c r="FK37" s="258">
        <v>0.6</v>
      </c>
      <c r="FL37" s="258">
        <v>1.2</v>
      </c>
      <c r="FM37" s="281">
        <v>1.93117684</v>
      </c>
      <c r="FN37" s="281">
        <v>1.559961</v>
      </c>
      <c r="FO37" s="258">
        <f>SUM(ET37:FN37)</f>
        <v>20.827402099999997</v>
      </c>
      <c r="FP37" s="261">
        <f t="shared" si="25"/>
        <v>0.13157566962632683</v>
      </c>
    </row>
    <row r="38" spans="1:172" ht="12.75">
      <c r="A38" s="263">
        <v>36769</v>
      </c>
      <c r="B38" s="255">
        <v>19.5625</v>
      </c>
      <c r="C38" s="255">
        <v>17.90625</v>
      </c>
      <c r="D38" s="255">
        <f t="shared" si="26"/>
        <v>18.734375</v>
      </c>
      <c r="E38" s="255">
        <v>1.08</v>
      </c>
      <c r="F38" s="256">
        <v>0.0596</v>
      </c>
      <c r="G38" s="261">
        <f t="shared" si="27"/>
        <v>0.12537682862205157</v>
      </c>
      <c r="H38" s="277">
        <f t="shared" si="0"/>
        <v>0.0051607973347335195</v>
      </c>
      <c r="I38" s="255">
        <v>23.25</v>
      </c>
      <c r="J38" s="255">
        <v>20</v>
      </c>
      <c r="K38" s="258">
        <f t="shared" si="28"/>
        <v>21.625</v>
      </c>
      <c r="L38" s="259">
        <v>1.14</v>
      </c>
      <c r="M38" s="256">
        <v>0.0684</v>
      </c>
      <c r="N38" s="261">
        <f t="shared" si="29"/>
        <v>0.1289321026804</v>
      </c>
      <c r="O38" s="208">
        <f t="shared" si="1"/>
        <v>0.003639182095060719</v>
      </c>
      <c r="P38" s="260">
        <v>17.9375</v>
      </c>
      <c r="Q38" s="260">
        <v>16.375</v>
      </c>
      <c r="R38" s="258">
        <f t="shared" si="30"/>
        <v>17.15625</v>
      </c>
      <c r="S38" s="49">
        <v>0.96</v>
      </c>
      <c r="T38" s="261">
        <v>0.0427</v>
      </c>
      <c r="U38" s="261">
        <f t="shared" si="2"/>
        <v>0.10228137679305038</v>
      </c>
      <c r="V38" s="208">
        <f t="shared" si="3"/>
        <v>0.0009623167216057825</v>
      </c>
      <c r="W38" s="255">
        <v>26.5</v>
      </c>
      <c r="X38" s="255">
        <v>21.5</v>
      </c>
      <c r="Y38" s="258">
        <f t="shared" si="31"/>
        <v>24</v>
      </c>
      <c r="Z38" s="258">
        <v>0.68</v>
      </c>
      <c r="AA38" s="256">
        <v>0.0946</v>
      </c>
      <c r="AB38" s="261">
        <f t="shared" si="32"/>
        <v>0.12761290256048818</v>
      </c>
      <c r="AC38" s="208">
        <f t="shared" si="4"/>
        <v>0.003752028041327876</v>
      </c>
      <c r="AD38" s="123">
        <v>59.75</v>
      </c>
      <c r="AE38" s="123">
        <v>52.31</v>
      </c>
      <c r="AF38" s="258">
        <f t="shared" si="5"/>
        <v>56.03</v>
      </c>
      <c r="AG38" s="258">
        <v>1.18</v>
      </c>
      <c r="AH38" s="256">
        <v>0.1225</v>
      </c>
      <c r="AI38" s="261">
        <f t="shared" si="33"/>
        <v>0.14759185887644</v>
      </c>
      <c r="AJ38" s="208">
        <f t="shared" si="6"/>
        <v>0.012739248177293164</v>
      </c>
      <c r="AK38" s="255">
        <v>36.9375</v>
      </c>
      <c r="AL38" s="255">
        <v>31.875</v>
      </c>
      <c r="AM38" s="258">
        <f t="shared" si="34"/>
        <v>34.40625</v>
      </c>
      <c r="AN38" s="258">
        <v>1.78</v>
      </c>
      <c r="AO38" s="256">
        <v>0.0964</v>
      </c>
      <c r="AP38" s="261">
        <f t="shared" si="54"/>
        <v>0.15733781602089625</v>
      </c>
      <c r="AQ38" s="208">
        <f t="shared" si="52"/>
        <v>0.031086646826118357</v>
      </c>
      <c r="AR38" s="260">
        <v>21.875</v>
      </c>
      <c r="AS38" s="260">
        <v>19.625</v>
      </c>
      <c r="AT38" s="258">
        <f t="shared" si="35"/>
        <v>20.75</v>
      </c>
      <c r="AU38" s="258">
        <v>1.34</v>
      </c>
      <c r="AW38" s="261"/>
      <c r="AX38" s="208"/>
      <c r="AY38" s="255">
        <v>43.125</v>
      </c>
      <c r="AZ38" s="255">
        <v>39.125</v>
      </c>
      <c r="BA38" s="258">
        <f t="shared" si="36"/>
        <v>41.125</v>
      </c>
      <c r="BB38" s="255">
        <v>1.72</v>
      </c>
      <c r="BC38" s="256">
        <v>0.0638</v>
      </c>
      <c r="BD38" s="261">
        <f t="shared" si="37"/>
        <v>0.11141263226347409</v>
      </c>
      <c r="BE38" s="208">
        <f t="shared" si="7"/>
        <v>0.0035377706876431937</v>
      </c>
      <c r="BF38" s="255">
        <v>40.0625</v>
      </c>
      <c r="BG38" s="255">
        <v>34.8125</v>
      </c>
      <c r="BH38" s="258">
        <f t="shared" si="38"/>
        <v>37.4375</v>
      </c>
      <c r="BI38" s="258">
        <v>1.66</v>
      </c>
      <c r="BJ38" s="256">
        <v>0.0624</v>
      </c>
      <c r="BK38" s="261">
        <f t="shared" si="39"/>
        <v>0.11286143792914283</v>
      </c>
      <c r="BL38" s="208">
        <f t="shared" si="8"/>
        <v>0.008494875790609558</v>
      </c>
      <c r="BM38" s="255">
        <v>23.9375</v>
      </c>
      <c r="BN38" s="255">
        <v>22.125</v>
      </c>
      <c r="BO38" s="258">
        <f t="shared" si="40"/>
        <v>23.03125</v>
      </c>
      <c r="BP38" s="258">
        <v>1.24</v>
      </c>
      <c r="BQ38" s="256">
        <v>0.0453</v>
      </c>
      <c r="BR38" s="261">
        <f t="shared" si="53"/>
        <v>0.1058118391197751</v>
      </c>
      <c r="BS38" s="208">
        <f t="shared" si="9"/>
        <v>0.002862157831651809</v>
      </c>
      <c r="BT38" s="260">
        <v>30.3125</v>
      </c>
      <c r="BU38" s="260">
        <v>27.625</v>
      </c>
      <c r="BV38" s="258">
        <f t="shared" si="41"/>
        <v>28.96875</v>
      </c>
      <c r="BW38" s="49">
        <v>0.98</v>
      </c>
      <c r="BX38" s="256">
        <v>0.1316</v>
      </c>
      <c r="BY38" s="261">
        <f t="shared" si="10"/>
        <v>0.17036991415612635</v>
      </c>
      <c r="BZ38" s="208">
        <f t="shared" si="11"/>
        <v>0.0028051263014354844</v>
      </c>
      <c r="CA38" s="255">
        <v>16.28125</v>
      </c>
      <c r="CB38" s="255">
        <v>13.3125</v>
      </c>
      <c r="CC38" s="258">
        <f t="shared" si="42"/>
        <v>14.796875</v>
      </c>
      <c r="CD38" s="258">
        <v>0.62</v>
      </c>
      <c r="CE38" s="256">
        <v>0.0667</v>
      </c>
      <c r="CF38" s="261">
        <f>+((((((CD38/4)*(1+CE38)^0.25))/(CC38*0.95))+(1+CE38)^(0.25))^4)-1</f>
        <v>0.11453181169406301</v>
      </c>
      <c r="CG38" s="208">
        <f t="shared" si="12"/>
        <v>0.00457969470367047</v>
      </c>
      <c r="CH38" s="255">
        <v>35.125</v>
      </c>
      <c r="CI38" s="255">
        <v>31.625</v>
      </c>
      <c r="CJ38" s="258">
        <f t="shared" si="44"/>
        <v>33.375</v>
      </c>
      <c r="CK38" s="258">
        <v>2</v>
      </c>
      <c r="CL38" s="256">
        <v>0.0606</v>
      </c>
      <c r="CM38" s="261">
        <f t="shared" si="45"/>
        <v>0.129100873429971</v>
      </c>
      <c r="CN38" s="208">
        <f t="shared" si="13"/>
        <v>0.007287891491348057</v>
      </c>
      <c r="CO38" s="255">
        <v>29.9375</v>
      </c>
      <c r="CP38" s="255">
        <v>26.5</v>
      </c>
      <c r="CQ38" s="258">
        <f t="shared" si="14"/>
        <v>28.21875</v>
      </c>
      <c r="CR38" s="258">
        <v>1.46</v>
      </c>
      <c r="CS38" s="256">
        <v>0.0567</v>
      </c>
      <c r="CT38" s="261">
        <f t="shared" si="46"/>
        <v>0.11543576757112106</v>
      </c>
      <c r="CU38" s="208">
        <f t="shared" si="15"/>
        <v>0.005158880543246869</v>
      </c>
      <c r="CV38" s="262">
        <v>16.0625</v>
      </c>
      <c r="CW38" s="262">
        <v>14.25</v>
      </c>
      <c r="CX38" s="262">
        <f t="shared" si="16"/>
        <v>15.15625</v>
      </c>
      <c r="CY38" s="262">
        <v>0.84</v>
      </c>
      <c r="CZ38" s="261">
        <v>0.086</v>
      </c>
      <c r="DA38" s="261">
        <f t="shared" si="64"/>
        <v>0.14745156505389256</v>
      </c>
      <c r="DB38" s="208">
        <f t="shared" si="58"/>
        <v>0.0015607141790443513</v>
      </c>
      <c r="DC38" s="260">
        <v>27.75</v>
      </c>
      <c r="DD38" s="260">
        <v>26.375</v>
      </c>
      <c r="DE38" s="258">
        <f t="shared" si="17"/>
        <v>27.0625</v>
      </c>
      <c r="DF38" s="258">
        <v>1.46</v>
      </c>
      <c r="DG38" s="261">
        <v>0.05</v>
      </c>
      <c r="DH38" s="261">
        <f t="shared" si="63"/>
        <v>0.1109099383607548</v>
      </c>
      <c r="DI38" s="208">
        <f t="shared" si="62"/>
        <v>0.0015652481168605984</v>
      </c>
      <c r="DJ38" s="255">
        <v>19.25</v>
      </c>
      <c r="DK38" s="255">
        <v>17.125</v>
      </c>
      <c r="DL38" s="258">
        <f t="shared" si="18"/>
        <v>18.1875</v>
      </c>
      <c r="DM38" s="258">
        <v>0.82</v>
      </c>
      <c r="DN38" s="256">
        <v>0.0475</v>
      </c>
      <c r="DO38" s="261">
        <f t="shared" si="47"/>
        <v>0.09810491618982842</v>
      </c>
      <c r="DP38" s="208">
        <f t="shared" si="19"/>
        <v>0.0027690671835272082</v>
      </c>
      <c r="DQ38" s="255">
        <v>23.3125</v>
      </c>
      <c r="DR38" s="255">
        <v>21.4375</v>
      </c>
      <c r="DS38" s="258">
        <f t="shared" si="20"/>
        <v>22.375</v>
      </c>
      <c r="DT38" s="258">
        <v>1.55</v>
      </c>
      <c r="DU38" s="256">
        <v>0.0667</v>
      </c>
      <c r="DV38" s="261">
        <f t="shared" si="59"/>
        <v>0.14663642432039814</v>
      </c>
      <c r="DW38" s="208">
        <f t="shared" si="56"/>
        <v>0.004138896665583051</v>
      </c>
      <c r="DX38" s="255">
        <v>27.0625</v>
      </c>
      <c r="DY38" s="255">
        <v>24.5</v>
      </c>
      <c r="DZ38" s="258">
        <f t="shared" si="21"/>
        <v>25.78125</v>
      </c>
      <c r="EA38" s="258">
        <v>1.24</v>
      </c>
      <c r="EB38" s="256">
        <v>0.0463</v>
      </c>
      <c r="EC38" s="261">
        <f t="shared" si="48"/>
        <v>0.10028671354659702</v>
      </c>
      <c r="ED38" s="208">
        <f t="shared" si="22"/>
        <v>0.005661299315282785</v>
      </c>
      <c r="EE38" s="123">
        <v>53.69</v>
      </c>
      <c r="EF38" s="123">
        <v>49.5</v>
      </c>
      <c r="EG38" s="258">
        <f>AVERAGE(EE38:EF38)</f>
        <v>51.595</v>
      </c>
      <c r="EH38" s="278">
        <f t="shared" si="65"/>
        <v>1.92</v>
      </c>
      <c r="EI38" s="256">
        <v>0.0719</v>
      </c>
      <c r="EJ38" s="261">
        <f t="shared" si="50"/>
        <v>0.11450872171895154</v>
      </c>
      <c r="EK38" s="208">
        <f t="shared" si="23"/>
        <v>0.01109594256412033</v>
      </c>
      <c r="EL38" s="279">
        <v>22</v>
      </c>
      <c r="EM38" s="279">
        <v>19.56</v>
      </c>
      <c r="EN38" s="279">
        <f>AVERAGE(EL38:EM38)</f>
        <v>20.78</v>
      </c>
      <c r="EO38" s="278">
        <f t="shared" si="61"/>
        <v>0.6800000072</v>
      </c>
      <c r="EP38" s="256">
        <v>0.0855</v>
      </c>
      <c r="EQ38" s="261">
        <f t="shared" si="51"/>
        <v>0.12337698825742671</v>
      </c>
      <c r="ER38" s="208">
        <f t="shared" si="24"/>
        <v>0.010085411062692829</v>
      </c>
      <c r="ES38" s="261"/>
      <c r="ET38" s="262">
        <v>0.875</v>
      </c>
      <c r="EU38" s="262">
        <v>0.6</v>
      </c>
      <c r="EV38" s="262">
        <v>0.2</v>
      </c>
      <c r="EW38" s="262">
        <v>0.625</v>
      </c>
      <c r="EX38" s="280">
        <v>1.83480504</v>
      </c>
      <c r="EY38" s="262">
        <v>4.2</v>
      </c>
      <c r="FA38" s="262">
        <v>0.675</v>
      </c>
      <c r="FB38" s="262">
        <v>1.6</v>
      </c>
      <c r="FC38" s="262">
        <v>0.575</v>
      </c>
      <c r="FD38" s="262">
        <v>0.35</v>
      </c>
      <c r="FE38" s="258">
        <v>0.85</v>
      </c>
      <c r="FF38" s="258">
        <v>1.2</v>
      </c>
      <c r="FG38" s="258">
        <v>0.95</v>
      </c>
      <c r="FH38" s="258">
        <v>0.225</v>
      </c>
      <c r="FI38" s="258">
        <v>0.3</v>
      </c>
      <c r="FJ38" s="258">
        <v>0.6</v>
      </c>
      <c r="FK38" s="258">
        <v>0.6</v>
      </c>
      <c r="FL38" s="258">
        <v>1.2</v>
      </c>
      <c r="FM38" s="281">
        <v>2.0598432</v>
      </c>
      <c r="FN38" s="281">
        <v>1.73767266</v>
      </c>
      <c r="FO38" s="258">
        <f>SUM(ET38:FN38)</f>
        <v>21.257320899999996</v>
      </c>
      <c r="FP38" s="261">
        <f t="shared" si="25"/>
        <v>0.128943195632856</v>
      </c>
    </row>
    <row r="39" spans="1:172" ht="12.75">
      <c r="A39" s="263">
        <v>36798</v>
      </c>
      <c r="B39" s="255">
        <v>20.5</v>
      </c>
      <c r="C39" s="255">
        <v>18.75</v>
      </c>
      <c r="D39" s="255">
        <f t="shared" si="26"/>
        <v>19.625</v>
      </c>
      <c r="E39" s="255">
        <v>1.08</v>
      </c>
      <c r="F39" s="256">
        <v>0.0596</v>
      </c>
      <c r="G39" s="261">
        <f t="shared" si="27"/>
        <v>0.12232708522659985</v>
      </c>
      <c r="H39" s="277">
        <f t="shared" si="0"/>
        <v>0.004762902181544183</v>
      </c>
      <c r="I39" s="255">
        <v>22.375</v>
      </c>
      <c r="J39" s="255">
        <v>19.5</v>
      </c>
      <c r="K39" s="258">
        <f t="shared" si="28"/>
        <v>20.9375</v>
      </c>
      <c r="L39" s="259">
        <v>1.14</v>
      </c>
      <c r="M39" s="256">
        <v>0.0667</v>
      </c>
      <c r="N39" s="261">
        <f t="shared" si="29"/>
        <v>0.12916280804275293</v>
      </c>
      <c r="O39" s="208">
        <f t="shared" si="1"/>
        <v>0.0034484958695495554</v>
      </c>
      <c r="P39" s="260">
        <v>17.875</v>
      </c>
      <c r="Q39" s="260">
        <v>15.5</v>
      </c>
      <c r="R39" s="258">
        <f t="shared" si="30"/>
        <v>16.6875</v>
      </c>
      <c r="S39" s="49">
        <v>0.96</v>
      </c>
      <c r="T39" s="261">
        <v>0.0427</v>
      </c>
      <c r="U39" s="261">
        <f t="shared" si="2"/>
        <v>0.10399103978168656</v>
      </c>
      <c r="V39" s="208">
        <f t="shared" si="3"/>
        <v>0.0009254797016558325</v>
      </c>
      <c r="W39" s="255">
        <v>30.375</v>
      </c>
      <c r="X39" s="255">
        <v>25.25</v>
      </c>
      <c r="Y39" s="258">
        <f t="shared" si="31"/>
        <v>27.8125</v>
      </c>
      <c r="Z39" s="258">
        <v>0.68</v>
      </c>
      <c r="AA39" s="256">
        <v>0.097</v>
      </c>
      <c r="AB39" s="261">
        <f t="shared" si="32"/>
        <v>0.12550631381761956</v>
      </c>
      <c r="AC39" s="208">
        <f t="shared" si="4"/>
        <v>0.003490491407712284</v>
      </c>
      <c r="AD39" s="123">
        <v>63.44</v>
      </c>
      <c r="AE39" s="123">
        <v>56.38</v>
      </c>
      <c r="AF39" s="258">
        <f t="shared" si="5"/>
        <v>59.91</v>
      </c>
      <c r="AG39" s="258">
        <v>1.18</v>
      </c>
      <c r="AH39" s="256">
        <v>0.1225</v>
      </c>
      <c r="AI39" s="261">
        <f t="shared" si="33"/>
        <v>0.1459541947846723</v>
      </c>
      <c r="AJ39" s="208">
        <f t="shared" si="6"/>
        <v>0.01341475396249481</v>
      </c>
      <c r="AK39" s="255">
        <v>40.140625</v>
      </c>
      <c r="AL39" s="255">
        <v>34.1875</v>
      </c>
      <c r="AM39" s="258">
        <f t="shared" si="34"/>
        <v>37.1640625</v>
      </c>
      <c r="AN39" s="258">
        <v>1.78</v>
      </c>
      <c r="AO39" s="256">
        <v>0.0968</v>
      </c>
      <c r="AP39" s="261">
        <f t="shared" si="54"/>
        <v>0.1531511505992431</v>
      </c>
      <c r="AQ39" s="208">
        <f t="shared" si="52"/>
        <v>0.02862269586601167</v>
      </c>
      <c r="AR39" s="260">
        <v>22.6875</v>
      </c>
      <c r="AS39" s="260">
        <v>20.875</v>
      </c>
      <c r="AT39" s="258">
        <f t="shared" si="35"/>
        <v>21.78125</v>
      </c>
      <c r="AU39" s="258">
        <v>1.34</v>
      </c>
      <c r="AV39" s="261">
        <v>0.0367</v>
      </c>
      <c r="AW39" s="261">
        <f>+((((((AU39/4)*(1+AV39)^0.25))/(AT39*0.95))+(1+AV39)^(0.25))^4)-1</f>
        <v>0.10548340518883914</v>
      </c>
      <c r="AX39" s="208">
        <f aca="true" t="shared" si="66" ref="AX39:AX50">AW39*($EZ39/$FO39)</f>
        <v>0.0016428320506777943</v>
      </c>
      <c r="AY39" s="255">
        <v>41.75</v>
      </c>
      <c r="AZ39" s="255">
        <v>38.9375</v>
      </c>
      <c r="BA39" s="258">
        <f t="shared" si="36"/>
        <v>40.34375</v>
      </c>
      <c r="BB39" s="255">
        <v>1.72</v>
      </c>
      <c r="BC39" s="256">
        <v>0.0638</v>
      </c>
      <c r="BD39" s="261">
        <f t="shared" si="37"/>
        <v>0.11235013279038064</v>
      </c>
      <c r="BE39" s="208">
        <f t="shared" si="7"/>
        <v>0.0033745692477943844</v>
      </c>
      <c r="BF39" s="255">
        <v>39.375</v>
      </c>
      <c r="BG39" s="255">
        <v>35.25</v>
      </c>
      <c r="BH39" s="258">
        <f t="shared" si="38"/>
        <v>37.3125</v>
      </c>
      <c r="BI39" s="258">
        <v>1.66</v>
      </c>
      <c r="BJ39" s="256">
        <v>0.0624</v>
      </c>
      <c r="BK39" s="261">
        <f t="shared" si="39"/>
        <v>0.11303345094683803</v>
      </c>
      <c r="BL39" s="208">
        <f t="shared" si="8"/>
        <v>0.00804762907873771</v>
      </c>
      <c r="BM39" s="255">
        <v>24.625</v>
      </c>
      <c r="BN39" s="255">
        <v>22.1875</v>
      </c>
      <c r="BO39" s="258">
        <f t="shared" si="40"/>
        <v>23.40625</v>
      </c>
      <c r="BP39" s="258">
        <v>1.24</v>
      </c>
      <c r="BQ39" s="256">
        <v>0.0453</v>
      </c>
      <c r="BR39" s="261">
        <f t="shared" si="53"/>
        <v>0.10482213506251759</v>
      </c>
      <c r="BS39" s="208">
        <f t="shared" si="9"/>
        <v>0.0026820188609875035</v>
      </c>
      <c r="BT39" s="260">
        <v>32.4375</v>
      </c>
      <c r="BU39" s="260">
        <v>28.625</v>
      </c>
      <c r="BV39" s="258">
        <f t="shared" si="41"/>
        <v>30.53125</v>
      </c>
      <c r="BW39" s="49">
        <v>0.98</v>
      </c>
      <c r="BX39" s="256">
        <v>0.1316</v>
      </c>
      <c r="BY39" s="261">
        <f t="shared" si="10"/>
        <v>0.16836194169709007</v>
      </c>
      <c r="BZ39" s="208">
        <f t="shared" si="11"/>
        <v>0.002622122346535613</v>
      </c>
      <c r="CA39" s="255">
        <v>20</v>
      </c>
      <c r="CB39" s="255">
        <v>15.90625</v>
      </c>
      <c r="CC39" s="258">
        <f t="shared" si="42"/>
        <v>17.953125</v>
      </c>
      <c r="CD39" s="258">
        <v>0.62</v>
      </c>
      <c r="CE39" s="256">
        <v>0.0667</v>
      </c>
      <c r="CF39" s="261">
        <f>+((((((CD39/4)*(1+CE39)^0.25))/(CC39*0.95))+(1+CE39)^(0.25))^4)-1</f>
        <v>0.1060084662843459</v>
      </c>
      <c r="CG39" s="208">
        <f t="shared" si="12"/>
        <v>0.004009594545954352</v>
      </c>
      <c r="CH39" s="255">
        <v>35.375</v>
      </c>
      <c r="CI39" s="255">
        <v>31.5</v>
      </c>
      <c r="CJ39" s="258">
        <f t="shared" si="44"/>
        <v>33.4375</v>
      </c>
      <c r="CK39" s="258">
        <v>2</v>
      </c>
      <c r="CL39" s="256">
        <v>0.0606</v>
      </c>
      <c r="CM39" s="261">
        <f t="shared" si="45"/>
        <v>0.1289698195469584</v>
      </c>
      <c r="CN39" s="208">
        <f t="shared" si="13"/>
        <v>0.006886686604971062</v>
      </c>
      <c r="CO39" s="255">
        <v>31.1875</v>
      </c>
      <c r="CP39" s="255">
        <v>27.125</v>
      </c>
      <c r="CQ39" s="258">
        <f t="shared" si="14"/>
        <v>29.15625</v>
      </c>
      <c r="CR39" s="258">
        <v>1.46</v>
      </c>
      <c r="CS39" s="256">
        <v>0.0567</v>
      </c>
      <c r="CT39" s="261">
        <f t="shared" si="46"/>
        <v>0.11350992375290736</v>
      </c>
      <c r="CU39" s="208">
        <f t="shared" si="15"/>
        <v>0.004798421770800548</v>
      </c>
      <c r="CV39" s="262">
        <v>16.9375</v>
      </c>
      <c r="CW39" s="262">
        <v>14.5</v>
      </c>
      <c r="CX39" s="262">
        <f t="shared" si="16"/>
        <v>15.71875</v>
      </c>
      <c r="CY39" s="262">
        <v>0.84</v>
      </c>
      <c r="CZ39" s="261">
        <v>0.086</v>
      </c>
      <c r="DA39" s="261">
        <f t="shared" si="64"/>
        <v>0.14520855266871902</v>
      </c>
      <c r="DB39" s="208">
        <f t="shared" si="58"/>
        <v>0.0014538369297905727</v>
      </c>
      <c r="DC39" s="260">
        <v>29.25</v>
      </c>
      <c r="DD39" s="260">
        <v>26.9375</v>
      </c>
      <c r="DE39" s="258">
        <f t="shared" si="17"/>
        <v>28.09375</v>
      </c>
      <c r="DF39" s="258">
        <v>1.46</v>
      </c>
      <c r="DG39" s="261">
        <v>0.05</v>
      </c>
      <c r="DH39" s="261">
        <f t="shared" si="63"/>
        <v>0.1086283499955587</v>
      </c>
      <c r="DI39" s="208">
        <f t="shared" si="62"/>
        <v>0.001450124931287006</v>
      </c>
      <c r="DJ39" s="255">
        <v>21.25</v>
      </c>
      <c r="DK39" s="255">
        <v>18.9375</v>
      </c>
      <c r="DL39" s="258">
        <f t="shared" si="18"/>
        <v>20.09375</v>
      </c>
      <c r="DM39" s="258">
        <v>0.82</v>
      </c>
      <c r="DN39" s="256">
        <v>0.0475</v>
      </c>
      <c r="DO39" s="261">
        <f t="shared" si="47"/>
        <v>0.0932270175797767</v>
      </c>
      <c r="DP39" s="208">
        <f t="shared" si="19"/>
        <v>0.0024890523048079712</v>
      </c>
      <c r="DQ39" s="255">
        <v>24.3125</v>
      </c>
      <c r="DR39" s="255">
        <v>22.3125</v>
      </c>
      <c r="DS39" s="258">
        <f t="shared" si="20"/>
        <v>23.3125</v>
      </c>
      <c r="DT39" s="258">
        <v>1.55</v>
      </c>
      <c r="DU39" s="256">
        <v>0.0667</v>
      </c>
      <c r="DV39" s="261">
        <f t="shared" si="59"/>
        <v>0.1433377586885387</v>
      </c>
      <c r="DW39" s="208">
        <f t="shared" si="56"/>
        <v>0.0038269504687781586</v>
      </c>
      <c r="DX39" s="255">
        <v>27.75</v>
      </c>
      <c r="DY39" s="255">
        <v>24.9375</v>
      </c>
      <c r="DZ39" s="258">
        <f t="shared" si="21"/>
        <v>26.34375</v>
      </c>
      <c r="EA39" s="258">
        <v>1.24</v>
      </c>
      <c r="EB39" s="256">
        <v>0.0463</v>
      </c>
      <c r="EC39" s="261">
        <f t="shared" si="48"/>
        <v>0.0991126039518464</v>
      </c>
      <c r="ED39" s="208">
        <f t="shared" si="22"/>
        <v>0.005292381151006114</v>
      </c>
      <c r="EE39" s="123">
        <v>58.81</v>
      </c>
      <c r="EF39" s="123">
        <v>52.38</v>
      </c>
      <c r="EG39" s="258">
        <f>AVERAGE(EE39:EF39)</f>
        <v>55.595</v>
      </c>
      <c r="EH39" s="278">
        <f t="shared" si="65"/>
        <v>1.92</v>
      </c>
      <c r="EI39" s="256">
        <v>0.0719</v>
      </c>
      <c r="EJ39" s="261">
        <f t="shared" si="50"/>
        <v>0.1114013667868381</v>
      </c>
      <c r="EK39" s="208">
        <f t="shared" si="23"/>
        <v>0.01091970698706146</v>
      </c>
      <c r="EL39" s="279">
        <v>28</v>
      </c>
      <c r="EM39" s="279">
        <v>21.38</v>
      </c>
      <c r="EN39" s="279">
        <f>AVERAGE(EL39:EM39)</f>
        <v>24.689999999999998</v>
      </c>
      <c r="EO39" s="278">
        <f t="shared" si="61"/>
        <v>0.6800000072</v>
      </c>
      <c r="EP39" s="256">
        <v>0.0839</v>
      </c>
      <c r="EQ39" s="261">
        <f t="shared" si="51"/>
        <v>0.1156666972506104</v>
      </c>
      <c r="ER39" s="208">
        <f t="shared" si="24"/>
        <v>0.011475482075646963</v>
      </c>
      <c r="ES39" s="261"/>
      <c r="ET39" s="262">
        <v>0.875</v>
      </c>
      <c r="EU39" s="262">
        <v>0.6</v>
      </c>
      <c r="EV39" s="262">
        <v>0.2</v>
      </c>
      <c r="EW39" s="262">
        <v>0.625</v>
      </c>
      <c r="EX39" s="280">
        <v>2.06549976</v>
      </c>
      <c r="EY39" s="262">
        <v>4.2</v>
      </c>
      <c r="EZ39" s="262">
        <v>0.35</v>
      </c>
      <c r="FA39" s="262">
        <v>0.675</v>
      </c>
      <c r="FB39" s="262">
        <v>1.6</v>
      </c>
      <c r="FC39" s="262">
        <v>0.575</v>
      </c>
      <c r="FD39" s="262">
        <v>0.35</v>
      </c>
      <c r="FE39" s="258">
        <v>0.85</v>
      </c>
      <c r="FF39" s="258">
        <v>1.2</v>
      </c>
      <c r="FG39" s="258">
        <v>0.95</v>
      </c>
      <c r="FH39" s="258">
        <v>0.225</v>
      </c>
      <c r="FI39" s="258">
        <v>0.3</v>
      </c>
      <c r="FJ39" s="258">
        <v>0.6</v>
      </c>
      <c r="FK39" s="258">
        <v>0.6</v>
      </c>
      <c r="FL39" s="258">
        <v>1.2</v>
      </c>
      <c r="FM39" s="281">
        <v>2.2028224</v>
      </c>
      <c r="FN39" s="281">
        <v>2.2295726199999994</v>
      </c>
      <c r="FO39" s="258">
        <f>SUM(ET39:FN39)</f>
        <v>22.472894779999997</v>
      </c>
      <c r="FP39" s="261">
        <f t="shared" si="25"/>
        <v>0.12563622834380556</v>
      </c>
    </row>
    <row r="40" spans="1:172" ht="12.75">
      <c r="A40" s="263">
        <v>36830</v>
      </c>
      <c r="B40" s="255">
        <v>20.9375</v>
      </c>
      <c r="C40" s="255">
        <v>18.8125</v>
      </c>
      <c r="D40" s="255">
        <f t="shared" si="26"/>
        <v>19.875</v>
      </c>
      <c r="E40" s="255">
        <v>1.08</v>
      </c>
      <c r="F40" s="256">
        <v>0.0596</v>
      </c>
      <c r="G40" s="261">
        <f t="shared" si="27"/>
        <v>0.1215211846818951</v>
      </c>
      <c r="H40" s="277">
        <f t="shared" si="0"/>
        <v>0.005595612226071688</v>
      </c>
      <c r="I40" s="255">
        <v>23.125</v>
      </c>
      <c r="J40" s="255">
        <v>19.1875</v>
      </c>
      <c r="K40" s="258">
        <f t="shared" si="28"/>
        <v>21.15625</v>
      </c>
      <c r="L40" s="259">
        <v>1.16</v>
      </c>
      <c r="M40" s="256">
        <v>0.0667</v>
      </c>
      <c r="N40" s="261">
        <f t="shared" si="29"/>
        <v>0.12961093885932184</v>
      </c>
      <c r="O40" s="208">
        <f t="shared" si="1"/>
        <v>0.003662253138737821</v>
      </c>
      <c r="P40" s="260">
        <v>18.625</v>
      </c>
      <c r="Q40" s="260">
        <v>16.75</v>
      </c>
      <c r="R40" s="258">
        <f t="shared" si="30"/>
        <v>17.6875</v>
      </c>
      <c r="S40" s="49">
        <v>0.96</v>
      </c>
      <c r="T40" s="261">
        <v>0.0427</v>
      </c>
      <c r="U40" s="261">
        <f t="shared" si="2"/>
        <v>0.10045550362767441</v>
      </c>
      <c r="V40" s="208">
        <f t="shared" si="3"/>
        <v>0.0008410206541302902</v>
      </c>
      <c r="W40" s="255">
        <v>33.5625</v>
      </c>
      <c r="X40" s="255">
        <v>26.9375</v>
      </c>
      <c r="Y40" s="258">
        <f t="shared" si="31"/>
        <v>30.25</v>
      </c>
      <c r="Z40" s="258">
        <v>0.68</v>
      </c>
      <c r="AA40" s="256">
        <v>0.097</v>
      </c>
      <c r="AB40" s="261">
        <f t="shared" si="32"/>
        <v>0.12318896431140258</v>
      </c>
      <c r="AC40" s="208">
        <f t="shared" si="4"/>
        <v>0.004383223948146471</v>
      </c>
      <c r="AD40" s="123">
        <v>64.38</v>
      </c>
      <c r="AE40" s="123">
        <v>56.5</v>
      </c>
      <c r="AF40" s="258">
        <f t="shared" si="5"/>
        <v>60.44</v>
      </c>
      <c r="AG40" s="258">
        <v>1.18</v>
      </c>
      <c r="AH40" s="256">
        <v>0.1169</v>
      </c>
      <c r="AI40" s="261">
        <f t="shared" si="33"/>
        <v>0.1400309648841318</v>
      </c>
      <c r="AJ40" s="208">
        <f t="shared" si="6"/>
        <v>0.011077950047750359</v>
      </c>
      <c r="AK40" s="255">
        <v>40.625</v>
      </c>
      <c r="AL40" s="255">
        <v>34.9375</v>
      </c>
      <c r="AM40" s="258">
        <f t="shared" si="34"/>
        <v>37.78125</v>
      </c>
      <c r="AN40" s="258">
        <v>1.78</v>
      </c>
      <c r="AO40" s="256">
        <v>0.0968</v>
      </c>
      <c r="AP40" s="261">
        <f t="shared" si="54"/>
        <v>0.15221352795247922</v>
      </c>
      <c r="AQ40" s="208">
        <f t="shared" si="52"/>
        <v>0.030584220767963563</v>
      </c>
      <c r="AR40" s="260">
        <v>22.9375</v>
      </c>
      <c r="AS40" s="260">
        <v>21.375</v>
      </c>
      <c r="AT40" s="258">
        <f t="shared" si="35"/>
        <v>22.15625</v>
      </c>
      <c r="AU40" s="258">
        <v>1.34</v>
      </c>
      <c r="AV40" s="261">
        <v>0.0367</v>
      </c>
      <c r="AW40" s="261">
        <f aca="true" t="shared" si="67" ref="AW40:AW50">+((((((AU40/4)*(1+AV40)^0.25))/(AT40*0.95))+(1+AV40)^(0.25))^4)-1</f>
        <v>0.10429151790861768</v>
      </c>
      <c r="AX40" s="208">
        <f t="shared" si="66"/>
        <v>0.001855414084536169</v>
      </c>
      <c r="AY40" s="255">
        <v>41.4375</v>
      </c>
      <c r="AZ40" s="255">
        <v>37.625</v>
      </c>
      <c r="BA40" s="258">
        <f t="shared" si="36"/>
        <v>39.53125</v>
      </c>
      <c r="BB40" s="255">
        <v>1.72</v>
      </c>
      <c r="BC40" s="256">
        <v>0.0638</v>
      </c>
      <c r="BD40" s="261">
        <f t="shared" si="37"/>
        <v>0.11336510950788337</v>
      </c>
      <c r="BE40" s="208">
        <f t="shared" si="7"/>
        <v>0.003440490389045968</v>
      </c>
      <c r="BF40" s="255">
        <v>36.375</v>
      </c>
      <c r="BG40" s="255">
        <v>32.1875</v>
      </c>
      <c r="BH40" s="258">
        <f t="shared" si="38"/>
        <v>34.28125</v>
      </c>
      <c r="BI40" s="258">
        <v>1.66</v>
      </c>
      <c r="BJ40" s="256">
        <v>0.0624</v>
      </c>
      <c r="BK40" s="261">
        <f t="shared" si="39"/>
        <v>0.11759607775109093</v>
      </c>
      <c r="BL40" s="208">
        <f t="shared" si="8"/>
        <v>0.007876182123376095</v>
      </c>
      <c r="BM40" s="255">
        <v>23.4375</v>
      </c>
      <c r="BN40" s="255">
        <v>21.875</v>
      </c>
      <c r="BO40" s="258">
        <f t="shared" si="40"/>
        <v>22.65625</v>
      </c>
      <c r="BP40" s="258">
        <v>1.24</v>
      </c>
      <c r="BQ40" s="256">
        <v>0.0453</v>
      </c>
      <c r="BR40" s="261">
        <f t="shared" si="53"/>
        <v>0.10683500395865364</v>
      </c>
      <c r="BS40" s="208">
        <f t="shared" si="9"/>
        <v>0.002683290860190348</v>
      </c>
      <c r="BT40" s="260">
        <v>31.1875</v>
      </c>
      <c r="BU40" s="260">
        <v>27.875</v>
      </c>
      <c r="BV40" s="258">
        <f t="shared" si="41"/>
        <v>29.53125</v>
      </c>
      <c r="BW40" s="49">
        <v>0.98</v>
      </c>
      <c r="BX40" s="256">
        <v>0.1316</v>
      </c>
      <c r="BY40" s="261">
        <f t="shared" si="10"/>
        <v>0.16962226379234369</v>
      </c>
      <c r="BZ40" s="208">
        <f t="shared" si="11"/>
        <v>0.002840179424682061</v>
      </c>
      <c r="CA40" s="255">
        <v>22.375</v>
      </c>
      <c r="CB40" s="255">
        <v>19</v>
      </c>
      <c r="CC40" s="258">
        <f t="shared" si="42"/>
        <v>20.6875</v>
      </c>
      <c r="CD40" s="258">
        <v>0.62</v>
      </c>
      <c r="CE40" s="256">
        <v>0.0667</v>
      </c>
      <c r="CF40" s="261">
        <f>+((((((CD40/4)*(1+CE40)^0.25))/(CC40*0.95))+(1+CE40)^(0.25))^4)-1</f>
        <v>0.1007515391270506</v>
      </c>
      <c r="CG40" s="208">
        <f t="shared" si="12"/>
        <v>0.004639244964658886</v>
      </c>
      <c r="CH40" s="255">
        <v>34.875</v>
      </c>
      <c r="CI40" s="255">
        <v>31.75</v>
      </c>
      <c r="CJ40" s="258">
        <f t="shared" si="44"/>
        <v>33.3125</v>
      </c>
      <c r="CK40" s="258">
        <v>2</v>
      </c>
      <c r="CL40" s="256">
        <v>0.0606</v>
      </c>
      <c r="CM40" s="261">
        <f t="shared" si="45"/>
        <v>0.1292324305461805</v>
      </c>
      <c r="CN40" s="208">
        <f t="shared" si="13"/>
        <v>0.006491658854787955</v>
      </c>
      <c r="CO40" s="255">
        <v>30.625</v>
      </c>
      <c r="CP40" s="255">
        <v>28.25</v>
      </c>
      <c r="CQ40" s="258">
        <f t="shared" si="14"/>
        <v>29.4375</v>
      </c>
      <c r="CR40" s="258">
        <v>1.46</v>
      </c>
      <c r="CS40" s="256">
        <v>0.0567</v>
      </c>
      <c r="CT40" s="261">
        <f t="shared" si="46"/>
        <v>0.11295655231907809</v>
      </c>
      <c r="CU40" s="208">
        <f t="shared" si="15"/>
        <v>0.00449198155325589</v>
      </c>
      <c r="CV40" s="262">
        <v>15.9375</v>
      </c>
      <c r="CW40" s="262">
        <v>13.75</v>
      </c>
      <c r="CX40" s="262">
        <f t="shared" si="16"/>
        <v>14.84375</v>
      </c>
      <c r="CY40" s="262">
        <v>0.84</v>
      </c>
      <c r="CZ40" s="261">
        <v>0.086</v>
      </c>
      <c r="DA40" s="261">
        <f t="shared" si="64"/>
        <v>0.14877267684122053</v>
      </c>
      <c r="DB40" s="208">
        <f t="shared" si="58"/>
        <v>0.0018683032209583404</v>
      </c>
      <c r="DC40" s="260">
        <v>30.125</v>
      </c>
      <c r="DD40" s="260">
        <v>28.25</v>
      </c>
      <c r="DE40" s="258">
        <f t="shared" si="17"/>
        <v>29.1875</v>
      </c>
      <c r="DF40" s="258">
        <v>1.46</v>
      </c>
      <c r="DG40" s="261">
        <v>0.052</v>
      </c>
      <c r="DH40" s="261">
        <f t="shared" si="63"/>
        <v>0.108495497291625</v>
      </c>
      <c r="DI40" s="208">
        <f t="shared" si="62"/>
        <v>0.0014760395902842405</v>
      </c>
      <c r="DJ40" s="255">
        <v>22.5</v>
      </c>
      <c r="DK40" s="255">
        <v>20.0625</v>
      </c>
      <c r="DL40" s="258">
        <f t="shared" si="18"/>
        <v>21.28125</v>
      </c>
      <c r="DM40" s="258">
        <v>0.82</v>
      </c>
      <c r="DN40" s="256">
        <v>0.0475</v>
      </c>
      <c r="DO40" s="261">
        <f t="shared" si="47"/>
        <v>0.09063671339910662</v>
      </c>
      <c r="DP40" s="208">
        <f t="shared" si="19"/>
        <v>0.002371303252385233</v>
      </c>
      <c r="DQ40" s="255">
        <v>24.6875</v>
      </c>
      <c r="DR40" s="255">
        <v>21.375</v>
      </c>
      <c r="DS40" s="258">
        <f t="shared" si="20"/>
        <v>23.03125</v>
      </c>
      <c r="DT40" s="258">
        <v>1.55</v>
      </c>
      <c r="DU40" s="256">
        <v>0.0667</v>
      </c>
      <c r="DV40" s="261">
        <f t="shared" si="59"/>
        <v>0.14429842496082634</v>
      </c>
      <c r="DW40" s="208">
        <f t="shared" si="56"/>
        <v>0.003926249353654615</v>
      </c>
      <c r="DX40" s="255">
        <v>27.5</v>
      </c>
      <c r="DY40" s="255">
        <v>24.8125</v>
      </c>
      <c r="DZ40" s="258">
        <f t="shared" si="21"/>
        <v>26.15625</v>
      </c>
      <c r="EA40" s="258">
        <v>1.24</v>
      </c>
      <c r="EB40" s="256">
        <v>0.0463</v>
      </c>
      <c r="EC40" s="261">
        <f t="shared" si="48"/>
        <v>0.09949825907913623</v>
      </c>
      <c r="ED40" s="208">
        <f t="shared" si="22"/>
        <v>0.004998039206236617</v>
      </c>
      <c r="EE40" s="123">
        <v>59.62</v>
      </c>
      <c r="EF40" s="123">
        <v>51.12</v>
      </c>
      <c r="EG40" s="258">
        <f>AVERAGE(EE40:EF40)</f>
        <v>55.37</v>
      </c>
      <c r="EH40" s="278">
        <f t="shared" si="65"/>
        <v>1.92</v>
      </c>
      <c r="EI40" s="256">
        <v>0.0744</v>
      </c>
      <c r="EJ40" s="261">
        <f t="shared" si="50"/>
        <v>0.11415658606208812</v>
      </c>
      <c r="EK40" s="208">
        <f t="shared" si="23"/>
        <v>0.010064731456733651</v>
      </c>
      <c r="EL40" s="279">
        <v>29.5</v>
      </c>
      <c r="EM40" s="279">
        <v>26</v>
      </c>
      <c r="EN40" s="279">
        <f>AVERAGE(EL40:EM40)</f>
        <v>27.75</v>
      </c>
      <c r="EO40" s="278">
        <f t="shared" si="61"/>
        <v>0.6800000072</v>
      </c>
      <c r="EP40" s="256">
        <v>0.0894</v>
      </c>
      <c r="EQ40" s="261">
        <f t="shared" si="51"/>
        <v>0.1177731974682894</v>
      </c>
      <c r="ER40" s="208">
        <f t="shared" si="24"/>
        <v>0.010687733225915258</v>
      </c>
      <c r="ES40" s="261"/>
      <c r="ET40" s="262">
        <v>1.1</v>
      </c>
      <c r="EU40" s="262">
        <v>0.675</v>
      </c>
      <c r="EV40" s="262">
        <v>0.2</v>
      </c>
      <c r="EW40" s="262">
        <v>0.85</v>
      </c>
      <c r="EX40" s="280">
        <v>1.889872</v>
      </c>
      <c r="EY40" s="262">
        <v>4.8</v>
      </c>
      <c r="EZ40" s="262">
        <v>0.425</v>
      </c>
      <c r="FA40" s="262">
        <v>0.725</v>
      </c>
      <c r="FB40" s="262">
        <v>1.6</v>
      </c>
      <c r="FC40" s="262">
        <v>0.6</v>
      </c>
      <c r="FD40" s="262">
        <v>0.4</v>
      </c>
      <c r="FE40" s="258">
        <v>1.1</v>
      </c>
      <c r="FF40" s="258">
        <v>1.2</v>
      </c>
      <c r="FG40" s="258">
        <v>0.95</v>
      </c>
      <c r="FH40" s="258">
        <v>0.3</v>
      </c>
      <c r="FI40" s="258">
        <v>0.325</v>
      </c>
      <c r="FJ40" s="258">
        <v>0.625</v>
      </c>
      <c r="FK40" s="258">
        <v>0.65</v>
      </c>
      <c r="FL40" s="258">
        <v>1.2</v>
      </c>
      <c r="FM40" s="281">
        <v>2.1061936</v>
      </c>
      <c r="FN40" s="281">
        <v>2.1678848399999997</v>
      </c>
      <c r="FO40" s="258">
        <f>SUM(ET40:FN40)</f>
        <v>23.88895044</v>
      </c>
      <c r="FP40" s="261">
        <f t="shared" si="25"/>
        <v>0.12585512234350152</v>
      </c>
    </row>
    <row r="41" spans="1:172" ht="12.75">
      <c r="A41" s="263">
        <v>36860</v>
      </c>
      <c r="B41" s="255">
        <v>23</v>
      </c>
      <c r="C41" s="255">
        <v>19.875</v>
      </c>
      <c r="D41" s="255">
        <f t="shared" si="26"/>
        <v>21.4375</v>
      </c>
      <c r="E41" s="255">
        <v>1.08</v>
      </c>
      <c r="F41" s="256">
        <v>0.0595</v>
      </c>
      <c r="G41" s="261">
        <f t="shared" si="27"/>
        <v>0.11681309780606974</v>
      </c>
      <c r="H41" s="277">
        <f t="shared" si="0"/>
        <v>0.005499524740204572</v>
      </c>
      <c r="I41" s="255">
        <v>25.4375</v>
      </c>
      <c r="J41" s="255">
        <v>23</v>
      </c>
      <c r="K41" s="258">
        <f t="shared" si="28"/>
        <v>24.21875</v>
      </c>
      <c r="L41" s="259">
        <v>1.16</v>
      </c>
      <c r="M41" s="256">
        <v>0.0695</v>
      </c>
      <c r="N41" s="261">
        <f t="shared" si="29"/>
        <v>0.12444975467883768</v>
      </c>
      <c r="O41" s="208">
        <f t="shared" si="1"/>
        <v>0.003595329939999236</v>
      </c>
      <c r="P41" s="260">
        <v>20.5</v>
      </c>
      <c r="Q41" s="260">
        <v>17.3125</v>
      </c>
      <c r="R41" s="258">
        <f t="shared" si="30"/>
        <v>18.90625</v>
      </c>
      <c r="S41" s="49">
        <v>0.96</v>
      </c>
      <c r="T41" s="261">
        <v>0.042</v>
      </c>
      <c r="U41" s="261">
        <f t="shared" si="2"/>
        <v>0.09592550726633786</v>
      </c>
      <c r="V41" s="208">
        <f t="shared" si="3"/>
        <v>0.0008211169814095448</v>
      </c>
      <c r="W41" s="255">
        <v>31.8125</v>
      </c>
      <c r="X41" s="255">
        <v>28</v>
      </c>
      <c r="Y41" s="258">
        <f t="shared" si="31"/>
        <v>29.90625</v>
      </c>
      <c r="Z41" s="258">
        <v>0.68</v>
      </c>
      <c r="AA41" s="256">
        <v>0.097</v>
      </c>
      <c r="AB41" s="261">
        <f t="shared" si="32"/>
        <v>0.12349268612739372</v>
      </c>
      <c r="AC41" s="208">
        <f t="shared" si="4"/>
        <v>0.004492634590448809</v>
      </c>
      <c r="AD41" s="123">
        <v>60</v>
      </c>
      <c r="AE41" s="123">
        <v>55.75</v>
      </c>
      <c r="AF41" s="258">
        <f t="shared" si="5"/>
        <v>57.875</v>
      </c>
      <c r="AG41" s="258">
        <v>1.18</v>
      </c>
      <c r="AH41" s="256">
        <v>0.1308</v>
      </c>
      <c r="AI41" s="261">
        <f t="shared" si="33"/>
        <v>0.1552650954636352</v>
      </c>
      <c r="AJ41" s="208">
        <f t="shared" si="6"/>
        <v>0.012090842516359177</v>
      </c>
      <c r="AK41" s="255">
        <v>38.625</v>
      </c>
      <c r="AL41" s="255">
        <v>33.5</v>
      </c>
      <c r="AM41" s="258">
        <f t="shared" si="34"/>
        <v>36.0625</v>
      </c>
      <c r="AN41" s="258">
        <v>1.78</v>
      </c>
      <c r="AO41" s="256">
        <v>0.0964</v>
      </c>
      <c r="AP41" s="261">
        <f t="shared" si="54"/>
        <v>0.15448473172165578</v>
      </c>
      <c r="AQ41" s="208">
        <f t="shared" si="52"/>
        <v>0.03173713608405304</v>
      </c>
      <c r="AR41" s="260">
        <v>23.625</v>
      </c>
      <c r="AS41" s="260">
        <v>21.75</v>
      </c>
      <c r="AT41" s="258">
        <f t="shared" si="35"/>
        <v>22.6875</v>
      </c>
      <c r="AU41" s="258">
        <v>1.34</v>
      </c>
      <c r="AV41" s="261">
        <v>0.0367</v>
      </c>
      <c r="AW41" s="261">
        <f t="shared" si="67"/>
        <v>0.10267200531314491</v>
      </c>
      <c r="AX41" s="208">
        <f t="shared" si="66"/>
        <v>0.001867591583783107</v>
      </c>
      <c r="AY41" s="255">
        <v>41.625</v>
      </c>
      <c r="AZ41" s="255">
        <v>37.5</v>
      </c>
      <c r="BA41" s="258">
        <f t="shared" si="36"/>
        <v>39.5625</v>
      </c>
      <c r="BB41" s="255">
        <v>1.72</v>
      </c>
      <c r="BC41" s="256">
        <v>0.065</v>
      </c>
      <c r="BD41" s="261">
        <f t="shared" si="37"/>
        <v>0.11458115406482206</v>
      </c>
      <c r="BE41" s="208">
        <f t="shared" si="7"/>
        <v>0.0035554299984520365</v>
      </c>
      <c r="BF41" s="255">
        <v>40</v>
      </c>
      <c r="BG41" s="255">
        <v>34.8125</v>
      </c>
      <c r="BH41" s="258">
        <f t="shared" si="38"/>
        <v>37.40625</v>
      </c>
      <c r="BI41" s="258">
        <v>1.66</v>
      </c>
      <c r="BJ41" s="256">
        <v>0.0613</v>
      </c>
      <c r="BK41" s="261">
        <f t="shared" si="39"/>
        <v>0.1117520397808831</v>
      </c>
      <c r="BL41" s="208">
        <f t="shared" si="8"/>
        <v>0.0076527297221550585</v>
      </c>
      <c r="BM41" s="255">
        <v>24.9375</v>
      </c>
      <c r="BN41" s="255">
        <v>22.5625</v>
      </c>
      <c r="BO41" s="258">
        <f t="shared" si="40"/>
        <v>23.75</v>
      </c>
      <c r="BP41" s="258">
        <v>1.24</v>
      </c>
      <c r="BQ41" s="256">
        <v>0.0442</v>
      </c>
      <c r="BR41" s="261">
        <f t="shared" si="53"/>
        <v>0.10278120816207093</v>
      </c>
      <c r="BS41" s="208">
        <f t="shared" si="9"/>
        <v>0.0026394041938399546</v>
      </c>
      <c r="BT41" s="260">
        <v>31</v>
      </c>
      <c r="BU41" s="260">
        <v>28.875</v>
      </c>
      <c r="BV41" s="258">
        <f t="shared" si="41"/>
        <v>29.9375</v>
      </c>
      <c r="BW41" s="49">
        <v>0.98</v>
      </c>
      <c r="BX41" s="256">
        <v>0.1195</v>
      </c>
      <c r="BY41" s="261">
        <f t="shared" si="10"/>
        <v>0.15659899899526075</v>
      </c>
      <c r="BZ41" s="208">
        <f t="shared" si="11"/>
        <v>0.002680957359750512</v>
      </c>
      <c r="CA41" s="255">
        <v>21.5625</v>
      </c>
      <c r="CB41" s="255">
        <v>19.8125</v>
      </c>
      <c r="CC41" s="258">
        <f t="shared" si="42"/>
        <v>20.6875</v>
      </c>
      <c r="CD41" s="258">
        <v>0.62</v>
      </c>
      <c r="CE41" s="256">
        <v>0.0667</v>
      </c>
      <c r="CF41" s="261">
        <f>+((((((CD41/4)*(1+CE41)^0.25))/(CC41*0.95))+(1+CE41)^(0.25))^4)-1</f>
        <v>0.1007515391270506</v>
      </c>
      <c r="CG41" s="208">
        <f t="shared" si="12"/>
        <v>0.004743351494391348</v>
      </c>
      <c r="CH41" s="255">
        <v>43</v>
      </c>
      <c r="CI41" s="255">
        <v>34</v>
      </c>
      <c r="CJ41" s="258">
        <f t="shared" si="44"/>
        <v>38.5</v>
      </c>
      <c r="CK41" s="258">
        <v>2</v>
      </c>
      <c r="CL41" s="256">
        <v>0.0625</v>
      </c>
      <c r="CM41" s="261">
        <f t="shared" si="45"/>
        <v>0.12180207330770232</v>
      </c>
      <c r="CN41" s="208">
        <f t="shared" si="13"/>
        <v>0.0062557136436811765</v>
      </c>
      <c r="CO41" s="255">
        <v>34.375</v>
      </c>
      <c r="CP41" s="255">
        <v>29.1875</v>
      </c>
      <c r="CQ41" s="258">
        <f t="shared" si="14"/>
        <v>31.78125</v>
      </c>
      <c r="CR41" s="258">
        <v>1.46</v>
      </c>
      <c r="CS41" s="256">
        <v>0.0567</v>
      </c>
      <c r="CT41" s="261">
        <f t="shared" si="46"/>
        <v>0.1087328215577874</v>
      </c>
      <c r="CU41" s="208">
        <f t="shared" si="15"/>
        <v>0.004421047661040297</v>
      </c>
      <c r="CV41" s="262">
        <v>16.625</v>
      </c>
      <c r="CW41" s="262">
        <v>14.8125</v>
      </c>
      <c r="CX41" s="262">
        <f t="shared" si="16"/>
        <v>15.71875</v>
      </c>
      <c r="CY41" s="262">
        <v>0.84</v>
      </c>
      <c r="CZ41" s="261">
        <v>0.086</v>
      </c>
      <c r="DA41" s="261">
        <f t="shared" si="64"/>
        <v>0.14520855266871902</v>
      </c>
      <c r="DB41" s="208">
        <f t="shared" si="58"/>
        <v>0.0018644656438115397</v>
      </c>
      <c r="DC41" s="260">
        <v>29.75</v>
      </c>
      <c r="DD41" s="260">
        <v>28.5625</v>
      </c>
      <c r="DE41" s="258">
        <f t="shared" si="17"/>
        <v>29.15625</v>
      </c>
      <c r="DF41" s="258">
        <v>1.46</v>
      </c>
      <c r="DG41" s="261">
        <v>0.0525</v>
      </c>
      <c r="DH41" s="261">
        <f t="shared" si="63"/>
        <v>0.10908412486981622</v>
      </c>
      <c r="DI41" s="208">
        <f t="shared" si="62"/>
        <v>0.001517350270681195</v>
      </c>
      <c r="DJ41" s="255">
        <v>20.875</v>
      </c>
      <c r="DK41" s="255">
        <v>19.375</v>
      </c>
      <c r="DL41" s="258">
        <f t="shared" si="18"/>
        <v>20.125</v>
      </c>
      <c r="DM41" s="258">
        <v>0.82</v>
      </c>
      <c r="DN41" s="256">
        <v>0.0475</v>
      </c>
      <c r="DO41" s="261">
        <f t="shared" si="47"/>
        <v>0.09315487296607627</v>
      </c>
      <c r="DP41" s="208">
        <f t="shared" si="19"/>
        <v>0.002491876583237534</v>
      </c>
      <c r="DQ41" s="255">
        <v>24</v>
      </c>
      <c r="DR41" s="255">
        <v>22.125</v>
      </c>
      <c r="DS41" s="258">
        <f t="shared" si="20"/>
        <v>23.0625</v>
      </c>
      <c r="DT41" s="258">
        <v>1.55</v>
      </c>
      <c r="DV41" s="261"/>
      <c r="DW41" s="208"/>
      <c r="DX41" s="255">
        <v>28.5</v>
      </c>
      <c r="DY41" s="255">
        <v>25.375</v>
      </c>
      <c r="DZ41" s="258">
        <f t="shared" si="21"/>
        <v>26.9375</v>
      </c>
      <c r="EA41" s="258">
        <v>1.24</v>
      </c>
      <c r="EB41" s="256">
        <v>0.0443</v>
      </c>
      <c r="EC41" s="261">
        <f t="shared" si="48"/>
        <v>0.09582873140823178</v>
      </c>
      <c r="ED41" s="208">
        <f t="shared" si="22"/>
        <v>0.004921731512834812</v>
      </c>
      <c r="EE41" s="123">
        <v>59.19</v>
      </c>
      <c r="EF41" s="123">
        <v>53.5</v>
      </c>
      <c r="EG41" s="258">
        <f>AVERAGE(EE41:EF41)</f>
        <v>56.345</v>
      </c>
      <c r="EH41" s="278">
        <f t="shared" si="65"/>
        <v>1.92</v>
      </c>
      <c r="EI41" s="256">
        <v>0.0758</v>
      </c>
      <c r="EJ41" s="261">
        <f t="shared" si="50"/>
        <v>0.11491029184387291</v>
      </c>
      <c r="EK41" s="208">
        <f t="shared" si="23"/>
        <v>0.010999901677526146</v>
      </c>
      <c r="EL41" s="279">
        <v>31.88</v>
      </c>
      <c r="EM41" s="279">
        <v>27</v>
      </c>
      <c r="EN41" s="279">
        <f>AVERAGE(EL41:EM41)</f>
        <v>29.439999999999998</v>
      </c>
      <c r="EO41" s="278">
        <f>4*0.175</f>
        <v>0.7</v>
      </c>
      <c r="EP41" s="256">
        <v>0.0893</v>
      </c>
      <c r="EQ41" s="261">
        <f t="shared" si="51"/>
        <v>0.11682061680464817</v>
      </c>
      <c r="ER41" s="208">
        <f t="shared" si="24"/>
        <v>0.01116764536290758</v>
      </c>
      <c r="ES41" s="261"/>
      <c r="ET41" s="262">
        <v>1.1</v>
      </c>
      <c r="EU41" s="262">
        <v>0.675</v>
      </c>
      <c r="EV41" s="262">
        <v>0.2</v>
      </c>
      <c r="EW41" s="262">
        <v>0.85</v>
      </c>
      <c r="EX41" s="280">
        <v>1.819457</v>
      </c>
      <c r="EY41" s="262">
        <v>4.8</v>
      </c>
      <c r="EZ41" s="262">
        <v>0.425</v>
      </c>
      <c r="FA41" s="262">
        <v>0.725</v>
      </c>
      <c r="FB41" s="262">
        <v>1.6</v>
      </c>
      <c r="FC41" s="262">
        <v>0.6</v>
      </c>
      <c r="FD41" s="262">
        <v>0.4</v>
      </c>
      <c r="FE41" s="258">
        <v>1.1</v>
      </c>
      <c r="FF41" s="258">
        <v>1.2</v>
      </c>
      <c r="FG41" s="258">
        <v>0.95</v>
      </c>
      <c r="FH41" s="258">
        <v>0.3</v>
      </c>
      <c r="FI41" s="258">
        <v>0.325</v>
      </c>
      <c r="FJ41" s="258">
        <v>0.625</v>
      </c>
      <c r="FL41" s="258">
        <v>1.2</v>
      </c>
      <c r="FM41" s="281">
        <v>2.2366032</v>
      </c>
      <c r="FN41" s="281">
        <v>2.23357832</v>
      </c>
      <c r="FO41" s="258">
        <f>SUM(ET41:FN41)</f>
        <v>23.36463852</v>
      </c>
      <c r="FP41" s="261">
        <f t="shared" si="25"/>
        <v>0.1250157815605667</v>
      </c>
    </row>
    <row r="42" spans="1:172" ht="12.75">
      <c r="A42" s="263">
        <v>36889</v>
      </c>
      <c r="B42" s="255">
        <v>23.1875</v>
      </c>
      <c r="C42" s="255">
        <v>21.4375</v>
      </c>
      <c r="D42" s="255">
        <f t="shared" si="26"/>
        <v>22.3125</v>
      </c>
      <c r="E42" s="255">
        <v>1.08</v>
      </c>
      <c r="F42" s="256">
        <v>0.0595</v>
      </c>
      <c r="G42" s="261">
        <f t="shared" si="27"/>
        <v>0.11452269337845222</v>
      </c>
      <c r="H42" s="277">
        <f t="shared" si="0"/>
        <v>0.005466178718128233</v>
      </c>
      <c r="I42" s="255">
        <v>26.25</v>
      </c>
      <c r="J42" s="255">
        <v>21.5625</v>
      </c>
      <c r="K42" s="258">
        <f t="shared" si="28"/>
        <v>23.90625</v>
      </c>
      <c r="L42" s="259">
        <v>1.16</v>
      </c>
      <c r="M42" s="256">
        <v>0.0634</v>
      </c>
      <c r="N42" s="261">
        <f t="shared" si="29"/>
        <v>0.11876419568080143</v>
      </c>
      <c r="O42" s="208">
        <f t="shared" si="1"/>
        <v>0.003478475054193201</v>
      </c>
      <c r="P42" s="260">
        <v>20.875</v>
      </c>
      <c r="Q42" s="260">
        <v>17.375</v>
      </c>
      <c r="R42" s="258">
        <f t="shared" si="30"/>
        <v>19.125</v>
      </c>
      <c r="S42" s="49">
        <v>0.96</v>
      </c>
      <c r="T42" s="261">
        <v>0.042</v>
      </c>
      <c r="U42" s="261">
        <f t="shared" si="2"/>
        <v>0.09529712812724744</v>
      </c>
      <c r="V42" s="208">
        <f t="shared" si="3"/>
        <v>0.0008270074027979987</v>
      </c>
      <c r="W42" s="255">
        <v>33.5</v>
      </c>
      <c r="X42" s="255">
        <v>26.0625</v>
      </c>
      <c r="Y42" s="258">
        <f t="shared" si="31"/>
        <v>29.78125</v>
      </c>
      <c r="Z42" s="258">
        <v>0.68</v>
      </c>
      <c r="AA42" s="256">
        <v>0.1175</v>
      </c>
      <c r="AB42" s="261">
        <f t="shared" si="32"/>
        <v>0.14460205859715836</v>
      </c>
      <c r="AC42" s="208">
        <f t="shared" si="4"/>
        <v>0.005333262868425539</v>
      </c>
      <c r="AD42" s="123">
        <v>66.75</v>
      </c>
      <c r="AE42" s="123">
        <v>55.75</v>
      </c>
      <c r="AF42" s="258">
        <f t="shared" si="5"/>
        <v>61.25</v>
      </c>
      <c r="AG42" s="258">
        <v>1.18</v>
      </c>
      <c r="AH42" s="256">
        <v>0.1308</v>
      </c>
      <c r="AI42" s="261">
        <f t="shared" si="33"/>
        <v>0.15390677827407084</v>
      </c>
      <c r="AJ42" s="208">
        <f t="shared" si="6"/>
        <v>0.01454807496130938</v>
      </c>
      <c r="AK42" s="255">
        <v>43.625</v>
      </c>
      <c r="AL42" s="255">
        <v>38</v>
      </c>
      <c r="AM42" s="258">
        <f t="shared" si="34"/>
        <v>40.8125</v>
      </c>
      <c r="AN42" s="258">
        <v>1.78</v>
      </c>
      <c r="AO42" s="256">
        <v>0.0964</v>
      </c>
      <c r="AP42" s="261">
        <f t="shared" si="54"/>
        <v>0.14760847523906673</v>
      </c>
      <c r="AQ42" s="208">
        <f t="shared" si="52"/>
        <v>0.03074341587513925</v>
      </c>
      <c r="AR42" s="260">
        <v>24.75</v>
      </c>
      <c r="AS42" s="260">
        <v>22.125</v>
      </c>
      <c r="AT42" s="258">
        <f t="shared" si="35"/>
        <v>23.4375</v>
      </c>
      <c r="AU42" s="258">
        <v>1.34</v>
      </c>
      <c r="AV42" s="261">
        <v>0.0367</v>
      </c>
      <c r="AW42" s="261">
        <f t="shared" si="67"/>
        <v>0.10051339871601894</v>
      </c>
      <c r="AX42" s="208">
        <f t="shared" si="66"/>
        <v>0.0018535848740742944</v>
      </c>
      <c r="AY42" s="255">
        <v>44.625</v>
      </c>
      <c r="AZ42" s="255">
        <v>40.125</v>
      </c>
      <c r="BA42" s="258">
        <f t="shared" si="36"/>
        <v>42.375</v>
      </c>
      <c r="BB42" s="255">
        <v>1.72</v>
      </c>
      <c r="BC42" s="256">
        <v>0.065</v>
      </c>
      <c r="BD42" s="261">
        <f t="shared" si="37"/>
        <v>0.11123777207871122</v>
      </c>
      <c r="BE42" s="208">
        <f t="shared" si="7"/>
        <v>0.0034993701028080606</v>
      </c>
      <c r="BF42" s="255">
        <v>43.875</v>
      </c>
      <c r="BG42" s="255">
        <v>38</v>
      </c>
      <c r="BH42" s="258">
        <f t="shared" si="38"/>
        <v>40.9375</v>
      </c>
      <c r="BI42" s="258">
        <v>1.66</v>
      </c>
      <c r="BJ42" s="256">
        <v>0.0613</v>
      </c>
      <c r="BK42" s="261">
        <f t="shared" si="39"/>
        <v>0.10733059473245676</v>
      </c>
      <c r="BL42" s="208">
        <f t="shared" si="8"/>
        <v>0.00745148972564468</v>
      </c>
      <c r="BM42" s="255">
        <v>27.5</v>
      </c>
      <c r="BN42" s="255">
        <v>23.875</v>
      </c>
      <c r="BO42" s="258">
        <f t="shared" si="40"/>
        <v>25.6875</v>
      </c>
      <c r="BP42" s="258">
        <v>1.24</v>
      </c>
      <c r="BQ42" s="256">
        <v>0.0442</v>
      </c>
      <c r="BR42" s="261">
        <f t="shared" si="53"/>
        <v>0.09827873359576267</v>
      </c>
      <c r="BS42" s="208">
        <f t="shared" si="9"/>
        <v>0.00255864710149862</v>
      </c>
      <c r="BT42" s="260">
        <v>33.9375</v>
      </c>
      <c r="BU42" s="260">
        <v>28</v>
      </c>
      <c r="BV42" s="258">
        <f t="shared" si="41"/>
        <v>30.96875</v>
      </c>
      <c r="BW42" s="49">
        <v>0.98</v>
      </c>
      <c r="BX42" s="256">
        <v>0.1195</v>
      </c>
      <c r="BY42" s="261">
        <f t="shared" si="10"/>
        <v>0.1553489763717728</v>
      </c>
      <c r="BZ42" s="208">
        <f t="shared" si="11"/>
        <v>0.002696298534935889</v>
      </c>
      <c r="CA42" s="255">
        <v>25.3125</v>
      </c>
      <c r="CB42" s="255">
        <v>20.40625</v>
      </c>
      <c r="CC42" s="258">
        <f t="shared" si="42"/>
        <v>22.859375</v>
      </c>
      <c r="CD42" s="258">
        <v>0.62</v>
      </c>
      <c r="CF42" s="261"/>
      <c r="CG42" s="208"/>
      <c r="CH42" s="255">
        <v>46.9375</v>
      </c>
      <c r="CI42" s="255">
        <v>41.125</v>
      </c>
      <c r="CJ42" s="258">
        <f t="shared" si="44"/>
        <v>44.03125</v>
      </c>
      <c r="CK42" s="258">
        <v>2</v>
      </c>
      <c r="CL42" s="256">
        <v>0.0625</v>
      </c>
      <c r="CM42" s="261">
        <f t="shared" si="45"/>
        <v>0.11421937889684597</v>
      </c>
      <c r="CN42" s="208">
        <f t="shared" si="13"/>
        <v>0.005947310716303083</v>
      </c>
      <c r="CO42" s="255">
        <v>39.4375</v>
      </c>
      <c r="CP42" s="255">
        <v>32.5</v>
      </c>
      <c r="CQ42" s="258">
        <f t="shared" si="14"/>
        <v>35.96875</v>
      </c>
      <c r="CR42" s="258">
        <v>1.46</v>
      </c>
      <c r="CS42" s="256">
        <v>0.0567</v>
      </c>
      <c r="CT42" s="261">
        <f t="shared" si="46"/>
        <v>0.10257836313974256</v>
      </c>
      <c r="CU42" s="208">
        <f t="shared" si="15"/>
        <v>0.004228428179476914</v>
      </c>
      <c r="CV42" s="262">
        <v>16.125</v>
      </c>
      <c r="CW42" s="262">
        <v>14.5</v>
      </c>
      <c r="CX42" s="262">
        <f t="shared" si="16"/>
        <v>15.3125</v>
      </c>
      <c r="CY42" s="262">
        <v>0.84</v>
      </c>
      <c r="CZ42" s="261">
        <v>0.086</v>
      </c>
      <c r="DA42" s="261">
        <f t="shared" si="64"/>
        <v>0.14681164041454586</v>
      </c>
      <c r="DB42" s="208">
        <f t="shared" si="58"/>
        <v>0.0019110908559221162</v>
      </c>
      <c r="DC42" s="260">
        <v>29.8125</v>
      </c>
      <c r="DD42" s="260">
        <v>29</v>
      </c>
      <c r="DE42" s="258">
        <f t="shared" si="17"/>
        <v>29.40625</v>
      </c>
      <c r="DF42" s="258">
        <v>1.46</v>
      </c>
      <c r="DG42" s="261">
        <v>0.0525</v>
      </c>
      <c r="DH42" s="261">
        <f t="shared" si="63"/>
        <v>0.10859366349812216</v>
      </c>
      <c r="DI42" s="208">
        <f t="shared" si="62"/>
        <v>0.0015313957380879758</v>
      </c>
      <c r="DJ42" s="255">
        <v>22.4375</v>
      </c>
      <c r="DK42" s="255">
        <v>19.3125</v>
      </c>
      <c r="DL42" s="258">
        <f t="shared" si="18"/>
        <v>20.875</v>
      </c>
      <c r="DM42" s="258">
        <v>0.82</v>
      </c>
      <c r="DN42" s="256">
        <v>0.0475</v>
      </c>
      <c r="DO42" s="261">
        <f t="shared" si="47"/>
        <v>0.09148919664911737</v>
      </c>
      <c r="DP42" s="208">
        <f t="shared" si="19"/>
        <v>0.0024811294288110772</v>
      </c>
      <c r="DQ42" s="255">
        <v>26.3125</v>
      </c>
      <c r="DR42" s="255">
        <v>22.375</v>
      </c>
      <c r="DS42" s="258">
        <f t="shared" si="20"/>
        <v>24.34375</v>
      </c>
      <c r="DT42" s="258">
        <v>1.55</v>
      </c>
      <c r="DV42" s="261"/>
      <c r="DW42" s="208"/>
      <c r="DX42" s="255">
        <v>31.5</v>
      </c>
      <c r="DY42" s="255">
        <v>27.4375</v>
      </c>
      <c r="DZ42" s="258">
        <f t="shared" si="21"/>
        <v>29.46875</v>
      </c>
      <c r="EA42" s="258">
        <v>1.24</v>
      </c>
      <c r="EB42" s="256">
        <v>0.0443</v>
      </c>
      <c r="EC42" s="261">
        <f t="shared" si="48"/>
        <v>0.09132929972628645</v>
      </c>
      <c r="ED42" s="208">
        <f t="shared" si="22"/>
        <v>0.004755442799817208</v>
      </c>
      <c r="EE42" s="123">
        <v>64.5</v>
      </c>
      <c r="EF42" s="123">
        <v>53.38</v>
      </c>
      <c r="EG42" s="258">
        <f>AVERAGE(EE42:EF42)</f>
        <v>58.94</v>
      </c>
      <c r="EH42" s="278">
        <f t="shared" si="65"/>
        <v>1.92</v>
      </c>
      <c r="EI42" s="256">
        <v>0.0758</v>
      </c>
      <c r="EJ42" s="261">
        <f t="shared" si="50"/>
        <v>0.11316624807340614</v>
      </c>
      <c r="EK42" s="208">
        <f t="shared" si="23"/>
        <v>0.012139889218356743</v>
      </c>
      <c r="EL42" s="279">
        <v>31.25</v>
      </c>
      <c r="EM42" s="279">
        <v>26.38</v>
      </c>
      <c r="EN42" s="279">
        <f>AVERAGE(EL42:EM42)</f>
        <v>28.814999999999998</v>
      </c>
      <c r="EO42" s="278">
        <f aca="true" t="shared" si="68" ref="EO42:EO52">4*0.175</f>
        <v>0.7</v>
      </c>
      <c r="EP42" s="256">
        <v>0.0892</v>
      </c>
      <c r="EQ42" s="261">
        <f t="shared" si="51"/>
        <v>0.1173206783233316</v>
      </c>
      <c r="ER42" s="208">
        <f t="shared" si="24"/>
        <v>0.012322053123461041</v>
      </c>
      <c r="ES42" s="261"/>
      <c r="ET42" s="262">
        <v>1.1</v>
      </c>
      <c r="EU42" s="262">
        <v>0.675</v>
      </c>
      <c r="EV42" s="262">
        <v>0.2</v>
      </c>
      <c r="EW42" s="262">
        <v>0.85</v>
      </c>
      <c r="EX42" s="280">
        <v>2.178453</v>
      </c>
      <c r="EY42" s="262">
        <v>4.8</v>
      </c>
      <c r="EZ42" s="262">
        <v>0.425</v>
      </c>
      <c r="FA42" s="262">
        <v>0.725</v>
      </c>
      <c r="FB42" s="262">
        <v>1.6</v>
      </c>
      <c r="FC42" s="262">
        <v>0.6</v>
      </c>
      <c r="FD42" s="262">
        <v>0.4</v>
      </c>
      <c r="FF42" s="258">
        <v>1.2</v>
      </c>
      <c r="FG42" s="258">
        <v>0.95</v>
      </c>
      <c r="FH42" s="258">
        <v>0.3</v>
      </c>
      <c r="FI42" s="258">
        <v>0.325</v>
      </c>
      <c r="FJ42" s="258">
        <v>0.625</v>
      </c>
      <c r="FL42" s="258">
        <v>1.2</v>
      </c>
      <c r="FM42" s="281">
        <v>2.4722831999999997</v>
      </c>
      <c r="FN42" s="281">
        <v>2.42052138</v>
      </c>
      <c r="FO42" s="258">
        <f>SUM(ET42:FN42)</f>
        <v>23.04625758</v>
      </c>
      <c r="FP42" s="261">
        <f t="shared" si="25"/>
        <v>0.12377254527919132</v>
      </c>
    </row>
    <row r="43" spans="1:172" ht="12.75">
      <c r="A43" s="263">
        <v>36922</v>
      </c>
      <c r="B43" s="255">
        <v>22.3125</v>
      </c>
      <c r="C43" s="255">
        <v>19.5</v>
      </c>
      <c r="D43" s="255">
        <f t="shared" si="26"/>
        <v>20.90625</v>
      </c>
      <c r="E43" s="255">
        <v>1.08</v>
      </c>
      <c r="F43" s="256">
        <v>0.0595</v>
      </c>
      <c r="G43" s="261">
        <f t="shared" si="27"/>
        <v>0.11829912247044816</v>
      </c>
      <c r="H43" s="277">
        <f t="shared" si="0"/>
        <v>0.005958201522254545</v>
      </c>
      <c r="I43" s="255">
        <v>25.75</v>
      </c>
      <c r="J43" s="255">
        <v>23.25</v>
      </c>
      <c r="K43" s="258">
        <f t="shared" si="28"/>
        <v>24.5</v>
      </c>
      <c r="L43" s="259">
        <v>1.16</v>
      </c>
      <c r="M43" s="256">
        <v>0.0695</v>
      </c>
      <c r="N43" s="261">
        <f t="shared" si="29"/>
        <v>0.12380719087601566</v>
      </c>
      <c r="O43" s="208">
        <f t="shared" si="1"/>
        <v>0.003637444107904426</v>
      </c>
      <c r="P43" s="260">
        <v>20.6875</v>
      </c>
      <c r="Q43" s="260">
        <v>17.375</v>
      </c>
      <c r="R43" s="258">
        <f t="shared" si="30"/>
        <v>19.03125</v>
      </c>
      <c r="S43" s="49">
        <v>0.96</v>
      </c>
      <c r="T43" s="261">
        <v>0.042</v>
      </c>
      <c r="U43" s="261">
        <f t="shared" si="2"/>
        <v>0.09556463159367379</v>
      </c>
      <c r="V43" s="208">
        <f t="shared" si="3"/>
        <v>0.0009024686556382105</v>
      </c>
      <c r="W43" s="255">
        <v>32.4375</v>
      </c>
      <c r="X43" s="255">
        <v>27.5</v>
      </c>
      <c r="Y43" s="258">
        <f t="shared" si="31"/>
        <v>29.96875</v>
      </c>
      <c r="Z43" s="258">
        <v>0.68</v>
      </c>
      <c r="AA43" s="256">
        <v>0.1175</v>
      </c>
      <c r="AB43" s="261">
        <f t="shared" si="32"/>
        <v>0.1444309769356591</v>
      </c>
      <c r="AC43" s="208">
        <f t="shared" si="4"/>
        <v>0.005152662458292725</v>
      </c>
      <c r="AD43" s="123">
        <v>66.69</v>
      </c>
      <c r="AE43" s="123">
        <v>55.38</v>
      </c>
      <c r="AF43" s="258">
        <f t="shared" si="5"/>
        <v>61.035</v>
      </c>
      <c r="AG43" s="258">
        <v>1.18</v>
      </c>
      <c r="AH43" s="256">
        <v>0.1392</v>
      </c>
      <c r="AI43" s="261">
        <f t="shared" si="33"/>
        <v>0.162561049069065</v>
      </c>
      <c r="AJ43" s="208">
        <f t="shared" si="6"/>
        <v>0.01306639978451064</v>
      </c>
      <c r="AK43" s="255">
        <v>41.9375</v>
      </c>
      <c r="AL43" s="255">
        <v>35.1875</v>
      </c>
      <c r="AM43" s="258">
        <f t="shared" si="34"/>
        <v>38.5625</v>
      </c>
      <c r="AN43" s="258">
        <v>1.78</v>
      </c>
      <c r="AO43" s="256">
        <v>0.0964</v>
      </c>
      <c r="AP43" s="261">
        <f t="shared" si="54"/>
        <v>0.15065068656391234</v>
      </c>
      <c r="AQ43" s="208">
        <f t="shared" si="52"/>
        <v>0.034144227706093946</v>
      </c>
      <c r="AR43" s="260">
        <v>24.625</v>
      </c>
      <c r="AS43" s="260">
        <v>21.25</v>
      </c>
      <c r="AT43" s="258">
        <f t="shared" si="35"/>
        <v>22.9375</v>
      </c>
      <c r="AU43" s="258">
        <v>1.34</v>
      </c>
      <c r="AV43" s="261">
        <v>0.0367</v>
      </c>
      <c r="AW43" s="261">
        <f t="shared" si="67"/>
        <v>0.1019364288174942</v>
      </c>
      <c r="AX43" s="208">
        <f t="shared" si="66"/>
        <v>0.0017755378319670313</v>
      </c>
      <c r="AY43" s="255">
        <v>43.25</v>
      </c>
      <c r="AZ43" s="255">
        <v>37.25999832</v>
      </c>
      <c r="BA43" s="258">
        <f t="shared" si="36"/>
        <v>40.25499916</v>
      </c>
      <c r="BB43" s="255">
        <v>1.76</v>
      </c>
      <c r="BC43" s="256">
        <v>0.065</v>
      </c>
      <c r="BD43" s="261">
        <f t="shared" si="37"/>
        <v>0.11486626120808374</v>
      </c>
      <c r="BE43" s="208">
        <f t="shared" si="7"/>
        <v>0.003495287557349787</v>
      </c>
      <c r="BF43" s="255">
        <v>42.375</v>
      </c>
      <c r="BG43" s="255">
        <v>35.20999908</v>
      </c>
      <c r="BH43" s="258">
        <f t="shared" si="38"/>
        <v>38.79249954</v>
      </c>
      <c r="BI43" s="258">
        <v>1.66</v>
      </c>
      <c r="BJ43" s="256">
        <v>0.0613</v>
      </c>
      <c r="BK43" s="261">
        <f t="shared" si="39"/>
        <v>0.10991875167550424</v>
      </c>
      <c r="BL43" s="208">
        <f t="shared" si="8"/>
        <v>0.008304179184265436</v>
      </c>
      <c r="BM43" s="255">
        <v>26.75</v>
      </c>
      <c r="BN43" s="255">
        <v>24</v>
      </c>
      <c r="BO43" s="258">
        <f t="shared" si="40"/>
        <v>25.375</v>
      </c>
      <c r="BP43" s="258">
        <v>1.24</v>
      </c>
      <c r="BQ43" s="256">
        <v>0.0442</v>
      </c>
      <c r="BR43" s="261">
        <f t="shared" si="53"/>
        <v>0.09895754823404856</v>
      </c>
      <c r="BS43" s="208">
        <f t="shared" si="9"/>
        <v>0.002595860577715003</v>
      </c>
      <c r="BT43" s="260">
        <v>32.3125</v>
      </c>
      <c r="BU43" s="260">
        <v>25.3125</v>
      </c>
      <c r="BV43" s="258">
        <f t="shared" si="41"/>
        <v>28.8125</v>
      </c>
      <c r="BW43" s="49">
        <v>0.98</v>
      </c>
      <c r="BX43" s="256">
        <v>0.1195</v>
      </c>
      <c r="BY43" s="261">
        <f t="shared" si="10"/>
        <v>0.15806600443167973</v>
      </c>
      <c r="BZ43" s="208">
        <f t="shared" si="11"/>
        <v>0.0024878383725352453</v>
      </c>
      <c r="CA43" s="255">
        <v>24.34375</v>
      </c>
      <c r="CB43" s="255">
        <v>21.4375</v>
      </c>
      <c r="CC43" s="258">
        <f t="shared" si="42"/>
        <v>22.890625</v>
      </c>
      <c r="CD43" s="258">
        <v>0.62</v>
      </c>
      <c r="CF43" s="261"/>
      <c r="CG43" s="208"/>
      <c r="CH43" s="255">
        <v>44.625</v>
      </c>
      <c r="CI43" s="255">
        <v>35.875</v>
      </c>
      <c r="CJ43" s="258">
        <f t="shared" si="44"/>
        <v>40.25</v>
      </c>
      <c r="CK43" s="258">
        <v>2.04</v>
      </c>
      <c r="CL43" s="256">
        <v>0.0625</v>
      </c>
      <c r="CM43" s="261">
        <f t="shared" si="45"/>
        <v>0.12032938325756182</v>
      </c>
      <c r="CN43" s="208">
        <f t="shared" si="13"/>
        <v>0.008080608991006428</v>
      </c>
      <c r="CO43" s="255">
        <v>38</v>
      </c>
      <c r="CP43" s="255">
        <v>33</v>
      </c>
      <c r="CQ43" s="258">
        <f t="shared" si="14"/>
        <v>35.5</v>
      </c>
      <c r="CR43" s="258">
        <v>1.46</v>
      </c>
      <c r="CS43" s="256">
        <v>0.0543</v>
      </c>
      <c r="CT43" s="261">
        <f t="shared" si="46"/>
        <v>0.10068837092105554</v>
      </c>
      <c r="CU43" s="208">
        <f t="shared" si="15"/>
        <v>0.00464862398246396</v>
      </c>
      <c r="CV43" s="262">
        <v>15.4375</v>
      </c>
      <c r="CW43" s="262">
        <v>13.1875</v>
      </c>
      <c r="CX43" s="262">
        <f t="shared" si="16"/>
        <v>14.3125</v>
      </c>
      <c r="CY43" s="262">
        <v>0.84</v>
      </c>
      <c r="CZ43" s="261">
        <v>0.0825</v>
      </c>
      <c r="DA43" s="261">
        <f t="shared" si="64"/>
        <v>0.14744386133837395</v>
      </c>
      <c r="DB43" s="208">
        <f t="shared" si="58"/>
        <v>0.0017018128896485241</v>
      </c>
      <c r="DC43" s="260">
        <v>32.25</v>
      </c>
      <c r="DD43" s="260">
        <v>29.1875</v>
      </c>
      <c r="DE43" s="258">
        <f t="shared" si="17"/>
        <v>30.71875</v>
      </c>
      <c r="DF43" s="258">
        <v>1.46</v>
      </c>
      <c r="DG43" s="261">
        <v>0.0525</v>
      </c>
      <c r="DH43" s="261">
        <f t="shared" si="63"/>
        <v>0.10615213832034698</v>
      </c>
      <c r="DI43" s="208">
        <f t="shared" si="62"/>
        <v>0.001492539979299572</v>
      </c>
      <c r="DJ43" s="255">
        <v>22.4375</v>
      </c>
      <c r="DK43" s="255">
        <v>19.5</v>
      </c>
      <c r="DL43" s="258">
        <f t="shared" si="18"/>
        <v>20.96875</v>
      </c>
      <c r="DM43" s="258">
        <v>0.82</v>
      </c>
      <c r="DN43" s="256">
        <v>0.0475</v>
      </c>
      <c r="DO43" s="261">
        <f t="shared" si="47"/>
        <v>0.09128949309837453</v>
      </c>
      <c r="DP43" s="208">
        <f t="shared" si="19"/>
        <v>0.0025862886112722975</v>
      </c>
      <c r="DQ43" s="255">
        <v>25.375</v>
      </c>
      <c r="DR43" s="255">
        <v>22.5</v>
      </c>
      <c r="DS43" s="258">
        <f t="shared" si="20"/>
        <v>23.9375</v>
      </c>
      <c r="DT43" s="258">
        <v>1.55</v>
      </c>
      <c r="DV43" s="261"/>
      <c r="DW43" s="208"/>
      <c r="DX43" s="255">
        <v>30.5</v>
      </c>
      <c r="DY43" s="255">
        <v>27.0625</v>
      </c>
      <c r="DZ43" s="258">
        <f t="shared" si="21"/>
        <v>28.78125</v>
      </c>
      <c r="EA43" s="258">
        <v>1.24</v>
      </c>
      <c r="EB43" s="256">
        <v>0.0443</v>
      </c>
      <c r="EC43" s="261">
        <f t="shared" si="48"/>
        <v>0.09247176502558108</v>
      </c>
      <c r="ED43" s="208">
        <f t="shared" si="22"/>
        <v>0.005045508224727824</v>
      </c>
      <c r="EE43" s="123">
        <v>63.19</v>
      </c>
      <c r="EF43" s="123">
        <v>52.43</v>
      </c>
      <c r="EG43" s="258">
        <f>AVERAGE(EE43:EF43)</f>
        <v>57.81</v>
      </c>
      <c r="EH43" s="278">
        <f t="shared" si="65"/>
        <v>1.92</v>
      </c>
      <c r="EI43" s="256">
        <v>0.0758</v>
      </c>
      <c r="EJ43" s="261">
        <f t="shared" si="50"/>
        <v>0.11390620101799143</v>
      </c>
      <c r="EK43" s="208">
        <f t="shared" si="23"/>
        <v>0.009887435909591217</v>
      </c>
      <c r="EL43" s="279">
        <v>29.94</v>
      </c>
      <c r="EM43" s="279">
        <v>27.12</v>
      </c>
      <c r="EN43" s="279">
        <f>AVERAGE(EL43:EM43)</f>
        <v>28.53</v>
      </c>
      <c r="EO43" s="278">
        <f t="shared" si="68"/>
        <v>0.7</v>
      </c>
      <c r="EP43" s="256">
        <v>0.0892</v>
      </c>
      <c r="EQ43" s="261">
        <f t="shared" si="51"/>
        <v>0.11760430725042981</v>
      </c>
      <c r="ER43" s="208">
        <f t="shared" si="24"/>
        <v>0.011069316196831708</v>
      </c>
      <c r="ES43" s="261"/>
      <c r="ET43" s="262">
        <v>1.2</v>
      </c>
      <c r="EU43" s="262">
        <v>0.7</v>
      </c>
      <c r="EV43" s="262">
        <v>0.225</v>
      </c>
      <c r="EW43" s="262">
        <v>0.85</v>
      </c>
      <c r="EX43" s="280">
        <v>1.91508048</v>
      </c>
      <c r="EY43" s="262">
        <v>5.4</v>
      </c>
      <c r="EZ43" s="262">
        <v>0.415</v>
      </c>
      <c r="FA43" s="262">
        <v>0.725</v>
      </c>
      <c r="FB43" s="262">
        <v>1.8</v>
      </c>
      <c r="FC43" s="262">
        <v>0.625</v>
      </c>
      <c r="FD43" s="262">
        <v>0.375</v>
      </c>
      <c r="FF43" s="258">
        <v>1.6</v>
      </c>
      <c r="FG43" s="258">
        <v>1.1</v>
      </c>
      <c r="FH43" s="258">
        <v>0.275</v>
      </c>
      <c r="FI43" s="258">
        <v>0.335</v>
      </c>
      <c r="FJ43" s="258">
        <v>0.675</v>
      </c>
      <c r="FL43" s="258">
        <v>1.3</v>
      </c>
      <c r="FM43" s="281">
        <v>2.06815886</v>
      </c>
      <c r="FN43" s="281">
        <v>2.24256555</v>
      </c>
      <c r="FO43" s="258">
        <f>SUM(ET43:FN43)</f>
        <v>23.82580489</v>
      </c>
      <c r="FP43" s="261">
        <f t="shared" si="25"/>
        <v>0.12603224254336853</v>
      </c>
    </row>
    <row r="44" spans="1:172" ht="12.75">
      <c r="A44" s="263">
        <v>36950</v>
      </c>
      <c r="B44" s="255">
        <v>21.94000053</v>
      </c>
      <c r="C44" s="255">
        <v>20</v>
      </c>
      <c r="D44" s="255">
        <f t="shared" si="26"/>
        <v>20.970000265</v>
      </c>
      <c r="E44" s="255">
        <v>1.08</v>
      </c>
      <c r="F44" s="256">
        <v>0.0595</v>
      </c>
      <c r="G44" s="261">
        <f t="shared" si="27"/>
        <v>0.118116743510148</v>
      </c>
      <c r="H44" s="277">
        <f t="shared" si="0"/>
        <v>0.005974263653186827</v>
      </c>
      <c r="I44" s="255">
        <v>24.70000076</v>
      </c>
      <c r="J44" s="255">
        <v>22.51000023</v>
      </c>
      <c r="K44" s="258">
        <f t="shared" si="28"/>
        <v>23.605000495</v>
      </c>
      <c r="L44" s="259">
        <v>1.16</v>
      </c>
      <c r="M44" s="256">
        <v>0.0695</v>
      </c>
      <c r="N44" s="261">
        <f t="shared" si="29"/>
        <v>0.12590615534594596</v>
      </c>
      <c r="O44" s="208">
        <f t="shared" si="1"/>
        <v>0.0037148106022736735</v>
      </c>
      <c r="P44" s="260">
        <v>19.20999908</v>
      </c>
      <c r="Q44" s="260">
        <v>17.85000038</v>
      </c>
      <c r="R44" s="258">
        <f t="shared" si="30"/>
        <v>18.52999973</v>
      </c>
      <c r="S44" s="49">
        <v>0.96</v>
      </c>
      <c r="T44" s="261">
        <v>0.0427</v>
      </c>
      <c r="U44" s="261">
        <f t="shared" si="2"/>
        <v>0.09777866735104102</v>
      </c>
      <c r="V44" s="208">
        <f t="shared" si="3"/>
        <v>0.0009272958278172404</v>
      </c>
      <c r="W44" s="255">
        <v>32.06000137</v>
      </c>
      <c r="X44" s="255">
        <v>27.5</v>
      </c>
      <c r="Y44" s="258">
        <f t="shared" si="31"/>
        <v>29.780000685</v>
      </c>
      <c r="Z44" s="258">
        <v>0.68</v>
      </c>
      <c r="AA44" s="256">
        <v>0.1175</v>
      </c>
      <c r="AB44" s="261">
        <f t="shared" si="32"/>
        <v>0.1446032058062341</v>
      </c>
      <c r="AC44" s="208">
        <f t="shared" si="4"/>
        <v>0.005180700912737366</v>
      </c>
      <c r="AD44" s="123">
        <v>63.34</v>
      </c>
      <c r="AE44" s="123">
        <v>57.04</v>
      </c>
      <c r="AF44" s="258">
        <f t="shared" si="5"/>
        <v>60.19</v>
      </c>
      <c r="AG44" s="258">
        <v>1.18</v>
      </c>
      <c r="AH44" s="256">
        <v>0.1264</v>
      </c>
      <c r="AI44" s="261">
        <f t="shared" si="33"/>
        <v>0.14982535073623615</v>
      </c>
      <c r="AJ44" s="208">
        <f t="shared" si="6"/>
        <v>0.011830028575896719</v>
      </c>
      <c r="AK44" s="255">
        <v>40.79999924</v>
      </c>
      <c r="AL44" s="255">
        <v>37.15000153</v>
      </c>
      <c r="AM44" s="258">
        <f t="shared" si="34"/>
        <v>38.975000385</v>
      </c>
      <c r="AN44" s="258">
        <v>1.78</v>
      </c>
      <c r="AO44" s="256">
        <v>0.0964</v>
      </c>
      <c r="AP44" s="261">
        <f t="shared" si="54"/>
        <v>0.15006618378223857</v>
      </c>
      <c r="AQ44" s="208">
        <f t="shared" si="52"/>
        <v>0.034156099661649196</v>
      </c>
      <c r="AR44" s="260">
        <v>24.14999962</v>
      </c>
      <c r="AS44" s="260">
        <v>21.26000023</v>
      </c>
      <c r="AT44" s="258">
        <f t="shared" si="35"/>
        <v>22.704999925</v>
      </c>
      <c r="AU44" s="258">
        <v>1.34</v>
      </c>
      <c r="AV44" s="261">
        <v>0.0367</v>
      </c>
      <c r="AW44" s="261">
        <f t="shared" si="67"/>
        <v>0.10261997582123228</v>
      </c>
      <c r="AX44" s="208">
        <f t="shared" si="66"/>
        <v>0.0017950298645891239</v>
      </c>
      <c r="AY44" s="255">
        <v>39.09000015</v>
      </c>
      <c r="AZ44" s="255">
        <v>37.25999832</v>
      </c>
      <c r="BA44" s="258">
        <f t="shared" si="36"/>
        <v>38.174999235</v>
      </c>
      <c r="BB44" s="255">
        <v>1.76</v>
      </c>
      <c r="BC44" s="256">
        <v>0.0683</v>
      </c>
      <c r="BD44" s="261">
        <f t="shared" si="37"/>
        <v>0.12109572754013453</v>
      </c>
      <c r="BE44" s="208">
        <f t="shared" si="7"/>
        <v>0.0037004837475644492</v>
      </c>
      <c r="BF44" s="255">
        <v>39.20000076</v>
      </c>
      <c r="BG44" s="255">
        <v>35.95000076</v>
      </c>
      <c r="BH44" s="258">
        <f t="shared" si="38"/>
        <v>37.57500076</v>
      </c>
      <c r="BI44" s="258">
        <v>1.66</v>
      </c>
      <c r="BJ44" s="256">
        <v>0.0613</v>
      </c>
      <c r="BK44" s="261">
        <f t="shared" si="39"/>
        <v>0.11152151438850688</v>
      </c>
      <c r="BL44" s="208">
        <f t="shared" si="8"/>
        <v>0.008461022250021228</v>
      </c>
      <c r="BM44" s="255">
        <v>26.64999962</v>
      </c>
      <c r="BN44" s="255">
        <v>23.62000084</v>
      </c>
      <c r="BO44" s="258">
        <f t="shared" si="40"/>
        <v>25.13500023</v>
      </c>
      <c r="BP44" s="258">
        <v>1.24</v>
      </c>
      <c r="BQ44" s="256">
        <v>0.045</v>
      </c>
      <c r="BR44" s="261">
        <f t="shared" si="53"/>
        <v>0.10033291736516747</v>
      </c>
      <c r="BS44" s="208">
        <f t="shared" si="9"/>
        <v>0.0026431093528199827</v>
      </c>
      <c r="BT44" s="260">
        <v>28.28000069</v>
      </c>
      <c r="BU44" s="260">
        <v>26.35000038</v>
      </c>
      <c r="BV44" s="258">
        <f t="shared" si="41"/>
        <v>27.315000535000003</v>
      </c>
      <c r="BW44" s="49">
        <v>0.98</v>
      </c>
      <c r="BX44" s="256">
        <v>0.1195</v>
      </c>
      <c r="BY44" s="261">
        <f t="shared" si="10"/>
        <v>0.16020873576051464</v>
      </c>
      <c r="BZ44" s="208">
        <f t="shared" si="11"/>
        <v>0.0025322648977757533</v>
      </c>
      <c r="CA44" s="255">
        <v>23.97500038</v>
      </c>
      <c r="CB44" s="255">
        <v>21.32999992</v>
      </c>
      <c r="CC44" s="258">
        <f t="shared" si="42"/>
        <v>22.65250015</v>
      </c>
      <c r="CD44" s="258">
        <v>0.62</v>
      </c>
      <c r="CF44" s="261"/>
      <c r="CG44" s="208"/>
      <c r="CH44" s="255">
        <v>40.40000153</v>
      </c>
      <c r="CI44" s="255">
        <v>36.74000168</v>
      </c>
      <c r="CJ44" s="258">
        <f t="shared" si="44"/>
        <v>38.570001605</v>
      </c>
      <c r="CK44" s="258">
        <v>2.04</v>
      </c>
      <c r="CL44" s="256">
        <v>0.0625</v>
      </c>
      <c r="CM44" s="261">
        <f t="shared" si="45"/>
        <v>0.12290075504020703</v>
      </c>
      <c r="CN44" s="208">
        <f t="shared" si="13"/>
        <v>0.008288314221631012</v>
      </c>
      <c r="CO44" s="255">
        <v>34.18999863</v>
      </c>
      <c r="CP44" s="255">
        <v>31.75</v>
      </c>
      <c r="CQ44" s="258">
        <f t="shared" si="14"/>
        <v>32.969999314999995</v>
      </c>
      <c r="CR44" s="258">
        <v>1.46</v>
      </c>
      <c r="CS44" s="256">
        <v>0.0543</v>
      </c>
      <c r="CT44" s="261">
        <f t="shared" si="46"/>
        <v>0.1043101931500201</v>
      </c>
      <c r="CU44" s="208">
        <f t="shared" si="15"/>
        <v>0.004836276345342145</v>
      </c>
      <c r="CV44" s="262">
        <v>15.10000038</v>
      </c>
      <c r="CW44" s="262">
        <v>13.81000042</v>
      </c>
      <c r="CX44" s="262">
        <f t="shared" si="16"/>
        <v>14.4550004</v>
      </c>
      <c r="CY44" s="262">
        <v>0.84</v>
      </c>
      <c r="CZ44" s="261">
        <v>0.0775</v>
      </c>
      <c r="DA44" s="261">
        <f t="shared" si="64"/>
        <v>0.14149276550120415</v>
      </c>
      <c r="DB44" s="208">
        <f t="shared" si="58"/>
        <v>0.0016400557178682228</v>
      </c>
      <c r="DC44" s="260">
        <v>32</v>
      </c>
      <c r="DD44" s="260">
        <v>29</v>
      </c>
      <c r="DE44" s="258">
        <f t="shared" si="17"/>
        <v>30.5</v>
      </c>
      <c r="DF44" s="258">
        <v>1.46</v>
      </c>
      <c r="DG44" s="261">
        <v>0.0525</v>
      </c>
      <c r="DH44" s="261">
        <f t="shared" si="63"/>
        <v>0.10654419451636299</v>
      </c>
      <c r="DI44" s="208">
        <f t="shared" si="62"/>
        <v>0.0015044102067779902</v>
      </c>
      <c r="DJ44" s="255">
        <v>23.10000038</v>
      </c>
      <c r="DK44" s="255">
        <v>20.79000092</v>
      </c>
      <c r="DL44" s="258">
        <f t="shared" si="18"/>
        <v>21.94500065</v>
      </c>
      <c r="DM44" s="258">
        <v>0.82</v>
      </c>
      <c r="DN44" s="256">
        <v>0.0475</v>
      </c>
      <c r="DO44" s="261">
        <f t="shared" si="47"/>
        <v>0.08931278872560289</v>
      </c>
      <c r="DP44" s="208">
        <f t="shared" si="19"/>
        <v>0.0025410259292644923</v>
      </c>
      <c r="DQ44" s="255">
        <v>25.20000076</v>
      </c>
      <c r="DR44" s="255">
        <v>23.18000031</v>
      </c>
      <c r="DS44" s="258">
        <f t="shared" si="20"/>
        <v>24.190000535000003</v>
      </c>
      <c r="DT44" s="258">
        <v>1.55</v>
      </c>
      <c r="DV44" s="261"/>
      <c r="DW44" s="208"/>
      <c r="DX44" s="255">
        <v>28.70000076</v>
      </c>
      <c r="DY44" s="255">
        <v>26.37000084</v>
      </c>
      <c r="DZ44" s="258">
        <f t="shared" si="21"/>
        <v>27.5350008</v>
      </c>
      <c r="EA44" s="258">
        <v>1.24</v>
      </c>
      <c r="EB44" s="256">
        <v>0.0443</v>
      </c>
      <c r="EC44" s="261">
        <f t="shared" si="48"/>
        <v>0.09469074172235104</v>
      </c>
      <c r="ED44" s="208">
        <f t="shared" si="22"/>
        <v>0.005188508643227075</v>
      </c>
      <c r="EE44" s="123">
        <v>55.4</v>
      </c>
      <c r="EF44" s="123">
        <v>50.97</v>
      </c>
      <c r="EG44" s="258">
        <f>AVERAGE(EE44:EF44)</f>
        <v>53.185</v>
      </c>
      <c r="EH44" s="278">
        <f t="shared" si="65"/>
        <v>1.92</v>
      </c>
      <c r="EI44" s="256">
        <v>0.075</v>
      </c>
      <c r="EJ44" s="261">
        <f t="shared" si="50"/>
        <v>0.11643627856981942</v>
      </c>
      <c r="EK44" s="208">
        <f t="shared" si="23"/>
        <v>0.010038640183238245</v>
      </c>
      <c r="EL44" s="279">
        <v>28.45</v>
      </c>
      <c r="EM44" s="279">
        <v>26.7</v>
      </c>
      <c r="EN44" s="279">
        <f>AVERAGE(EL44:EM44)</f>
        <v>27.575</v>
      </c>
      <c r="EO44" s="278">
        <f t="shared" si="68"/>
        <v>0.7</v>
      </c>
      <c r="EP44" s="256">
        <v>0.0892</v>
      </c>
      <c r="EQ44" s="261">
        <f t="shared" si="51"/>
        <v>0.11859787664824406</v>
      </c>
      <c r="ER44" s="208">
        <f t="shared" si="24"/>
        <v>0.011029075176448907</v>
      </c>
      <c r="ES44" s="261"/>
      <c r="ET44" s="262">
        <v>1.2</v>
      </c>
      <c r="EU44" s="262">
        <v>0.7</v>
      </c>
      <c r="EV44" s="262">
        <v>0.225</v>
      </c>
      <c r="EW44" s="262">
        <v>0.85</v>
      </c>
      <c r="EX44" s="280">
        <v>1.8733064</v>
      </c>
      <c r="EY44" s="262">
        <v>5.4</v>
      </c>
      <c r="EZ44" s="262">
        <v>0.415</v>
      </c>
      <c r="FA44" s="262">
        <v>0.725</v>
      </c>
      <c r="FB44" s="262">
        <v>1.8</v>
      </c>
      <c r="FC44" s="262">
        <v>0.625</v>
      </c>
      <c r="FD44" s="262">
        <v>0.375</v>
      </c>
      <c r="FF44" s="258">
        <v>1.6</v>
      </c>
      <c r="FG44" s="258">
        <v>1.1</v>
      </c>
      <c r="FH44" s="258">
        <v>0.275</v>
      </c>
      <c r="FI44" s="258">
        <v>0.335</v>
      </c>
      <c r="FJ44" s="258">
        <v>0.675</v>
      </c>
      <c r="FL44" s="258">
        <v>1.3</v>
      </c>
      <c r="FM44" s="281">
        <v>2.0454784</v>
      </c>
      <c r="FN44" s="281">
        <v>2.2063301999999996</v>
      </c>
      <c r="FO44" s="258">
        <f>SUM(ET44:FN44)</f>
        <v>23.725115000000002</v>
      </c>
      <c r="FP44" s="261">
        <f t="shared" si="25"/>
        <v>0.12598141577012964</v>
      </c>
    </row>
    <row r="45" spans="1:172" ht="12.75">
      <c r="A45" s="263">
        <v>36980</v>
      </c>
      <c r="B45" s="255">
        <v>21.98999977</v>
      </c>
      <c r="C45" s="255">
        <v>20.01000023</v>
      </c>
      <c r="D45" s="255">
        <f t="shared" si="26"/>
        <v>21</v>
      </c>
      <c r="E45" s="255">
        <v>1.08</v>
      </c>
      <c r="F45" s="256">
        <v>0.0595</v>
      </c>
      <c r="G45" s="261">
        <f t="shared" si="27"/>
        <v>0.1180313100497945</v>
      </c>
      <c r="H45" s="277">
        <f t="shared" si="0"/>
        <v>0.005859934030895721</v>
      </c>
      <c r="I45" s="255">
        <v>23.98999977</v>
      </c>
      <c r="J45" s="255">
        <v>20.85000038</v>
      </c>
      <c r="K45" s="258">
        <f t="shared" si="28"/>
        <v>22.420000075</v>
      </c>
      <c r="L45" s="259">
        <v>1.16</v>
      </c>
      <c r="M45" s="256">
        <v>0.0695</v>
      </c>
      <c r="N45" s="261">
        <f t="shared" si="29"/>
        <v>0.1289482636590933</v>
      </c>
      <c r="O45" s="208">
        <f t="shared" si="1"/>
        <v>0.0037344598274067957</v>
      </c>
      <c r="P45" s="260">
        <v>21</v>
      </c>
      <c r="Q45" s="260">
        <v>18.80999947</v>
      </c>
      <c r="R45" s="258">
        <f t="shared" si="30"/>
        <v>19.904999735</v>
      </c>
      <c r="S45" s="49">
        <v>0.96</v>
      </c>
      <c r="T45" s="261">
        <v>0.0427</v>
      </c>
      <c r="U45" s="261">
        <f t="shared" si="2"/>
        <v>0.0939053164416972</v>
      </c>
      <c r="V45" s="208">
        <f t="shared" si="3"/>
        <v>0.000874151992911749</v>
      </c>
      <c r="W45" s="255">
        <v>35.29999924</v>
      </c>
      <c r="X45" s="255">
        <v>27.75</v>
      </c>
      <c r="Y45" s="258">
        <f t="shared" si="31"/>
        <v>31.52499962</v>
      </c>
      <c r="Z45" s="258">
        <v>0.68</v>
      </c>
      <c r="AA45" s="256">
        <v>0.1175</v>
      </c>
      <c r="AB45" s="261">
        <f t="shared" si="32"/>
        <v>0.14309020767628344</v>
      </c>
      <c r="AC45" s="208">
        <f t="shared" si="4"/>
        <v>0.005032028510994104</v>
      </c>
      <c r="AD45" s="123">
        <v>70.5</v>
      </c>
      <c r="AE45" s="123">
        <v>57.55</v>
      </c>
      <c r="AF45" s="258">
        <f t="shared" si="5"/>
        <v>64.025</v>
      </c>
      <c r="AG45" s="123">
        <f>0.32*4</f>
        <v>1.28</v>
      </c>
      <c r="AH45" s="256">
        <v>0.1294</v>
      </c>
      <c r="AI45" s="261">
        <f t="shared" si="33"/>
        <v>0.15335578198259014</v>
      </c>
      <c r="AJ45" s="208">
        <f t="shared" si="6"/>
        <v>0.014243858752476139</v>
      </c>
      <c r="AK45" s="255">
        <v>38.90000153</v>
      </c>
      <c r="AL45" s="255">
        <v>34.20000076</v>
      </c>
      <c r="AM45" s="258">
        <f t="shared" si="34"/>
        <v>36.550001144999996</v>
      </c>
      <c r="AN45" s="258">
        <v>1.78</v>
      </c>
      <c r="AO45" s="256">
        <v>0.0964</v>
      </c>
      <c r="AP45" s="261">
        <f t="shared" si="54"/>
        <v>0.1536951432512801</v>
      </c>
      <c r="AQ45" s="208">
        <f t="shared" si="52"/>
        <v>0.03433745927023299</v>
      </c>
      <c r="AR45" s="260">
        <v>24.47999954</v>
      </c>
      <c r="AS45" s="260">
        <v>22.28000069</v>
      </c>
      <c r="AT45" s="258">
        <f t="shared" si="35"/>
        <v>23.380000115</v>
      </c>
      <c r="AU45" s="258">
        <v>1.34</v>
      </c>
      <c r="AV45" s="261">
        <v>0.0367</v>
      </c>
      <c r="AW45" s="261">
        <f t="shared" si="67"/>
        <v>0.10067388055719606</v>
      </c>
      <c r="AX45" s="208">
        <f t="shared" si="66"/>
        <v>0.0017285389067314939</v>
      </c>
      <c r="AY45" s="255">
        <v>41.15000153</v>
      </c>
      <c r="AZ45" s="255">
        <v>38</v>
      </c>
      <c r="BA45" s="258">
        <f t="shared" si="36"/>
        <v>39.575000765</v>
      </c>
      <c r="BB45" s="255">
        <v>1.76</v>
      </c>
      <c r="BC45" s="256">
        <v>0.0683</v>
      </c>
      <c r="BD45" s="261">
        <f t="shared" si="37"/>
        <v>0.11919532029068947</v>
      </c>
      <c r="BE45" s="208">
        <f t="shared" si="7"/>
        <v>0.0035752915703411367</v>
      </c>
      <c r="BF45" s="255">
        <v>38.49000168</v>
      </c>
      <c r="BG45" s="255">
        <v>35.11999893</v>
      </c>
      <c r="BH45" s="258">
        <f t="shared" si="38"/>
        <v>36.805000305</v>
      </c>
      <c r="BI45" s="258">
        <v>1.66</v>
      </c>
      <c r="BJ45" s="256">
        <v>0.0613</v>
      </c>
      <c r="BK45" s="261">
        <f t="shared" si="39"/>
        <v>0.11259087506603249</v>
      </c>
      <c r="BL45" s="208">
        <f t="shared" si="8"/>
        <v>0.008384746811114306</v>
      </c>
      <c r="BM45" s="255">
        <v>24.45000076</v>
      </c>
      <c r="BN45" s="255">
        <v>23.04999924</v>
      </c>
      <c r="BO45" s="258">
        <f t="shared" si="40"/>
        <v>23.75</v>
      </c>
      <c r="BP45" s="258">
        <v>1.24</v>
      </c>
      <c r="BQ45" s="256">
        <v>0.045</v>
      </c>
      <c r="BR45" s="261">
        <f t="shared" si="53"/>
        <v>0.10362608937881923</v>
      </c>
      <c r="BS45" s="208">
        <f t="shared" si="9"/>
        <v>0.0026795593447099435</v>
      </c>
      <c r="BT45" s="260">
        <v>28.39999962</v>
      </c>
      <c r="BU45" s="260">
        <v>25.44000053</v>
      </c>
      <c r="BV45" s="258">
        <f t="shared" si="41"/>
        <v>26.920000074999997</v>
      </c>
      <c r="BW45" s="49">
        <v>0.98</v>
      </c>
      <c r="BX45" s="256">
        <v>0.1195</v>
      </c>
      <c r="BY45" s="261">
        <f t="shared" si="10"/>
        <v>0.1608142027954551</v>
      </c>
      <c r="BZ45" s="208">
        <f t="shared" si="11"/>
        <v>0.002494996399723552</v>
      </c>
      <c r="CA45" s="255">
        <v>22.70999908</v>
      </c>
      <c r="CB45" s="255">
        <v>18.125</v>
      </c>
      <c r="CC45" s="258">
        <f t="shared" si="42"/>
        <v>20.41749954</v>
      </c>
      <c r="CD45" s="258">
        <v>0.62</v>
      </c>
      <c r="CF45" s="261"/>
      <c r="CG45" s="208"/>
      <c r="CH45" s="255">
        <v>41.95000076</v>
      </c>
      <c r="CI45" s="255">
        <v>37.00999832</v>
      </c>
      <c r="CJ45" s="258">
        <f t="shared" si="44"/>
        <v>39.47999954</v>
      </c>
      <c r="CK45" s="258">
        <v>2.04</v>
      </c>
      <c r="CL45" s="256">
        <v>0.0625</v>
      </c>
      <c r="CM45" s="261">
        <f t="shared" si="45"/>
        <v>0.1214802188359676</v>
      </c>
      <c r="CN45" s="208">
        <f t="shared" si="13"/>
        <v>0.008041550648860061</v>
      </c>
      <c r="CO45" s="255">
        <v>35.5</v>
      </c>
      <c r="CP45" s="255">
        <v>31.81999969</v>
      </c>
      <c r="CQ45" s="258">
        <f t="shared" si="14"/>
        <v>33.659999845</v>
      </c>
      <c r="CR45" s="258">
        <v>1.46</v>
      </c>
      <c r="CS45" s="256">
        <v>0.0543</v>
      </c>
      <c r="CT45" s="261">
        <f t="shared" si="46"/>
        <v>0.1032675128687921</v>
      </c>
      <c r="CU45" s="208">
        <f t="shared" si="15"/>
        <v>0.004699705625845894</v>
      </c>
      <c r="CV45" s="262">
        <v>14.5</v>
      </c>
      <c r="CW45" s="262">
        <v>13.52999973</v>
      </c>
      <c r="CX45" s="262">
        <f t="shared" si="16"/>
        <v>14.014999865</v>
      </c>
      <c r="CY45" s="262">
        <v>0.84</v>
      </c>
      <c r="CZ45" s="261">
        <v>0.0775</v>
      </c>
      <c r="DA45" s="261">
        <f t="shared" si="64"/>
        <v>0.1435468737877723</v>
      </c>
      <c r="DB45" s="208">
        <f t="shared" si="58"/>
        <v>0.0016332049440615018</v>
      </c>
      <c r="DC45" s="260">
        <v>31.85000038</v>
      </c>
      <c r="DD45" s="260">
        <v>27.60000038</v>
      </c>
      <c r="DE45" s="258">
        <f t="shared" si="17"/>
        <v>29.72500038</v>
      </c>
      <c r="DF45" s="258">
        <v>1.46</v>
      </c>
      <c r="DG45" s="261">
        <v>0.0525</v>
      </c>
      <c r="DH45" s="261">
        <f t="shared" si="63"/>
        <v>0.10798051852415336</v>
      </c>
      <c r="DI45" s="208">
        <f t="shared" si="62"/>
        <v>0.001496595617253872</v>
      </c>
      <c r="DJ45" s="255">
        <v>21.14999962</v>
      </c>
      <c r="DK45" s="255">
        <v>19.15999985</v>
      </c>
      <c r="DL45" s="258">
        <f t="shared" si="18"/>
        <v>20.154999734999997</v>
      </c>
      <c r="DM45" s="258">
        <v>0.82</v>
      </c>
      <c r="DN45" s="256">
        <v>0.0475</v>
      </c>
      <c r="DO45" s="261">
        <f t="shared" si="47"/>
        <v>0.0930858285641083</v>
      </c>
      <c r="DP45" s="208">
        <f t="shared" si="19"/>
        <v>0.00259957047059239</v>
      </c>
      <c r="DQ45" s="255">
        <v>25.10000038</v>
      </c>
      <c r="DR45" s="255">
        <v>23.12999916</v>
      </c>
      <c r="DS45" s="258">
        <f t="shared" si="20"/>
        <v>24.11499977</v>
      </c>
      <c r="DT45" s="258">
        <v>1.55</v>
      </c>
      <c r="DV45" s="261"/>
      <c r="DW45" s="208"/>
      <c r="DX45" s="255">
        <v>27.95000076</v>
      </c>
      <c r="DY45" s="255">
        <v>25.81999969</v>
      </c>
      <c r="DZ45" s="258">
        <f t="shared" si="21"/>
        <v>26.885000225</v>
      </c>
      <c r="EA45" s="258">
        <v>1.24</v>
      </c>
      <c r="EB45" s="256">
        <v>0.0443</v>
      </c>
      <c r="EC45" s="261">
        <f t="shared" si="48"/>
        <v>0.09593118253692934</v>
      </c>
      <c r="ED45" s="208">
        <f t="shared" si="22"/>
        <v>0.005159616271984551</v>
      </c>
      <c r="EE45" s="123">
        <v>56</v>
      </c>
      <c r="EF45" s="123">
        <v>50.01</v>
      </c>
      <c r="EG45" s="258">
        <f>AVERAGE(EE45:EF45)</f>
        <v>53.004999999999995</v>
      </c>
      <c r="EH45" s="278">
        <f t="shared" si="65"/>
        <v>1.92</v>
      </c>
      <c r="EI45" s="256">
        <v>0.075</v>
      </c>
      <c r="EJ45" s="261">
        <f t="shared" si="50"/>
        <v>0.11657900109337915</v>
      </c>
      <c r="EK45" s="208">
        <f t="shared" si="23"/>
        <v>0.01020475142805679</v>
      </c>
      <c r="EL45" s="279">
        <v>29.95</v>
      </c>
      <c r="EM45" s="279">
        <v>26.35</v>
      </c>
      <c r="EN45" s="279">
        <f>AVERAGE(EL45:EM45)</f>
        <v>28.15</v>
      </c>
      <c r="EO45" s="278">
        <f t="shared" si="68"/>
        <v>0.7</v>
      </c>
      <c r="EP45" s="256">
        <v>0.0879</v>
      </c>
      <c r="EQ45" s="261">
        <f t="shared" si="51"/>
        <v>0.11665713630839303</v>
      </c>
      <c r="ER45" s="208">
        <f t="shared" si="24"/>
        <v>0.01066521780780791</v>
      </c>
      <c r="ES45" s="261"/>
      <c r="ET45" s="262">
        <v>1.2</v>
      </c>
      <c r="EU45" s="262">
        <v>0.7</v>
      </c>
      <c r="EV45" s="262">
        <v>0.225</v>
      </c>
      <c r="EW45" s="262">
        <v>0.85</v>
      </c>
      <c r="EX45" s="280">
        <v>2.244984</v>
      </c>
      <c r="EY45" s="262">
        <v>5.4</v>
      </c>
      <c r="EZ45" s="262">
        <v>0.415</v>
      </c>
      <c r="FA45" s="262">
        <v>0.725</v>
      </c>
      <c r="FB45" s="262">
        <v>1.8</v>
      </c>
      <c r="FC45" s="262">
        <v>0.625</v>
      </c>
      <c r="FD45" s="262">
        <v>0.375</v>
      </c>
      <c r="FF45" s="258">
        <v>1.6</v>
      </c>
      <c r="FG45" s="258">
        <v>1.1</v>
      </c>
      <c r="FH45" s="258">
        <v>0.275</v>
      </c>
      <c r="FI45" s="258">
        <v>0.335</v>
      </c>
      <c r="FJ45" s="258">
        <v>0.675</v>
      </c>
      <c r="FL45" s="258">
        <v>1.3</v>
      </c>
      <c r="FM45" s="281">
        <v>2.11576704</v>
      </c>
      <c r="FN45" s="281">
        <v>2.2097551999999996</v>
      </c>
      <c r="FO45" s="258">
        <f>SUM(ET45:FN45)</f>
        <v>24.170506240000005</v>
      </c>
      <c r="FP45" s="261">
        <f t="shared" si="25"/>
        <v>0.1274452382320009</v>
      </c>
    </row>
    <row r="46" spans="1:172" ht="12.75">
      <c r="A46" s="263">
        <v>37011</v>
      </c>
      <c r="B46" s="255">
        <v>22.86000061</v>
      </c>
      <c r="C46" s="255">
        <v>20.89999962</v>
      </c>
      <c r="D46" s="255">
        <f t="shared" si="26"/>
        <v>21.880000115</v>
      </c>
      <c r="E46" s="255">
        <v>1.08</v>
      </c>
      <c r="F46" s="256">
        <v>0.0551</v>
      </c>
      <c r="G46" s="261">
        <f t="shared" si="27"/>
        <v>0.11099836254889794</v>
      </c>
      <c r="H46" s="277">
        <f t="shared" si="0"/>
        <v>0.004799407091281956</v>
      </c>
      <c r="I46" s="255">
        <v>24.04999924</v>
      </c>
      <c r="J46" s="255">
        <v>21.14999962</v>
      </c>
      <c r="K46" s="258">
        <f t="shared" si="28"/>
        <v>22.599999429999997</v>
      </c>
      <c r="L46" s="259">
        <v>1.16</v>
      </c>
      <c r="M46" s="256">
        <v>0.0693</v>
      </c>
      <c r="N46" s="261">
        <f t="shared" si="29"/>
        <v>0.12825418670458122</v>
      </c>
      <c r="O46" s="208">
        <f t="shared" si="1"/>
        <v>0.004537246685605688</v>
      </c>
      <c r="P46" s="260">
        <v>20.60000038</v>
      </c>
      <c r="Q46" s="260">
        <v>18.70000076</v>
      </c>
      <c r="R46" s="258">
        <f t="shared" si="30"/>
        <v>19.650000570000003</v>
      </c>
      <c r="S46" s="49">
        <v>0.96</v>
      </c>
      <c r="U46" s="261"/>
      <c r="V46" s="208"/>
      <c r="W46" s="255">
        <v>38.09999847</v>
      </c>
      <c r="X46" s="255">
        <v>32.70000076</v>
      </c>
      <c r="Y46" s="258">
        <f t="shared" si="31"/>
        <v>35.399999615</v>
      </c>
      <c r="Z46" s="258">
        <v>0.68</v>
      </c>
      <c r="AA46" s="256">
        <v>0.114</v>
      </c>
      <c r="AB46" s="261">
        <f t="shared" si="32"/>
        <v>0.136696500061241</v>
      </c>
      <c r="AC46" s="208">
        <f t="shared" si="4"/>
        <v>0.004970241136329258</v>
      </c>
      <c r="AD46" s="123">
        <f>80/2</f>
        <v>40</v>
      </c>
      <c r="AE46" s="123">
        <v>39.26</v>
      </c>
      <c r="AF46" s="258">
        <f t="shared" si="5"/>
        <v>39.629999999999995</v>
      </c>
      <c r="AG46" s="123">
        <v>0.64</v>
      </c>
      <c r="AH46" s="256">
        <v>0.1144</v>
      </c>
      <c r="AI46" s="261">
        <f t="shared" si="33"/>
        <v>0.13346518116565287</v>
      </c>
      <c r="AJ46" s="208">
        <f t="shared" si="6"/>
        <v>0.0068003270686843404</v>
      </c>
      <c r="AK46" s="255">
        <v>41.09999847</v>
      </c>
      <c r="AL46" s="255">
        <v>38.15000153</v>
      </c>
      <c r="AM46" s="258">
        <f t="shared" si="34"/>
        <v>39.625</v>
      </c>
      <c r="AN46" s="258">
        <v>1.78</v>
      </c>
      <c r="AO46" s="256">
        <v>0.0964</v>
      </c>
      <c r="AP46" s="261">
        <f t="shared" si="54"/>
        <v>0.14917027959309737</v>
      </c>
      <c r="AQ46" s="208">
        <f t="shared" si="52"/>
        <v>0.03166317018096122</v>
      </c>
      <c r="AR46" s="260">
        <v>24.47999954</v>
      </c>
      <c r="AS46" s="260">
        <v>23.10000038</v>
      </c>
      <c r="AT46" s="258">
        <f t="shared" si="35"/>
        <v>23.789999960000003</v>
      </c>
      <c r="AU46" s="258">
        <v>1.34</v>
      </c>
      <c r="AV46" s="261">
        <v>0.0367</v>
      </c>
      <c r="AW46" s="261">
        <f t="shared" si="67"/>
        <v>0.09954690010033285</v>
      </c>
      <c r="AX46" s="208">
        <f t="shared" si="66"/>
        <v>0.0017608346914355436</v>
      </c>
      <c r="AY46" s="255">
        <v>43.40000153</v>
      </c>
      <c r="AZ46" s="255">
        <v>40.20000076</v>
      </c>
      <c r="BA46" s="258">
        <f t="shared" si="36"/>
        <v>41.800001144999996</v>
      </c>
      <c r="BB46" s="255">
        <v>1.76</v>
      </c>
      <c r="BC46" s="256">
        <v>0.0683</v>
      </c>
      <c r="BD46" s="261">
        <f t="shared" si="37"/>
        <v>0.1164412596547384</v>
      </c>
      <c r="BE46" s="208">
        <f t="shared" si="7"/>
        <v>0.0032039318265618243</v>
      </c>
      <c r="BF46" s="255">
        <v>39.90000153</v>
      </c>
      <c r="BG46" s="255">
        <v>35.95000076</v>
      </c>
      <c r="BH46" s="258">
        <f t="shared" si="38"/>
        <v>37.925001144999996</v>
      </c>
      <c r="BI46" s="258">
        <v>1.76</v>
      </c>
      <c r="BJ46" s="256">
        <v>0.0593</v>
      </c>
      <c r="BK46" s="261">
        <f t="shared" si="39"/>
        <v>0.11200234620462313</v>
      </c>
      <c r="BL46" s="208">
        <f t="shared" si="8"/>
        <v>0.0074843549028392005</v>
      </c>
      <c r="BM46" s="255">
        <v>24.10000038</v>
      </c>
      <c r="BN46" s="255">
        <v>22</v>
      </c>
      <c r="BO46" s="258">
        <f t="shared" si="40"/>
        <v>23.05000019</v>
      </c>
      <c r="BP46" s="258">
        <v>1.24</v>
      </c>
      <c r="BQ46" s="256">
        <v>0.0433</v>
      </c>
      <c r="BR46" s="261">
        <f t="shared" si="53"/>
        <v>0.10364588985269507</v>
      </c>
      <c r="BS46" s="208">
        <f t="shared" si="9"/>
        <v>0.002444452859819689</v>
      </c>
      <c r="BT46" s="260">
        <v>27.03000069</v>
      </c>
      <c r="BU46" s="260">
        <v>21.95000076</v>
      </c>
      <c r="BV46" s="258">
        <f t="shared" si="41"/>
        <v>24.490000725</v>
      </c>
      <c r="BW46" s="49">
        <v>0.98</v>
      </c>
      <c r="BX46" s="256">
        <v>0.1092</v>
      </c>
      <c r="BY46" s="261">
        <f t="shared" si="10"/>
        <v>0.15425663239034249</v>
      </c>
      <c r="BZ46" s="208">
        <f t="shared" si="11"/>
        <v>0.0022131713625427253</v>
      </c>
      <c r="CA46" s="255">
        <v>22.49500084</v>
      </c>
      <c r="CB46" s="255">
        <v>19.30999947</v>
      </c>
      <c r="CC46" s="258">
        <f t="shared" si="42"/>
        <v>20.902500155</v>
      </c>
      <c r="CD46" s="258">
        <v>0.62</v>
      </c>
      <c r="CE46" s="256">
        <v>0.0767</v>
      </c>
      <c r="CF46" s="261">
        <f aca="true" t="shared" si="69" ref="CF46:CF103">+((((((CD46/4)*(1+CE46)^0.25))/(CC46*0.95))+(1+CE46)^(0.25))^4)-1</f>
        <v>0.11071309592917356</v>
      </c>
      <c r="CG46" s="208">
        <f t="shared" si="12"/>
        <v>0.005657449411849165</v>
      </c>
      <c r="CH46" s="255">
        <v>41.11999893</v>
      </c>
      <c r="CI46" s="255">
        <v>37.79999924</v>
      </c>
      <c r="CJ46" s="258">
        <f t="shared" si="44"/>
        <v>39.459999085</v>
      </c>
      <c r="CK46" s="258">
        <v>2.04</v>
      </c>
      <c r="CL46" s="256">
        <v>0.0625</v>
      </c>
      <c r="CM46" s="261">
        <f t="shared" si="45"/>
        <v>0.12151072183954303</v>
      </c>
      <c r="CN46" s="208">
        <f t="shared" si="13"/>
        <v>0.007642103497374778</v>
      </c>
      <c r="CO46" s="255">
        <v>36.54999924</v>
      </c>
      <c r="CP46" s="255">
        <v>34.20000076</v>
      </c>
      <c r="CQ46" s="258">
        <f t="shared" si="14"/>
        <v>35.375</v>
      </c>
      <c r="CR46" s="258">
        <v>1.54</v>
      </c>
      <c r="CS46" s="256">
        <v>0.0543</v>
      </c>
      <c r="CT46" s="261">
        <f t="shared" si="46"/>
        <v>0.10344968242875363</v>
      </c>
      <c r="CU46" s="208">
        <f t="shared" si="15"/>
        <v>0.0044730131872054</v>
      </c>
      <c r="CV46" s="262">
        <v>15.05000019</v>
      </c>
      <c r="CW46" s="262">
        <v>13.85000038</v>
      </c>
      <c r="CX46" s="262">
        <f t="shared" si="16"/>
        <v>14.450000285000002</v>
      </c>
      <c r="CY46" s="262">
        <v>0.84</v>
      </c>
      <c r="CZ46" s="261">
        <v>0.0775</v>
      </c>
      <c r="DA46" s="261">
        <f t="shared" si="64"/>
        <v>0.14151539035261007</v>
      </c>
      <c r="DB46" s="208">
        <f t="shared" si="58"/>
        <v>0.0013906633648939238</v>
      </c>
      <c r="DC46" s="260">
        <v>30.95000076</v>
      </c>
      <c r="DD46" s="260">
        <v>29.04999924</v>
      </c>
      <c r="DE46" s="258">
        <f t="shared" si="17"/>
        <v>30</v>
      </c>
      <c r="DF46" s="258">
        <v>1.48</v>
      </c>
      <c r="DG46" s="261">
        <v>0.06</v>
      </c>
      <c r="DH46" s="261">
        <f t="shared" si="63"/>
        <v>0.11612686266873506</v>
      </c>
      <c r="DI46" s="208">
        <f t="shared" si="62"/>
        <v>0.0015976405284790903</v>
      </c>
      <c r="DJ46" s="255">
        <v>21.20000076</v>
      </c>
      <c r="DK46" s="255">
        <v>19.89999962</v>
      </c>
      <c r="DL46" s="258">
        <f t="shared" si="18"/>
        <v>20.55000019</v>
      </c>
      <c r="DM46" s="258">
        <v>0.82</v>
      </c>
      <c r="DN46" s="256">
        <v>0.0475</v>
      </c>
      <c r="DO46" s="261">
        <f t="shared" si="47"/>
        <v>0.09219582903527512</v>
      </c>
      <c r="DP46" s="208">
        <f t="shared" si="19"/>
        <v>0.0023556076829621044</v>
      </c>
      <c r="DQ46" s="255">
        <v>26.97999954</v>
      </c>
      <c r="DR46" s="255">
        <v>24.20000076</v>
      </c>
      <c r="DS46" s="258">
        <f t="shared" si="20"/>
        <v>25.59000015</v>
      </c>
      <c r="DT46" s="258">
        <v>1.55</v>
      </c>
      <c r="DU46" s="256">
        <v>0.06</v>
      </c>
      <c r="DV46" s="261">
        <f aca="true" t="shared" si="70" ref="DV46:DV80">+((((((DT46/4)*(1+DU46)^0.25))/(DS46*0.95))+(1+DU46)^(0.25))^4)-1</f>
        <v>0.12921709848132457</v>
      </c>
      <c r="DW46" s="208">
        <f t="shared" si="56"/>
        <v>0.0034284837022031784</v>
      </c>
      <c r="DX46" s="255">
        <v>29.10000038</v>
      </c>
      <c r="DY46" s="255">
        <v>26.29999924</v>
      </c>
      <c r="DZ46" s="258">
        <f t="shared" si="21"/>
        <v>27.69999981</v>
      </c>
      <c r="EA46" s="258">
        <v>1.26</v>
      </c>
      <c r="EB46" s="256">
        <v>0.0443</v>
      </c>
      <c r="EC46" s="261">
        <f t="shared" si="48"/>
        <v>0.09520759405135326</v>
      </c>
      <c r="ED46" s="208">
        <f t="shared" si="22"/>
        <v>0.0048651168359882336</v>
      </c>
      <c r="EE46" s="123">
        <v>57.61</v>
      </c>
      <c r="EF46" s="123">
        <v>53.59</v>
      </c>
      <c r="EG46" s="258">
        <f>AVERAGE(EE46:EF46)</f>
        <v>55.6</v>
      </c>
      <c r="EH46" s="278">
        <f t="shared" si="65"/>
        <v>1.92</v>
      </c>
      <c r="EI46" s="256">
        <v>0.075</v>
      </c>
      <c r="EJ46" s="261">
        <f t="shared" si="50"/>
        <v>0.11461199610039907</v>
      </c>
      <c r="EK46" s="208">
        <f t="shared" si="23"/>
        <v>0.00990363822149789</v>
      </c>
      <c r="EL46" s="279">
        <v>33.17</v>
      </c>
      <c r="EM46" s="279">
        <v>26.8</v>
      </c>
      <c r="EN46" s="279">
        <f>AVERAGE(EL46:EM46)</f>
        <v>29.985</v>
      </c>
      <c r="EO46" s="278">
        <f t="shared" si="68"/>
        <v>0.7</v>
      </c>
      <c r="EP46" s="256">
        <v>0.0858</v>
      </c>
      <c r="EQ46" s="261">
        <f t="shared" si="51"/>
        <v>0.11272900080314097</v>
      </c>
      <c r="ER46" s="208">
        <f t="shared" si="24"/>
        <v>0.011435563484046063</v>
      </c>
      <c r="ES46" s="261"/>
      <c r="ET46" s="262">
        <v>1.1</v>
      </c>
      <c r="EU46" s="262">
        <v>0.9</v>
      </c>
      <c r="EW46" s="262">
        <v>0.925</v>
      </c>
      <c r="EX46" s="280">
        <v>1.2962342400000002</v>
      </c>
      <c r="EY46" s="262">
        <v>5.4</v>
      </c>
      <c r="EZ46" s="262">
        <v>0.45</v>
      </c>
      <c r="FA46" s="262">
        <v>0.7</v>
      </c>
      <c r="FB46" s="262">
        <v>1.7</v>
      </c>
      <c r="FC46" s="262">
        <v>0.6</v>
      </c>
      <c r="FD46" s="262">
        <v>0.365</v>
      </c>
      <c r="FE46" s="258">
        <v>1.3</v>
      </c>
      <c r="FF46" s="258">
        <v>1.6</v>
      </c>
      <c r="FG46" s="258">
        <v>1.1</v>
      </c>
      <c r="FH46" s="258">
        <v>0.25</v>
      </c>
      <c r="FI46" s="258">
        <v>0.35</v>
      </c>
      <c r="FJ46" s="258">
        <v>0.65</v>
      </c>
      <c r="FK46" s="258">
        <v>0.675</v>
      </c>
      <c r="FL46" s="258">
        <v>1.3</v>
      </c>
      <c r="FM46" s="281">
        <v>2.19829696</v>
      </c>
      <c r="FN46" s="281">
        <v>2.580736</v>
      </c>
      <c r="FO46" s="258">
        <f>SUM(ET46:FN46)</f>
        <v>25.4402672</v>
      </c>
      <c r="FP46" s="261">
        <f t="shared" si="25"/>
        <v>0.12262641772256129</v>
      </c>
    </row>
    <row r="47" spans="1:172" ht="12.75">
      <c r="A47" s="263">
        <v>37042</v>
      </c>
      <c r="B47" s="255">
        <v>24.25</v>
      </c>
      <c r="C47" s="255">
        <v>22.10000038</v>
      </c>
      <c r="D47" s="255">
        <f t="shared" si="26"/>
        <v>23.17500019</v>
      </c>
      <c r="E47" s="255">
        <v>1.08</v>
      </c>
      <c r="F47" s="256">
        <v>0.0659</v>
      </c>
      <c r="G47" s="261">
        <f t="shared" si="27"/>
        <v>0.11915711884855895</v>
      </c>
      <c r="H47" s="277">
        <f t="shared" si="0"/>
        <v>0.004936278139311653</v>
      </c>
      <c r="I47" s="255">
        <v>23.97999954</v>
      </c>
      <c r="J47" s="255">
        <v>22.45000076</v>
      </c>
      <c r="K47" s="258">
        <f t="shared" si="28"/>
        <v>23.21500015</v>
      </c>
      <c r="L47" s="259">
        <v>1.16</v>
      </c>
      <c r="M47" s="256">
        <v>0.0736</v>
      </c>
      <c r="N47" s="261">
        <f t="shared" si="29"/>
        <v>0.131192343461908</v>
      </c>
      <c r="O47" s="208">
        <f t="shared" si="1"/>
        <v>0.004446701151620802</v>
      </c>
      <c r="P47" s="260">
        <v>20.96999931</v>
      </c>
      <c r="Q47" s="260">
        <v>19</v>
      </c>
      <c r="R47" s="258">
        <f t="shared" si="30"/>
        <v>19.984999655</v>
      </c>
      <c r="S47" s="49">
        <v>0.96</v>
      </c>
      <c r="U47" s="261"/>
      <c r="V47" s="208"/>
      <c r="W47" s="255">
        <v>40.25</v>
      </c>
      <c r="X47" s="255">
        <v>31.70000076</v>
      </c>
      <c r="Y47" s="258">
        <f t="shared" si="31"/>
        <v>35.97500038</v>
      </c>
      <c r="Z47" s="258">
        <v>0.68</v>
      </c>
      <c r="AA47" s="256">
        <v>0.11</v>
      </c>
      <c r="AB47" s="261">
        <f t="shared" si="32"/>
        <v>0.13225084661770414</v>
      </c>
      <c r="AC47" s="208">
        <f t="shared" si="4"/>
        <v>0.004607094677483407</v>
      </c>
      <c r="AD47" s="123">
        <f>80.99/2</f>
        <v>40.495</v>
      </c>
      <c r="AE47" s="123">
        <v>38.04</v>
      </c>
      <c r="AF47" s="258">
        <f t="shared" si="5"/>
        <v>39.2675</v>
      </c>
      <c r="AG47" s="123">
        <v>0.64</v>
      </c>
      <c r="AH47" s="256">
        <v>0.1234</v>
      </c>
      <c r="AI47" s="261">
        <f t="shared" si="33"/>
        <v>0.1427977166879335</v>
      </c>
      <c r="AJ47" s="208">
        <f t="shared" si="6"/>
        <v>0.013022939906891587</v>
      </c>
      <c r="AK47" s="255">
        <v>40.5</v>
      </c>
      <c r="AL47" s="255">
        <v>37.84999847</v>
      </c>
      <c r="AM47" s="258">
        <f t="shared" si="34"/>
        <v>39.174999235</v>
      </c>
      <c r="AN47" s="258">
        <v>1.78</v>
      </c>
      <c r="AO47" s="256">
        <v>0.1107</v>
      </c>
      <c r="AP47" s="261">
        <f t="shared" si="54"/>
        <v>0.16478361348702997</v>
      </c>
      <c r="AQ47" s="208">
        <f t="shared" si="52"/>
        <v>0.03351156620235694</v>
      </c>
      <c r="AR47" s="260">
        <v>25.29999924</v>
      </c>
      <c r="AS47" s="260">
        <v>23.10000038</v>
      </c>
      <c r="AT47" s="258">
        <f t="shared" si="35"/>
        <v>24.19999981</v>
      </c>
      <c r="AU47" s="258">
        <v>1.34</v>
      </c>
      <c r="AV47" s="261">
        <v>0.0333</v>
      </c>
      <c r="AW47" s="261">
        <f t="shared" si="67"/>
        <v>0.09485638183232625</v>
      </c>
      <c r="AX47" s="208">
        <f t="shared" si="66"/>
        <v>0.0016075556362588252</v>
      </c>
      <c r="AY47" s="255">
        <v>46</v>
      </c>
      <c r="AZ47" s="255">
        <v>42.52999878</v>
      </c>
      <c r="BA47" s="258">
        <f t="shared" si="36"/>
        <v>44.26499939</v>
      </c>
      <c r="BB47" s="255">
        <v>1.76</v>
      </c>
      <c r="BC47" s="256">
        <v>0.0683</v>
      </c>
      <c r="BD47" s="261">
        <f t="shared" si="37"/>
        <v>0.11371842318036607</v>
      </c>
      <c r="BE47" s="208">
        <f t="shared" si="7"/>
        <v>0.0029978908235128903</v>
      </c>
      <c r="BF47" s="255">
        <v>39.47000122</v>
      </c>
      <c r="BG47" s="255">
        <v>37.20000076</v>
      </c>
      <c r="BH47" s="258">
        <f t="shared" si="38"/>
        <v>38.33500099</v>
      </c>
      <c r="BI47" s="258">
        <v>1.76</v>
      </c>
      <c r="BJ47" s="256">
        <v>0.0594</v>
      </c>
      <c r="BK47" s="261">
        <f t="shared" si="39"/>
        <v>0.11153341294707997</v>
      </c>
      <c r="BL47" s="208">
        <f t="shared" si="8"/>
        <v>0.007140701139891745</v>
      </c>
      <c r="BM47" s="255">
        <v>24.25</v>
      </c>
      <c r="BN47" s="255">
        <v>21.64999962</v>
      </c>
      <c r="BO47" s="258">
        <f t="shared" si="40"/>
        <v>22.94999981</v>
      </c>
      <c r="BP47" s="258">
        <v>1.24</v>
      </c>
      <c r="BQ47" s="256">
        <v>0.0425</v>
      </c>
      <c r="BR47" s="261">
        <f t="shared" si="53"/>
        <v>0.10306795169252969</v>
      </c>
      <c r="BS47" s="208">
        <f t="shared" si="9"/>
        <v>0.0023289589793245875</v>
      </c>
      <c r="BT47" s="260">
        <v>22.92000008</v>
      </c>
      <c r="BU47" s="260">
        <v>20.62000084</v>
      </c>
      <c r="BV47" s="258">
        <f t="shared" si="41"/>
        <v>21.77000046</v>
      </c>
      <c r="BW47" s="49">
        <v>0.98</v>
      </c>
      <c r="BX47" s="256">
        <v>0.1095</v>
      </c>
      <c r="BY47" s="261">
        <f t="shared" si="10"/>
        <v>0.1602948087407532</v>
      </c>
      <c r="BZ47" s="208">
        <f t="shared" si="11"/>
        <v>0.002203430038618197</v>
      </c>
      <c r="CA47" s="255">
        <v>21.95000076</v>
      </c>
      <c r="CB47" s="255">
        <v>20.375</v>
      </c>
      <c r="CC47" s="258">
        <f t="shared" si="42"/>
        <v>21.16250038</v>
      </c>
      <c r="CD47" s="258">
        <v>0.62</v>
      </c>
      <c r="CE47" s="256">
        <v>0.116</v>
      </c>
      <c r="CF47" s="261">
        <f t="shared" si="69"/>
        <v>0.1508164518996491</v>
      </c>
      <c r="CG47" s="208">
        <f t="shared" si="12"/>
        <v>0.007383784538059059</v>
      </c>
      <c r="CH47" s="255">
        <v>41.15000153</v>
      </c>
      <c r="CI47" s="255">
        <v>38.45000076</v>
      </c>
      <c r="CJ47" s="258">
        <f t="shared" si="44"/>
        <v>39.800001144999996</v>
      </c>
      <c r="CK47" s="258">
        <v>2.04</v>
      </c>
      <c r="CL47" s="256">
        <v>0.0557</v>
      </c>
      <c r="CM47" s="261">
        <f t="shared" si="45"/>
        <v>0.11382205469224171</v>
      </c>
      <c r="CN47" s="208">
        <f t="shared" si="13"/>
        <v>0.0068585663979940205</v>
      </c>
      <c r="CO47" s="255">
        <v>36</v>
      </c>
      <c r="CP47" s="255">
        <v>34.00999832</v>
      </c>
      <c r="CQ47" s="258">
        <f t="shared" si="14"/>
        <v>35.00499916</v>
      </c>
      <c r="CR47" s="258">
        <v>1.54</v>
      </c>
      <c r="CS47" s="256">
        <v>0.0543</v>
      </c>
      <c r="CT47" s="261">
        <f t="shared" si="46"/>
        <v>0.10397819673467135</v>
      </c>
      <c r="CU47" s="208">
        <f t="shared" si="15"/>
        <v>0.0043074665153555085</v>
      </c>
      <c r="CV47" s="262">
        <v>15.19999981</v>
      </c>
      <c r="CW47" s="262">
        <v>14</v>
      </c>
      <c r="CX47" s="262">
        <f t="shared" si="16"/>
        <v>14.599999905</v>
      </c>
      <c r="CY47" s="262">
        <v>0.84</v>
      </c>
      <c r="CZ47" s="261">
        <v>0.0728</v>
      </c>
      <c r="DA47" s="261">
        <f t="shared" si="64"/>
        <v>0.13586724493382807</v>
      </c>
      <c r="DB47" s="208">
        <f t="shared" si="58"/>
        <v>0.0012792096334201986</v>
      </c>
      <c r="DC47" s="260">
        <v>31.54999924</v>
      </c>
      <c r="DD47" s="260">
        <v>29.95000076</v>
      </c>
      <c r="DE47" s="258">
        <f t="shared" si="17"/>
        <v>30.75</v>
      </c>
      <c r="DF47" s="258">
        <v>1.48</v>
      </c>
      <c r="DG47" s="261">
        <v>0.06</v>
      </c>
      <c r="DH47" s="261">
        <f t="shared" si="63"/>
        <v>0.11473196933760565</v>
      </c>
      <c r="DI47" s="208">
        <f t="shared" si="62"/>
        <v>0.0015123051675419083</v>
      </c>
      <c r="DJ47" s="255">
        <v>23.45000076</v>
      </c>
      <c r="DK47" s="255">
        <v>20.45999908</v>
      </c>
      <c r="DL47" s="258">
        <f t="shared" si="18"/>
        <v>21.95499992</v>
      </c>
      <c r="DM47" s="258">
        <v>0.82</v>
      </c>
      <c r="DN47" s="256">
        <v>0.0467</v>
      </c>
      <c r="DO47" s="261">
        <f t="shared" si="47"/>
        <v>0.0884615464204539</v>
      </c>
      <c r="DP47" s="208">
        <f t="shared" si="19"/>
        <v>0.0021654832428585364</v>
      </c>
      <c r="DQ47" s="255">
        <v>27.89999962</v>
      </c>
      <c r="DR47" s="255">
        <v>25.5</v>
      </c>
      <c r="DS47" s="258">
        <f t="shared" si="20"/>
        <v>26.69999981</v>
      </c>
      <c r="DT47" s="258">
        <v>1.55</v>
      </c>
      <c r="DU47" s="256">
        <v>0.07</v>
      </c>
      <c r="DV47" s="261">
        <f t="shared" si="70"/>
        <v>0.13689902656097686</v>
      </c>
      <c r="DW47" s="208">
        <f t="shared" si="56"/>
        <v>0.0034800948153724436</v>
      </c>
      <c r="DX47" s="255">
        <v>29.39999962</v>
      </c>
      <c r="DY47" s="255">
        <v>27.89999962</v>
      </c>
      <c r="DZ47" s="258">
        <f t="shared" si="21"/>
        <v>28.64999962</v>
      </c>
      <c r="EA47" s="258">
        <v>1.26</v>
      </c>
      <c r="EB47" s="256">
        <v>0.0443</v>
      </c>
      <c r="EC47" s="261">
        <f t="shared" si="48"/>
        <v>0.09349032159541437</v>
      </c>
      <c r="ED47" s="208">
        <f t="shared" si="22"/>
        <v>0.004577169018096995</v>
      </c>
      <c r="EE47" s="123">
        <v>57.97</v>
      </c>
      <c r="EF47" s="123">
        <v>53.07</v>
      </c>
      <c r="EG47" s="258">
        <f>AVERAGE(EE47:EF47)</f>
        <v>55.519999999999996</v>
      </c>
      <c r="EH47" s="278">
        <f t="shared" si="65"/>
        <v>1.92</v>
      </c>
      <c r="EI47" s="256">
        <v>0.0851</v>
      </c>
      <c r="EJ47" s="261">
        <f t="shared" si="50"/>
        <v>0.1251425639720838</v>
      </c>
      <c r="EK47" s="208">
        <f t="shared" si="23"/>
        <v>0.010659560215590079</v>
      </c>
      <c r="EL47" s="279">
        <v>33.75</v>
      </c>
      <c r="EM47" s="279">
        <v>30.05</v>
      </c>
      <c r="EN47" s="279">
        <f>AVERAGE(EL47:EM47)</f>
        <v>31.9</v>
      </c>
      <c r="EO47" s="278">
        <f t="shared" si="68"/>
        <v>0.7</v>
      </c>
      <c r="EP47" s="256">
        <v>0.0927</v>
      </c>
      <c r="EQ47" s="261">
        <f t="shared" si="51"/>
        <v>0.1181591972294338</v>
      </c>
      <c r="ER47" s="208">
        <f t="shared" si="24"/>
        <v>0.011145380447072145</v>
      </c>
      <c r="ES47" s="261"/>
      <c r="ET47" s="262">
        <v>1.1</v>
      </c>
      <c r="EU47" s="262">
        <v>0.9</v>
      </c>
      <c r="EW47" s="262">
        <v>0.925</v>
      </c>
      <c r="EX47" s="280">
        <v>2.4215912000000004</v>
      </c>
      <c r="EY47" s="262">
        <v>5.4</v>
      </c>
      <c r="EZ47" s="262">
        <v>0.45</v>
      </c>
      <c r="FA47" s="262">
        <v>0.7</v>
      </c>
      <c r="FB47" s="262">
        <v>1.7</v>
      </c>
      <c r="FC47" s="262">
        <v>0.6</v>
      </c>
      <c r="FD47" s="262">
        <v>0.365</v>
      </c>
      <c r="FE47" s="258">
        <v>1.3</v>
      </c>
      <c r="FF47" s="258">
        <v>1.6</v>
      </c>
      <c r="FG47" s="258">
        <v>1.1</v>
      </c>
      <c r="FH47" s="258">
        <v>0.25</v>
      </c>
      <c r="FI47" s="258">
        <v>0.35</v>
      </c>
      <c r="FJ47" s="258">
        <v>0.65</v>
      </c>
      <c r="FK47" s="258">
        <v>0.675</v>
      </c>
      <c r="FL47" s="258">
        <v>1.3</v>
      </c>
      <c r="FM47" s="281">
        <v>2.26176404</v>
      </c>
      <c r="FN47" s="281">
        <v>2.5046117999999997</v>
      </c>
      <c r="FO47" s="258">
        <f>SUM(ET47:FN47)</f>
        <v>26.552967040000002</v>
      </c>
      <c r="FP47" s="261">
        <f t="shared" si="25"/>
        <v>0.13017213668663152</v>
      </c>
    </row>
    <row r="48" spans="1:172" ht="12.75">
      <c r="A48" s="263">
        <v>37071</v>
      </c>
      <c r="B48" s="255">
        <v>24.09000015</v>
      </c>
      <c r="C48" s="255">
        <v>22.5</v>
      </c>
      <c r="D48" s="255">
        <f t="shared" si="26"/>
        <v>23.295000075</v>
      </c>
      <c r="E48" s="255">
        <v>1.08</v>
      </c>
      <c r="F48" s="256">
        <v>0.0659</v>
      </c>
      <c r="G48" s="261">
        <f t="shared" si="27"/>
        <v>0.11887776460471144</v>
      </c>
      <c r="H48" s="277">
        <f t="shared" si="0"/>
        <v>0.0051085266640286025</v>
      </c>
      <c r="I48" s="255">
        <v>24</v>
      </c>
      <c r="J48" s="255">
        <v>22.48999977</v>
      </c>
      <c r="K48" s="258">
        <f t="shared" si="28"/>
        <v>23.244999885</v>
      </c>
      <c r="L48" s="259">
        <v>1.16</v>
      </c>
      <c r="M48" s="256">
        <v>0.0736</v>
      </c>
      <c r="N48" s="261">
        <f t="shared" si="29"/>
        <v>0.13111655455911064</v>
      </c>
      <c r="O48" s="208">
        <f t="shared" si="1"/>
        <v>0.004610015518187679</v>
      </c>
      <c r="P48" s="260">
        <v>20.5</v>
      </c>
      <c r="Q48" s="260">
        <v>19.04999924</v>
      </c>
      <c r="R48" s="258">
        <f t="shared" si="30"/>
        <v>19.77499962</v>
      </c>
      <c r="S48" s="49">
        <v>0.96</v>
      </c>
      <c r="U48" s="261"/>
      <c r="V48" s="208"/>
      <c r="W48" s="255">
        <v>34.79999924</v>
      </c>
      <c r="X48" s="255">
        <v>28.79999924</v>
      </c>
      <c r="Y48" s="258">
        <f t="shared" si="31"/>
        <v>31.79999924</v>
      </c>
      <c r="Z48" s="258">
        <v>0.68</v>
      </c>
      <c r="AA48" s="256">
        <v>0.11</v>
      </c>
      <c r="AB48" s="261">
        <f t="shared" si="32"/>
        <v>0.13519679428109121</v>
      </c>
      <c r="AC48" s="208">
        <f t="shared" si="4"/>
        <v>0.004885516406971334</v>
      </c>
      <c r="AD48" s="123">
        <f>75.75/2</f>
        <v>37.875</v>
      </c>
      <c r="AE48" s="123">
        <v>31.8</v>
      </c>
      <c r="AF48" s="258">
        <f t="shared" si="5"/>
        <v>34.8375</v>
      </c>
      <c r="AG48" s="123">
        <v>0.64</v>
      </c>
      <c r="AH48" s="256">
        <v>0.1175</v>
      </c>
      <c r="AI48" s="261">
        <f t="shared" si="33"/>
        <v>0.1392673230726964</v>
      </c>
      <c r="AJ48" s="208">
        <f t="shared" si="6"/>
        <v>0.011829138865106007</v>
      </c>
      <c r="AK48" s="255">
        <v>40.04999924</v>
      </c>
      <c r="AL48" s="255">
        <v>36.36999893</v>
      </c>
      <c r="AM48" s="258">
        <f t="shared" si="34"/>
        <v>38.209999085</v>
      </c>
      <c r="AN48" s="258">
        <v>1.78</v>
      </c>
      <c r="AO48" s="256">
        <v>0.1107</v>
      </c>
      <c r="AP48" s="261">
        <f t="shared" si="54"/>
        <v>0.16617457552995174</v>
      </c>
      <c r="AQ48" s="208">
        <f t="shared" si="52"/>
        <v>0.03505586496673685</v>
      </c>
      <c r="AR48" s="260">
        <v>25.29999924</v>
      </c>
      <c r="AS48" s="260">
        <v>23.57999992</v>
      </c>
      <c r="AT48" s="258">
        <f t="shared" si="35"/>
        <v>24.43999958</v>
      </c>
      <c r="AU48" s="258">
        <v>1.34</v>
      </c>
      <c r="AV48" s="261">
        <v>0.0333</v>
      </c>
      <c r="AW48" s="261">
        <f t="shared" si="67"/>
        <v>0.09423885183838432</v>
      </c>
      <c r="AX48" s="208">
        <f t="shared" si="66"/>
        <v>0.0016567037276566153</v>
      </c>
      <c r="AY48" s="255">
        <v>45.95999908</v>
      </c>
      <c r="AZ48" s="255">
        <v>42.27000046</v>
      </c>
      <c r="BA48" s="258">
        <f t="shared" si="36"/>
        <v>44.11499977</v>
      </c>
      <c r="BB48" s="255">
        <v>1.76</v>
      </c>
      <c r="BC48" s="256">
        <v>0.0683</v>
      </c>
      <c r="BD48" s="261">
        <f t="shared" si="37"/>
        <v>0.1138752824808471</v>
      </c>
      <c r="BE48" s="208">
        <f t="shared" si="7"/>
        <v>0.003114080655591473</v>
      </c>
      <c r="BF48" s="255">
        <v>39.20000076</v>
      </c>
      <c r="BG48" s="255">
        <v>37.97999954</v>
      </c>
      <c r="BH48" s="258">
        <f t="shared" si="38"/>
        <v>38.59000015</v>
      </c>
      <c r="BI48" s="258">
        <v>1.76</v>
      </c>
      <c r="BJ48" s="256">
        <v>0.0594</v>
      </c>
      <c r="BK48" s="261">
        <f t="shared" si="39"/>
        <v>0.11118273129065637</v>
      </c>
      <c r="BL48" s="208">
        <f t="shared" si="8"/>
        <v>0.007383947656829806</v>
      </c>
      <c r="BM48" s="255">
        <v>25</v>
      </c>
      <c r="BN48" s="255">
        <v>23.89999962</v>
      </c>
      <c r="BO48" s="258">
        <f t="shared" si="40"/>
        <v>24.44999981</v>
      </c>
      <c r="BP48" s="258">
        <v>1.24</v>
      </c>
      <c r="BQ48" s="256">
        <v>0.0425</v>
      </c>
      <c r="BR48" s="261">
        <f t="shared" si="53"/>
        <v>0.09927796068203998</v>
      </c>
      <c r="BS48" s="208">
        <f t="shared" si="9"/>
        <v>0.0023270539248949934</v>
      </c>
      <c r="BT48" s="260">
        <v>22.39999962</v>
      </c>
      <c r="BU48" s="260">
        <v>20.60000038</v>
      </c>
      <c r="BV48" s="258">
        <f t="shared" si="41"/>
        <v>21.5</v>
      </c>
      <c r="BW48" s="49">
        <v>0.98</v>
      </c>
      <c r="BX48" s="256">
        <v>0.1095</v>
      </c>
      <c r="BY48" s="261">
        <f t="shared" si="10"/>
        <v>0.16094358180807644</v>
      </c>
      <c r="BZ48" s="208">
        <f t="shared" si="11"/>
        <v>0.0022949270038294155</v>
      </c>
      <c r="CA48" s="255">
        <v>21.79999924</v>
      </c>
      <c r="CB48" s="255">
        <v>19.01000023</v>
      </c>
      <c r="CC48" s="258">
        <f t="shared" si="42"/>
        <v>20.404999734999997</v>
      </c>
      <c r="CD48" s="258">
        <v>0.62</v>
      </c>
      <c r="CE48" s="256">
        <v>0.116</v>
      </c>
      <c r="CF48" s="261">
        <f t="shared" si="69"/>
        <v>0.15212443801328646</v>
      </c>
      <c r="CG48" s="208">
        <f t="shared" si="12"/>
        <v>0.007725821833215396</v>
      </c>
      <c r="CH48" s="255">
        <v>42.29999924</v>
      </c>
      <c r="CI48" s="255">
        <v>38.65000153</v>
      </c>
      <c r="CJ48" s="258">
        <f t="shared" si="44"/>
        <v>40.475000385</v>
      </c>
      <c r="CK48" s="258">
        <v>2.04</v>
      </c>
      <c r="CL48" s="256">
        <v>0.0557</v>
      </c>
      <c r="CM48" s="261">
        <f t="shared" si="45"/>
        <v>0.11283351912914452</v>
      </c>
      <c r="CN48" s="208">
        <f t="shared" si="13"/>
        <v>0.007052782087661359</v>
      </c>
      <c r="CO48" s="255">
        <v>35.90000153</v>
      </c>
      <c r="CP48" s="255">
        <v>33.56000137</v>
      </c>
      <c r="CQ48" s="258">
        <f t="shared" si="14"/>
        <v>34.73000145</v>
      </c>
      <c r="CR48" s="258">
        <v>1.54</v>
      </c>
      <c r="CS48" s="256">
        <v>0.0543</v>
      </c>
      <c r="CT48" s="261">
        <f t="shared" si="46"/>
        <v>0.10437842870602498</v>
      </c>
      <c r="CU48" s="208">
        <f t="shared" si="15"/>
        <v>0.004485447618965441</v>
      </c>
      <c r="CV48" s="262">
        <v>14.97999954</v>
      </c>
      <c r="CW48" s="262">
        <v>13.60999966</v>
      </c>
      <c r="CX48" s="262">
        <f t="shared" si="16"/>
        <v>14.2949996</v>
      </c>
      <c r="CY48" s="262">
        <v>0.84</v>
      </c>
      <c r="CZ48" s="261">
        <v>0.0728</v>
      </c>
      <c r="DA48" s="261">
        <f t="shared" si="64"/>
        <v>0.1372424422416596</v>
      </c>
      <c r="DB48" s="208">
        <f t="shared" si="58"/>
        <v>0.0013403888171090183</v>
      </c>
      <c r="DC48" s="260">
        <v>31.12000084</v>
      </c>
      <c r="DD48" s="260">
        <v>29.95000076</v>
      </c>
      <c r="DE48" s="258">
        <f t="shared" si="17"/>
        <v>30.5350008</v>
      </c>
      <c r="DF48" s="258">
        <v>1.48</v>
      </c>
      <c r="DG48" s="261">
        <v>0.06</v>
      </c>
      <c r="DH48" s="261">
        <f t="shared" si="63"/>
        <v>0.11512469888399246</v>
      </c>
      <c r="DI48" s="208">
        <f t="shared" si="62"/>
        <v>0.0015741238571053918</v>
      </c>
      <c r="DJ48" s="255">
        <v>24.67000008</v>
      </c>
      <c r="DK48" s="255">
        <v>23.07999992</v>
      </c>
      <c r="DL48" s="258">
        <f t="shared" si="18"/>
        <v>23.875</v>
      </c>
      <c r="DM48" s="258">
        <v>0.82</v>
      </c>
      <c r="DN48" s="256">
        <v>0.0467</v>
      </c>
      <c r="DO48" s="261">
        <f t="shared" si="47"/>
        <v>0.08505769873970936</v>
      </c>
      <c r="DP48" s="208">
        <f t="shared" si="19"/>
        <v>0.0021598785658255315</v>
      </c>
      <c r="DQ48" s="255">
        <v>27.26000023</v>
      </c>
      <c r="DR48" s="255">
        <v>25.42000008</v>
      </c>
      <c r="DS48" s="258">
        <f t="shared" si="20"/>
        <v>26.340000155</v>
      </c>
      <c r="DT48" s="258">
        <v>1.55</v>
      </c>
      <c r="DU48" s="256">
        <v>0.07</v>
      </c>
      <c r="DV48" s="261">
        <f t="shared" si="70"/>
        <v>0.13783454958675168</v>
      </c>
      <c r="DW48" s="208">
        <f t="shared" si="56"/>
        <v>0.0036346635328047263</v>
      </c>
      <c r="DX48" s="255">
        <v>28.64999962</v>
      </c>
      <c r="DY48" s="255">
        <v>26</v>
      </c>
      <c r="DZ48" s="258">
        <f t="shared" si="21"/>
        <v>27.32499981</v>
      </c>
      <c r="EA48" s="258">
        <v>1.26</v>
      </c>
      <c r="EB48" s="256">
        <v>0.0443</v>
      </c>
      <c r="EC48" s="261">
        <f t="shared" si="48"/>
        <v>0.0959189265949214</v>
      </c>
      <c r="ED48" s="208">
        <f t="shared" si="22"/>
        <v>0.004871357600288427</v>
      </c>
      <c r="EE48" s="123">
        <v>57.94</v>
      </c>
      <c r="EF48" s="123">
        <v>51.79</v>
      </c>
      <c r="EG48" s="258">
        <f>AVERAGE(EE48:EF48)</f>
        <v>54.864999999999995</v>
      </c>
      <c r="EH48" s="282">
        <f>0.505*4</f>
        <v>2.02</v>
      </c>
      <c r="EI48" s="256">
        <v>0.0851</v>
      </c>
      <c r="EJ48" s="261">
        <f t="shared" si="50"/>
        <v>0.12776863232340374</v>
      </c>
      <c r="EK48" s="208">
        <f t="shared" si="23"/>
        <v>0.010268369489611465</v>
      </c>
      <c r="EL48" s="279">
        <v>31.34</v>
      </c>
      <c r="EM48" s="279">
        <v>24</v>
      </c>
      <c r="EN48" s="279">
        <f>AVERAGE(EL48:EM48)</f>
        <v>27.67</v>
      </c>
      <c r="EO48" s="278">
        <f t="shared" si="68"/>
        <v>0.7</v>
      </c>
      <c r="EP48" s="256">
        <v>0.0856</v>
      </c>
      <c r="EQ48" s="261">
        <f t="shared" si="51"/>
        <v>0.1147991092277354</v>
      </c>
      <c r="ER48" s="208">
        <f t="shared" si="24"/>
        <v>0.008974501904929181</v>
      </c>
      <c r="ES48" s="261"/>
      <c r="ET48" s="262">
        <v>1.1</v>
      </c>
      <c r="EU48" s="262">
        <v>0.9</v>
      </c>
      <c r="EW48" s="262">
        <v>0.925</v>
      </c>
      <c r="EX48" s="280">
        <v>2.1742103200000003</v>
      </c>
      <c r="EY48" s="262">
        <v>5.4</v>
      </c>
      <c r="EZ48" s="262">
        <v>0.45</v>
      </c>
      <c r="FA48" s="262">
        <v>0.7</v>
      </c>
      <c r="FB48" s="262">
        <v>1.7</v>
      </c>
      <c r="FC48" s="262">
        <v>0.6</v>
      </c>
      <c r="FD48" s="262">
        <v>0.365</v>
      </c>
      <c r="FE48" s="258">
        <v>1.3</v>
      </c>
      <c r="FF48" s="258">
        <v>1.6</v>
      </c>
      <c r="FG48" s="258">
        <v>1.1</v>
      </c>
      <c r="FH48" s="258">
        <v>0.25</v>
      </c>
      <c r="FI48" s="258">
        <v>0.35</v>
      </c>
      <c r="FJ48" s="258">
        <v>0.65</v>
      </c>
      <c r="FK48" s="258">
        <v>0.675</v>
      </c>
      <c r="FL48" s="258">
        <v>1.3</v>
      </c>
      <c r="FM48" s="281">
        <v>2.05719231</v>
      </c>
      <c r="FN48" s="281">
        <v>2.0011032</v>
      </c>
      <c r="FO48" s="258">
        <f>SUM(ET48:FN48)</f>
        <v>25.597505830000003</v>
      </c>
      <c r="FP48" s="261">
        <f t="shared" si="25"/>
        <v>0.13035311069734867</v>
      </c>
    </row>
    <row r="49" spans="1:172" ht="12.75">
      <c r="A49" s="263">
        <v>37073</v>
      </c>
      <c r="B49" s="255">
        <v>24.21999931</v>
      </c>
      <c r="C49" s="255">
        <v>22.18000031</v>
      </c>
      <c r="D49" s="255">
        <f t="shared" si="26"/>
        <v>23.19999981</v>
      </c>
      <c r="E49" s="255">
        <v>1.08</v>
      </c>
      <c r="F49" s="256">
        <v>0.0716</v>
      </c>
      <c r="G49" s="261">
        <f t="shared" si="27"/>
        <v>0.12508316314938095</v>
      </c>
      <c r="H49" s="277">
        <f t="shared" si="0"/>
        <v>0.006161272861565702</v>
      </c>
      <c r="I49" s="255">
        <v>24.54999924</v>
      </c>
      <c r="J49" s="255">
        <v>19.60000038</v>
      </c>
      <c r="K49" s="258">
        <f t="shared" si="28"/>
        <v>22.07499981</v>
      </c>
      <c r="L49" s="259">
        <f>0.29*4</f>
        <v>1.16</v>
      </c>
      <c r="M49" s="77">
        <v>0.08</v>
      </c>
      <c r="N49" s="261">
        <f t="shared" si="29"/>
        <v>0.1409895376490926</v>
      </c>
      <c r="O49" s="208">
        <f t="shared" si="1"/>
        <v>0.005208584773983325</v>
      </c>
      <c r="P49" s="260">
        <v>21.29999924</v>
      </c>
      <c r="Q49" s="260">
        <v>19.10000038</v>
      </c>
      <c r="R49" s="258"/>
      <c r="U49" s="261"/>
      <c r="V49" s="283"/>
      <c r="W49" s="255">
        <v>28.20999908</v>
      </c>
      <c r="X49" s="255">
        <v>23.95000076</v>
      </c>
      <c r="Y49" s="258">
        <f t="shared" si="31"/>
        <v>26.07999992</v>
      </c>
      <c r="Z49" s="258">
        <v>0.68</v>
      </c>
      <c r="AA49" s="77">
        <v>0.11</v>
      </c>
      <c r="AB49" s="261">
        <f t="shared" si="32"/>
        <v>0.14077995502008323</v>
      </c>
      <c r="AC49" s="208">
        <f t="shared" si="4"/>
        <v>0.004767438638054267</v>
      </c>
      <c r="AD49" s="123">
        <v>36.6</v>
      </c>
      <c r="AE49" s="123">
        <v>31.35</v>
      </c>
      <c r="AF49" s="258">
        <f t="shared" si="5"/>
        <v>33.975</v>
      </c>
      <c r="AG49" s="123">
        <v>0.64</v>
      </c>
      <c r="AH49" s="256">
        <v>0.1175</v>
      </c>
      <c r="AI49" s="261">
        <f t="shared" si="33"/>
        <v>0.1398240211285533</v>
      </c>
      <c r="AJ49" s="208">
        <f t="shared" si="6"/>
        <v>0.013430377161934072</v>
      </c>
      <c r="AK49" s="255">
        <v>37.20000076</v>
      </c>
      <c r="AL49" s="255">
        <v>29.10000038</v>
      </c>
      <c r="AM49" s="258">
        <f t="shared" si="34"/>
        <v>33.15000057</v>
      </c>
      <c r="AN49" s="258">
        <v>1.78</v>
      </c>
      <c r="AO49" s="256">
        <v>0.1139</v>
      </c>
      <c r="AP49" s="261">
        <f t="shared" si="54"/>
        <v>0.1782062476384363</v>
      </c>
      <c r="AQ49" s="208">
        <f t="shared" si="52"/>
        <v>0.032917419389956945</v>
      </c>
      <c r="AR49" s="260">
        <v>25.39999962</v>
      </c>
      <c r="AS49" s="260">
        <v>21.75</v>
      </c>
      <c r="AT49" s="258">
        <f>AVERAGE(AR49:AS49)</f>
        <v>23.57499981</v>
      </c>
      <c r="AU49" s="258">
        <v>1.34</v>
      </c>
      <c r="AV49" s="261">
        <v>0.0333</v>
      </c>
      <c r="AW49" s="261">
        <f t="shared" si="67"/>
        <v>0.09652484513179926</v>
      </c>
      <c r="AX49" s="208">
        <f t="shared" si="66"/>
        <v>0.0017829615127751422</v>
      </c>
      <c r="AY49" s="255">
        <v>45.33000183</v>
      </c>
      <c r="AZ49" s="255">
        <v>41</v>
      </c>
      <c r="BA49" s="258">
        <f t="shared" si="36"/>
        <v>43.165000915</v>
      </c>
      <c r="BB49" s="255">
        <v>1.76</v>
      </c>
      <c r="BC49" s="256">
        <v>0.0683</v>
      </c>
      <c r="BD49" s="261">
        <f t="shared" si="37"/>
        <v>0.11489444583498787</v>
      </c>
      <c r="BE49" s="208">
        <f t="shared" si="7"/>
        <v>0.0036550311159937996</v>
      </c>
      <c r="BF49" s="255">
        <v>39.40000153</v>
      </c>
      <c r="BG49" s="255">
        <v>34</v>
      </c>
      <c r="BH49" s="258">
        <f t="shared" si="38"/>
        <v>36.700000765</v>
      </c>
      <c r="BI49" s="258">
        <v>1.76</v>
      </c>
      <c r="BJ49" s="256">
        <v>0.0579</v>
      </c>
      <c r="BK49" s="261">
        <f t="shared" si="39"/>
        <v>0.11232270398426558</v>
      </c>
      <c r="BL49" s="208">
        <f t="shared" si="8"/>
        <v>0.008299088506853432</v>
      </c>
      <c r="BM49" s="255">
        <v>25.14999962</v>
      </c>
      <c r="BN49" s="255">
        <v>23.57999992</v>
      </c>
      <c r="BO49" s="258">
        <f t="shared" si="40"/>
        <v>24.364999769999997</v>
      </c>
      <c r="BP49" s="258">
        <v>1.24</v>
      </c>
      <c r="BQ49" s="256">
        <v>0.0424</v>
      </c>
      <c r="BR49" s="261">
        <f t="shared" si="53"/>
        <v>0.09937454156447112</v>
      </c>
      <c r="BS49" s="208">
        <f t="shared" si="9"/>
        <v>0.0025494441168833408</v>
      </c>
      <c r="BT49" s="260">
        <v>23.60000038</v>
      </c>
      <c r="BU49" s="260">
        <v>21.39999962</v>
      </c>
      <c r="BV49" s="258">
        <f>AVERAGE(BT49:BU49)</f>
        <v>22.5</v>
      </c>
      <c r="BW49" s="49">
        <v>0.98</v>
      </c>
      <c r="BX49" s="256">
        <v>0.1095</v>
      </c>
      <c r="BY49" s="261">
        <f t="shared" si="10"/>
        <v>0.158619940785796</v>
      </c>
      <c r="BZ49" s="208">
        <f t="shared" si="11"/>
        <v>0.001953301931011169</v>
      </c>
      <c r="CA49" s="255">
        <v>20.47999954</v>
      </c>
      <c r="CB49" s="255">
        <v>17.45000076</v>
      </c>
      <c r="CC49" s="258">
        <f t="shared" si="42"/>
        <v>18.96500015</v>
      </c>
      <c r="CD49" s="258">
        <v>0.62</v>
      </c>
      <c r="CE49" s="256">
        <v>0.116</v>
      </c>
      <c r="CF49" s="261">
        <f t="shared" si="69"/>
        <v>0.15490270481494806</v>
      </c>
      <c r="CG49" s="208">
        <f t="shared" si="12"/>
        <v>0.0060405008220323405</v>
      </c>
      <c r="CH49" s="255">
        <v>40.75</v>
      </c>
      <c r="CI49" s="255">
        <v>34.34999847</v>
      </c>
      <c r="CJ49" s="258">
        <f t="shared" si="44"/>
        <v>37.549999235</v>
      </c>
      <c r="CK49" s="258">
        <v>2.04</v>
      </c>
      <c r="CL49" s="256">
        <v>0.0543</v>
      </c>
      <c r="CM49" s="261">
        <f t="shared" si="45"/>
        <v>0.11589749744976108</v>
      </c>
      <c r="CN49" s="208">
        <f t="shared" si="13"/>
        <v>0.006660279202078593</v>
      </c>
      <c r="CO49" s="255">
        <v>35.79999924</v>
      </c>
      <c r="CP49" s="255">
        <v>32.15000153</v>
      </c>
      <c r="CQ49" s="258">
        <f t="shared" si="14"/>
        <v>33.975000385</v>
      </c>
      <c r="CR49" s="258">
        <v>1.54</v>
      </c>
      <c r="CS49" s="256">
        <v>0.0533</v>
      </c>
      <c r="CT49" s="261">
        <f t="shared" si="46"/>
        <v>0.10446258631131689</v>
      </c>
      <c r="CU49" s="208">
        <f t="shared" si="15"/>
        <v>0.004716760234230838</v>
      </c>
      <c r="CV49" s="262">
        <v>15.23999977</v>
      </c>
      <c r="CW49" s="262">
        <v>14.05000019</v>
      </c>
      <c r="CX49" s="262">
        <f t="shared" si="16"/>
        <v>14.644999980000001</v>
      </c>
      <c r="CY49" s="262">
        <v>0.84</v>
      </c>
      <c r="CZ49" s="261">
        <v>0.0728</v>
      </c>
      <c r="DA49" s="261">
        <f t="shared" si="64"/>
        <v>0.13566929868093802</v>
      </c>
      <c r="DB49" s="208">
        <f t="shared" si="58"/>
        <v>0.0014757670015424374</v>
      </c>
      <c r="DC49" s="260">
        <v>31.95000076</v>
      </c>
      <c r="DD49" s="260">
        <v>30.64999962</v>
      </c>
      <c r="DE49" s="258">
        <f t="shared" si="17"/>
        <v>31.30000019</v>
      </c>
      <c r="DF49" s="258">
        <v>1.48</v>
      </c>
      <c r="DG49" s="261">
        <v>0.06</v>
      </c>
      <c r="DH49" s="261">
        <f t="shared" si="63"/>
        <v>0.11375231554889709</v>
      </c>
      <c r="DI49" s="208">
        <f t="shared" si="62"/>
        <v>0.0017509826989431496</v>
      </c>
      <c r="DJ49" s="255">
        <v>24.23999977</v>
      </c>
      <c r="DK49" s="255">
        <v>22.75</v>
      </c>
      <c r="DL49" s="258">
        <f>AVERAGE(DJ49:DK49)</f>
        <v>23.494999885</v>
      </c>
      <c r="DM49" s="258">
        <v>0.82</v>
      </c>
      <c r="DN49" s="256">
        <v>0.0467</v>
      </c>
      <c r="DO49" s="261">
        <f t="shared" si="47"/>
        <v>0.08568661772264896</v>
      </c>
      <c r="DP49" s="208">
        <f t="shared" si="19"/>
        <v>0.002391730569322143</v>
      </c>
      <c r="DQ49" s="255">
        <v>27.29999924</v>
      </c>
      <c r="DR49" s="255">
        <v>25.29999924</v>
      </c>
      <c r="DS49" s="258">
        <f t="shared" si="20"/>
        <v>26.29999924</v>
      </c>
      <c r="DT49" s="258">
        <v>1.6</v>
      </c>
      <c r="DU49" s="256">
        <v>0.07</v>
      </c>
      <c r="DV49" s="261">
        <f t="shared" si="70"/>
        <v>0.14018424151029008</v>
      </c>
      <c r="DW49" s="208">
        <f t="shared" si="56"/>
        <v>0.004459552078156851</v>
      </c>
      <c r="DX49" s="255">
        <v>28.39999962</v>
      </c>
      <c r="DY49" s="255">
        <v>25.26000023</v>
      </c>
      <c r="DZ49" s="258">
        <f t="shared" si="21"/>
        <v>26.829999925</v>
      </c>
      <c r="EA49" s="258">
        <v>1.26</v>
      </c>
      <c r="EB49" s="256">
        <v>0.044</v>
      </c>
      <c r="EC49" s="261">
        <f t="shared" si="48"/>
        <v>0.09657378277324735</v>
      </c>
      <c r="ED49" s="208">
        <f t="shared" si="22"/>
        <v>0.005153389123586745</v>
      </c>
      <c r="EE49" s="123">
        <v>52.76</v>
      </c>
      <c r="EF49" s="123">
        <v>44.85</v>
      </c>
      <c r="EG49" s="258">
        <f>AVERAGE(EE49:EF49)</f>
        <v>48.805</v>
      </c>
      <c r="EH49" s="282">
        <f>0.505*4</f>
        <v>2.02</v>
      </c>
      <c r="EI49" s="256">
        <v>0.0851</v>
      </c>
      <c r="EJ49" s="261">
        <f t="shared" si="50"/>
        <v>0.13315318029887524</v>
      </c>
      <c r="EK49" s="208">
        <f t="shared" si="23"/>
        <v>0.010380976244948954</v>
      </c>
      <c r="EL49" s="279">
        <v>25.12</v>
      </c>
      <c r="EM49" s="279">
        <v>21.33</v>
      </c>
      <c r="EN49" s="279">
        <f>AVERAGE(EL49:EM49)</f>
        <v>23.225</v>
      </c>
      <c r="EO49" s="278">
        <f t="shared" si="68"/>
        <v>0.7</v>
      </c>
      <c r="EP49" s="256">
        <v>0.0929</v>
      </c>
      <c r="EQ49" s="261">
        <f t="shared" si="51"/>
        <v>0.127988325759675</v>
      </c>
      <c r="ER49" s="208">
        <f t="shared" si="24"/>
        <v>0.00999507377139265</v>
      </c>
      <c r="ES49" s="261"/>
      <c r="ET49" s="262">
        <v>1.2</v>
      </c>
      <c r="EU49" s="262">
        <v>0.9</v>
      </c>
      <c r="EW49" s="262">
        <v>0.825</v>
      </c>
      <c r="EX49" s="280">
        <v>2.3400012</v>
      </c>
      <c r="EY49" s="262">
        <v>4.5</v>
      </c>
      <c r="EZ49" s="262">
        <v>0.45</v>
      </c>
      <c r="FA49" s="262">
        <v>0.775</v>
      </c>
      <c r="FB49" s="262">
        <v>1.8</v>
      </c>
      <c r="FC49" s="262">
        <v>0.625</v>
      </c>
      <c r="FD49" s="262">
        <v>0.3</v>
      </c>
      <c r="FE49" s="258">
        <v>0.95</v>
      </c>
      <c r="FF49" s="258">
        <v>1.4</v>
      </c>
      <c r="FG49" s="258">
        <v>1.1</v>
      </c>
      <c r="FH49" s="258">
        <v>0.265</v>
      </c>
      <c r="FI49" s="258">
        <v>0.375</v>
      </c>
      <c r="FJ49" s="258">
        <v>0.68</v>
      </c>
      <c r="FK49" s="258">
        <v>0.775</v>
      </c>
      <c r="FL49" s="258">
        <v>1.3</v>
      </c>
      <c r="FM49" s="281">
        <v>1.899312</v>
      </c>
      <c r="FN49" s="281">
        <v>1.9025028</v>
      </c>
      <c r="FO49" s="258">
        <f>SUM(ET49:FN49)</f>
        <v>24.361816</v>
      </c>
      <c r="FP49" s="261">
        <f t="shared" si="25"/>
        <v>0.13374993175524588</v>
      </c>
    </row>
    <row r="50" spans="1:172" ht="12.75">
      <c r="A50" s="263">
        <v>37104</v>
      </c>
      <c r="B50" s="255">
        <v>24.5</v>
      </c>
      <c r="C50" s="255">
        <v>21.10000038</v>
      </c>
      <c r="D50" s="255">
        <f t="shared" si="26"/>
        <v>22.80000019</v>
      </c>
      <c r="E50" s="255">
        <v>1.08</v>
      </c>
      <c r="F50" s="256">
        <v>0.0716</v>
      </c>
      <c r="G50" s="261">
        <f t="shared" si="27"/>
        <v>0.12603897377322326</v>
      </c>
      <c r="H50" s="277">
        <f t="shared" si="0"/>
        <v>0.0063009921717953506</v>
      </c>
      <c r="I50" s="255">
        <v>22.84000015</v>
      </c>
      <c r="J50" s="255">
        <v>19.85000038</v>
      </c>
      <c r="K50" s="258">
        <f t="shared" si="28"/>
        <v>21.345000265000003</v>
      </c>
      <c r="L50" s="259">
        <f>0.29*4</f>
        <v>1.16</v>
      </c>
      <c r="M50" s="77">
        <v>0.075</v>
      </c>
      <c r="N50" s="261">
        <f t="shared" si="29"/>
        <v>0.13782781340591033</v>
      </c>
      <c r="O50" s="208">
        <f t="shared" si="1"/>
        <v>0.005167758515446666</v>
      </c>
      <c r="P50" s="260">
        <v>22</v>
      </c>
      <c r="Q50" s="260">
        <v>19.35000038</v>
      </c>
      <c r="R50" s="258"/>
      <c r="U50" s="261"/>
      <c r="V50" s="283"/>
      <c r="W50" s="255">
        <v>27.20000076</v>
      </c>
      <c r="X50" s="255">
        <v>24.70000076</v>
      </c>
      <c r="Y50" s="258">
        <f t="shared" si="31"/>
        <v>25.95000076</v>
      </c>
      <c r="Z50" s="258">
        <v>0.68</v>
      </c>
      <c r="AA50" s="77">
        <v>0.11</v>
      </c>
      <c r="AB50" s="261">
        <f t="shared" si="32"/>
        <v>0.14093574348149618</v>
      </c>
      <c r="AC50" s="208">
        <f t="shared" si="4"/>
        <v>0.004843930853289856</v>
      </c>
      <c r="AD50" s="123">
        <v>36.05</v>
      </c>
      <c r="AE50" s="123">
        <v>31.83</v>
      </c>
      <c r="AF50" s="258">
        <f t="shared" si="5"/>
        <v>33.94</v>
      </c>
      <c r="AG50" s="123">
        <v>0.64</v>
      </c>
      <c r="AH50" s="256">
        <v>0.105</v>
      </c>
      <c r="AI50" s="261">
        <f t="shared" si="33"/>
        <v>0.1270972447482317</v>
      </c>
      <c r="AJ50" s="208">
        <f t="shared" si="6"/>
        <v>0.010877703406754726</v>
      </c>
      <c r="AK50" s="255">
        <v>32.86000061</v>
      </c>
      <c r="AL50" s="255">
        <v>29.85000038</v>
      </c>
      <c r="AM50" s="258">
        <f t="shared" si="34"/>
        <v>31.355000495</v>
      </c>
      <c r="AN50" s="258">
        <v>1.78</v>
      </c>
      <c r="AO50" s="256">
        <v>0.1139</v>
      </c>
      <c r="AP50" s="261">
        <f t="shared" si="54"/>
        <v>0.18196997062136777</v>
      </c>
      <c r="AQ50" s="208">
        <f t="shared" si="52"/>
        <v>0.03411419081519825</v>
      </c>
      <c r="AR50" s="260">
        <v>25.35000038</v>
      </c>
      <c r="AS50" s="260">
        <v>21.95000076</v>
      </c>
      <c r="AT50" s="258">
        <f>AVERAGE(AR50:AS50)</f>
        <v>23.650000570000003</v>
      </c>
      <c r="AU50" s="258">
        <v>1.34</v>
      </c>
      <c r="AV50" s="261">
        <v>0.0333</v>
      </c>
      <c r="AW50" s="261">
        <f t="shared" si="67"/>
        <v>0.09631986865584419</v>
      </c>
      <c r="AX50" s="208">
        <f t="shared" si="66"/>
        <v>0.0018057234209579297</v>
      </c>
      <c r="AY50" s="255">
        <v>45.81000137</v>
      </c>
      <c r="AZ50" s="255">
        <v>42.84999847</v>
      </c>
      <c r="BA50" s="258">
        <f t="shared" si="36"/>
        <v>44.329999920000006</v>
      </c>
      <c r="BB50" s="255">
        <v>1.76</v>
      </c>
      <c r="BC50" s="256">
        <v>0.0638</v>
      </c>
      <c r="BD50" s="261">
        <f t="shared" si="37"/>
        <v>0.10895975376489364</v>
      </c>
      <c r="BE50" s="208">
        <f t="shared" si="7"/>
        <v>0.003517958007974255</v>
      </c>
      <c r="BF50" s="255">
        <v>39.22999954</v>
      </c>
      <c r="BG50" s="255">
        <v>36.70000076</v>
      </c>
      <c r="BH50" s="258">
        <f t="shared" si="38"/>
        <v>37.96500015</v>
      </c>
      <c r="BI50" s="258">
        <v>1.76</v>
      </c>
      <c r="BJ50" s="256">
        <v>0.0579</v>
      </c>
      <c r="BK50" s="261">
        <f t="shared" si="39"/>
        <v>0.11047622816680369</v>
      </c>
      <c r="BL50" s="208">
        <f t="shared" si="8"/>
        <v>0.008284459497040046</v>
      </c>
      <c r="BM50" s="255">
        <v>25.5</v>
      </c>
      <c r="BN50" s="255">
        <v>23.80999947</v>
      </c>
      <c r="BO50" s="258">
        <f t="shared" si="40"/>
        <v>24.654999735</v>
      </c>
      <c r="BP50" s="258">
        <v>1.24</v>
      </c>
      <c r="BQ50" s="256">
        <v>0.0455</v>
      </c>
      <c r="BR50" s="261">
        <f t="shared" si="53"/>
        <v>0.1019585205371143</v>
      </c>
      <c r="BS50" s="208">
        <f t="shared" si="9"/>
        <v>0.0026547668009920993</v>
      </c>
      <c r="BT50" s="260">
        <v>23.95000076</v>
      </c>
      <c r="BU50" s="260">
        <v>22.29999924</v>
      </c>
      <c r="BV50" s="258">
        <f>AVERAGE(BT50:BU50)</f>
        <v>23.125</v>
      </c>
      <c r="BW50" s="49">
        <v>0.98</v>
      </c>
      <c r="BX50" s="256">
        <v>0.1095</v>
      </c>
      <c r="BY50" s="261">
        <f t="shared" si="10"/>
        <v>0.1572713202945879</v>
      </c>
      <c r="BZ50" s="208">
        <f t="shared" si="11"/>
        <v>0.0019655931184569954</v>
      </c>
      <c r="CA50" s="255">
        <v>18.45000076</v>
      </c>
      <c r="CB50" s="255">
        <v>15.80000019</v>
      </c>
      <c r="CC50" s="258">
        <f t="shared" si="42"/>
        <v>17.125000475</v>
      </c>
      <c r="CD50" s="258">
        <v>0.62</v>
      </c>
      <c r="CE50" s="256">
        <v>0.116</v>
      </c>
      <c r="CF50" s="261">
        <f t="shared" si="69"/>
        <v>0.15914230079581992</v>
      </c>
      <c r="CG50" s="208">
        <f t="shared" si="12"/>
        <v>0.006298426612431327</v>
      </c>
      <c r="CH50" s="255">
        <v>39.90999985</v>
      </c>
      <c r="CI50" s="255">
        <v>36.56000137</v>
      </c>
      <c r="CJ50" s="258">
        <f t="shared" si="44"/>
        <v>38.23500061</v>
      </c>
      <c r="CK50" s="258">
        <v>2.04</v>
      </c>
      <c r="CL50" s="256">
        <v>0.0557</v>
      </c>
      <c r="CM50" s="261">
        <f t="shared" si="45"/>
        <v>0.11625106139974406</v>
      </c>
      <c r="CN50" s="208">
        <f t="shared" si="13"/>
        <v>0.006780282639829166</v>
      </c>
      <c r="CO50" s="255">
        <v>34.11000061</v>
      </c>
      <c r="CP50" s="255">
        <v>31.93000031</v>
      </c>
      <c r="CQ50" s="258">
        <f t="shared" si="14"/>
        <v>33.02000046</v>
      </c>
      <c r="CR50" s="258">
        <v>1.54</v>
      </c>
      <c r="CS50" s="256">
        <v>0.05</v>
      </c>
      <c r="CT50" s="261">
        <f t="shared" si="46"/>
        <v>0.10250448206685814</v>
      </c>
      <c r="CU50" s="208">
        <f t="shared" si="15"/>
        <v>0.004697409008470975</v>
      </c>
      <c r="CV50" s="262">
        <v>15.75</v>
      </c>
      <c r="CW50" s="262">
        <v>14.10000038</v>
      </c>
      <c r="CX50" s="262">
        <f t="shared" si="16"/>
        <v>14.92500019</v>
      </c>
      <c r="CY50" s="262">
        <v>0.84</v>
      </c>
      <c r="CZ50" s="261">
        <v>0.0714</v>
      </c>
      <c r="DA50" s="261">
        <f t="shared" si="64"/>
        <v>0.1329845397453473</v>
      </c>
      <c r="DB50" s="208">
        <f t="shared" si="58"/>
        <v>0.0014681480886910628</v>
      </c>
      <c r="DC50" s="260">
        <v>32.65000153</v>
      </c>
      <c r="DD50" s="260">
        <v>30.75</v>
      </c>
      <c r="DE50" s="258">
        <f t="shared" si="17"/>
        <v>31.700000765</v>
      </c>
      <c r="DF50" s="258">
        <v>1.48</v>
      </c>
      <c r="DG50" s="261">
        <v>0.0567</v>
      </c>
      <c r="DH50" s="261">
        <f t="shared" si="63"/>
        <v>0.10959638795956028</v>
      </c>
      <c r="DI50" s="208">
        <f t="shared" si="62"/>
        <v>0.001712183645256681</v>
      </c>
      <c r="DJ50" s="255">
        <v>24.39999962</v>
      </c>
      <c r="DK50" s="255">
        <v>22.52000046</v>
      </c>
      <c r="DL50" s="258">
        <f>AVERAGE(DJ50:DK50)</f>
        <v>23.460000039999997</v>
      </c>
      <c r="DM50" s="258">
        <v>0.82</v>
      </c>
      <c r="DN50" s="256">
        <v>0.0467</v>
      </c>
      <c r="DO50" s="261">
        <f t="shared" si="47"/>
        <v>0.08574558290920975</v>
      </c>
      <c r="DP50" s="208">
        <f t="shared" si="19"/>
        <v>0.0024290894365299387</v>
      </c>
      <c r="DQ50" s="255">
        <v>29.47999954</v>
      </c>
      <c r="DR50" s="255">
        <v>26.5</v>
      </c>
      <c r="DS50" s="258">
        <f t="shared" si="20"/>
        <v>27.98999977</v>
      </c>
      <c r="DT50" s="258">
        <v>1.6</v>
      </c>
      <c r="DU50" s="256">
        <v>0.065</v>
      </c>
      <c r="DV50" s="261">
        <f t="shared" si="70"/>
        <v>0.13054359213556999</v>
      </c>
      <c r="DW50" s="208">
        <f t="shared" si="56"/>
        <v>0.004214830333904634</v>
      </c>
      <c r="DX50" s="255">
        <v>28.10000038</v>
      </c>
      <c r="DY50" s="255">
        <v>26.60000038</v>
      </c>
      <c r="DZ50" s="258">
        <f t="shared" si="21"/>
        <v>27.35000038</v>
      </c>
      <c r="EA50" s="258">
        <v>1.26</v>
      </c>
      <c r="EB50" s="256">
        <v>0.044</v>
      </c>
      <c r="EC50" s="261">
        <f t="shared" si="48"/>
        <v>0.09555607059806404</v>
      </c>
      <c r="ED50" s="208">
        <f t="shared" si="22"/>
        <v>0.005175168211964025</v>
      </c>
      <c r="EE50" s="123">
        <v>50.3</v>
      </c>
      <c r="EF50" s="123">
        <v>46.94</v>
      </c>
      <c r="EG50" s="258">
        <f>AVERAGE(EE50:EF50)</f>
        <v>48.62</v>
      </c>
      <c r="EH50" s="282">
        <f>0.505*4</f>
        <v>2.02</v>
      </c>
      <c r="EI50" s="256">
        <v>0.0778</v>
      </c>
      <c r="EJ50" s="261">
        <f t="shared" si="50"/>
        <v>0.12571448919173345</v>
      </c>
      <c r="EK50" s="208">
        <f t="shared" si="23"/>
        <v>0.009932196929498337</v>
      </c>
      <c r="EL50" s="279">
        <v>24.4</v>
      </c>
      <c r="EM50" s="279">
        <v>22.35</v>
      </c>
      <c r="EN50" s="279">
        <f>AVERAGE(EL50:EM50)</f>
        <v>23.375</v>
      </c>
      <c r="EO50" s="278">
        <f t="shared" si="68"/>
        <v>0.7</v>
      </c>
      <c r="EP50" s="256">
        <v>0.1011</v>
      </c>
      <c r="EQ50" s="261">
        <f t="shared" si="51"/>
        <v>0.13622205943049792</v>
      </c>
      <c r="ER50" s="208">
        <f t="shared" si="24"/>
        <v>0.01040149444727426</v>
      </c>
      <c r="ES50" s="261"/>
      <c r="ET50" s="262">
        <v>1.2</v>
      </c>
      <c r="EU50" s="262">
        <v>0.9</v>
      </c>
      <c r="EW50" s="262">
        <v>0.825</v>
      </c>
      <c r="EX50" s="280">
        <v>2.054368</v>
      </c>
      <c r="EY50" s="262">
        <v>4.5</v>
      </c>
      <c r="EZ50" s="262">
        <v>0.45</v>
      </c>
      <c r="FA50" s="262">
        <v>0.775</v>
      </c>
      <c r="FB50" s="262">
        <v>1.8</v>
      </c>
      <c r="FC50" s="262">
        <v>0.625</v>
      </c>
      <c r="FD50" s="262">
        <v>0.3</v>
      </c>
      <c r="FE50" s="258">
        <v>0.95</v>
      </c>
      <c r="FF50" s="258">
        <v>1.4</v>
      </c>
      <c r="FG50" s="258">
        <v>1.1</v>
      </c>
      <c r="FH50" s="258">
        <v>0.265</v>
      </c>
      <c r="FI50" s="258">
        <v>0.375</v>
      </c>
      <c r="FJ50" s="258">
        <v>0.68</v>
      </c>
      <c r="FK50" s="258">
        <v>0.775</v>
      </c>
      <c r="FL50" s="258">
        <v>1.3</v>
      </c>
      <c r="FM50" s="281">
        <v>1.8964314600000003</v>
      </c>
      <c r="FN50" s="281">
        <v>1.83284384</v>
      </c>
      <c r="FO50" s="258">
        <f>SUM(ET50:FN50)</f>
        <v>24.0036433</v>
      </c>
      <c r="FP50" s="261">
        <f t="shared" si="25"/>
        <v>0.13264230596175655</v>
      </c>
    </row>
    <row r="51" spans="1:172" ht="12.75">
      <c r="A51" s="263">
        <v>37135</v>
      </c>
      <c r="B51" s="255">
        <v>22.04999924</v>
      </c>
      <c r="C51" s="255">
        <v>18.95000076</v>
      </c>
      <c r="D51" s="255">
        <f t="shared" si="26"/>
        <v>20.5</v>
      </c>
      <c r="E51" s="255">
        <v>1.08</v>
      </c>
      <c r="F51" s="256">
        <v>0.0659</v>
      </c>
      <c r="G51" s="261">
        <f t="shared" si="27"/>
        <v>0.1262508950309451</v>
      </c>
      <c r="H51" s="277">
        <f t="shared" si="0"/>
        <v>0.006740175155887307</v>
      </c>
      <c r="I51" s="255">
        <v>22.35000038</v>
      </c>
      <c r="J51" s="255">
        <v>20.65999985</v>
      </c>
      <c r="K51" s="258">
        <f t="shared" si="28"/>
        <v>21.505000115</v>
      </c>
      <c r="L51" s="259">
        <f>0.29*4</f>
        <v>1.16</v>
      </c>
      <c r="M51" s="77">
        <v>0.0633</v>
      </c>
      <c r="N51" s="261">
        <f t="shared" si="29"/>
        <v>0.12497183378637278</v>
      </c>
      <c r="O51" s="208">
        <f t="shared" si="1"/>
        <v>0.005003917293414784</v>
      </c>
      <c r="P51" s="260">
        <v>22.5</v>
      </c>
      <c r="Q51" s="260">
        <v>19.5</v>
      </c>
      <c r="R51" s="258"/>
      <c r="U51" s="261"/>
      <c r="V51" s="283"/>
      <c r="W51" s="255">
        <v>27.28000069</v>
      </c>
      <c r="X51" s="255">
        <v>21.5</v>
      </c>
      <c r="Y51" s="258">
        <f t="shared" si="31"/>
        <v>24.390000345</v>
      </c>
      <c r="Z51" s="258">
        <v>0.7</v>
      </c>
      <c r="AA51" s="77">
        <v>0.115</v>
      </c>
      <c r="AB51" s="261">
        <f t="shared" si="32"/>
        <v>0.14906861858742038</v>
      </c>
      <c r="AC51" s="208">
        <f t="shared" si="4"/>
        <v>0.005471364476302373</v>
      </c>
      <c r="AD51" s="123">
        <v>32.32</v>
      </c>
      <c r="AE51" s="123">
        <v>26</v>
      </c>
      <c r="AF51" s="258">
        <f t="shared" si="5"/>
        <v>29.16</v>
      </c>
      <c r="AG51" s="123">
        <v>0.64</v>
      </c>
      <c r="AH51" s="256">
        <v>0.1044</v>
      </c>
      <c r="AI51" s="261">
        <f t="shared" si="33"/>
        <v>0.1301368857261025</v>
      </c>
      <c r="AJ51" s="208">
        <f t="shared" si="6"/>
        <v>0.01115450080554683</v>
      </c>
      <c r="AK51" s="255">
        <v>33.40000153</v>
      </c>
      <c r="AL51" s="255">
        <v>31.5</v>
      </c>
      <c r="AM51" s="258">
        <f t="shared" si="34"/>
        <v>32.450000765</v>
      </c>
      <c r="AN51" s="258">
        <v>1.78</v>
      </c>
      <c r="AO51" s="256">
        <v>0.0838</v>
      </c>
      <c r="AP51" s="261">
        <f t="shared" si="54"/>
        <v>0.14774741990414175</v>
      </c>
      <c r="AQ51" s="208">
        <f t="shared" si="52"/>
        <v>0.02957929987566395</v>
      </c>
      <c r="AR51" s="260">
        <v>24.87000084</v>
      </c>
      <c r="AS51" s="260">
        <v>22.39999962</v>
      </c>
      <c r="AT51" s="258"/>
      <c r="AU51" s="258"/>
      <c r="AW51" s="261"/>
      <c r="AX51" s="208"/>
      <c r="AY51" s="255">
        <v>45.5</v>
      </c>
      <c r="AZ51" s="255">
        <v>42.24000168</v>
      </c>
      <c r="BA51" s="258">
        <f t="shared" si="36"/>
        <v>43.87000084</v>
      </c>
      <c r="BB51" s="255">
        <v>1.76</v>
      </c>
      <c r="BC51" s="256">
        <v>0.0638</v>
      </c>
      <c r="BD51" s="261">
        <f t="shared" si="37"/>
        <v>0.10944076266911784</v>
      </c>
      <c r="BE51" s="208">
        <f t="shared" si="7"/>
        <v>0.0037734298820038792</v>
      </c>
      <c r="BF51" s="255">
        <v>39.74000168</v>
      </c>
      <c r="BG51" s="255">
        <v>37</v>
      </c>
      <c r="BH51" s="258">
        <f t="shared" si="38"/>
        <v>38.37000084</v>
      </c>
      <c r="BI51" s="258">
        <v>1.76</v>
      </c>
      <c r="BJ51" s="256">
        <v>0.059</v>
      </c>
      <c r="BK51" s="261">
        <f t="shared" si="39"/>
        <v>0.11106533345743252</v>
      </c>
      <c r="BL51" s="208">
        <f t="shared" si="8"/>
        <v>0.008894192010282045</v>
      </c>
      <c r="BM51" s="255">
        <v>25.85000038</v>
      </c>
      <c r="BN51" s="255">
        <v>22.38999939</v>
      </c>
      <c r="BO51" s="258">
        <f t="shared" si="40"/>
        <v>24.119999885</v>
      </c>
      <c r="BP51" s="258">
        <v>1.24</v>
      </c>
      <c r="BQ51" s="256">
        <v>0.0464</v>
      </c>
      <c r="BR51" s="261">
        <f t="shared" si="53"/>
        <v>0.10418587528665957</v>
      </c>
      <c r="BS51" s="208">
        <f t="shared" si="9"/>
        <v>0.0028969722354468</v>
      </c>
      <c r="BT51" s="260">
        <v>22.70000076</v>
      </c>
      <c r="BU51" s="260">
        <v>20.07999992</v>
      </c>
      <c r="BV51" s="258"/>
      <c r="BY51" s="261"/>
      <c r="BZ51" s="208"/>
      <c r="CA51" s="255">
        <v>16.95000076</v>
      </c>
      <c r="CB51" s="255">
        <v>14.17000008</v>
      </c>
      <c r="CC51" s="258">
        <f t="shared" si="42"/>
        <v>15.560000420000001</v>
      </c>
      <c r="CD51" s="258">
        <v>0.62</v>
      </c>
      <c r="CE51" s="256">
        <v>0.1</v>
      </c>
      <c r="CF51" s="261">
        <f t="shared" si="69"/>
        <v>0.14686795165474642</v>
      </c>
      <c r="CG51" s="208">
        <f t="shared" si="12"/>
        <v>0.006207348290890045</v>
      </c>
      <c r="CH51" s="255">
        <v>39.97999954</v>
      </c>
      <c r="CI51" s="255">
        <v>36.81000137</v>
      </c>
      <c r="CJ51" s="258">
        <f t="shared" si="44"/>
        <v>38.395000455</v>
      </c>
      <c r="CK51" s="258">
        <v>2.04</v>
      </c>
      <c r="CL51" s="256">
        <v>0.0557</v>
      </c>
      <c r="CM51" s="261">
        <f t="shared" si="45"/>
        <v>0.11599345342620637</v>
      </c>
      <c r="CN51" s="208">
        <f t="shared" si="13"/>
        <v>0.007224652875874407</v>
      </c>
      <c r="CO51" s="255">
        <v>35.09999847</v>
      </c>
      <c r="CP51" s="255">
        <v>29.19000053</v>
      </c>
      <c r="CQ51" s="258">
        <f t="shared" si="14"/>
        <v>32.1449995</v>
      </c>
      <c r="CR51" s="258">
        <v>1.54</v>
      </c>
      <c r="CS51" s="256">
        <v>0.0475</v>
      </c>
      <c r="CT51" s="261">
        <f t="shared" si="46"/>
        <v>0.10133217651868942</v>
      </c>
      <c r="CU51" s="208">
        <f t="shared" si="15"/>
        <v>0.004959016200409475</v>
      </c>
      <c r="CV51" s="262">
        <v>14.69999981</v>
      </c>
      <c r="CW51" s="262">
        <v>13.89999962</v>
      </c>
      <c r="CX51" s="262">
        <f t="shared" si="16"/>
        <v>14.299999714999998</v>
      </c>
      <c r="CY51" s="262">
        <v>0.84</v>
      </c>
      <c r="CZ51" s="261">
        <v>0.0654</v>
      </c>
      <c r="DA51" s="261">
        <f t="shared" si="64"/>
        <v>0.1293750596435601</v>
      </c>
      <c r="DB51" s="208">
        <f t="shared" si="58"/>
        <v>0.001525288190931338</v>
      </c>
      <c r="DC51" s="260">
        <v>32.95999908</v>
      </c>
      <c r="DD51" s="260">
        <v>29.29999924</v>
      </c>
      <c r="DE51" s="258">
        <f t="shared" si="17"/>
        <v>31.12999916</v>
      </c>
      <c r="DF51" s="258">
        <v>1.48</v>
      </c>
      <c r="DG51" s="261">
        <v>0.0583</v>
      </c>
      <c r="DH51" s="261">
        <f t="shared" si="63"/>
        <v>0.1122646684390396</v>
      </c>
      <c r="DI51" s="208">
        <f t="shared" si="62"/>
        <v>0.0018729657543003738</v>
      </c>
      <c r="DJ51" s="255">
        <v>23.22999954</v>
      </c>
      <c r="DK51" s="255">
        <v>18.61000061</v>
      </c>
      <c r="DO51" s="261"/>
      <c r="DP51" s="208"/>
      <c r="DQ51" s="255">
        <v>29.10000038</v>
      </c>
      <c r="DR51" s="255">
        <v>25.12000084</v>
      </c>
      <c r="DS51" s="258">
        <f t="shared" si="20"/>
        <v>27.11000061</v>
      </c>
      <c r="DT51" s="258">
        <v>1.6</v>
      </c>
      <c r="DU51" s="256">
        <v>0.07</v>
      </c>
      <c r="DV51" s="261">
        <f t="shared" si="70"/>
        <v>0.1380385495446248</v>
      </c>
      <c r="DW51" s="208">
        <f t="shared" si="56"/>
        <v>0.004759458678983992</v>
      </c>
      <c r="DX51" s="255">
        <v>27.63999939</v>
      </c>
      <c r="DY51" s="255">
        <v>25.29999924</v>
      </c>
      <c r="DZ51" s="258">
        <f t="shared" si="21"/>
        <v>26.469999315</v>
      </c>
      <c r="EA51" s="258">
        <v>1.26</v>
      </c>
      <c r="EB51" s="256">
        <v>0.044</v>
      </c>
      <c r="EC51" s="261">
        <f t="shared" si="48"/>
        <v>0.09730221181018628</v>
      </c>
      <c r="ED51" s="208">
        <f t="shared" si="22"/>
        <v>0.00562757816253961</v>
      </c>
      <c r="EE51" s="123">
        <f>48.4/2</f>
        <v>24.2</v>
      </c>
      <c r="EF51" s="123">
        <v>21.96</v>
      </c>
      <c r="EG51" s="258">
        <f>AVERAGE(EE51:EF51)</f>
        <v>23.08</v>
      </c>
      <c r="EH51" s="278">
        <f>4*0.2524999976</f>
        <v>1.0099999904</v>
      </c>
      <c r="EI51" s="256">
        <v>0.08</v>
      </c>
      <c r="EJ51" s="261">
        <f t="shared" si="50"/>
        <v>0.13061513996542629</v>
      </c>
      <c r="EK51" s="208">
        <f t="shared" si="23"/>
        <v>0.010616743678337336</v>
      </c>
      <c r="EL51" s="279">
        <v>23.1</v>
      </c>
      <c r="EM51" s="279">
        <v>18.58</v>
      </c>
      <c r="EN51" s="279">
        <f>AVERAGE(EL51:EM51)</f>
        <v>20.84</v>
      </c>
      <c r="EO51" s="278">
        <f t="shared" si="68"/>
        <v>0.7</v>
      </c>
      <c r="EP51" s="256">
        <v>0.1038</v>
      </c>
      <c r="EQ51" s="261">
        <f t="shared" si="51"/>
        <v>0.14334768849389778</v>
      </c>
      <c r="ER51" s="208">
        <f t="shared" si="24"/>
        <v>0.010418768032230928</v>
      </c>
      <c r="ES51" s="261"/>
      <c r="ET51" s="262">
        <v>1.2</v>
      </c>
      <c r="EU51" s="262">
        <v>0.9</v>
      </c>
      <c r="EW51" s="262">
        <v>0.825</v>
      </c>
      <c r="EX51" s="280">
        <v>1.92661199</v>
      </c>
      <c r="EY51" s="262">
        <v>4.5</v>
      </c>
      <c r="FA51" s="262">
        <v>0.775</v>
      </c>
      <c r="FB51" s="262">
        <v>1.8</v>
      </c>
      <c r="FC51" s="262">
        <v>0.625</v>
      </c>
      <c r="FD51" s="262">
        <v>0.3</v>
      </c>
      <c r="FE51" s="258">
        <v>0.95</v>
      </c>
      <c r="FF51" s="258">
        <v>1.4</v>
      </c>
      <c r="FG51" s="258">
        <v>1.1</v>
      </c>
      <c r="FH51" s="258">
        <v>0.265</v>
      </c>
      <c r="FI51" s="258">
        <v>0.375</v>
      </c>
      <c r="FK51" s="258">
        <v>0.775</v>
      </c>
      <c r="FL51" s="258">
        <v>1.3</v>
      </c>
      <c r="FM51" s="281">
        <v>1.8270159600000002</v>
      </c>
      <c r="FN51" s="281">
        <v>1.63369208</v>
      </c>
      <c r="FO51" s="258">
        <f>SUM(ET51:FN51)</f>
        <v>22.47732003</v>
      </c>
      <c r="FP51" s="261">
        <f t="shared" si="25"/>
        <v>0.1267256715990455</v>
      </c>
    </row>
    <row r="52" spans="1:172" ht="12.75">
      <c r="A52" s="263">
        <v>37165</v>
      </c>
      <c r="B52" s="255">
        <v>21.48999977</v>
      </c>
      <c r="C52" s="255">
        <v>19.5</v>
      </c>
      <c r="D52" s="255">
        <f t="shared" si="26"/>
        <v>20.494999885</v>
      </c>
      <c r="E52" s="255">
        <v>1.08</v>
      </c>
      <c r="F52" s="77">
        <v>0.0675</v>
      </c>
      <c r="G52" s="261">
        <f t="shared" si="27"/>
        <v>0.1279565382512704</v>
      </c>
      <c r="H52" s="277">
        <f t="shared" si="0"/>
        <v>0.006811885602121656</v>
      </c>
      <c r="I52" s="255">
        <v>22.20999908</v>
      </c>
      <c r="J52" s="255">
        <v>20.29999924</v>
      </c>
      <c r="K52" s="258">
        <f t="shared" si="28"/>
        <v>21.254999159999997</v>
      </c>
      <c r="L52" s="259">
        <f>0.29*4</f>
        <v>1.16</v>
      </c>
      <c r="M52" s="77">
        <v>0.0633</v>
      </c>
      <c r="N52" s="261">
        <f t="shared" si="29"/>
        <v>0.12571280774012616</v>
      </c>
      <c r="O52" s="208">
        <f t="shared" si="1"/>
        <v>0.005019328887471395</v>
      </c>
      <c r="P52" s="260">
        <v>21.60000038</v>
      </c>
      <c r="Q52" s="260">
        <v>19.62000084</v>
      </c>
      <c r="R52" s="258"/>
      <c r="U52" s="261"/>
      <c r="V52" s="283"/>
      <c r="W52" s="255">
        <v>25.20000076</v>
      </c>
      <c r="X52" s="255">
        <v>21.5</v>
      </c>
      <c r="Y52" s="258">
        <f t="shared" si="31"/>
        <v>23.35000038</v>
      </c>
      <c r="Z52" s="258">
        <v>0.7</v>
      </c>
      <c r="AA52" s="77">
        <v>0.115</v>
      </c>
      <c r="AB52" s="261">
        <f t="shared" si="32"/>
        <v>0.15060395922010894</v>
      </c>
      <c r="AC52" s="208">
        <f t="shared" si="4"/>
        <v>0.005512060242289781</v>
      </c>
      <c r="AD52" s="123">
        <v>33.8</v>
      </c>
      <c r="AE52" s="123">
        <v>29.15</v>
      </c>
      <c r="AF52" s="258">
        <f t="shared" si="5"/>
        <v>31.474999999999998</v>
      </c>
      <c r="AG52" s="123">
        <v>0.64</v>
      </c>
      <c r="AH52" s="256">
        <v>0.1044</v>
      </c>
      <c r="AI52" s="261">
        <f t="shared" si="33"/>
        <v>0.12822875188718386</v>
      </c>
      <c r="AJ52" s="208">
        <f t="shared" si="6"/>
        <v>0.01201891263684592</v>
      </c>
      <c r="AK52" s="255">
        <v>35.34999847</v>
      </c>
      <c r="AL52" s="255">
        <v>31.86000061</v>
      </c>
      <c r="AM52" s="258">
        <f t="shared" si="34"/>
        <v>33.60499954</v>
      </c>
      <c r="AN52" s="258">
        <v>1.78</v>
      </c>
      <c r="AO52" s="256">
        <v>0.0838</v>
      </c>
      <c r="AP52" s="261">
        <f t="shared" si="54"/>
        <v>0.1455037305387532</v>
      </c>
      <c r="AQ52" s="208">
        <f t="shared" si="52"/>
        <v>0.02904760028261241</v>
      </c>
      <c r="AR52" s="260">
        <v>25.29999924</v>
      </c>
      <c r="AS52" s="260">
        <v>22.60000038</v>
      </c>
      <c r="AT52" s="258"/>
      <c r="AU52" s="258"/>
      <c r="AW52" s="261"/>
      <c r="AX52" s="208"/>
      <c r="AY52" s="255">
        <v>46.95000076</v>
      </c>
      <c r="AZ52" s="255">
        <v>43.45000076</v>
      </c>
      <c r="BA52" s="258">
        <f t="shared" si="36"/>
        <v>45.20000076</v>
      </c>
      <c r="BB52" s="255">
        <v>1.76</v>
      </c>
      <c r="BC52" s="256">
        <v>0.0638</v>
      </c>
      <c r="BD52" s="261">
        <f t="shared" si="37"/>
        <v>0.10807719274001837</v>
      </c>
      <c r="BE52" s="208">
        <f t="shared" si="7"/>
        <v>0.0037158602801377065</v>
      </c>
      <c r="BF52" s="255">
        <v>40.90000153</v>
      </c>
      <c r="BG52" s="255">
        <v>38.13999939</v>
      </c>
      <c r="BH52" s="258">
        <f t="shared" si="38"/>
        <v>39.52000046</v>
      </c>
      <c r="BI52" s="258">
        <v>1.76</v>
      </c>
      <c r="BJ52" s="256">
        <v>0.059</v>
      </c>
      <c r="BK52" s="261">
        <f t="shared" si="39"/>
        <v>0.10952370186924143</v>
      </c>
      <c r="BL52" s="208">
        <f t="shared" si="8"/>
        <v>0.008745894559789053</v>
      </c>
      <c r="BM52" s="255">
        <v>26</v>
      </c>
      <c r="BN52" s="255">
        <v>22</v>
      </c>
      <c r="BO52" s="258">
        <f t="shared" si="40"/>
        <v>24</v>
      </c>
      <c r="BP52" s="258">
        <v>1.24</v>
      </c>
      <c r="BQ52" s="256">
        <v>0.0464</v>
      </c>
      <c r="BR52" s="261">
        <f t="shared" si="53"/>
        <v>0.10448068373004271</v>
      </c>
      <c r="BS52" s="208">
        <f t="shared" si="9"/>
        <v>0.0028969409381072848</v>
      </c>
      <c r="BT52" s="260">
        <v>22.19000053</v>
      </c>
      <c r="BU52" s="260">
        <v>20.18000031</v>
      </c>
      <c r="BV52" s="258"/>
      <c r="BY52" s="261"/>
      <c r="BZ52" s="208"/>
      <c r="CA52" s="255">
        <v>18.39999962</v>
      </c>
      <c r="CB52" s="255">
        <v>16.14999962</v>
      </c>
      <c r="CC52" s="258">
        <f t="shared" si="42"/>
        <v>17.27499962</v>
      </c>
      <c r="CD52" s="258">
        <v>0.62</v>
      </c>
      <c r="CE52" s="256">
        <v>0.1</v>
      </c>
      <c r="CF52" s="261">
        <f t="shared" si="69"/>
        <v>0.1421493161882712</v>
      </c>
      <c r="CG52" s="208">
        <f t="shared" si="12"/>
        <v>0.0059908989988017415</v>
      </c>
      <c r="CH52" s="255">
        <v>42.93999863</v>
      </c>
      <c r="CI52" s="255">
        <v>37.70000076</v>
      </c>
      <c r="CJ52" s="258">
        <f t="shared" si="44"/>
        <v>40.319999695</v>
      </c>
      <c r="CK52" s="258">
        <v>2.04</v>
      </c>
      <c r="CL52" s="256">
        <v>0.0557</v>
      </c>
      <c r="CM52" s="261">
        <f t="shared" si="45"/>
        <v>0.11305753220652504</v>
      </c>
      <c r="CN52" s="208">
        <f t="shared" si="13"/>
        <v>0.007021843646573369</v>
      </c>
      <c r="CO52" s="255">
        <v>32.15000153</v>
      </c>
      <c r="CP52" s="255">
        <v>30.01000023</v>
      </c>
      <c r="CQ52" s="258">
        <f t="shared" si="14"/>
        <v>31.08000088</v>
      </c>
      <c r="CR52" s="258">
        <v>1.54</v>
      </c>
      <c r="CS52" s="256">
        <v>0.0475</v>
      </c>
      <c r="CT52" s="261">
        <f t="shared" si="46"/>
        <v>0.10321282177451363</v>
      </c>
      <c r="CU52" s="208">
        <f t="shared" si="15"/>
        <v>0.0050367448889916035</v>
      </c>
      <c r="CV52" s="262">
        <v>14.85000038</v>
      </c>
      <c r="CW52" s="262">
        <v>11.43000031</v>
      </c>
      <c r="CX52" s="262">
        <f t="shared" si="16"/>
        <v>13.140000345</v>
      </c>
      <c r="CY52" s="262">
        <v>0.84</v>
      </c>
      <c r="CZ52" s="261">
        <v>0.0654</v>
      </c>
      <c r="DA52" s="261">
        <f t="shared" si="64"/>
        <v>0.1351579463234558</v>
      </c>
      <c r="DB52" s="208">
        <f t="shared" si="58"/>
        <v>0.001588953089764211</v>
      </c>
      <c r="DC52" s="260">
        <v>34</v>
      </c>
      <c r="DD52" s="260">
        <v>30.40999985</v>
      </c>
      <c r="DE52" s="258">
        <f t="shared" si="17"/>
        <v>32.204999924999996</v>
      </c>
      <c r="DF52" s="258">
        <v>1.48</v>
      </c>
      <c r="DG52" s="261">
        <v>0.0583</v>
      </c>
      <c r="DH52" s="261">
        <f t="shared" si="63"/>
        <v>0.11043073287380345</v>
      </c>
      <c r="DI52" s="208">
        <f t="shared" si="62"/>
        <v>0.0018371509419706613</v>
      </c>
      <c r="DJ52" s="255">
        <v>22.55999947</v>
      </c>
      <c r="DK52" s="255">
        <v>20.30999947</v>
      </c>
      <c r="DO52" s="261"/>
      <c r="DP52" s="208"/>
      <c r="DQ52" s="255">
        <v>29.39999962</v>
      </c>
      <c r="DR52" s="255">
        <v>26.69000053</v>
      </c>
      <c r="DS52" s="258">
        <f t="shared" si="20"/>
        <v>28.045000074999997</v>
      </c>
      <c r="DT52" s="258">
        <v>1.6</v>
      </c>
      <c r="DU52" s="256">
        <v>0.07</v>
      </c>
      <c r="DV52" s="261">
        <f t="shared" si="70"/>
        <v>0.135719263744426</v>
      </c>
      <c r="DW52" s="208">
        <f t="shared" si="56"/>
        <v>0.004666237238513236</v>
      </c>
      <c r="DX52" s="255">
        <v>28.53000069</v>
      </c>
      <c r="DY52" s="255">
        <v>26</v>
      </c>
      <c r="DZ52" s="258">
        <f t="shared" si="21"/>
        <v>27.265000345</v>
      </c>
      <c r="EA52" s="258">
        <v>1.26</v>
      </c>
      <c r="EB52" s="256">
        <v>0.044</v>
      </c>
      <c r="EC52" s="261">
        <f t="shared" si="48"/>
        <v>0.09571972534572604</v>
      </c>
      <c r="ED52" s="208">
        <f t="shared" si="22"/>
        <v>0.005520372881959472</v>
      </c>
      <c r="EE52" s="123">
        <v>24.9</v>
      </c>
      <c r="EF52" s="123">
        <v>22.3</v>
      </c>
      <c r="EG52" s="258">
        <f>AVERAGE(EE52:EF52)</f>
        <v>23.6</v>
      </c>
      <c r="EH52" s="278">
        <f aca="true" t="shared" si="71" ref="EH52:EH59">4*0.2524999976</f>
        <v>1.0099999904</v>
      </c>
      <c r="EI52" s="256">
        <v>0.08</v>
      </c>
      <c r="EJ52" s="261">
        <f t="shared" si="50"/>
        <v>0.12948109071205405</v>
      </c>
      <c r="EK52" s="208">
        <f t="shared" si="23"/>
        <v>0.010668593182559596</v>
      </c>
      <c r="EL52" s="279">
        <v>23.56</v>
      </c>
      <c r="EM52" s="279">
        <v>19.6</v>
      </c>
      <c r="EN52" s="279">
        <f>AVERAGE(EL52:EM52)</f>
        <v>21.58</v>
      </c>
      <c r="EO52" s="278">
        <f t="shared" si="68"/>
        <v>0.7</v>
      </c>
      <c r="EP52" s="256">
        <v>0.0975</v>
      </c>
      <c r="EQ52" s="261">
        <f t="shared" si="51"/>
        <v>0.13545634196476009</v>
      </c>
      <c r="ER52" s="208">
        <f t="shared" si="24"/>
        <v>0.010703129420099057</v>
      </c>
      <c r="ES52" s="261"/>
      <c r="ET52" s="262">
        <v>1.2</v>
      </c>
      <c r="EU52" s="262">
        <v>0.9</v>
      </c>
      <c r="EW52" s="262">
        <v>0.825</v>
      </c>
      <c r="EX52" s="280">
        <v>2.1127890899999997</v>
      </c>
      <c r="EY52" s="262">
        <v>4.5</v>
      </c>
      <c r="FA52" s="262">
        <v>0.775</v>
      </c>
      <c r="FB52" s="262">
        <v>1.8</v>
      </c>
      <c r="FC52" s="262">
        <v>0.625</v>
      </c>
      <c r="FE52" s="258">
        <v>0.95</v>
      </c>
      <c r="FF52" s="258">
        <v>1.4</v>
      </c>
      <c r="FG52" s="258">
        <v>1.1</v>
      </c>
      <c r="FH52" s="258">
        <v>0.265</v>
      </c>
      <c r="FI52" s="258">
        <v>0.375</v>
      </c>
      <c r="FK52" s="258">
        <v>0.775</v>
      </c>
      <c r="FL52" s="258">
        <v>1.3</v>
      </c>
      <c r="FM52" s="281">
        <v>1.85727917</v>
      </c>
      <c r="FN52" s="281">
        <v>1.781098</v>
      </c>
      <c r="FO52" s="258">
        <f>SUM(ET52:FN52)</f>
        <v>22.541166260000004</v>
      </c>
      <c r="FP52" s="261">
        <f t="shared" si="25"/>
        <v>0.12680240771860815</v>
      </c>
    </row>
    <row r="53" spans="1:172" ht="12.75">
      <c r="A53" s="263">
        <v>37196</v>
      </c>
      <c r="B53" s="255">
        <v>22.19000053</v>
      </c>
      <c r="C53" s="255">
        <v>20.54999924</v>
      </c>
      <c r="D53" s="255">
        <f t="shared" si="26"/>
        <v>21.369999885</v>
      </c>
      <c r="E53" s="255">
        <v>1.08</v>
      </c>
      <c r="F53" s="77">
        <v>0.0675</v>
      </c>
      <c r="G53" s="261">
        <f t="shared" si="27"/>
        <v>0.12543188253800897</v>
      </c>
      <c r="H53" s="277">
        <f t="shared" si="0"/>
        <v>0.006637938925588245</v>
      </c>
      <c r="I53" s="255">
        <v>21.94000053</v>
      </c>
      <c r="J53" s="255">
        <v>19.45999908</v>
      </c>
      <c r="K53" s="258">
        <f t="shared" si="28"/>
        <v>20.699999804999997</v>
      </c>
      <c r="L53" s="259">
        <f>0.29*4</f>
        <v>1.16</v>
      </c>
      <c r="M53" s="77">
        <v>0.0633</v>
      </c>
      <c r="N53" s="261">
        <f t="shared" si="29"/>
        <v>0.12742312774886222</v>
      </c>
      <c r="O53" s="208">
        <f t="shared" si="1"/>
        <v>0.005085031634543863</v>
      </c>
      <c r="P53" s="260">
        <v>22.79999924</v>
      </c>
      <c r="Q53" s="260">
        <v>19.65999985</v>
      </c>
      <c r="R53" s="258"/>
      <c r="U53" s="261"/>
      <c r="V53" s="208"/>
      <c r="W53" s="255">
        <v>25.04999924</v>
      </c>
      <c r="X53" s="255">
        <v>22</v>
      </c>
      <c r="Y53" s="258">
        <f t="shared" si="31"/>
        <v>23.52499962</v>
      </c>
      <c r="Z53" s="258">
        <v>0.7</v>
      </c>
      <c r="AA53" s="77">
        <v>0.115</v>
      </c>
      <c r="AB53" s="261">
        <f t="shared" si="32"/>
        <v>0.15033599965530242</v>
      </c>
      <c r="AC53" s="208">
        <f t="shared" si="4"/>
        <v>0.005499457204249534</v>
      </c>
      <c r="AD53" s="123">
        <v>34.69</v>
      </c>
      <c r="AE53" s="123">
        <v>31</v>
      </c>
      <c r="AF53" s="258">
        <f t="shared" si="5"/>
        <v>32.845</v>
      </c>
      <c r="AG53" s="123">
        <v>0.64</v>
      </c>
      <c r="AH53" s="256">
        <v>0.1044</v>
      </c>
      <c r="AI53" s="261">
        <f t="shared" si="33"/>
        <v>0.12722719233752144</v>
      </c>
      <c r="AJ53" s="208">
        <f t="shared" si="6"/>
        <v>0.011729359690299437</v>
      </c>
      <c r="AK53" s="255">
        <v>34.43999863</v>
      </c>
      <c r="AL53" s="255">
        <v>32.52000046</v>
      </c>
      <c r="AM53" s="258">
        <f t="shared" si="34"/>
        <v>33.479999545</v>
      </c>
      <c r="AN53" s="258">
        <v>1.78</v>
      </c>
      <c r="AO53" s="256">
        <v>0.0838</v>
      </c>
      <c r="AP53" s="261">
        <f t="shared" si="54"/>
        <v>0.14573892937004218</v>
      </c>
      <c r="AQ53" s="208">
        <f t="shared" si="52"/>
        <v>0.029079770655599663</v>
      </c>
      <c r="AR53" s="260">
        <v>25.10000038</v>
      </c>
      <c r="AS53" s="260">
        <v>22.70000076</v>
      </c>
      <c r="AT53" s="258"/>
      <c r="AU53" s="258"/>
      <c r="AW53" s="261"/>
      <c r="AX53" s="208"/>
      <c r="AY53" s="255">
        <v>48.79999924</v>
      </c>
      <c r="AZ53" s="255">
        <v>44.90999985</v>
      </c>
      <c r="BA53" s="258">
        <f t="shared" si="36"/>
        <v>46.854999545</v>
      </c>
      <c r="BB53" s="255">
        <v>1.76</v>
      </c>
      <c r="BC53" s="256">
        <v>0.0638</v>
      </c>
      <c r="BD53" s="261">
        <f t="shared" si="37"/>
        <v>0.10649010303615802</v>
      </c>
      <c r="BE53" s="208">
        <f t="shared" si="7"/>
        <v>0.003659433321008181</v>
      </c>
      <c r="BF53" s="255">
        <v>39.84000015</v>
      </c>
      <c r="BG53" s="255">
        <v>37.52000046</v>
      </c>
      <c r="BH53" s="258">
        <f t="shared" si="38"/>
        <v>38.680000305</v>
      </c>
      <c r="BI53" s="258">
        <v>1.76</v>
      </c>
      <c r="BJ53" s="256">
        <v>0.059</v>
      </c>
      <c r="BK53" s="261">
        <f t="shared" si="39"/>
        <v>0.11064057880237521</v>
      </c>
      <c r="BL53" s="208">
        <f t="shared" si="8"/>
        <v>0.008830592267098775</v>
      </c>
      <c r="BM53" s="255">
        <v>25</v>
      </c>
      <c r="BN53" s="255">
        <v>23.38999939</v>
      </c>
      <c r="BO53" s="258">
        <f t="shared" si="40"/>
        <v>24.194999695</v>
      </c>
      <c r="BP53" s="258">
        <v>1.24</v>
      </c>
      <c r="BQ53" s="256">
        <v>0.0464</v>
      </c>
      <c r="BR53" s="261">
        <f t="shared" si="53"/>
        <v>0.10400313494222901</v>
      </c>
      <c r="BS53" s="208">
        <f t="shared" si="9"/>
        <v>0.0028822346581737555</v>
      </c>
      <c r="BT53" s="260">
        <v>23.14999962</v>
      </c>
      <c r="BU53" s="260">
        <v>20.45000076</v>
      </c>
      <c r="BV53" s="258"/>
      <c r="BY53" s="261"/>
      <c r="BZ53" s="208"/>
      <c r="CA53" s="255">
        <v>18.29999924</v>
      </c>
      <c r="CB53" s="255">
        <v>16.70000076</v>
      </c>
      <c r="CC53" s="258">
        <f t="shared" si="42"/>
        <v>17.5</v>
      </c>
      <c r="CD53" s="258">
        <v>0.62</v>
      </c>
      <c r="CE53" s="256">
        <v>0.1</v>
      </c>
      <c r="CF53" s="261">
        <f t="shared" si="69"/>
        <v>0.14159982945913363</v>
      </c>
      <c r="CG53" s="208">
        <f t="shared" si="12"/>
        <v>0.005964708498005098</v>
      </c>
      <c r="CH53" s="255">
        <v>40.34999847</v>
      </c>
      <c r="CI53" s="255">
        <v>37.54000183</v>
      </c>
      <c r="CJ53" s="258">
        <f t="shared" si="44"/>
        <v>38.94500015</v>
      </c>
      <c r="CK53" s="258">
        <v>2.04</v>
      </c>
      <c r="CL53" s="256">
        <v>0.0557</v>
      </c>
      <c r="CM53" s="261">
        <f t="shared" si="45"/>
        <v>0.11512439869849644</v>
      </c>
      <c r="CN53" s="208">
        <f t="shared" si="13"/>
        <v>0.007146580648136789</v>
      </c>
      <c r="CO53" s="255">
        <v>34.79999924</v>
      </c>
      <c r="CP53" s="255">
        <v>30.54999924</v>
      </c>
      <c r="CQ53" s="258">
        <f t="shared" si="14"/>
        <v>32.67499924</v>
      </c>
      <c r="CR53" s="258">
        <v>1.54</v>
      </c>
      <c r="CS53" s="256">
        <v>0.0475</v>
      </c>
      <c r="CT53" s="261">
        <f t="shared" si="46"/>
        <v>0.10044279222465691</v>
      </c>
      <c r="CU53" s="208">
        <f t="shared" si="15"/>
        <v>0.004899077963861872</v>
      </c>
      <c r="CV53" s="262">
        <v>12.89999962</v>
      </c>
      <c r="CW53" s="262">
        <v>11.25</v>
      </c>
      <c r="CX53" s="262">
        <f t="shared" si="16"/>
        <v>12.07499981</v>
      </c>
      <c r="CY53" s="262">
        <v>0.84</v>
      </c>
      <c r="CZ53" s="261">
        <v>0.0654</v>
      </c>
      <c r="DA53" s="261">
        <f t="shared" si="64"/>
        <v>0.14147072698108554</v>
      </c>
      <c r="DB53" s="208">
        <f t="shared" si="58"/>
        <v>0.0016623227467415177</v>
      </c>
      <c r="DC53" s="260">
        <v>34.08000183</v>
      </c>
      <c r="DD53" s="260">
        <v>32.56999969</v>
      </c>
      <c r="DE53" s="258">
        <f t="shared" si="17"/>
        <v>33.32500076</v>
      </c>
      <c r="DF53" s="258">
        <v>1.48</v>
      </c>
      <c r="DG53" s="261">
        <v>0.0583</v>
      </c>
      <c r="DH53" s="261">
        <f t="shared" si="63"/>
        <v>0.10864805789444887</v>
      </c>
      <c r="DI53" s="208">
        <f t="shared" si="62"/>
        <v>0.0018065755316737059</v>
      </c>
      <c r="DJ53" s="255">
        <v>21.60000038</v>
      </c>
      <c r="DK53" s="255">
        <v>20.47999954</v>
      </c>
      <c r="DO53" s="261"/>
      <c r="DP53" s="208"/>
      <c r="DQ53" s="255">
        <v>30.42000008</v>
      </c>
      <c r="DR53" s="255">
        <v>28.93000031</v>
      </c>
      <c r="DS53" s="258">
        <f t="shared" si="20"/>
        <v>29.675000195000003</v>
      </c>
      <c r="DT53" s="258">
        <v>1.6</v>
      </c>
      <c r="DU53" s="256">
        <v>0.07</v>
      </c>
      <c r="DV53" s="261">
        <f t="shared" si="70"/>
        <v>0.1320328191142095</v>
      </c>
      <c r="DW53" s="208">
        <f t="shared" si="56"/>
        <v>0.004654273641202884</v>
      </c>
      <c r="DX53" s="255">
        <v>28.17000008</v>
      </c>
      <c r="DY53" s="255">
        <v>26.79999924</v>
      </c>
      <c r="DZ53" s="258">
        <f t="shared" si="21"/>
        <v>27.48499966</v>
      </c>
      <c r="EA53" s="258">
        <v>1.26</v>
      </c>
      <c r="EB53" s="256">
        <v>0.044</v>
      </c>
      <c r="EC53" s="261">
        <f t="shared" si="48"/>
        <v>0.09529826753447956</v>
      </c>
      <c r="ED53" s="208">
        <f t="shared" si="22"/>
        <v>0.005493273803574083</v>
      </c>
      <c r="EE53" s="123">
        <v>23.89</v>
      </c>
      <c r="EF53" s="123">
        <v>21.95</v>
      </c>
      <c r="EG53" s="258">
        <f>AVERAGE(EE53:EF53)</f>
        <v>22.92</v>
      </c>
      <c r="EH53" s="278">
        <f t="shared" si="71"/>
        <v>1.0099999904</v>
      </c>
      <c r="EI53" s="256">
        <v>0.0757</v>
      </c>
      <c r="EJ53" s="261">
        <f t="shared" si="50"/>
        <v>0.12647165425289142</v>
      </c>
      <c r="EK53" s="208">
        <f t="shared" si="23"/>
        <v>0.009957204304207023</v>
      </c>
      <c r="EL53" s="279">
        <v>24.47</v>
      </c>
      <c r="EM53" s="279">
        <v>21.65</v>
      </c>
      <c r="EN53" s="279">
        <f>AVERAGE(EL53:EM53)</f>
        <v>23.06</v>
      </c>
      <c r="EO53" s="278">
        <f>4*0.18</f>
        <v>0.72</v>
      </c>
      <c r="EP53" s="256">
        <v>0.1038</v>
      </c>
      <c r="EQ53" s="261">
        <f t="shared" si="51"/>
        <v>0.14052729029356903</v>
      </c>
      <c r="ER53" s="208">
        <f t="shared" si="24"/>
        <v>0.011803941099360197</v>
      </c>
      <c r="ES53" s="261"/>
      <c r="ET53" s="262">
        <v>1.1935</v>
      </c>
      <c r="EU53" s="262">
        <v>0.9</v>
      </c>
      <c r="EW53" s="262">
        <v>0.825</v>
      </c>
      <c r="EX53" s="280">
        <v>2.0791770499999997</v>
      </c>
      <c r="EY53" s="262">
        <v>4.5</v>
      </c>
      <c r="FA53" s="262">
        <v>0.775</v>
      </c>
      <c r="FB53" s="262">
        <v>1.8</v>
      </c>
      <c r="FC53" s="262">
        <v>0.625</v>
      </c>
      <c r="FE53" s="258">
        <v>0.95</v>
      </c>
      <c r="FF53" s="258">
        <v>1.4</v>
      </c>
      <c r="FG53" s="258">
        <v>1.1</v>
      </c>
      <c r="FH53" s="258">
        <v>0.265</v>
      </c>
      <c r="FI53" s="258">
        <v>0.375</v>
      </c>
      <c r="FK53" s="258">
        <v>0.795</v>
      </c>
      <c r="FL53" s="258">
        <v>1.3</v>
      </c>
      <c r="FM53" s="281">
        <v>1.77558444</v>
      </c>
      <c r="FN53" s="281">
        <v>1.8943641800000002</v>
      </c>
      <c r="FO53" s="258">
        <f>SUM(ET53:FN53)</f>
        <v>22.552625670000005</v>
      </c>
      <c r="FP53" s="261">
        <f t="shared" si="25"/>
        <v>0.1267917765933246</v>
      </c>
    </row>
    <row r="54" spans="1:172" ht="12.75">
      <c r="A54" s="263">
        <v>37226</v>
      </c>
      <c r="B54" s="255">
        <v>23.24</v>
      </c>
      <c r="C54" s="255">
        <v>21.08</v>
      </c>
      <c r="D54" s="255">
        <f t="shared" si="26"/>
        <v>22.159999999999997</v>
      </c>
      <c r="E54" s="255">
        <v>1.08</v>
      </c>
      <c r="F54" s="77">
        <v>0.07</v>
      </c>
      <c r="G54" s="261">
        <f t="shared" si="27"/>
        <v>0.1259577340224145</v>
      </c>
      <c r="H54" s="277">
        <f t="shared" si="0"/>
        <v>0.006724752601618366</v>
      </c>
      <c r="I54" s="255">
        <v>21.7</v>
      </c>
      <c r="J54" s="255">
        <v>19.45</v>
      </c>
      <c r="K54" s="258">
        <f t="shared" si="28"/>
        <v>20.575</v>
      </c>
      <c r="L54" s="259">
        <v>1.18</v>
      </c>
      <c r="M54" s="77">
        <v>0.06</v>
      </c>
      <c r="N54" s="261">
        <f t="shared" si="29"/>
        <v>0.12545513134474917</v>
      </c>
      <c r="O54" s="208">
        <f t="shared" si="1"/>
        <v>0.004788046131353693</v>
      </c>
      <c r="U54" s="261"/>
      <c r="W54" s="255">
        <v>25.09</v>
      </c>
      <c r="X54" s="255">
        <v>22.17</v>
      </c>
      <c r="Y54" s="258">
        <f t="shared" si="31"/>
        <v>23.630000000000003</v>
      </c>
      <c r="Z54" s="258">
        <v>0.7</v>
      </c>
      <c r="AA54" s="256">
        <v>0.115</v>
      </c>
      <c r="AB54" s="261">
        <f t="shared" si="32"/>
        <v>0.15017714983844765</v>
      </c>
      <c r="AC54" s="208">
        <f t="shared" si="4"/>
        <v>0.004845074666256415</v>
      </c>
      <c r="AD54" s="123">
        <v>34.38</v>
      </c>
      <c r="AE54" s="123">
        <v>31</v>
      </c>
      <c r="AF54" s="258">
        <f t="shared" si="5"/>
        <v>32.69</v>
      </c>
      <c r="AG54" s="123">
        <v>0.64</v>
      </c>
      <c r="AH54" s="256">
        <v>0.1044</v>
      </c>
      <c r="AI54" s="261">
        <f t="shared" si="33"/>
        <v>0.12733626347191618</v>
      </c>
      <c r="AJ54" s="208">
        <f t="shared" si="6"/>
        <v>0.01231461067878123</v>
      </c>
      <c r="AK54" s="255">
        <v>34.98</v>
      </c>
      <c r="AL54" s="255">
        <v>31.53</v>
      </c>
      <c r="AM54" s="258">
        <f t="shared" si="34"/>
        <v>33.254999999999995</v>
      </c>
      <c r="AN54" s="258">
        <v>1.78</v>
      </c>
      <c r="AO54" s="256">
        <v>0.0783</v>
      </c>
      <c r="AP54" s="261">
        <f t="shared" si="54"/>
        <v>0.14035033970773125</v>
      </c>
      <c r="AQ54" s="208">
        <f t="shared" si="52"/>
        <v>0.029798839547932592</v>
      </c>
      <c r="AT54" s="258"/>
      <c r="AU54" s="258"/>
      <c r="AW54" s="261"/>
      <c r="AX54" s="208"/>
      <c r="AY54" s="255">
        <v>47.35</v>
      </c>
      <c r="AZ54" s="255">
        <v>44.82</v>
      </c>
      <c r="BA54" s="258">
        <f t="shared" si="36"/>
        <v>46.085</v>
      </c>
      <c r="BB54" s="255">
        <v>1.76</v>
      </c>
      <c r="BC54" s="256">
        <v>0.0638</v>
      </c>
      <c r="BD54" s="261">
        <f t="shared" si="37"/>
        <v>0.10721411573798334</v>
      </c>
      <c r="BE54" s="208">
        <f t="shared" si="7"/>
        <v>0.003857750077886815</v>
      </c>
      <c r="BF54" s="255">
        <v>42</v>
      </c>
      <c r="BG54" s="255">
        <v>38.2</v>
      </c>
      <c r="BH54" s="258">
        <f t="shared" si="38"/>
        <v>40.1</v>
      </c>
      <c r="BI54" s="258">
        <v>1.76</v>
      </c>
      <c r="BJ54" s="256">
        <v>0.06</v>
      </c>
      <c r="BK54" s="261">
        <f t="shared" si="39"/>
        <v>0.10982730855670875</v>
      </c>
      <c r="BL54" s="208">
        <f t="shared" si="8"/>
        <v>0.008879921914339008</v>
      </c>
      <c r="BR54" s="261"/>
      <c r="BS54" s="208"/>
      <c r="BV54" s="258"/>
      <c r="BY54" s="261"/>
      <c r="BZ54" s="208"/>
      <c r="CA54" s="255">
        <v>18.22</v>
      </c>
      <c r="CB54" s="255">
        <v>16.4</v>
      </c>
      <c r="CC54" s="258">
        <f t="shared" si="42"/>
        <v>17.31</v>
      </c>
      <c r="CD54" s="258">
        <v>0.62</v>
      </c>
      <c r="CE54" s="256">
        <v>0.1</v>
      </c>
      <c r="CF54" s="261">
        <f t="shared" si="69"/>
        <v>0.1420628883323063</v>
      </c>
      <c r="CG54" s="208">
        <f t="shared" si="12"/>
        <v>0.006406768612248171</v>
      </c>
      <c r="CH54" s="255">
        <v>38.68</v>
      </c>
      <c r="CI54" s="255">
        <v>35.4</v>
      </c>
      <c r="CJ54" s="258">
        <f t="shared" si="44"/>
        <v>37.04</v>
      </c>
      <c r="CK54" s="258">
        <v>2.04</v>
      </c>
      <c r="CL54" s="256">
        <v>0.0558</v>
      </c>
      <c r="CM54" s="261">
        <f t="shared" si="45"/>
        <v>0.11835289239322666</v>
      </c>
      <c r="CN54" s="208">
        <f t="shared" si="13"/>
        <v>0.006805683730719271</v>
      </c>
      <c r="CO54" s="255">
        <v>36.6</v>
      </c>
      <c r="CP54" s="255">
        <v>32.6</v>
      </c>
      <c r="CQ54" s="258">
        <f t="shared" si="14"/>
        <v>34.6</v>
      </c>
      <c r="CR54" s="258">
        <v>1.54</v>
      </c>
      <c r="CS54" s="256">
        <v>0.0467</v>
      </c>
      <c r="CT54" s="261">
        <f t="shared" si="46"/>
        <v>0.09660751188038796</v>
      </c>
      <c r="CU54" s="208">
        <f t="shared" si="15"/>
        <v>0.004763298645832111</v>
      </c>
      <c r="CV54" s="262">
        <v>12.12</v>
      </c>
      <c r="CW54" s="262">
        <v>8.88</v>
      </c>
      <c r="CX54" s="262">
        <f t="shared" si="16"/>
        <v>10.5</v>
      </c>
      <c r="CY54" s="262">
        <v>0.84</v>
      </c>
      <c r="CZ54" s="261">
        <v>0.064</v>
      </c>
      <c r="DA54" s="261">
        <f t="shared" si="64"/>
        <v>0.15170781824000046</v>
      </c>
      <c r="DB54" s="208">
        <f t="shared" si="58"/>
        <v>0.0013305060404168012</v>
      </c>
      <c r="DC54" s="260">
        <v>34.1</v>
      </c>
      <c r="DD54" s="260">
        <v>32.5</v>
      </c>
      <c r="DE54" s="258">
        <f t="shared" si="17"/>
        <v>33.3</v>
      </c>
      <c r="DF54" s="258">
        <v>1.48</v>
      </c>
      <c r="DG54" s="261">
        <v>0.062</v>
      </c>
      <c r="DH54" s="261">
        <f t="shared" si="63"/>
        <v>0.11256267972859968</v>
      </c>
      <c r="DI54" s="208">
        <f t="shared" si="62"/>
        <v>0.0019109433419462127</v>
      </c>
      <c r="DO54" s="261"/>
      <c r="DP54" s="208"/>
      <c r="DQ54" s="255">
        <v>31.53</v>
      </c>
      <c r="DR54" s="255">
        <v>29.33</v>
      </c>
      <c r="DS54" s="258">
        <f t="shared" si="20"/>
        <v>30.43</v>
      </c>
      <c r="DT54" s="258">
        <v>1.6</v>
      </c>
      <c r="DU54" s="256">
        <v>0.07</v>
      </c>
      <c r="DV54" s="261">
        <f t="shared" si="70"/>
        <v>0.13046186098154333</v>
      </c>
      <c r="DW54" s="208">
        <f t="shared" si="56"/>
        <v>0.004671082887599166</v>
      </c>
      <c r="DX54" s="255">
        <v>29.75</v>
      </c>
      <c r="DY54" s="255">
        <v>27</v>
      </c>
      <c r="DZ54" s="258">
        <f t="shared" si="21"/>
        <v>28.375</v>
      </c>
      <c r="EA54" s="258">
        <v>1.26</v>
      </c>
      <c r="EB54" s="256">
        <v>0.042</v>
      </c>
      <c r="EC54" s="261">
        <f t="shared" si="48"/>
        <v>0.09156598924239745</v>
      </c>
      <c r="ED54" s="208">
        <f t="shared" si="22"/>
        <v>0.005418968046358748</v>
      </c>
      <c r="EE54" s="123">
        <v>24.95</v>
      </c>
      <c r="EF54" s="123">
        <v>22.06</v>
      </c>
      <c r="EG54" s="258">
        <f>AVERAGE(EE54:EF54)</f>
        <v>23.505</v>
      </c>
      <c r="EH54" s="278">
        <f t="shared" si="71"/>
        <v>1.0099999904</v>
      </c>
      <c r="EI54" s="256">
        <v>0.0757</v>
      </c>
      <c r="EJ54" s="261">
        <f t="shared" si="50"/>
        <v>0.12518664608015428</v>
      </c>
      <c r="EK54" s="208">
        <f t="shared" si="23"/>
        <v>0.010907876891361414</v>
      </c>
      <c r="EL54" s="279">
        <v>25.48</v>
      </c>
      <c r="EM54" s="279">
        <v>23.08</v>
      </c>
      <c r="EN54" s="279">
        <f>AVERAGE(EL54:EM54)</f>
        <v>24.28</v>
      </c>
      <c r="EO54" s="278">
        <f aca="true" t="shared" si="72" ref="EO54:EO64">4*0.18</f>
        <v>0.72</v>
      </c>
      <c r="EP54" s="256">
        <v>0.0975</v>
      </c>
      <c r="EQ54" s="261">
        <f t="shared" si="51"/>
        <v>0.13216131680365018</v>
      </c>
      <c r="ER54" s="208">
        <f t="shared" si="24"/>
        <v>0.011967069073319821</v>
      </c>
      <c r="ET54" s="119">
        <v>1.2029</v>
      </c>
      <c r="EU54" s="119">
        <v>0.8599</v>
      </c>
      <c r="EW54" s="119">
        <v>0.7269</v>
      </c>
      <c r="EX54" s="280">
        <v>2.17894685</v>
      </c>
      <c r="EY54" s="119">
        <v>4.7837</v>
      </c>
      <c r="EZ54" s="119"/>
      <c r="FA54" s="119">
        <v>0.8107</v>
      </c>
      <c r="FB54" s="119">
        <v>1.8217</v>
      </c>
      <c r="FC54" s="119"/>
      <c r="FD54" s="119"/>
      <c r="FE54" s="123">
        <v>1.0161</v>
      </c>
      <c r="FF54" s="123">
        <v>1.2956</v>
      </c>
      <c r="FG54" s="123">
        <v>1.1109</v>
      </c>
      <c r="FH54" s="123">
        <v>0.1976</v>
      </c>
      <c r="FI54" s="123">
        <v>0.3825</v>
      </c>
      <c r="FJ54" s="123"/>
      <c r="FK54" s="123">
        <v>0.8067</v>
      </c>
      <c r="FL54" s="123">
        <v>1.3334</v>
      </c>
      <c r="FM54" s="281">
        <v>1.9631807</v>
      </c>
      <c r="FN54" s="281">
        <v>2.04014715</v>
      </c>
      <c r="FO54" s="258">
        <f>SUM(ET54:FN54)</f>
        <v>22.530874700000002</v>
      </c>
      <c r="FP54" s="261">
        <f t="shared" si="25"/>
        <v>0.12539119288796985</v>
      </c>
    </row>
    <row r="55" spans="1:172" ht="12.75">
      <c r="A55" s="263">
        <v>37257</v>
      </c>
      <c r="B55" s="255">
        <v>23.02</v>
      </c>
      <c r="C55" s="255">
        <v>20.6</v>
      </c>
      <c r="D55" s="255">
        <f t="shared" si="26"/>
        <v>21.810000000000002</v>
      </c>
      <c r="E55" s="255">
        <v>1.08</v>
      </c>
      <c r="F55" s="77">
        <v>0.07</v>
      </c>
      <c r="G55" s="261">
        <f t="shared" si="27"/>
        <v>0.12687324311465464</v>
      </c>
      <c r="H55" s="277">
        <f t="shared" si="0"/>
        <v>0.006933352996973101</v>
      </c>
      <c r="I55" s="255">
        <v>21.99</v>
      </c>
      <c r="J55" s="255">
        <v>20.54</v>
      </c>
      <c r="K55" s="258">
        <f t="shared" si="28"/>
        <v>21.265</v>
      </c>
      <c r="L55" s="259">
        <v>1.18</v>
      </c>
      <c r="M55" s="77">
        <v>0.06</v>
      </c>
      <c r="N55" s="261">
        <f t="shared" si="29"/>
        <v>0.12328487728169568</v>
      </c>
      <c r="O55" s="208">
        <f t="shared" si="1"/>
        <v>0.004765554975804366</v>
      </c>
      <c r="U55" s="261"/>
      <c r="W55" s="255">
        <v>24.68</v>
      </c>
      <c r="X55" s="255">
        <v>22.16</v>
      </c>
      <c r="Y55" s="258">
        <f t="shared" si="31"/>
        <v>23.42</v>
      </c>
      <c r="Z55" s="258">
        <v>0.7</v>
      </c>
      <c r="AA55" s="256">
        <v>0.115</v>
      </c>
      <c r="AB55" s="261">
        <f t="shared" si="32"/>
        <v>0.15049628934511805</v>
      </c>
      <c r="AC55" s="208">
        <f t="shared" si="4"/>
        <v>0.005012929354733208</v>
      </c>
      <c r="AD55" s="123">
        <v>33.92</v>
      </c>
      <c r="AE55" s="123">
        <v>29.32</v>
      </c>
      <c r="AF55" s="258">
        <f t="shared" si="5"/>
        <v>31.62</v>
      </c>
      <c r="AG55" s="123">
        <v>0.64</v>
      </c>
      <c r="AH55" s="256">
        <v>0.1025</v>
      </c>
      <c r="AI55" s="261">
        <f t="shared" si="33"/>
        <v>0.1261778027318594</v>
      </c>
      <c r="AJ55" s="208">
        <f t="shared" si="6"/>
        <v>0.01127595620707101</v>
      </c>
      <c r="AK55" s="255">
        <v>35.55</v>
      </c>
      <c r="AL55" s="255">
        <v>31.25</v>
      </c>
      <c r="AM55" s="258">
        <f t="shared" si="34"/>
        <v>33.4</v>
      </c>
      <c r="AN55" s="258">
        <v>1.78</v>
      </c>
      <c r="AO55" s="256">
        <v>0.0717</v>
      </c>
      <c r="AP55" s="261">
        <f t="shared" si="54"/>
        <v>0.13309719544587706</v>
      </c>
      <c r="AQ55" s="208">
        <f t="shared" si="52"/>
        <v>0.028087035128563566</v>
      </c>
      <c r="AT55" s="258"/>
      <c r="AU55" s="258"/>
      <c r="AW55" s="261"/>
      <c r="AX55" s="208"/>
      <c r="AY55" s="255">
        <v>46.86</v>
      </c>
      <c r="AZ55" s="255">
        <v>44.2</v>
      </c>
      <c r="BA55" s="258">
        <f t="shared" si="36"/>
        <v>45.53</v>
      </c>
      <c r="BB55" s="255">
        <v>1.76</v>
      </c>
      <c r="BC55" s="256">
        <v>0.0633</v>
      </c>
      <c r="BD55" s="261">
        <f t="shared" si="37"/>
        <v>0.1072307279232898</v>
      </c>
      <c r="BE55" s="208">
        <f t="shared" si="7"/>
        <v>0.003999261348176113</v>
      </c>
      <c r="BF55" s="255">
        <v>41.9</v>
      </c>
      <c r="BG55" s="255">
        <v>39.55</v>
      </c>
      <c r="BH55" s="258">
        <f t="shared" si="38"/>
        <v>40.724999999999994</v>
      </c>
      <c r="BI55" s="258">
        <v>1.76</v>
      </c>
      <c r="BJ55" s="256">
        <v>0.06</v>
      </c>
      <c r="BK55" s="261">
        <f t="shared" si="39"/>
        <v>0.10904959892083</v>
      </c>
      <c r="BL55" s="208">
        <f t="shared" si="8"/>
        <v>0.008842690684872147</v>
      </c>
      <c r="BR55" s="261"/>
      <c r="BS55" s="208"/>
      <c r="BV55" s="258"/>
      <c r="BY55" s="261"/>
      <c r="BZ55" s="208"/>
      <c r="CA55" s="255">
        <v>17.99</v>
      </c>
      <c r="CB55" s="255">
        <v>16.82</v>
      </c>
      <c r="CC55" s="258">
        <f t="shared" si="42"/>
        <v>17.405</v>
      </c>
      <c r="CD55" s="258">
        <v>0.62</v>
      </c>
      <c r="CE55" s="256">
        <v>0.1</v>
      </c>
      <c r="CF55" s="261">
        <f t="shared" si="69"/>
        <v>0.14183007755665988</v>
      </c>
      <c r="CG55" s="208">
        <f t="shared" si="12"/>
        <v>0.006699878743265795</v>
      </c>
      <c r="CH55" s="255">
        <v>38.99</v>
      </c>
      <c r="CI55" s="255">
        <v>35.5</v>
      </c>
      <c r="CJ55" s="258">
        <f t="shared" si="44"/>
        <v>37.245000000000005</v>
      </c>
      <c r="CK55" s="258">
        <v>2.04</v>
      </c>
      <c r="CL55" s="256">
        <v>0.0558</v>
      </c>
      <c r="CM55" s="261">
        <f t="shared" si="45"/>
        <v>0.1180011701746253</v>
      </c>
      <c r="CN55" s="208">
        <f t="shared" si="13"/>
        <v>0.007167807189793154</v>
      </c>
      <c r="CO55" s="255">
        <v>35.89</v>
      </c>
      <c r="CP55" s="255">
        <v>32.9</v>
      </c>
      <c r="CQ55" s="258">
        <f t="shared" si="14"/>
        <v>34.394999999999996</v>
      </c>
      <c r="CR55" s="258">
        <v>1.54</v>
      </c>
      <c r="CS55" s="256">
        <v>0.0467</v>
      </c>
      <c r="CT55" s="261">
        <f t="shared" si="46"/>
        <v>0.0969102161056492</v>
      </c>
      <c r="CU55" s="208">
        <f t="shared" si="15"/>
        <v>0.004829857493352747</v>
      </c>
      <c r="CV55" s="262">
        <v>11.4</v>
      </c>
      <c r="CW55" s="262">
        <v>9.91</v>
      </c>
      <c r="CX55" s="262">
        <f t="shared" si="16"/>
        <v>10.655000000000001</v>
      </c>
      <c r="CY55" s="262">
        <v>0.84</v>
      </c>
      <c r="CZ55" s="261">
        <v>0.055</v>
      </c>
      <c r="DA55" s="261">
        <f t="shared" si="64"/>
        <v>0.14066355579616885</v>
      </c>
      <c r="DB55" s="208">
        <f t="shared" si="58"/>
        <v>0.0012860289383691595</v>
      </c>
      <c r="DC55" s="260">
        <v>32.79</v>
      </c>
      <c r="DD55" s="260">
        <v>31.4</v>
      </c>
      <c r="DE55" s="258">
        <f t="shared" si="17"/>
        <v>32.095</v>
      </c>
      <c r="DF55" s="258">
        <v>1.48</v>
      </c>
      <c r="DG55" s="261">
        <v>0.062</v>
      </c>
      <c r="DH55" s="261">
        <f t="shared" si="63"/>
        <v>0.11449554143718044</v>
      </c>
      <c r="DI55" s="208">
        <f t="shared" si="62"/>
        <v>0.002022963110118475</v>
      </c>
      <c r="DO55" s="261"/>
      <c r="DP55" s="208"/>
      <c r="DQ55" s="255">
        <v>31.15</v>
      </c>
      <c r="DR55" s="255">
        <v>27.77</v>
      </c>
      <c r="DS55" s="258">
        <f t="shared" si="20"/>
        <v>29.46</v>
      </c>
      <c r="DT55" s="258">
        <v>1.6</v>
      </c>
      <c r="DU55" s="256">
        <v>0.07</v>
      </c>
      <c r="DV55" s="261">
        <f t="shared" si="70"/>
        <v>0.13249521980977552</v>
      </c>
      <c r="DW55" s="208">
        <f t="shared" si="56"/>
        <v>0.004915954444756741</v>
      </c>
      <c r="DX55" s="255">
        <v>29.48</v>
      </c>
      <c r="DY55" s="255">
        <v>25.85</v>
      </c>
      <c r="DZ55" s="258">
        <f t="shared" si="21"/>
        <v>27.665</v>
      </c>
      <c r="EA55" s="258">
        <v>1.26</v>
      </c>
      <c r="EB55" s="256">
        <v>0.042</v>
      </c>
      <c r="EC55" s="261">
        <f t="shared" si="48"/>
        <v>0.09286088938057424</v>
      </c>
      <c r="ED55" s="208">
        <f t="shared" si="22"/>
        <v>0.005707115830910331</v>
      </c>
      <c r="EE55" s="123">
        <v>25</v>
      </c>
      <c r="EF55" s="123">
        <v>22.16</v>
      </c>
      <c r="EG55" s="258">
        <f>AVERAGE(EE55:EF55)</f>
        <v>23.58</v>
      </c>
      <c r="EH55" s="278">
        <f t="shared" si="71"/>
        <v>1.0099999904</v>
      </c>
      <c r="EI55" s="256">
        <v>0.0757</v>
      </c>
      <c r="EJ55" s="261">
        <f t="shared" si="50"/>
        <v>0.1250265896882341</v>
      </c>
      <c r="EK55" s="208">
        <f t="shared" si="23"/>
        <v>0.010346325186084117</v>
      </c>
      <c r="EL55" s="279">
        <v>25.55</v>
      </c>
      <c r="EM55" s="279">
        <v>23.1</v>
      </c>
      <c r="EN55" s="279">
        <f>AVERAGE(EL55:EM55)</f>
        <v>24.325000000000003</v>
      </c>
      <c r="EO55" s="278">
        <f t="shared" si="72"/>
        <v>0.72</v>
      </c>
      <c r="EP55" s="256">
        <v>0.0975</v>
      </c>
      <c r="EQ55" s="261">
        <f t="shared" si="51"/>
        <v>0.13209644695149558</v>
      </c>
      <c r="ER55" s="208">
        <f t="shared" si="24"/>
        <v>0.01171230762589474</v>
      </c>
      <c r="ET55" s="262">
        <v>1.2022124378840764</v>
      </c>
      <c r="EU55" s="262">
        <v>0.85037723026996</v>
      </c>
      <c r="EW55" s="262">
        <v>0.73278022105446</v>
      </c>
      <c r="EX55" s="280">
        <v>1.9659767</v>
      </c>
      <c r="EY55" s="262">
        <v>4.642425459908925</v>
      </c>
      <c r="FA55" s="262">
        <v>0.8204809044150401</v>
      </c>
      <c r="FB55" s="262">
        <v>1.78389097111955</v>
      </c>
      <c r="FE55" s="258">
        <v>1.0392177324369867</v>
      </c>
      <c r="FF55" s="258">
        <v>1.336312240973255</v>
      </c>
      <c r="FG55" s="258">
        <v>1.0964092759020798</v>
      </c>
      <c r="FH55" s="258">
        <v>0.2011301121833267</v>
      </c>
      <c r="FI55" s="258">
        <v>0.38869355026932667</v>
      </c>
      <c r="FK55" s="258">
        <v>0.8162357003645333</v>
      </c>
      <c r="FL55" s="258">
        <v>1.3520470173141603</v>
      </c>
      <c r="FM55" s="281">
        <v>1.8205042</v>
      </c>
      <c r="FN55" s="281">
        <v>1.9505598499999999</v>
      </c>
      <c r="FO55" s="258">
        <f>SUM(ET55:FN55)</f>
        <v>21.999253604095678</v>
      </c>
      <c r="FP55" s="261">
        <f t="shared" si="25"/>
        <v>0.12360501925873875</v>
      </c>
    </row>
    <row r="56" spans="1:172" ht="12.75">
      <c r="A56" s="263">
        <v>37288</v>
      </c>
      <c r="B56" s="255">
        <v>22.78</v>
      </c>
      <c r="C56" s="255">
        <v>20.95</v>
      </c>
      <c r="D56" s="255">
        <f t="shared" si="26"/>
        <v>21.865000000000002</v>
      </c>
      <c r="E56" s="255">
        <v>1.08</v>
      </c>
      <c r="F56" s="256">
        <v>0.0843</v>
      </c>
      <c r="G56" s="261">
        <f t="shared" si="27"/>
        <v>0.14178553154585427</v>
      </c>
      <c r="H56" s="277">
        <f t="shared" si="0"/>
        <v>0.008133343213972608</v>
      </c>
      <c r="I56" s="255">
        <v>22.65</v>
      </c>
      <c r="J56" s="255">
        <v>20.26</v>
      </c>
      <c r="K56" s="258">
        <f t="shared" si="28"/>
        <v>21.455</v>
      </c>
      <c r="L56" s="259">
        <v>1.18</v>
      </c>
      <c r="M56" s="256">
        <v>0.06</v>
      </c>
      <c r="N56" s="261">
        <f t="shared" si="29"/>
        <v>0.12271230678500333</v>
      </c>
      <c r="O56" s="208">
        <f t="shared" si="1"/>
        <v>0.005026777909193352</v>
      </c>
      <c r="U56" s="261"/>
      <c r="W56" s="255">
        <v>23.6</v>
      </c>
      <c r="X56" s="255">
        <v>21.69</v>
      </c>
      <c r="Y56" s="258">
        <f t="shared" si="31"/>
        <v>22.645000000000003</v>
      </c>
      <c r="Z56" s="258">
        <v>0.7</v>
      </c>
      <c r="AA56" s="256">
        <v>0.1125</v>
      </c>
      <c r="AB56" s="261">
        <f t="shared" si="32"/>
        <v>0.14914357167240744</v>
      </c>
      <c r="AC56" s="208">
        <f t="shared" si="4"/>
        <v>0.004901112564433675</v>
      </c>
      <c r="AD56" s="123">
        <v>33</v>
      </c>
      <c r="AE56" s="123">
        <v>29.5</v>
      </c>
      <c r="AF56" s="258">
        <f t="shared" si="5"/>
        <v>31.25</v>
      </c>
      <c r="AG56" s="123">
        <v>0.64</v>
      </c>
      <c r="AH56" s="256">
        <v>0.1</v>
      </c>
      <c r="AI56" s="261">
        <f t="shared" si="33"/>
        <v>0.12390608035189099</v>
      </c>
      <c r="AJ56" s="208">
        <f t="shared" si="6"/>
        <v>0.011497150777817615</v>
      </c>
      <c r="AK56" s="255">
        <v>32.59</v>
      </c>
      <c r="AL56" s="255">
        <v>30.01</v>
      </c>
      <c r="AM56" s="258">
        <f t="shared" si="34"/>
        <v>31.300000000000004</v>
      </c>
      <c r="AN56" s="258">
        <v>1.78</v>
      </c>
      <c r="AO56" s="256">
        <v>0.0683</v>
      </c>
      <c r="AP56" s="261">
        <f t="shared" si="54"/>
        <v>0.13370065828635203</v>
      </c>
      <c r="AQ56" s="208">
        <f t="shared" si="52"/>
        <v>0.02802379846439719</v>
      </c>
      <c r="AT56" s="258"/>
      <c r="AU56" s="258"/>
      <c r="AW56" s="261"/>
      <c r="AX56" s="208"/>
      <c r="AY56" s="255">
        <v>31.161558</v>
      </c>
      <c r="AZ56" s="255">
        <v>29.234795</v>
      </c>
      <c r="BA56" s="258">
        <f t="shared" si="36"/>
        <v>30.1981765</v>
      </c>
      <c r="BB56" s="255">
        <v>1.2</v>
      </c>
      <c r="BC56" s="256">
        <v>0.0633</v>
      </c>
      <c r="BD56" s="261">
        <f t="shared" si="37"/>
        <v>0.10847925006019654</v>
      </c>
      <c r="BE56" s="208">
        <f t="shared" si="7"/>
        <v>0.0040536388949619605</v>
      </c>
      <c r="BF56" s="255">
        <v>42.69</v>
      </c>
      <c r="BG56" s="255">
        <v>39.67</v>
      </c>
      <c r="BH56" s="258">
        <f t="shared" si="38"/>
        <v>41.18</v>
      </c>
      <c r="BI56" s="258">
        <v>1.76</v>
      </c>
      <c r="BJ56" s="256">
        <v>0.06</v>
      </c>
      <c r="BK56" s="261">
        <f t="shared" si="39"/>
        <v>0.10849852256564962</v>
      </c>
      <c r="BL56" s="208">
        <f t="shared" si="8"/>
        <v>0.0094155348333823</v>
      </c>
      <c r="BR56" s="261"/>
      <c r="BS56" s="208"/>
      <c r="BV56" s="258"/>
      <c r="BY56" s="261"/>
      <c r="BZ56" s="208"/>
      <c r="CA56" s="255">
        <v>18.7</v>
      </c>
      <c r="CB56" s="255">
        <v>16.34</v>
      </c>
      <c r="CC56" s="258">
        <f t="shared" si="42"/>
        <v>17.52</v>
      </c>
      <c r="CD56" s="258">
        <v>0.62</v>
      </c>
      <c r="CE56" s="256">
        <v>0.0867</v>
      </c>
      <c r="CF56" s="261">
        <f t="shared" si="69"/>
        <v>0.1277492811834653</v>
      </c>
      <c r="CG56" s="208">
        <f t="shared" si="12"/>
        <v>0.006670275505560981</v>
      </c>
      <c r="CH56" s="255">
        <v>37.4</v>
      </c>
      <c r="CI56" s="255">
        <v>35.25</v>
      </c>
      <c r="CJ56" s="258">
        <f t="shared" si="44"/>
        <v>36.325</v>
      </c>
      <c r="CK56" s="258">
        <v>2.08</v>
      </c>
      <c r="CL56" s="256">
        <v>0.0558</v>
      </c>
      <c r="CM56" s="261">
        <f t="shared" si="45"/>
        <v>0.120890798098227</v>
      </c>
      <c r="CN56" s="208">
        <f t="shared" si="13"/>
        <v>0.007436561543832981</v>
      </c>
      <c r="CO56" s="255">
        <v>34.05</v>
      </c>
      <c r="CP56" s="255">
        <v>31.79</v>
      </c>
      <c r="CQ56" s="258">
        <f t="shared" si="14"/>
        <v>32.92</v>
      </c>
      <c r="CR56" s="258">
        <v>1.6</v>
      </c>
      <c r="CS56" s="256">
        <v>0.0467</v>
      </c>
      <c r="CT56" s="261">
        <f t="shared" si="46"/>
        <v>0.10128607115713506</v>
      </c>
      <c r="CU56" s="208">
        <f t="shared" si="15"/>
        <v>0.004982307670050323</v>
      </c>
      <c r="CV56" s="262"/>
      <c r="CW56" s="262"/>
      <c r="CX56" s="262"/>
      <c r="CY56" s="262"/>
      <c r="DA56" s="261"/>
      <c r="DB56" s="208"/>
      <c r="DC56" s="260">
        <v>31.65</v>
      </c>
      <c r="DD56" s="260">
        <v>29.95</v>
      </c>
      <c r="DE56" s="258">
        <f t="shared" si="17"/>
        <v>30.799999999999997</v>
      </c>
      <c r="DF56" s="258">
        <v>1.48</v>
      </c>
      <c r="DG56" s="261">
        <v>0.062</v>
      </c>
      <c r="DH56" s="261">
        <f t="shared" si="63"/>
        <v>0.11674453412923413</v>
      </c>
      <c r="DI56" s="208">
        <f t="shared" si="62"/>
        <v>0.0019270234469208208</v>
      </c>
      <c r="DO56" s="261"/>
      <c r="DP56" s="208"/>
      <c r="DQ56" s="255">
        <v>29.35</v>
      </c>
      <c r="DR56" s="255">
        <v>27.09</v>
      </c>
      <c r="DS56" s="258">
        <f t="shared" si="20"/>
        <v>28.22</v>
      </c>
      <c r="DT56" s="258">
        <v>1.6</v>
      </c>
      <c r="DU56" s="256">
        <v>0.065</v>
      </c>
      <c r="DV56" s="261">
        <f t="shared" si="70"/>
        <v>0.1299974710518319</v>
      </c>
      <c r="DW56" s="208">
        <f t="shared" si="56"/>
        <v>0.004731336912727742</v>
      </c>
      <c r="DX56" s="255">
        <v>27.13</v>
      </c>
      <c r="DY56" s="255">
        <v>25.71</v>
      </c>
      <c r="DZ56" s="258">
        <f t="shared" si="21"/>
        <v>26.42</v>
      </c>
      <c r="EA56" s="258">
        <v>1.26</v>
      </c>
      <c r="EB56" s="256">
        <v>0.042</v>
      </c>
      <c r="EC56" s="261">
        <f t="shared" si="48"/>
        <v>0.09530267175372553</v>
      </c>
      <c r="ED56" s="208">
        <f t="shared" si="22"/>
        <v>0.0056484254187315775</v>
      </c>
      <c r="EE56" s="123">
        <v>24.9</v>
      </c>
      <c r="EF56" s="123">
        <v>22</v>
      </c>
      <c r="EG56" s="258">
        <f>AVERAGE(EE56:EF56)</f>
        <v>23.45</v>
      </c>
      <c r="EH56" s="278">
        <f t="shared" si="71"/>
        <v>1.0099999904</v>
      </c>
      <c r="EI56" s="256">
        <v>0.0757</v>
      </c>
      <c r="EJ56" s="261">
        <f t="shared" si="50"/>
        <v>0.12530468239831372</v>
      </c>
      <c r="EK56" s="208">
        <f t="shared" si="23"/>
        <v>0.010831836898421932</v>
      </c>
      <c r="EL56" s="279">
        <v>24.13</v>
      </c>
      <c r="EM56" s="279">
        <v>21.4</v>
      </c>
      <c r="EN56" s="279">
        <f>AVERAGE(EL56:EM56)</f>
        <v>22.765</v>
      </c>
      <c r="EO56" s="278">
        <f t="shared" si="72"/>
        <v>0.72</v>
      </c>
      <c r="EP56" s="256">
        <v>0.0975</v>
      </c>
      <c r="EQ56" s="261">
        <f t="shared" si="51"/>
        <v>0.13449678110730168</v>
      </c>
      <c r="ER56" s="208">
        <f t="shared" si="24"/>
        <v>0.010859140030086</v>
      </c>
      <c r="ET56" s="262">
        <v>1.2921</v>
      </c>
      <c r="EU56" s="262">
        <v>0.9227</v>
      </c>
      <c r="EW56" s="262">
        <v>0.7402</v>
      </c>
      <c r="EX56" s="280">
        <v>2.0900494</v>
      </c>
      <c r="EY56" s="262">
        <v>4.7212</v>
      </c>
      <c r="FA56" s="262">
        <v>0.8417</v>
      </c>
      <c r="FB56" s="262">
        <v>1.9547</v>
      </c>
      <c r="FE56" s="258">
        <v>1.1761</v>
      </c>
      <c r="FF56" s="258">
        <v>1.3856</v>
      </c>
      <c r="FG56" s="258">
        <v>1.108</v>
      </c>
      <c r="FI56" s="258">
        <v>0.3718</v>
      </c>
      <c r="FK56" s="258">
        <v>0.8198</v>
      </c>
      <c r="FL56" s="258">
        <v>1.335</v>
      </c>
      <c r="FM56" s="281">
        <v>1.94712465</v>
      </c>
      <c r="FN56" s="281">
        <v>1.81862219</v>
      </c>
      <c r="FO56" s="258">
        <f>SUM(ET56:FN56)</f>
        <v>22.52469624</v>
      </c>
      <c r="FP56" s="261">
        <f t="shared" si="25"/>
        <v>0.12413826408449108</v>
      </c>
    </row>
    <row r="57" spans="1:172" ht="12.75">
      <c r="A57" s="263">
        <v>37316</v>
      </c>
      <c r="B57" s="281">
        <v>23.69000053</v>
      </c>
      <c r="C57" s="281">
        <v>22.15999985</v>
      </c>
      <c r="D57" s="255">
        <f t="shared" si="26"/>
        <v>22.92500019</v>
      </c>
      <c r="E57" s="255">
        <v>1.08</v>
      </c>
      <c r="F57" s="256">
        <v>0.0843</v>
      </c>
      <c r="G57" s="261">
        <f t="shared" si="27"/>
        <v>0.13907823077746873</v>
      </c>
      <c r="H57" s="277">
        <f t="shared" si="0"/>
        <v>0.007787801996549301</v>
      </c>
      <c r="I57" s="281">
        <v>24.5</v>
      </c>
      <c r="J57" s="281">
        <v>22.12999916</v>
      </c>
      <c r="K57" s="258">
        <f t="shared" si="28"/>
        <v>23.31499958</v>
      </c>
      <c r="L57" s="259">
        <v>1.18</v>
      </c>
      <c r="M57" s="256">
        <v>0.06</v>
      </c>
      <c r="N57" s="261">
        <f t="shared" si="29"/>
        <v>0.11760968210578793</v>
      </c>
      <c r="O57" s="208">
        <f t="shared" si="1"/>
        <v>0.004812592310855456</v>
      </c>
      <c r="U57" s="261"/>
      <c r="W57" s="281">
        <v>26.48999977</v>
      </c>
      <c r="X57" s="281">
        <v>22.5</v>
      </c>
      <c r="Y57" s="258">
        <f t="shared" si="31"/>
        <v>24.494999885</v>
      </c>
      <c r="Z57" s="258">
        <v>0.7</v>
      </c>
      <c r="AA57" s="256">
        <v>0.0975</v>
      </c>
      <c r="AB57" s="261">
        <f t="shared" si="32"/>
        <v>0.13088854444447873</v>
      </c>
      <c r="AC57" s="208">
        <f t="shared" si="4"/>
        <v>0.004172013925147974</v>
      </c>
      <c r="AD57" s="123">
        <v>35.66</v>
      </c>
      <c r="AE57" s="123">
        <v>32.68</v>
      </c>
      <c r="AF57" s="258">
        <f t="shared" si="5"/>
        <v>34.17</v>
      </c>
      <c r="AG57" s="123">
        <v>0.64</v>
      </c>
      <c r="AH57" s="256">
        <v>0.1</v>
      </c>
      <c r="AI57" s="261">
        <f t="shared" si="33"/>
        <v>0.12184809880246972</v>
      </c>
      <c r="AJ57" s="208">
        <f t="shared" si="6"/>
        <v>0.01144661413663469</v>
      </c>
      <c r="AK57" s="255">
        <v>36.72000122</v>
      </c>
      <c r="AL57" s="255">
        <v>31.97999954</v>
      </c>
      <c r="AM57" s="258">
        <f t="shared" si="34"/>
        <v>34.35000038</v>
      </c>
      <c r="AN57" s="258">
        <v>1.78</v>
      </c>
      <c r="AO57" s="256">
        <v>0.0683</v>
      </c>
      <c r="AP57" s="261">
        <f t="shared" si="54"/>
        <v>0.1277752355860433</v>
      </c>
      <c r="AQ57" s="208">
        <f t="shared" si="52"/>
        <v>0.025867647833586395</v>
      </c>
      <c r="AT57" s="258"/>
      <c r="AU57" s="258"/>
      <c r="AW57" s="261"/>
      <c r="AX57" s="208"/>
      <c r="AY57" s="255">
        <v>32</v>
      </c>
      <c r="AZ57" s="255">
        <v>30.05999947</v>
      </c>
      <c r="BA57" s="258">
        <f t="shared" si="36"/>
        <v>31.029999735</v>
      </c>
      <c r="BB57" s="255">
        <v>1.2</v>
      </c>
      <c r="BC57" s="256">
        <v>0.0633</v>
      </c>
      <c r="BD57" s="261">
        <f t="shared" si="37"/>
        <v>0.10724967486093484</v>
      </c>
      <c r="BE57" s="208">
        <f t="shared" si="7"/>
        <v>0.003811205128980906</v>
      </c>
      <c r="BF57" s="255">
        <v>46.20000076</v>
      </c>
      <c r="BG57" s="255">
        <v>41.68999863</v>
      </c>
      <c r="BH57" s="258">
        <f t="shared" si="38"/>
        <v>43.944999695</v>
      </c>
      <c r="BI57" s="258">
        <v>1.76</v>
      </c>
      <c r="BJ57" s="256">
        <v>0.06</v>
      </c>
      <c r="BK57" s="261">
        <f t="shared" si="39"/>
        <v>0.10539888978624123</v>
      </c>
      <c r="BL57" s="208">
        <f t="shared" si="8"/>
        <v>0.009079844761003349</v>
      </c>
      <c r="BR57" s="261"/>
      <c r="BS57" s="208"/>
      <c r="BV57" s="258"/>
      <c r="BY57" s="261"/>
      <c r="BZ57" s="208"/>
      <c r="CA57" s="255">
        <v>20.92000008</v>
      </c>
      <c r="CB57" s="255">
        <v>18.11000061</v>
      </c>
      <c r="CC57" s="258">
        <f t="shared" si="42"/>
        <v>19.515000345</v>
      </c>
      <c r="CD57" s="258">
        <v>0.62</v>
      </c>
      <c r="CE57" s="256">
        <v>0.092</v>
      </c>
      <c r="CF57" s="261">
        <f t="shared" si="69"/>
        <v>0.12897982085435844</v>
      </c>
      <c r="CG57" s="208">
        <f t="shared" si="12"/>
        <v>0.006666768993685213</v>
      </c>
      <c r="CH57" s="255">
        <v>39.97999954</v>
      </c>
      <c r="CI57" s="255">
        <v>37.06000137</v>
      </c>
      <c r="CJ57" s="258">
        <f t="shared" si="44"/>
        <v>38.520000455</v>
      </c>
      <c r="CK57" s="258">
        <v>2.08</v>
      </c>
      <c r="CL57" s="256">
        <v>0.0558</v>
      </c>
      <c r="CM57" s="261">
        <f t="shared" si="45"/>
        <v>0.11710289180679334</v>
      </c>
      <c r="CN57" s="208">
        <f t="shared" si="13"/>
        <v>0.00706168021863109</v>
      </c>
      <c r="CO57" s="255">
        <v>36.25</v>
      </c>
      <c r="CP57" s="255">
        <v>32.00999832</v>
      </c>
      <c r="CQ57" s="258">
        <f t="shared" si="14"/>
        <v>34.12999916</v>
      </c>
      <c r="CR57" s="258">
        <v>1.6</v>
      </c>
      <c r="CS57" s="256">
        <v>0.045</v>
      </c>
      <c r="CT57" s="261">
        <f t="shared" si="46"/>
        <v>0.09752967196597617</v>
      </c>
      <c r="CU57" s="208">
        <f t="shared" si="15"/>
        <v>0.004621062475717219</v>
      </c>
      <c r="CV57" s="262"/>
      <c r="CW57" s="262"/>
      <c r="CX57" s="262"/>
      <c r="CY57" s="262"/>
      <c r="DA57" s="261"/>
      <c r="DB57" s="208"/>
      <c r="DC57" s="260">
        <v>32.70000076</v>
      </c>
      <c r="DD57" s="260">
        <v>30.29999924</v>
      </c>
      <c r="DE57" s="258">
        <f t="shared" si="17"/>
        <v>31.5</v>
      </c>
      <c r="DF57" s="258">
        <v>1.48</v>
      </c>
      <c r="DG57" s="261">
        <v>0.0533</v>
      </c>
      <c r="DH57" s="261">
        <f t="shared" si="63"/>
        <v>0.1063671573393783</v>
      </c>
      <c r="DI57" s="208">
        <f t="shared" si="62"/>
        <v>0.0017181109751301102</v>
      </c>
      <c r="DO57" s="261"/>
      <c r="DP57" s="208"/>
      <c r="DQ57" s="255">
        <v>31.48999977</v>
      </c>
      <c r="DR57" s="255">
        <v>28.45000076</v>
      </c>
      <c r="DS57" s="258">
        <f t="shared" si="20"/>
        <v>29.970000265000003</v>
      </c>
      <c r="DT57" s="258">
        <v>1.6</v>
      </c>
      <c r="DU57" s="256">
        <v>0.065</v>
      </c>
      <c r="DV57" s="261">
        <f t="shared" si="70"/>
        <v>0.12612242389479222</v>
      </c>
      <c r="DW57" s="208">
        <f t="shared" si="56"/>
        <v>0.00448186373945289</v>
      </c>
      <c r="DX57" s="255">
        <v>27.54000092</v>
      </c>
      <c r="DY57" s="255">
        <v>26.30999947</v>
      </c>
      <c r="DZ57" s="258">
        <f t="shared" si="21"/>
        <v>26.925000195000003</v>
      </c>
      <c r="EA57" s="258">
        <v>1.26</v>
      </c>
      <c r="EB57" s="256">
        <v>0.0417</v>
      </c>
      <c r="EC57" s="261">
        <f t="shared" si="48"/>
        <v>0.09396945858368833</v>
      </c>
      <c r="ED57" s="208">
        <f t="shared" si="22"/>
        <v>0.005209279538220509</v>
      </c>
      <c r="EE57" s="123">
        <v>25.7</v>
      </c>
      <c r="EF57" s="123">
        <v>23.9</v>
      </c>
      <c r="EG57" s="258">
        <f>AVERAGE(EE57:EF57)</f>
        <v>24.799999999999997</v>
      </c>
      <c r="EH57" s="278">
        <f t="shared" si="71"/>
        <v>1.0099999904</v>
      </c>
      <c r="EI57" s="256">
        <v>0.0757</v>
      </c>
      <c r="EJ57" s="261">
        <f t="shared" si="50"/>
        <v>0.12256111935591552</v>
      </c>
      <c r="EK57" s="208">
        <f t="shared" si="23"/>
        <v>0.010237147649785746</v>
      </c>
      <c r="EL57" s="279">
        <v>25.84</v>
      </c>
      <c r="EM57" s="279">
        <v>22.29</v>
      </c>
      <c r="EN57" s="279">
        <f>AVERAGE(EL57:EM57)</f>
        <v>24.064999999999998</v>
      </c>
      <c r="EO57" s="278">
        <f t="shared" si="72"/>
        <v>0.72</v>
      </c>
      <c r="EP57" s="256">
        <v>0.0975</v>
      </c>
      <c r="EQ57" s="261">
        <f t="shared" si="51"/>
        <v>0.13247463833103312</v>
      </c>
      <c r="ER57" s="208">
        <f t="shared" si="24"/>
        <v>0.01194815845148959</v>
      </c>
      <c r="ET57" s="262">
        <v>1.3</v>
      </c>
      <c r="EU57" s="262">
        <v>0.95</v>
      </c>
      <c r="EW57" s="262">
        <v>0.74</v>
      </c>
      <c r="EX57" s="280">
        <v>2.1809509300000003</v>
      </c>
      <c r="EY57" s="262">
        <v>4.7</v>
      </c>
      <c r="FA57" s="262">
        <v>0.825</v>
      </c>
      <c r="FB57" s="262">
        <v>2</v>
      </c>
      <c r="FD57" s="262">
        <v>0.3</v>
      </c>
      <c r="FE57" s="258">
        <v>1.2</v>
      </c>
      <c r="FF57" s="258">
        <v>1.4</v>
      </c>
      <c r="FG57" s="258">
        <v>1.1</v>
      </c>
      <c r="FI57" s="258">
        <v>0.375</v>
      </c>
      <c r="FK57" s="258">
        <v>0.825</v>
      </c>
      <c r="FL57" s="258">
        <v>1.287</v>
      </c>
      <c r="FM57" s="281">
        <v>1.9391609500000002</v>
      </c>
      <c r="FN57" s="281">
        <v>2.09389953</v>
      </c>
      <c r="FO57" s="258">
        <f>SUM(ET57:FN57)</f>
        <v>23.21601141</v>
      </c>
      <c r="FP57" s="261">
        <f t="shared" si="25"/>
        <v>0.11892179213487042</v>
      </c>
    </row>
    <row r="58" spans="1:172" ht="12.75">
      <c r="A58" s="263">
        <v>37347</v>
      </c>
      <c r="B58" s="281">
        <v>24.34000015</v>
      </c>
      <c r="C58" s="281">
        <v>22.79999924</v>
      </c>
      <c r="D58" s="255">
        <f t="shared" si="26"/>
        <v>23.569999695</v>
      </c>
      <c r="E58" s="255">
        <v>1.08</v>
      </c>
      <c r="F58" s="77">
        <v>0.07</v>
      </c>
      <c r="G58" s="261">
        <f t="shared" si="27"/>
        <v>0.12254985762971526</v>
      </c>
      <c r="H58" s="277">
        <f t="shared" si="0"/>
        <v>0.006791835980986393</v>
      </c>
      <c r="I58" s="281">
        <v>24.54999924</v>
      </c>
      <c r="J58" s="281">
        <v>23.44000053</v>
      </c>
      <c r="K58" s="258">
        <f t="shared" si="28"/>
        <v>23.994999885</v>
      </c>
      <c r="L58" s="259">
        <v>1.18</v>
      </c>
      <c r="M58" s="256">
        <v>0.06</v>
      </c>
      <c r="N58" s="261">
        <f t="shared" si="29"/>
        <v>0.11594545431309689</v>
      </c>
      <c r="O58" s="208">
        <f t="shared" si="1"/>
        <v>0.004695786662375542</v>
      </c>
      <c r="U58" s="261"/>
      <c r="W58" s="281">
        <v>29.25</v>
      </c>
      <c r="X58" s="281">
        <v>26.45000076</v>
      </c>
      <c r="Y58" s="258">
        <f t="shared" si="31"/>
        <v>27.85000038</v>
      </c>
      <c r="Z58" s="258">
        <v>0.7</v>
      </c>
      <c r="AA58" s="256">
        <v>0.074</v>
      </c>
      <c r="AB58" s="261">
        <f t="shared" si="32"/>
        <v>0.10269855327557664</v>
      </c>
      <c r="AC58" s="208">
        <f t="shared" si="4"/>
        <v>0.0032398661729578465</v>
      </c>
      <c r="AD58" s="123">
        <v>37.55</v>
      </c>
      <c r="AE58" s="123">
        <v>34</v>
      </c>
      <c r="AF58" s="258">
        <f t="shared" si="5"/>
        <v>35.775</v>
      </c>
      <c r="AG58" s="123">
        <v>0.64</v>
      </c>
      <c r="AH58" s="256">
        <v>0.0981</v>
      </c>
      <c r="AI58" s="261">
        <f t="shared" si="33"/>
        <v>0.11892496390671825</v>
      </c>
      <c r="AJ58" s="208">
        <f t="shared" si="6"/>
        <v>0.011562700525556168</v>
      </c>
      <c r="AK58" s="255">
        <v>37.45000076</v>
      </c>
      <c r="AL58" s="255">
        <v>34.34999847</v>
      </c>
      <c r="AM58" s="258">
        <f t="shared" si="34"/>
        <v>35.899999615</v>
      </c>
      <c r="AN58" s="258">
        <v>1.78</v>
      </c>
      <c r="AO58" s="256">
        <v>0.0671</v>
      </c>
      <c r="AP58" s="261">
        <f t="shared" si="54"/>
        <v>0.12389337584147331</v>
      </c>
      <c r="AQ58" s="208">
        <f t="shared" si="52"/>
        <v>0.024824297695704597</v>
      </c>
      <c r="AT58" s="258"/>
      <c r="AU58" s="258"/>
      <c r="AW58" s="261"/>
      <c r="AX58" s="208"/>
      <c r="AY58" s="255">
        <v>32.90000153</v>
      </c>
      <c r="AZ58" s="255">
        <v>30.29000092</v>
      </c>
      <c r="BA58" s="258">
        <f t="shared" si="36"/>
        <v>31.595001224999997</v>
      </c>
      <c r="BB58" s="255">
        <v>1.2</v>
      </c>
      <c r="BC58" s="256">
        <v>0.0633</v>
      </c>
      <c r="BD58" s="261">
        <f t="shared" si="37"/>
        <v>0.1064519780664408</v>
      </c>
      <c r="BE58" s="208">
        <f t="shared" si="7"/>
        <v>0.0037440247448404847</v>
      </c>
      <c r="BF58" s="255">
        <v>49</v>
      </c>
      <c r="BG58" s="255">
        <v>44.99000168</v>
      </c>
      <c r="BH58" s="258">
        <f t="shared" si="38"/>
        <v>46.99500084</v>
      </c>
      <c r="BI58" s="258">
        <v>1.76</v>
      </c>
      <c r="BJ58" s="256">
        <v>0.058</v>
      </c>
      <c r="BK58" s="261">
        <f t="shared" si="39"/>
        <v>0.10032900008459267</v>
      </c>
      <c r="BL58" s="208">
        <f t="shared" si="8"/>
        <v>0.008554359656494696</v>
      </c>
      <c r="BR58" s="261"/>
      <c r="BS58" s="208"/>
      <c r="BT58" s="260">
        <v>26.90999985</v>
      </c>
      <c r="BU58" s="260">
        <v>24.5</v>
      </c>
      <c r="BV58" s="258">
        <f aca="true" t="shared" si="73" ref="BV58:BV63">AVERAGE(BT58:BU58)</f>
        <v>25.704999925</v>
      </c>
      <c r="BW58" s="49">
        <v>0.98</v>
      </c>
      <c r="BX58" s="256">
        <v>0.0733</v>
      </c>
      <c r="BY58" s="261">
        <f t="shared" si="10"/>
        <v>0.11480817642756791</v>
      </c>
      <c r="BZ58" s="208">
        <f aca="true" t="shared" si="74" ref="BZ58:BZ68">BY58*($FD58/$FO58)</f>
        <v>0.0014683348261813284</v>
      </c>
      <c r="CA58" s="255">
        <v>21.95000076</v>
      </c>
      <c r="CB58" s="255">
        <v>20.28000069</v>
      </c>
      <c r="CC58" s="258">
        <f t="shared" si="42"/>
        <v>21.115000725</v>
      </c>
      <c r="CD58" s="258">
        <v>0.62</v>
      </c>
      <c r="CE58" s="256">
        <v>0.092</v>
      </c>
      <c r="CF58" s="261">
        <f t="shared" si="69"/>
        <v>0.12614523580859904</v>
      </c>
      <c r="CG58" s="208">
        <f t="shared" si="12"/>
        <v>0.006453318871813239</v>
      </c>
      <c r="CH58" s="255">
        <v>40.18000031</v>
      </c>
      <c r="CI58" s="255">
        <v>38.00999832</v>
      </c>
      <c r="CJ58" s="258">
        <f t="shared" si="44"/>
        <v>39.094999314999995</v>
      </c>
      <c r="CK58" s="258">
        <v>2.08</v>
      </c>
      <c r="CL58" s="256">
        <v>0.0558</v>
      </c>
      <c r="CM58" s="261">
        <f t="shared" si="45"/>
        <v>0.11618237807285059</v>
      </c>
      <c r="CN58" s="208">
        <f t="shared" si="13"/>
        <v>0.006934247255138778</v>
      </c>
      <c r="CO58" s="255">
        <v>37.95000076</v>
      </c>
      <c r="CP58" s="255">
        <v>35</v>
      </c>
      <c r="CQ58" s="258">
        <f t="shared" si="14"/>
        <v>36.47500038</v>
      </c>
      <c r="CR58" s="258">
        <v>1.6</v>
      </c>
      <c r="CS58" s="256">
        <v>0.045</v>
      </c>
      <c r="CT58" s="261">
        <f t="shared" si="46"/>
        <v>0.09409418168628347</v>
      </c>
      <c r="CU58" s="208">
        <f t="shared" si="15"/>
        <v>0.004412517906857912</v>
      </c>
      <c r="CV58" s="262"/>
      <c r="CW58" s="262"/>
      <c r="CX58" s="262"/>
      <c r="CY58" s="262"/>
      <c r="DA58" s="261"/>
      <c r="DB58" s="208"/>
      <c r="DC58" s="260">
        <v>35.5</v>
      </c>
      <c r="DD58" s="260">
        <v>31.70000076</v>
      </c>
      <c r="DE58" s="258">
        <f t="shared" si="17"/>
        <v>33.60000038</v>
      </c>
      <c r="DF58" s="258">
        <v>1.5</v>
      </c>
      <c r="DG58" s="261">
        <v>0.0533</v>
      </c>
      <c r="DH58" s="261">
        <f t="shared" si="63"/>
        <v>0.10367627969969795</v>
      </c>
      <c r="DI58" s="208">
        <f t="shared" si="62"/>
        <v>0.0016574548179940074</v>
      </c>
      <c r="DO58" s="261"/>
      <c r="DP58" s="208"/>
      <c r="DQ58" s="255">
        <v>33.20999908</v>
      </c>
      <c r="DR58" s="255">
        <v>30.98999977</v>
      </c>
      <c r="DS58" s="258">
        <f t="shared" si="20"/>
        <v>32.099999425</v>
      </c>
      <c r="DT58" s="258">
        <v>1.6</v>
      </c>
      <c r="DU58" s="256">
        <v>0.0617</v>
      </c>
      <c r="DV58" s="261">
        <f t="shared" si="70"/>
        <v>0.11851049949278791</v>
      </c>
      <c r="DW58" s="208">
        <f t="shared" si="56"/>
        <v>0.0041681352538838635</v>
      </c>
      <c r="DX58" s="255">
        <v>27.95000076</v>
      </c>
      <c r="DY58" s="255">
        <v>26.25</v>
      </c>
      <c r="DZ58" s="258">
        <f t="shared" si="21"/>
        <v>27.10000038</v>
      </c>
      <c r="EA58" s="258">
        <v>1.26</v>
      </c>
      <c r="EB58" s="256">
        <v>0.038</v>
      </c>
      <c r="EC58" s="261">
        <f t="shared" si="48"/>
        <v>0.08974130897735155</v>
      </c>
      <c r="ED58" s="208">
        <f t="shared" si="22"/>
        <v>0.004923817786908215</v>
      </c>
      <c r="EE58" s="123">
        <v>24.98</v>
      </c>
      <c r="EF58" s="123">
        <v>23.1</v>
      </c>
      <c r="EG58" s="258">
        <f>AVERAGE(EE58:EF58)</f>
        <v>24.04</v>
      </c>
      <c r="EH58" s="278">
        <f t="shared" si="71"/>
        <v>1.0099999904</v>
      </c>
      <c r="EI58" s="256">
        <v>0.0757</v>
      </c>
      <c r="EJ58" s="261">
        <f t="shared" si="50"/>
        <v>0.12406711555129424</v>
      </c>
      <c r="EK58" s="208">
        <f t="shared" si="23"/>
        <v>0.01003331298186837</v>
      </c>
      <c r="EL58" s="279">
        <v>29.45</v>
      </c>
      <c r="EM58" s="279">
        <v>25.68</v>
      </c>
      <c r="EN58" s="279">
        <f>AVERAGE(EL58:EM58)</f>
        <v>27.564999999999998</v>
      </c>
      <c r="EO58" s="278">
        <f t="shared" si="72"/>
        <v>0.72</v>
      </c>
      <c r="EP58" s="256">
        <v>0.0975</v>
      </c>
      <c r="EQ58" s="261">
        <f t="shared" si="51"/>
        <v>0.12798812098398815</v>
      </c>
      <c r="ER58" s="208">
        <f t="shared" si="24"/>
        <v>0.012425297726691618</v>
      </c>
      <c r="ET58" s="262">
        <v>1.3</v>
      </c>
      <c r="EU58" s="262">
        <v>0.95</v>
      </c>
      <c r="EW58" s="262">
        <v>0.74</v>
      </c>
      <c r="EX58" s="280">
        <v>2.2806320500000004</v>
      </c>
      <c r="EY58" s="262">
        <v>4.7</v>
      </c>
      <c r="FA58" s="262">
        <v>0.825</v>
      </c>
      <c r="FB58" s="262">
        <v>2</v>
      </c>
      <c r="FD58" s="262">
        <v>0.3</v>
      </c>
      <c r="FE58" s="258">
        <v>1.2</v>
      </c>
      <c r="FF58" s="258">
        <v>1.4</v>
      </c>
      <c r="FG58" s="258">
        <v>1.1</v>
      </c>
      <c r="FI58" s="258">
        <v>0.375</v>
      </c>
      <c r="FK58" s="258">
        <v>0.825</v>
      </c>
      <c r="FL58" s="258">
        <v>1.287</v>
      </c>
      <c r="FM58" s="281">
        <v>1.89695334</v>
      </c>
      <c r="FN58" s="281">
        <v>2.2772259</v>
      </c>
      <c r="FO58" s="258">
        <f>SUM(ET58:FN58)</f>
        <v>23.45681129</v>
      </c>
      <c r="FP58" s="261">
        <f t="shared" si="25"/>
        <v>0.11588930886625307</v>
      </c>
    </row>
    <row r="59" spans="1:172" ht="12.75">
      <c r="A59" s="263">
        <v>37377</v>
      </c>
      <c r="B59" s="281">
        <v>24.17000008</v>
      </c>
      <c r="C59" s="281">
        <v>22.79999924</v>
      </c>
      <c r="D59" s="255">
        <f t="shared" si="26"/>
        <v>23.48499966</v>
      </c>
      <c r="E59" s="255">
        <v>1.08</v>
      </c>
      <c r="F59" s="77">
        <v>0.07</v>
      </c>
      <c r="G59" s="261">
        <f t="shared" si="27"/>
        <v>0.12274349866016498</v>
      </c>
      <c r="H59" s="277">
        <f t="shared" si="0"/>
        <v>0.006601836861568624</v>
      </c>
      <c r="I59" s="281">
        <v>24.29000092</v>
      </c>
      <c r="J59" s="281">
        <v>22.72999954</v>
      </c>
      <c r="K59" s="258">
        <f t="shared" si="28"/>
        <v>23.510000230000003</v>
      </c>
      <c r="L59" s="259">
        <v>1.18</v>
      </c>
      <c r="M59" s="256">
        <v>0.076</v>
      </c>
      <c r="N59" s="261">
        <f t="shared" si="29"/>
        <v>0.1339846260269857</v>
      </c>
      <c r="O59" s="208">
        <f t="shared" si="1"/>
        <v>0.005266250476755295</v>
      </c>
      <c r="U59" s="261"/>
      <c r="W59" s="281">
        <v>29.20000076</v>
      </c>
      <c r="X59" s="281">
        <v>26</v>
      </c>
      <c r="Y59" s="258">
        <f t="shared" si="31"/>
        <v>27.60000038</v>
      </c>
      <c r="Z59" s="258">
        <v>0.7</v>
      </c>
      <c r="AA59" s="256">
        <v>0.072</v>
      </c>
      <c r="AB59" s="261">
        <f t="shared" si="32"/>
        <v>0.10090717233111479</v>
      </c>
      <c r="AC59" s="208">
        <f t="shared" si="4"/>
        <v>0.003089418151243729</v>
      </c>
      <c r="AD59" s="123">
        <v>37.27</v>
      </c>
      <c r="AE59" s="123">
        <v>35.45</v>
      </c>
      <c r="AF59" s="258">
        <f t="shared" si="5"/>
        <v>36.36</v>
      </c>
      <c r="AG59" s="123">
        <f>0.17*4</f>
        <v>0.68</v>
      </c>
      <c r="AH59" s="256">
        <v>0.1019</v>
      </c>
      <c r="AI59" s="261">
        <f t="shared" si="33"/>
        <v>0.1237528655719855</v>
      </c>
      <c r="AJ59" s="208">
        <f t="shared" si="6"/>
        <v>0.011683196307284758</v>
      </c>
      <c r="AK59" s="255">
        <v>38.20000076</v>
      </c>
      <c r="AL59" s="255">
        <v>35.15000153</v>
      </c>
      <c r="AM59" s="258">
        <f t="shared" si="34"/>
        <v>36.675001144999996</v>
      </c>
      <c r="AN59" s="258">
        <v>1.78</v>
      </c>
      <c r="AO59" s="256">
        <v>0.0671</v>
      </c>
      <c r="AP59" s="261">
        <f t="shared" si="54"/>
        <v>0.12267030339645824</v>
      </c>
      <c r="AQ59" s="208">
        <f t="shared" si="52"/>
        <v>0.02385394618249513</v>
      </c>
      <c r="AT59" s="258"/>
      <c r="AU59" s="258"/>
      <c r="AW59" s="261"/>
      <c r="AX59" s="208"/>
      <c r="AY59" s="255">
        <v>32.59000015</v>
      </c>
      <c r="AZ59" s="255">
        <v>30.20000076</v>
      </c>
      <c r="BA59" s="258">
        <f t="shared" si="36"/>
        <v>31.395000455</v>
      </c>
      <c r="BB59" s="255">
        <v>1.2</v>
      </c>
      <c r="BC59" s="256">
        <v>0.0667</v>
      </c>
      <c r="BD59" s="261">
        <f t="shared" si="37"/>
        <v>0.11026989174374124</v>
      </c>
      <c r="BE59" s="208">
        <f t="shared" si="7"/>
        <v>0.0037638632362780784</v>
      </c>
      <c r="BF59" s="255">
        <v>49</v>
      </c>
      <c r="BG59" s="255">
        <v>46.04999924</v>
      </c>
      <c r="BH59" s="258">
        <f t="shared" si="38"/>
        <v>47.52499962</v>
      </c>
      <c r="BI59" s="258">
        <v>1.84</v>
      </c>
      <c r="BJ59" s="256">
        <v>0.058</v>
      </c>
      <c r="BK59" s="261">
        <f t="shared" si="39"/>
        <v>0.10178136658693848</v>
      </c>
      <c r="BL59" s="208">
        <f t="shared" si="8"/>
        <v>0.008422115851840366</v>
      </c>
      <c r="BR59" s="261"/>
      <c r="BS59" s="208"/>
      <c r="BT59" s="260">
        <v>27.25</v>
      </c>
      <c r="BU59" s="260">
        <v>25.35000038</v>
      </c>
      <c r="BV59" s="258">
        <f t="shared" si="73"/>
        <v>26.30000019</v>
      </c>
      <c r="BW59" s="49">
        <v>0.98</v>
      </c>
      <c r="BX59" s="256">
        <v>0.0733</v>
      </c>
      <c r="BY59" s="261">
        <f t="shared" si="10"/>
        <v>0.113856013823316</v>
      </c>
      <c r="BZ59" s="208">
        <f t="shared" si="74"/>
        <v>0.0014131887363139828</v>
      </c>
      <c r="CA59" s="255">
        <v>23.13999939</v>
      </c>
      <c r="CB59" s="255">
        <v>20.77000046</v>
      </c>
      <c r="CC59" s="258">
        <f t="shared" si="42"/>
        <v>21.954999925</v>
      </c>
      <c r="CD59" s="258">
        <v>0.62</v>
      </c>
      <c r="CE59" s="256">
        <v>0.092</v>
      </c>
      <c r="CF59" s="261">
        <f t="shared" si="69"/>
        <v>0.12482429682059104</v>
      </c>
      <c r="CG59" s="208">
        <f t="shared" si="12"/>
        <v>0.006197311300882674</v>
      </c>
      <c r="CH59" s="255">
        <v>40.45000076</v>
      </c>
      <c r="CI59" s="255">
        <v>38</v>
      </c>
      <c r="CJ59" s="258">
        <f t="shared" si="44"/>
        <v>39.22500038</v>
      </c>
      <c r="CK59" s="258">
        <v>2.08</v>
      </c>
      <c r="CL59" s="256">
        <v>0.0558</v>
      </c>
      <c r="CM59" s="261">
        <f t="shared" si="45"/>
        <v>0.11597807756420031</v>
      </c>
      <c r="CN59" s="208">
        <f t="shared" si="13"/>
        <v>0.006717797046668272</v>
      </c>
      <c r="CO59" s="255">
        <v>38</v>
      </c>
      <c r="CP59" s="255">
        <v>35</v>
      </c>
      <c r="CQ59" s="258">
        <f t="shared" si="14"/>
        <v>36.5</v>
      </c>
      <c r="CR59" s="258">
        <v>1.6</v>
      </c>
      <c r="CS59" s="256">
        <v>0.045</v>
      </c>
      <c r="CT59" s="261">
        <f t="shared" si="46"/>
        <v>0.09405997534477395</v>
      </c>
      <c r="CU59" s="208">
        <f t="shared" si="15"/>
        <v>0.004280756092855677</v>
      </c>
      <c r="CV59" s="262"/>
      <c r="CW59" s="262"/>
      <c r="CX59" s="262"/>
      <c r="CY59" s="262"/>
      <c r="DA59" s="261"/>
      <c r="DB59" s="208"/>
      <c r="DC59" s="260">
        <v>36.65000153</v>
      </c>
      <c r="DD59" s="260">
        <v>34.18999863</v>
      </c>
      <c r="DE59" s="258">
        <f t="shared" si="17"/>
        <v>35.420000079999994</v>
      </c>
      <c r="DF59" s="258">
        <v>1.5</v>
      </c>
      <c r="DG59" s="261">
        <v>0.0533</v>
      </c>
      <c r="DH59" s="261">
        <f t="shared" si="63"/>
        <v>0.10104460787132008</v>
      </c>
      <c r="DI59" s="208">
        <f t="shared" si="62"/>
        <v>0.0015677158469051644</v>
      </c>
      <c r="DJ59" s="255">
        <v>24.75</v>
      </c>
      <c r="DK59" s="255">
        <v>23.39999962</v>
      </c>
      <c r="DL59" s="258">
        <f aca="true" t="shared" si="75" ref="DL59:DL82">AVERAGE(DJ59:DK59)</f>
        <v>24.07499981</v>
      </c>
      <c r="DM59" s="258">
        <v>0.82</v>
      </c>
      <c r="DN59" s="256">
        <v>0.05</v>
      </c>
      <c r="DO59" s="261">
        <f aca="true" t="shared" si="76" ref="DO59:DO82">+((((((DM59/4)*(1+DN59)^0.25))/(DL59*0.95))+(1+DN59)^(0.25))^4)-1</f>
        <v>0.08815468460023546</v>
      </c>
      <c r="DP59" s="208">
        <f aca="true" t="shared" si="77" ref="DP59:DP82">DO59*($FJ59/$FO59)</f>
        <v>0.002826636978844143</v>
      </c>
      <c r="DQ59" s="255">
        <v>32.95000076</v>
      </c>
      <c r="DR59" s="255">
        <v>31</v>
      </c>
      <c r="DS59" s="258">
        <f t="shared" si="20"/>
        <v>31.97500038</v>
      </c>
      <c r="DT59" s="258">
        <v>1.6</v>
      </c>
      <c r="DU59" s="256">
        <v>0.0617</v>
      </c>
      <c r="DV59" s="261">
        <f t="shared" si="70"/>
        <v>0.1187369644264229</v>
      </c>
      <c r="DW59" s="208">
        <f t="shared" si="56"/>
        <v>0.00405287144228322</v>
      </c>
      <c r="DX59" s="255">
        <v>27.39999962</v>
      </c>
      <c r="DY59" s="255">
        <v>25.68000031</v>
      </c>
      <c r="DZ59" s="258">
        <f t="shared" si="21"/>
        <v>26.539999965</v>
      </c>
      <c r="EA59" s="258">
        <v>1.272</v>
      </c>
      <c r="EB59" s="256">
        <v>0.038</v>
      </c>
      <c r="EC59" s="261">
        <f t="shared" si="48"/>
        <v>0.09136635411478955</v>
      </c>
      <c r="ED59" s="208">
        <f t="shared" si="22"/>
        <v>0.004865055285008979</v>
      </c>
      <c r="EE59" s="123">
        <v>23.9</v>
      </c>
      <c r="EF59" s="123">
        <v>22.02</v>
      </c>
      <c r="EG59" s="258">
        <f>AVERAGE(EE59:EF59)</f>
        <v>22.96</v>
      </c>
      <c r="EH59" s="278">
        <f t="shared" si="71"/>
        <v>1.0099999904</v>
      </c>
      <c r="EI59" s="256">
        <v>0.0757</v>
      </c>
      <c r="EJ59" s="261">
        <f t="shared" si="50"/>
        <v>0.1263816690206876</v>
      </c>
      <c r="EK59" s="208">
        <f t="shared" si="23"/>
        <v>0.009711361798148004</v>
      </c>
      <c r="EL59" s="279">
        <v>29.1</v>
      </c>
      <c r="EM59" s="279">
        <v>26.8</v>
      </c>
      <c r="EN59" s="279">
        <f>AVERAGE(EL59:EM59)</f>
        <v>27.950000000000003</v>
      </c>
      <c r="EO59" s="278">
        <f t="shared" si="72"/>
        <v>0.72</v>
      </c>
      <c r="EP59" s="256">
        <v>0.0975</v>
      </c>
      <c r="EQ59" s="261">
        <f t="shared" si="51"/>
        <v>0.12756389420570313</v>
      </c>
      <c r="ER59" s="208">
        <f t="shared" si="24"/>
        <v>0.011895731990289659</v>
      </c>
      <c r="ET59" s="262">
        <v>1.3</v>
      </c>
      <c r="EU59" s="262">
        <v>0.95</v>
      </c>
      <c r="EW59" s="262">
        <v>0.74</v>
      </c>
      <c r="EX59" s="280">
        <v>2.28183098</v>
      </c>
      <c r="EY59" s="262">
        <v>4.7</v>
      </c>
      <c r="FA59" s="262">
        <v>0.825</v>
      </c>
      <c r="FB59" s="262">
        <v>2</v>
      </c>
      <c r="FD59" s="262">
        <v>0.3</v>
      </c>
      <c r="FE59" s="258">
        <v>1.2</v>
      </c>
      <c r="FF59" s="258">
        <v>1.4</v>
      </c>
      <c r="FG59" s="258">
        <v>1.1</v>
      </c>
      <c r="FI59" s="258">
        <v>0.375</v>
      </c>
      <c r="FJ59" s="258">
        <v>0.775</v>
      </c>
      <c r="FK59" s="258">
        <v>0.825</v>
      </c>
      <c r="FL59" s="258">
        <v>1.287</v>
      </c>
      <c r="FM59" s="281">
        <v>1.85726173</v>
      </c>
      <c r="FN59" s="281">
        <v>2.25393021</v>
      </c>
      <c r="FO59" s="258">
        <f>SUM(ET59:FN59)</f>
        <v>24.170022919999997</v>
      </c>
      <c r="FP59" s="261">
        <f t="shared" si="25"/>
        <v>0.11620905358566577</v>
      </c>
    </row>
    <row r="60" spans="1:172" ht="12.75">
      <c r="A60" s="263">
        <v>37408</v>
      </c>
      <c r="B60" s="255">
        <v>23.5</v>
      </c>
      <c r="C60" s="255">
        <v>21.51000023</v>
      </c>
      <c r="D60" s="255">
        <f t="shared" si="26"/>
        <v>22.505000115</v>
      </c>
      <c r="E60" s="255">
        <v>1.08</v>
      </c>
      <c r="F60" s="77">
        <v>0.07</v>
      </c>
      <c r="G60" s="261">
        <f t="shared" si="27"/>
        <v>0.12508369330749436</v>
      </c>
      <c r="H60" s="277">
        <f t="shared" si="0"/>
        <v>0.0064072522432589525</v>
      </c>
      <c r="I60" s="255">
        <v>23.64999962</v>
      </c>
      <c r="J60" s="255">
        <v>21</v>
      </c>
      <c r="K60" s="258">
        <f t="shared" si="28"/>
        <v>22.32499981</v>
      </c>
      <c r="L60" s="259">
        <v>1.18</v>
      </c>
      <c r="M60" s="256">
        <v>0.0733</v>
      </c>
      <c r="N60" s="261">
        <f t="shared" si="29"/>
        <v>0.13427313896643533</v>
      </c>
      <c r="O60" s="208">
        <f t="shared" si="1"/>
        <v>0.004761671432160836</v>
      </c>
      <c r="U60" s="261"/>
      <c r="W60" s="255">
        <v>27.80999947</v>
      </c>
      <c r="X60" s="255">
        <v>24.70000076</v>
      </c>
      <c r="Y60" s="258">
        <f t="shared" si="31"/>
        <v>26.255000115</v>
      </c>
      <c r="Z60" s="258">
        <v>0.7</v>
      </c>
      <c r="AA60" s="256">
        <v>0.072</v>
      </c>
      <c r="AB60" s="261">
        <f t="shared" si="32"/>
        <v>0.10240361012329813</v>
      </c>
      <c r="AC60" s="208">
        <f t="shared" si="4"/>
        <v>0.003530620950442896</v>
      </c>
      <c r="AD60" s="123">
        <v>36.22</v>
      </c>
      <c r="AE60" s="123">
        <v>33.54</v>
      </c>
      <c r="AF60" s="258">
        <f t="shared" si="5"/>
        <v>34.879999999999995</v>
      </c>
      <c r="AG60" s="123">
        <f aca="true" t="shared" si="78" ref="AG60:AG70">0.17*4</f>
        <v>0.68</v>
      </c>
      <c r="AH60" s="256">
        <v>0.1019</v>
      </c>
      <c r="AI60" s="261">
        <f t="shared" si="33"/>
        <v>0.12468723946817883</v>
      </c>
      <c r="AJ60" s="208">
        <f t="shared" si="6"/>
        <v>0.010675387964821797</v>
      </c>
      <c r="AK60" s="255">
        <v>38</v>
      </c>
      <c r="AL60" s="255">
        <v>35.59999847</v>
      </c>
      <c r="AM60" s="258">
        <f t="shared" si="34"/>
        <v>36.799999235</v>
      </c>
      <c r="AN60" s="258">
        <v>1.78</v>
      </c>
      <c r="AO60" s="256">
        <v>0.0671</v>
      </c>
      <c r="AP60" s="261">
        <f t="shared" si="54"/>
        <v>0.12247795242718729</v>
      </c>
      <c r="AQ60" s="208">
        <f t="shared" si="52"/>
        <v>0.02509510599466257</v>
      </c>
      <c r="AT60" s="258"/>
      <c r="AU60" s="258"/>
      <c r="AW60" s="261"/>
      <c r="AX60" s="208"/>
      <c r="AY60" s="255">
        <v>30.70000076</v>
      </c>
      <c r="AZ60" s="255">
        <v>28.45000076</v>
      </c>
      <c r="BA60" s="258">
        <f t="shared" si="36"/>
        <v>29.57500076</v>
      </c>
      <c r="BB60" s="255">
        <v>1.2</v>
      </c>
      <c r="BC60" s="256">
        <v>0.0667</v>
      </c>
      <c r="BD60" s="261">
        <f t="shared" si="37"/>
        <v>0.11299400333188969</v>
      </c>
      <c r="BE60" s="208">
        <f t="shared" si="7"/>
        <v>0.0035618297437099698</v>
      </c>
      <c r="BF60" s="255">
        <v>48.70000076</v>
      </c>
      <c r="BG60" s="255">
        <v>45.75</v>
      </c>
      <c r="BH60" s="258">
        <f t="shared" si="38"/>
        <v>47.22500038</v>
      </c>
      <c r="BI60" s="258">
        <v>1.84</v>
      </c>
      <c r="BJ60" s="256">
        <v>0.058</v>
      </c>
      <c r="BK60" s="261">
        <f t="shared" si="39"/>
        <v>0.10206376028610187</v>
      </c>
      <c r="BL60" s="208">
        <f t="shared" si="8"/>
        <v>0.008445369062591883</v>
      </c>
      <c r="BM60" s="255">
        <v>30.10000038</v>
      </c>
      <c r="BN60" s="255">
        <v>27.60000038</v>
      </c>
      <c r="BO60" s="258">
        <f>AVERAGE(BM60:BN60)</f>
        <v>28.85000038</v>
      </c>
      <c r="BP60" s="258">
        <v>1.26</v>
      </c>
      <c r="BQ60" s="256">
        <v>0.053</v>
      </c>
      <c r="BR60" s="261">
        <f aca="true" t="shared" si="79" ref="BR60:BR85">+((((((BP60/4)*(1+BQ60)^0.25))/(BO60*0.95))+(1+BQ60)^(0.25))^4)-1</f>
        <v>0.10225035758316059</v>
      </c>
      <c r="BS60" s="208">
        <f aca="true" t="shared" si="80" ref="BS60:BS85">BR60*($FC60/$FO60)</f>
        <v>0.0029209936677937684</v>
      </c>
      <c r="BT60" s="260">
        <v>27.5</v>
      </c>
      <c r="BU60" s="260">
        <v>24.23999977</v>
      </c>
      <c r="BV60" s="258">
        <f t="shared" si="73"/>
        <v>25.869999885</v>
      </c>
      <c r="BW60" s="49">
        <v>0.98</v>
      </c>
      <c r="BX60" s="256">
        <v>0.0733</v>
      </c>
      <c r="BY60" s="261">
        <f t="shared" si="10"/>
        <v>0.114539680907072</v>
      </c>
      <c r="BZ60" s="208">
        <f t="shared" si="74"/>
        <v>0.0018052765202572418</v>
      </c>
      <c r="CA60" s="255">
        <v>22</v>
      </c>
      <c r="CB60" s="255">
        <v>19.70000076</v>
      </c>
      <c r="CC60" s="258">
        <f t="shared" si="42"/>
        <v>20.85000038</v>
      </c>
      <c r="CD60" s="258">
        <v>0.62</v>
      </c>
      <c r="CE60" s="256">
        <v>0.092</v>
      </c>
      <c r="CF60" s="261">
        <f t="shared" si="69"/>
        <v>0.12658430433353884</v>
      </c>
      <c r="CG60" s="208">
        <f t="shared" si="12"/>
        <v>0.006484119124213983</v>
      </c>
      <c r="CH60" s="255">
        <v>39.40000153</v>
      </c>
      <c r="CI60" s="255">
        <v>36.04999924</v>
      </c>
      <c r="CJ60" s="258">
        <f t="shared" si="44"/>
        <v>37.725000385</v>
      </c>
      <c r="CK60" s="258">
        <v>2.08</v>
      </c>
      <c r="CL60" s="256">
        <v>0.0575</v>
      </c>
      <c r="CM60" s="261">
        <f t="shared" si="45"/>
        <v>0.12022364836317334</v>
      </c>
      <c r="CN60" s="208">
        <f t="shared" si="13"/>
        <v>0.0066320182444916135</v>
      </c>
      <c r="CO60" s="255">
        <v>37.93999863</v>
      </c>
      <c r="CP60" s="255">
        <v>33.68000031</v>
      </c>
      <c r="CQ60" s="258">
        <f t="shared" si="14"/>
        <v>35.809999469999994</v>
      </c>
      <c r="CR60" s="258">
        <v>1.6</v>
      </c>
      <c r="CS60" s="256">
        <v>0.045</v>
      </c>
      <c r="CT60" s="261">
        <f t="shared" si="46"/>
        <v>0.09502192354757732</v>
      </c>
      <c r="CU60" s="208">
        <f t="shared" si="15"/>
        <v>0.004118549369633383</v>
      </c>
      <c r="CV60" s="262"/>
      <c r="CW60" s="262"/>
      <c r="CX60" s="262"/>
      <c r="CY60" s="262"/>
      <c r="DA60" s="261"/>
      <c r="DB60" s="208"/>
      <c r="DC60" s="260">
        <v>35.04999924</v>
      </c>
      <c r="DD60" s="260">
        <v>32.29999924</v>
      </c>
      <c r="DE60" s="258">
        <f t="shared" si="17"/>
        <v>33.67499924</v>
      </c>
      <c r="DF60" s="258">
        <v>1.5</v>
      </c>
      <c r="DG60" s="261">
        <v>0.0533</v>
      </c>
      <c r="DH60" s="261">
        <f t="shared" si="63"/>
        <v>0.10356211603675591</v>
      </c>
      <c r="DI60" s="208">
        <f t="shared" si="62"/>
        <v>0.001632257528471673</v>
      </c>
      <c r="DJ60" s="255">
        <v>24.75</v>
      </c>
      <c r="DK60" s="255">
        <v>23.01000023</v>
      </c>
      <c r="DL60" s="258">
        <f t="shared" si="75"/>
        <v>23.880000115</v>
      </c>
      <c r="DM60" s="258">
        <v>0.82</v>
      </c>
      <c r="DN60" s="256">
        <v>0.05</v>
      </c>
      <c r="DO60" s="261">
        <f t="shared" si="76"/>
        <v>0.08847046569100403</v>
      </c>
      <c r="DP60" s="208">
        <f t="shared" si="77"/>
        <v>0.0027016419379099978</v>
      </c>
      <c r="DQ60" s="255">
        <v>32.47000122</v>
      </c>
      <c r="DR60" s="255">
        <v>29.39999962</v>
      </c>
      <c r="DS60" s="258">
        <f t="shared" si="20"/>
        <v>30.93500042</v>
      </c>
      <c r="DT60" s="258">
        <v>1.6</v>
      </c>
      <c r="DU60" s="256">
        <v>0.0617</v>
      </c>
      <c r="DV60" s="261">
        <f t="shared" si="70"/>
        <v>0.12069355562229145</v>
      </c>
      <c r="DW60" s="208">
        <f t="shared" si="56"/>
        <v>0.003923429053544508</v>
      </c>
      <c r="DX60" s="255">
        <v>26.70000076</v>
      </c>
      <c r="DY60" s="255">
        <v>24.45999908</v>
      </c>
      <c r="DZ60" s="258">
        <f t="shared" si="21"/>
        <v>25.57999992</v>
      </c>
      <c r="EA60" s="258">
        <v>1.272</v>
      </c>
      <c r="EB60" s="256">
        <v>0.038</v>
      </c>
      <c r="EC60" s="261">
        <f t="shared" si="48"/>
        <v>0.09340839795936717</v>
      </c>
      <c r="ED60" s="208">
        <f t="shared" si="22"/>
        <v>0.00473687848530482</v>
      </c>
      <c r="EE60" s="123">
        <v>23.25</v>
      </c>
      <c r="EF60" s="123">
        <v>21.38</v>
      </c>
      <c r="EG60" s="258">
        <f>AVERAGE(EE60:EF60)</f>
        <v>22.314999999999998</v>
      </c>
      <c r="EH60" s="278">
        <f>0.26*4</f>
        <v>1.04</v>
      </c>
      <c r="EI60" s="256">
        <v>0.0757</v>
      </c>
      <c r="EJ60" s="261">
        <f t="shared" si="50"/>
        <v>0.12945085895821973</v>
      </c>
      <c r="EK60" s="208">
        <f t="shared" si="23"/>
        <v>0.009179776447593083</v>
      </c>
      <c r="EL60" s="279">
        <v>27.5</v>
      </c>
      <c r="EM60" s="279">
        <v>23.65</v>
      </c>
      <c r="EN60" s="279">
        <f>AVERAGE(EL60:EM60)</f>
        <v>25.575</v>
      </c>
      <c r="EO60" s="278">
        <f t="shared" si="72"/>
        <v>0.72</v>
      </c>
      <c r="EP60" s="256">
        <v>0.0975</v>
      </c>
      <c r="EQ60" s="261">
        <f t="shared" si="51"/>
        <v>0.1303867544121875</v>
      </c>
      <c r="ER60" s="208">
        <f t="shared" si="24"/>
        <v>0.01037437399422056</v>
      </c>
      <c r="ET60" s="262">
        <v>1.3</v>
      </c>
      <c r="EU60" s="262">
        <v>0.9</v>
      </c>
      <c r="EW60" s="262">
        <v>0.875</v>
      </c>
      <c r="EX60" s="280">
        <v>2.1728707</v>
      </c>
      <c r="EY60" s="262">
        <v>5.2</v>
      </c>
      <c r="FA60" s="262">
        <v>0.8</v>
      </c>
      <c r="FB60" s="262">
        <v>2.1</v>
      </c>
      <c r="FC60" s="262">
        <v>0.725</v>
      </c>
      <c r="FD60" s="262">
        <v>0.4</v>
      </c>
      <c r="FE60" s="258">
        <v>1.3</v>
      </c>
      <c r="FF60" s="258">
        <v>1.4</v>
      </c>
      <c r="FG60" s="258">
        <v>1.1</v>
      </c>
      <c r="FI60" s="258">
        <v>0.4</v>
      </c>
      <c r="FJ60" s="258">
        <v>0.775</v>
      </c>
      <c r="FK60" s="258">
        <v>0.825</v>
      </c>
      <c r="FL60" s="258">
        <v>1.287</v>
      </c>
      <c r="FM60" s="281">
        <v>1.79969701</v>
      </c>
      <c r="FN60" s="281">
        <v>2.0192991</v>
      </c>
      <c r="FO60" s="258">
        <f>SUM(ET60:FN60)</f>
        <v>25.378866809999998</v>
      </c>
      <c r="FP60" s="261">
        <f t="shared" si="25"/>
        <v>0.11698655176508355</v>
      </c>
    </row>
    <row r="61" spans="1:172" ht="12.75">
      <c r="A61" s="263">
        <v>37438</v>
      </c>
      <c r="B61" s="255">
        <v>23.35000038</v>
      </c>
      <c r="C61" s="255">
        <v>17.25</v>
      </c>
      <c r="D61" s="255">
        <f t="shared" si="26"/>
        <v>20.30000019</v>
      </c>
      <c r="E61" s="255">
        <v>1.08</v>
      </c>
      <c r="F61" s="77">
        <v>0.07</v>
      </c>
      <c r="G61" s="261">
        <f t="shared" si="27"/>
        <v>0.13119241870702014</v>
      </c>
      <c r="H61" s="277">
        <f t="shared" si="0"/>
        <v>0.006836335645612695</v>
      </c>
      <c r="I61" s="255">
        <v>23.46999931</v>
      </c>
      <c r="J61" s="255">
        <v>17.55999947</v>
      </c>
      <c r="K61" s="258">
        <f t="shared" si="28"/>
        <v>20.51499939</v>
      </c>
      <c r="L61" s="259">
        <v>1.18</v>
      </c>
      <c r="M61" s="256">
        <v>0.0714</v>
      </c>
      <c r="N61" s="261">
        <f t="shared" si="29"/>
        <v>0.1377569616290486</v>
      </c>
      <c r="O61" s="208">
        <f t="shared" si="1"/>
        <v>0.0049696677061053535</v>
      </c>
      <c r="U61" s="261"/>
      <c r="W61" s="255">
        <v>27.53000069</v>
      </c>
      <c r="X61" s="255">
        <v>21.64999962</v>
      </c>
      <c r="Y61" s="258">
        <f t="shared" si="31"/>
        <v>24.590000155</v>
      </c>
      <c r="Z61" s="258">
        <v>0.7</v>
      </c>
      <c r="AA61" s="256">
        <v>0.074</v>
      </c>
      <c r="AB61" s="261">
        <f t="shared" si="32"/>
        <v>0.10654597199685001</v>
      </c>
      <c r="AC61" s="208">
        <f t="shared" si="4"/>
        <v>0.003736942149891395</v>
      </c>
      <c r="AD61" s="123">
        <v>34.72</v>
      </c>
      <c r="AE61" s="123">
        <v>28.67</v>
      </c>
      <c r="AF61" s="258">
        <f t="shared" si="5"/>
        <v>31.695</v>
      </c>
      <c r="AG61" s="123">
        <f t="shared" si="78"/>
        <v>0.68</v>
      </c>
      <c r="AH61" s="256">
        <v>0.1019</v>
      </c>
      <c r="AI61" s="261">
        <f t="shared" si="33"/>
        <v>0.1269964897378617</v>
      </c>
      <c r="AJ61" s="208">
        <f t="shared" si="6"/>
        <v>0.01102559073059529</v>
      </c>
      <c r="AK61" s="255">
        <v>38.18999863</v>
      </c>
      <c r="AL61" s="255">
        <v>27.40999985</v>
      </c>
      <c r="AM61" s="258">
        <f t="shared" si="34"/>
        <v>32.79999924</v>
      </c>
      <c r="AN61" s="258">
        <v>1.78</v>
      </c>
      <c r="AO61" s="256">
        <v>0.0671</v>
      </c>
      <c r="AP61" s="261">
        <f t="shared" si="54"/>
        <v>0.1293758665334772</v>
      </c>
      <c r="AQ61" s="208">
        <f t="shared" si="52"/>
        <v>0.02696670605761195</v>
      </c>
      <c r="AT61" s="258"/>
      <c r="AU61" s="258"/>
      <c r="AW61" s="261"/>
      <c r="AX61" s="208"/>
      <c r="AY61" s="255">
        <v>31.10000038</v>
      </c>
      <c r="AZ61" s="255">
        <v>24.35000038</v>
      </c>
      <c r="BA61" s="258">
        <f t="shared" si="36"/>
        <v>27.72500038</v>
      </c>
      <c r="BB61" s="255">
        <v>1.2</v>
      </c>
      <c r="BC61" s="256">
        <v>0.0667</v>
      </c>
      <c r="BD61" s="261">
        <f t="shared" si="37"/>
        <v>0.1161357599195545</v>
      </c>
      <c r="BE61" s="208">
        <f t="shared" si="7"/>
        <v>0.0037241506347026063</v>
      </c>
      <c r="BF61" s="255">
        <v>47.83000183</v>
      </c>
      <c r="BG61" s="255">
        <v>18.09000015</v>
      </c>
      <c r="BH61" s="258">
        <f t="shared" si="38"/>
        <v>32.96000099</v>
      </c>
      <c r="BI61" s="258">
        <v>1.84</v>
      </c>
      <c r="BJ61" s="256">
        <v>0.06</v>
      </c>
      <c r="BK61" s="261">
        <f t="shared" si="39"/>
        <v>0.12367533159638477</v>
      </c>
      <c r="BL61" s="208">
        <f t="shared" si="8"/>
        <v>0.01041054975723694</v>
      </c>
      <c r="BM61" s="255">
        <v>30.20000076</v>
      </c>
      <c r="BN61" s="255">
        <v>23.45999908</v>
      </c>
      <c r="BO61" s="258">
        <f>AVERAGE(BM61:BN61)</f>
        <v>26.82999992</v>
      </c>
      <c r="BP61" s="258">
        <v>1.26</v>
      </c>
      <c r="BQ61" s="256">
        <v>0.053</v>
      </c>
      <c r="BR61" s="261">
        <f t="shared" si="79"/>
        <v>0.10602700504859808</v>
      </c>
      <c r="BS61" s="208">
        <f t="shared" si="80"/>
        <v>0.003081241840961911</v>
      </c>
      <c r="BT61" s="260">
        <v>27.45000076</v>
      </c>
      <c r="BU61" s="260">
        <v>15.86999989</v>
      </c>
      <c r="BV61" s="258">
        <f t="shared" si="73"/>
        <v>21.660000325000002</v>
      </c>
      <c r="BW61" s="49">
        <v>0.98</v>
      </c>
      <c r="BX61" s="256">
        <v>0.0767</v>
      </c>
      <c r="BY61" s="261">
        <f t="shared" si="10"/>
        <v>0.1262477429971558</v>
      </c>
      <c r="BZ61" s="208">
        <f t="shared" si="74"/>
        <v>0.00202420689604264</v>
      </c>
      <c r="CA61" s="255">
        <v>22.19000053</v>
      </c>
      <c r="CB61" s="255">
        <v>14.61999989</v>
      </c>
      <c r="CC61" s="258">
        <f t="shared" si="42"/>
        <v>18.40500021</v>
      </c>
      <c r="CD61" s="258">
        <v>0.62</v>
      </c>
      <c r="CE61" s="256">
        <v>0.092</v>
      </c>
      <c r="CF61" s="261">
        <f t="shared" si="69"/>
        <v>0.13123968721725499</v>
      </c>
      <c r="CG61" s="208">
        <f t="shared" si="12"/>
        <v>0.006838798771185181</v>
      </c>
      <c r="CH61" s="255">
        <v>37.97000122</v>
      </c>
      <c r="CI61" s="255">
        <v>29.06999969</v>
      </c>
      <c r="CJ61" s="258">
        <f t="shared" si="44"/>
        <v>33.520000455</v>
      </c>
      <c r="CK61" s="258">
        <v>2.08</v>
      </c>
      <c r="CL61" s="256">
        <v>0.0569</v>
      </c>
      <c r="CM61" s="261">
        <f t="shared" si="45"/>
        <v>0.12764450136404593</v>
      </c>
      <c r="CN61" s="208">
        <f t="shared" si="13"/>
        <v>0.007163106905451482</v>
      </c>
      <c r="CO61" s="255">
        <v>37.70000076</v>
      </c>
      <c r="CP61" s="255">
        <v>27.35000038</v>
      </c>
      <c r="CQ61" s="258">
        <f t="shared" si="14"/>
        <v>32.52500057</v>
      </c>
      <c r="CR61" s="258">
        <v>1.6</v>
      </c>
      <c r="CS61" s="256">
        <v>0.045</v>
      </c>
      <c r="CT61" s="261">
        <f t="shared" si="46"/>
        <v>0.10017208344284012</v>
      </c>
      <c r="CU61" s="208">
        <f t="shared" si="15"/>
        <v>0.0044168299371216534</v>
      </c>
      <c r="CV61" s="262"/>
      <c r="CW61" s="262"/>
      <c r="CX61" s="262"/>
      <c r="CY61" s="262"/>
      <c r="DA61" s="261"/>
      <c r="DB61" s="208"/>
      <c r="DC61" s="260">
        <v>36.04999924</v>
      </c>
      <c r="DD61" s="260">
        <v>28.20000076</v>
      </c>
      <c r="DE61" s="258">
        <f t="shared" si="17"/>
        <v>32.125</v>
      </c>
      <c r="DF61" s="258">
        <v>1.5</v>
      </c>
      <c r="DG61" s="261">
        <v>0.0533</v>
      </c>
      <c r="DH61" s="261">
        <f t="shared" si="63"/>
        <v>0.10603183859426402</v>
      </c>
      <c r="DI61" s="208">
        <f t="shared" si="62"/>
        <v>0.0017000729976410329</v>
      </c>
      <c r="DJ61" s="255">
        <v>24.75</v>
      </c>
      <c r="DK61" s="255">
        <v>18.10000038</v>
      </c>
      <c r="DL61" s="258">
        <f t="shared" si="75"/>
        <v>21.42500019</v>
      </c>
      <c r="DM61" s="258">
        <v>0.82</v>
      </c>
      <c r="DN61" s="256">
        <v>0.05</v>
      </c>
      <c r="DO61" s="261">
        <f t="shared" si="76"/>
        <v>0.09294517488782383</v>
      </c>
      <c r="DP61" s="208">
        <f t="shared" si="77"/>
        <v>0.002887352698528977</v>
      </c>
      <c r="DQ61" s="255">
        <v>33.08000183</v>
      </c>
      <c r="DR61" s="255">
        <v>25.67000008</v>
      </c>
      <c r="DS61" s="258">
        <f t="shared" si="20"/>
        <v>29.375000955</v>
      </c>
      <c r="DT61" s="258">
        <v>1.65</v>
      </c>
      <c r="DU61" s="256">
        <v>0.0617</v>
      </c>
      <c r="DV61" s="261">
        <f t="shared" si="70"/>
        <v>0.1258802797441223</v>
      </c>
      <c r="DW61" s="208">
        <f t="shared" si="56"/>
        <v>0.004162774964027373</v>
      </c>
      <c r="DX61" s="255">
        <v>26.21999931</v>
      </c>
      <c r="DY61" s="255">
        <v>19.25</v>
      </c>
      <c r="DZ61" s="258">
        <f t="shared" si="21"/>
        <v>22.734999655</v>
      </c>
      <c r="EA61" s="258">
        <v>1.272</v>
      </c>
      <c r="EB61" s="256">
        <v>0.044</v>
      </c>
      <c r="EC61" s="261">
        <f t="shared" si="48"/>
        <v>0.10685626346265331</v>
      </c>
      <c r="ED61" s="208">
        <f t="shared" si="22"/>
        <v>0.005512515411832654</v>
      </c>
      <c r="EE61" s="123">
        <v>22.84</v>
      </c>
      <c r="EF61" s="123">
        <v>15.61</v>
      </c>
      <c r="EG61" s="258">
        <f>AVERAGE(EE61:EF61)</f>
        <v>19.225</v>
      </c>
      <c r="EH61" s="278">
        <f aca="true" t="shared" si="81" ref="EH61:EH71">0.26*4</f>
        <v>1.04</v>
      </c>
      <c r="EI61" s="256">
        <v>0.0757</v>
      </c>
      <c r="EJ61" s="261">
        <f t="shared" si="50"/>
        <v>0.13827447638920032</v>
      </c>
      <c r="EK61" s="208">
        <f t="shared" si="23"/>
        <v>0.008574821967851252</v>
      </c>
      <c r="EL61" s="279">
        <v>25.04</v>
      </c>
      <c r="EM61" s="279">
        <v>18.01</v>
      </c>
      <c r="EN61" s="279">
        <f>AVERAGE(EL61:EM61)</f>
        <v>21.525</v>
      </c>
      <c r="EO61" s="278">
        <f t="shared" si="72"/>
        <v>0.72</v>
      </c>
      <c r="EP61" s="256">
        <v>0.0975</v>
      </c>
      <c r="EQ61" s="261">
        <f t="shared" si="51"/>
        <v>0.1366561811212761</v>
      </c>
      <c r="ER61" s="208">
        <f t="shared" si="24"/>
        <v>0.010120750153241162</v>
      </c>
      <c r="ET61" s="262">
        <v>1.3</v>
      </c>
      <c r="EU61" s="262">
        <v>0.9</v>
      </c>
      <c r="EW61" s="262">
        <v>0.875</v>
      </c>
      <c r="EX61" s="280">
        <v>2.16590231</v>
      </c>
      <c r="EY61" s="262">
        <v>5.2</v>
      </c>
      <c r="FA61" s="262">
        <v>0.8</v>
      </c>
      <c r="FB61" s="262">
        <v>2.1</v>
      </c>
      <c r="FC61" s="262">
        <v>0.725</v>
      </c>
      <c r="FD61" s="262">
        <v>0.4</v>
      </c>
      <c r="FE61" s="258">
        <v>1.3</v>
      </c>
      <c r="FF61" s="258">
        <v>1.4</v>
      </c>
      <c r="FG61" s="258">
        <v>1.1</v>
      </c>
      <c r="FI61" s="258">
        <v>0.4</v>
      </c>
      <c r="FJ61" s="258">
        <v>0.775</v>
      </c>
      <c r="FK61" s="258">
        <v>0.825</v>
      </c>
      <c r="FL61" s="258">
        <v>1.287</v>
      </c>
      <c r="FM61" s="281">
        <v>1.5470765499999999</v>
      </c>
      <c r="FN61" s="281">
        <v>1.8476178</v>
      </c>
      <c r="FO61" s="258">
        <f>SUM(ET61:FN61)</f>
        <v>24.947596659999995</v>
      </c>
      <c r="FP61" s="261">
        <f t="shared" si="25"/>
        <v>0.12415241522564156</v>
      </c>
    </row>
    <row r="62" spans="1:172" ht="12.75">
      <c r="A62" s="263">
        <v>37469</v>
      </c>
      <c r="B62" s="255">
        <v>23.28000069</v>
      </c>
      <c r="C62" s="255">
        <v>20.5</v>
      </c>
      <c r="D62" s="255">
        <f t="shared" si="26"/>
        <v>21.890000345</v>
      </c>
      <c r="E62" s="255">
        <v>1.08</v>
      </c>
      <c r="F62" s="77">
        <v>0.0713</v>
      </c>
      <c r="G62" s="261">
        <f t="shared" si="27"/>
        <v>0.12803019316385678</v>
      </c>
      <c r="H62" s="277">
        <f t="shared" si="0"/>
        <v>0.006373940575274818</v>
      </c>
      <c r="I62" s="255">
        <v>22.95000076</v>
      </c>
      <c r="J62" s="255">
        <v>20.40999985</v>
      </c>
      <c r="K62" s="258">
        <f>AVERAGE(I62:J62)</f>
        <v>21.680000305</v>
      </c>
      <c r="L62" s="259">
        <v>1.18</v>
      </c>
      <c r="M62" s="256">
        <v>0.0714</v>
      </c>
      <c r="N62" s="261">
        <f t="shared" si="29"/>
        <v>0.1341148193395798</v>
      </c>
      <c r="O62" s="208">
        <f t="shared" si="1"/>
        <v>0.004963859227034714</v>
      </c>
      <c r="U62" s="261"/>
      <c r="V62" s="284"/>
      <c r="W62" s="255">
        <v>27.20000076</v>
      </c>
      <c r="X62" s="255">
        <v>24.29000092</v>
      </c>
      <c r="Y62" s="258">
        <f>AVERAGE(W62:X62)</f>
        <v>25.745000840000003</v>
      </c>
      <c r="Z62" s="258">
        <v>0.7</v>
      </c>
      <c r="AA62" s="256">
        <v>0.074</v>
      </c>
      <c r="AB62" s="261">
        <f t="shared" si="32"/>
        <v>0.10507021080560186</v>
      </c>
      <c r="AC62" s="208">
        <f t="shared" si="4"/>
        <v>0.0038814463012376834</v>
      </c>
      <c r="AD62" s="123">
        <v>36.49</v>
      </c>
      <c r="AE62" s="123">
        <v>32.82</v>
      </c>
      <c r="AF62" s="258">
        <f t="shared" si="5"/>
        <v>34.655</v>
      </c>
      <c r="AG62" s="123">
        <f t="shared" si="78"/>
        <v>0.68</v>
      </c>
      <c r="AH62" s="256">
        <v>0.1019</v>
      </c>
      <c r="AI62" s="261">
        <f t="shared" si="33"/>
        <v>0.1248363321771766</v>
      </c>
      <c r="AJ62" s="208">
        <f t="shared" si="6"/>
        <v>0.011888311837427033</v>
      </c>
      <c r="AK62" s="255">
        <v>36.68000031</v>
      </c>
      <c r="AL62" s="255">
        <v>33.77999878</v>
      </c>
      <c r="AM62" s="258">
        <f>AVERAGE(AK62:AL62)</f>
        <v>35.229999545</v>
      </c>
      <c r="AN62" s="258">
        <v>1.78</v>
      </c>
      <c r="AO62" s="256">
        <v>0.0671</v>
      </c>
      <c r="AP62" s="261">
        <f t="shared" si="54"/>
        <v>0.1249949629462439</v>
      </c>
      <c r="AQ62" s="208">
        <f t="shared" si="52"/>
        <v>0.025206065515174313</v>
      </c>
      <c r="AT62" s="258"/>
      <c r="AU62" s="258"/>
      <c r="AW62" s="261"/>
      <c r="AX62" s="208"/>
      <c r="AY62" s="255">
        <v>32.86999893</v>
      </c>
      <c r="AZ62" s="255">
        <v>29.5</v>
      </c>
      <c r="BA62" s="258">
        <f>AVERAGE(AY62:AZ62)</f>
        <v>31.184999465</v>
      </c>
      <c r="BB62" s="255">
        <v>1.2</v>
      </c>
      <c r="BC62" s="256">
        <v>0.0667</v>
      </c>
      <c r="BD62" s="261">
        <f t="shared" si="37"/>
        <v>0.11056774230981259</v>
      </c>
      <c r="BE62" s="208">
        <f t="shared" si="7"/>
        <v>0.0036095101056692193</v>
      </c>
      <c r="BF62" s="255">
        <v>31.5</v>
      </c>
      <c r="BG62" s="255">
        <v>23.79999924</v>
      </c>
      <c r="BH62" s="258">
        <f>AVERAGE(BF62:BG62)</f>
        <v>27.64999962</v>
      </c>
      <c r="BI62" s="258">
        <v>1.84</v>
      </c>
      <c r="BJ62" s="256">
        <v>0.06</v>
      </c>
      <c r="BK62" s="261">
        <f t="shared" si="39"/>
        <v>0.13622477537029187</v>
      </c>
      <c r="BL62" s="208">
        <f t="shared" si="8"/>
        <v>0.008685114149462004</v>
      </c>
      <c r="BM62" s="255">
        <v>29.70000076</v>
      </c>
      <c r="BN62" s="255">
        <v>27.53000069</v>
      </c>
      <c r="BO62" s="258">
        <f>AVERAGE(BM62:BN62)</f>
        <v>28.615000725</v>
      </c>
      <c r="BP62" s="258">
        <v>1.26</v>
      </c>
      <c r="BQ62" s="256">
        <v>0.053</v>
      </c>
      <c r="BR62" s="261">
        <f t="shared" si="79"/>
        <v>0.10266184129423617</v>
      </c>
      <c r="BS62" s="208">
        <f t="shared" si="80"/>
        <v>0.0030589979107729114</v>
      </c>
      <c r="BT62" s="260">
        <v>20.60000038</v>
      </c>
      <c r="BU62" s="260">
        <v>17.85000038</v>
      </c>
      <c r="BV62" s="258">
        <f t="shared" si="73"/>
        <v>19.22500038</v>
      </c>
      <c r="BW62" s="49">
        <v>0.98</v>
      </c>
      <c r="BX62" s="256">
        <v>0.0767</v>
      </c>
      <c r="BY62" s="261">
        <f t="shared" si="10"/>
        <v>0.13264320738107993</v>
      </c>
      <c r="BZ62" s="208">
        <f t="shared" si="74"/>
        <v>0.0019777124504834114</v>
      </c>
      <c r="CA62" s="255">
        <v>21</v>
      </c>
      <c r="CB62" s="255">
        <v>17.20999908</v>
      </c>
      <c r="CC62" s="258">
        <f>AVERAGE(CA62:CB62)</f>
        <v>19.10499954</v>
      </c>
      <c r="CD62" s="258">
        <v>0.62</v>
      </c>
      <c r="CE62" s="256">
        <v>0.0892</v>
      </c>
      <c r="CF62" s="261">
        <f t="shared" si="69"/>
        <v>0.12688669436994715</v>
      </c>
      <c r="CG62" s="208">
        <f t="shared" si="12"/>
        <v>0.006156763814592037</v>
      </c>
      <c r="CH62" s="255">
        <v>33.95000076</v>
      </c>
      <c r="CI62" s="255">
        <v>27.79999924</v>
      </c>
      <c r="CJ62" s="258">
        <f>AVERAGE(CH62:CI62)</f>
        <v>30.875</v>
      </c>
      <c r="CK62" s="258">
        <v>2.08</v>
      </c>
      <c r="CL62" s="256">
        <v>0.0575</v>
      </c>
      <c r="CM62" s="261">
        <f t="shared" si="45"/>
        <v>0.13450960300808035</v>
      </c>
      <c r="CN62" s="208">
        <f t="shared" si="13"/>
        <v>0.006985445298424958</v>
      </c>
      <c r="CO62" s="255">
        <v>37.20999908</v>
      </c>
      <c r="CP62" s="255">
        <v>32.79999924</v>
      </c>
      <c r="CQ62" s="258">
        <f t="shared" si="14"/>
        <v>35.00499916</v>
      </c>
      <c r="CR62" s="258">
        <v>1.6</v>
      </c>
      <c r="CS62" s="256">
        <v>0.045</v>
      </c>
      <c r="CT62" s="261">
        <f t="shared" si="46"/>
        <v>0.09619298131110399</v>
      </c>
      <c r="CU62" s="208">
        <f t="shared" si="15"/>
        <v>0.004482449076923143</v>
      </c>
      <c r="CV62" s="262"/>
      <c r="CW62" s="262"/>
      <c r="CX62" s="262"/>
      <c r="CY62" s="262"/>
      <c r="DA62" s="261"/>
      <c r="DB62" s="208"/>
      <c r="DC62" s="260">
        <v>33.59999847</v>
      </c>
      <c r="DD62" s="260">
        <v>31.79999924</v>
      </c>
      <c r="DE62" s="258">
        <f t="shared" si="17"/>
        <v>32.699998855000004</v>
      </c>
      <c r="DF62" s="258">
        <v>1.5</v>
      </c>
      <c r="DG62" s="261">
        <v>0.0533</v>
      </c>
      <c r="DH62" s="261">
        <f t="shared" si="63"/>
        <v>0.10508784628724532</v>
      </c>
      <c r="DI62" s="208">
        <f t="shared" si="62"/>
        <v>0.001767400549467519</v>
      </c>
      <c r="DJ62" s="255">
        <v>23.64999962</v>
      </c>
      <c r="DK62" s="255">
        <v>21.14999962</v>
      </c>
      <c r="DL62" s="258">
        <f t="shared" si="75"/>
        <v>22.39999962</v>
      </c>
      <c r="DM62" s="258">
        <v>0.82</v>
      </c>
      <c r="DN62" s="256">
        <v>0.0575</v>
      </c>
      <c r="DO62" s="261">
        <f t="shared" si="76"/>
        <v>0.09884215996368417</v>
      </c>
      <c r="DP62" s="208">
        <f t="shared" si="77"/>
        <v>0.0030295766320681196</v>
      </c>
      <c r="DQ62" s="255">
        <v>36.47999954</v>
      </c>
      <c r="DR62" s="255">
        <v>30.89999962</v>
      </c>
      <c r="DS62" s="258">
        <f t="shared" si="20"/>
        <v>33.68999958</v>
      </c>
      <c r="DT62" s="258">
        <v>1.65</v>
      </c>
      <c r="DU62" s="256">
        <v>0.0688</v>
      </c>
      <c r="DV62" s="261">
        <f t="shared" si="70"/>
        <v>0.1249749499204027</v>
      </c>
      <c r="DW62" s="208">
        <f t="shared" si="56"/>
        <v>0.00441470714014309</v>
      </c>
      <c r="DX62" s="255">
        <v>25.14999962</v>
      </c>
      <c r="DY62" s="255">
        <v>23.5</v>
      </c>
      <c r="DZ62" s="258">
        <f t="shared" si="21"/>
        <v>24.32499981</v>
      </c>
      <c r="EA62" s="258">
        <v>1.272</v>
      </c>
      <c r="EB62" s="256">
        <v>0.044</v>
      </c>
      <c r="EC62" s="261">
        <f t="shared" si="48"/>
        <v>0.10266313155616347</v>
      </c>
      <c r="ED62" s="208">
        <f t="shared" si="22"/>
        <v>0.0049523970372531935</v>
      </c>
      <c r="EE62" s="123">
        <v>21</v>
      </c>
      <c r="EF62" s="123">
        <v>18.6</v>
      </c>
      <c r="EG62" s="258">
        <f>AVERAGE(EE62:EF62)</f>
        <v>19.8</v>
      </c>
      <c r="EH62" s="278">
        <f t="shared" si="81"/>
        <v>1.04</v>
      </c>
      <c r="EI62" s="256">
        <v>0.0757</v>
      </c>
      <c r="EJ62" s="261">
        <f t="shared" si="50"/>
        <v>0.136419712910266</v>
      </c>
      <c r="EK62" s="208">
        <f t="shared" si="23"/>
        <v>0.009687614476533987</v>
      </c>
      <c r="EL62" s="279">
        <v>25.61</v>
      </c>
      <c r="EM62" s="279">
        <v>21.3</v>
      </c>
      <c r="EN62" s="279">
        <f>AVERAGE(EL62:EM62)</f>
        <v>23.455</v>
      </c>
      <c r="EO62" s="278">
        <f t="shared" si="72"/>
        <v>0.72</v>
      </c>
      <c r="EP62" s="256">
        <v>0.1013</v>
      </c>
      <c r="EQ62" s="261">
        <f t="shared" si="51"/>
        <v>0.1373195252860142</v>
      </c>
      <c r="ER62" s="208">
        <f t="shared" si="24"/>
        <v>0.012244362533218736</v>
      </c>
      <c r="ET62" s="262">
        <v>1.13952</v>
      </c>
      <c r="EU62" s="262">
        <v>0.847167</v>
      </c>
      <c r="EW62" s="262">
        <v>0.845552</v>
      </c>
      <c r="EX62" s="280">
        <v>2.1797441999999996</v>
      </c>
      <c r="EY62" s="262">
        <v>4.615714</v>
      </c>
      <c r="FA62" s="262">
        <v>0.747216</v>
      </c>
      <c r="FB62" s="262">
        <v>1.459304</v>
      </c>
      <c r="FC62" s="262">
        <v>0.682019</v>
      </c>
      <c r="FD62" s="262">
        <v>0.341275</v>
      </c>
      <c r="FE62" s="258">
        <v>1.110613</v>
      </c>
      <c r="FF62" s="258">
        <v>1.188686</v>
      </c>
      <c r="FG62" s="258">
        <v>1.066592</v>
      </c>
      <c r="FI62" s="258">
        <v>0.384954</v>
      </c>
      <c r="FJ62" s="258">
        <v>0.701562</v>
      </c>
      <c r="FK62" s="258">
        <v>0.808547</v>
      </c>
      <c r="FL62" s="258">
        <v>1.104148</v>
      </c>
      <c r="FM62" s="281">
        <v>1.6254217200000003</v>
      </c>
      <c r="FN62" s="281">
        <v>2.04093996</v>
      </c>
      <c r="FO62" s="258">
        <f>SUM(ET62:FN62)</f>
        <v>22.888974880000003</v>
      </c>
      <c r="FP62" s="261">
        <f t="shared" si="25"/>
        <v>0.12336567463116091</v>
      </c>
    </row>
    <row r="63" spans="1:172" ht="12.75">
      <c r="A63" s="263">
        <v>37500</v>
      </c>
      <c r="B63" s="255">
        <v>23.7</v>
      </c>
      <c r="C63" s="255">
        <v>21.52</v>
      </c>
      <c r="D63" s="255">
        <f t="shared" si="26"/>
        <v>22.61</v>
      </c>
      <c r="E63" s="255">
        <v>1.08</v>
      </c>
      <c r="F63" s="77">
        <v>0.0713</v>
      </c>
      <c r="G63" s="261">
        <f t="shared" si="27"/>
        <v>0.12618968168744193</v>
      </c>
      <c r="H63" s="277">
        <f t="shared" si="0"/>
        <v>0.00662500239848474</v>
      </c>
      <c r="I63" s="255">
        <v>22.35</v>
      </c>
      <c r="J63" s="255">
        <v>20.7</v>
      </c>
      <c r="K63" s="258">
        <f>AVERAGE(I63:J63)</f>
        <v>21.525</v>
      </c>
      <c r="L63" s="259">
        <v>1.18</v>
      </c>
      <c r="M63" s="256">
        <v>0.0771</v>
      </c>
      <c r="N63" s="261">
        <f t="shared" si="29"/>
        <v>0.1406122807624841</v>
      </c>
      <c r="O63" s="208">
        <f t="shared" si="1"/>
        <v>0.0053693016706863545</v>
      </c>
      <c r="U63" s="261"/>
      <c r="W63" s="255">
        <v>26.49</v>
      </c>
      <c r="X63" s="255">
        <v>23.84</v>
      </c>
      <c r="Y63" s="258">
        <f>AVERAGE(W63:X63)</f>
        <v>25.165</v>
      </c>
      <c r="Z63" s="258">
        <v>0.72</v>
      </c>
      <c r="AA63" s="256">
        <v>0.074</v>
      </c>
      <c r="AB63" s="261">
        <f t="shared" si="32"/>
        <v>0.10671282178210273</v>
      </c>
      <c r="AC63" s="208">
        <f t="shared" si="4"/>
        <v>0.004010679196413524</v>
      </c>
      <c r="AD63" s="123">
        <v>36.25</v>
      </c>
      <c r="AE63" s="123">
        <v>33.17</v>
      </c>
      <c r="AF63" s="258">
        <f t="shared" si="5"/>
        <v>34.71</v>
      </c>
      <c r="AG63" s="123">
        <f t="shared" si="78"/>
        <v>0.68</v>
      </c>
      <c r="AH63" s="256">
        <v>0.1019</v>
      </c>
      <c r="AI63" s="261">
        <f t="shared" si="33"/>
        <v>0.12479970742246849</v>
      </c>
      <c r="AJ63" s="208">
        <f t="shared" si="6"/>
        <v>0.011574463775325708</v>
      </c>
      <c r="AK63" s="255">
        <v>34.85</v>
      </c>
      <c r="AL63" s="255">
        <v>31.96</v>
      </c>
      <c r="AM63" s="258">
        <f>AVERAGE(AK63:AL63)</f>
        <v>33.405</v>
      </c>
      <c r="AN63" s="258">
        <v>1.78</v>
      </c>
      <c r="AO63" s="256">
        <v>0.0775</v>
      </c>
      <c r="AP63" s="261">
        <f t="shared" si="54"/>
        <v>0.1392200413186151</v>
      </c>
      <c r="AQ63" s="208">
        <f t="shared" si="52"/>
        <v>0.028822052126559732</v>
      </c>
      <c r="AT63" s="258"/>
      <c r="AU63" s="258"/>
      <c r="AW63" s="261"/>
      <c r="AX63" s="208"/>
      <c r="AY63" s="255">
        <v>33.29</v>
      </c>
      <c r="AZ63" s="255">
        <v>30.65</v>
      </c>
      <c r="BA63" s="258">
        <f>AVERAGE(AY63:AZ63)</f>
        <v>31.97</v>
      </c>
      <c r="BB63" s="255">
        <v>1.2</v>
      </c>
      <c r="BC63" s="256">
        <v>0.0667</v>
      </c>
      <c r="BD63" s="261">
        <f t="shared" si="37"/>
        <v>0.10947467168285052</v>
      </c>
      <c r="BE63" s="208">
        <f t="shared" si="7"/>
        <v>0.0038604436079425876</v>
      </c>
      <c r="BF63" s="255">
        <v>29.39</v>
      </c>
      <c r="BG63" s="255">
        <v>17.25</v>
      </c>
      <c r="BH63" s="258">
        <f>AVERAGE(BF63:BG63)</f>
        <v>23.32</v>
      </c>
      <c r="BI63" s="258">
        <v>1.84</v>
      </c>
      <c r="BJ63" s="256">
        <v>0.06</v>
      </c>
      <c r="BK63" s="261">
        <f t="shared" si="39"/>
        <v>0.15081843723183863</v>
      </c>
      <c r="BL63" s="208">
        <f t="shared" si="8"/>
        <v>0.008088567519948497</v>
      </c>
      <c r="BM63" s="255">
        <v>29.99</v>
      </c>
      <c r="BN63" s="255">
        <v>27</v>
      </c>
      <c r="BO63" s="258">
        <f>AVERAGE(BM63:BN63)</f>
        <v>28.494999999999997</v>
      </c>
      <c r="BP63" s="258">
        <v>1.26</v>
      </c>
      <c r="BQ63" s="256">
        <v>0.053</v>
      </c>
      <c r="BR63" s="261">
        <f t="shared" si="79"/>
        <v>0.10287462514517975</v>
      </c>
      <c r="BS63" s="208">
        <f t="shared" si="80"/>
        <v>0.003174694114621403</v>
      </c>
      <c r="BT63" s="260">
        <v>22.25</v>
      </c>
      <c r="BU63" s="260">
        <v>18.84</v>
      </c>
      <c r="BV63" s="258">
        <f t="shared" si="73"/>
        <v>20.545</v>
      </c>
      <c r="BW63" s="49">
        <v>0.98</v>
      </c>
      <c r="BX63" s="256">
        <v>0.0767</v>
      </c>
      <c r="BY63" s="261">
        <f t="shared" si="10"/>
        <v>0.1289847820972818</v>
      </c>
      <c r="BZ63" s="208">
        <f t="shared" si="74"/>
        <v>0.001855760278563728</v>
      </c>
      <c r="CA63" s="255">
        <v>19.95000076</v>
      </c>
      <c r="CB63" s="255">
        <v>17.85000038</v>
      </c>
      <c r="CC63" s="258">
        <f aca="true" t="shared" si="82" ref="CC63:CC101">AVERAGE(CA63:CB63)</f>
        <v>18.900000570000003</v>
      </c>
      <c r="CD63" s="258">
        <v>0.62</v>
      </c>
      <c r="CE63" s="256">
        <v>0.0858</v>
      </c>
      <c r="CF63" s="261">
        <f t="shared" si="69"/>
        <v>0.12378181552336809</v>
      </c>
      <c r="CG63" s="208">
        <f t="shared" si="12"/>
        <v>0.006431624651202263</v>
      </c>
      <c r="CH63" s="255">
        <v>35.32</v>
      </c>
      <c r="CI63" s="255">
        <v>32.51</v>
      </c>
      <c r="CJ63" s="258">
        <f>AVERAGE(CH63:CI63)</f>
        <v>33.915</v>
      </c>
      <c r="CK63" s="258">
        <v>2.08</v>
      </c>
      <c r="CL63" s="256">
        <v>0.0575</v>
      </c>
      <c r="CM63" s="261">
        <f t="shared" si="45"/>
        <v>0.12744035140646193</v>
      </c>
      <c r="CN63" s="208">
        <f t="shared" si="13"/>
        <v>0.006411982397667839</v>
      </c>
      <c r="CO63" s="255">
        <v>37</v>
      </c>
      <c r="CP63" s="255">
        <v>33.62</v>
      </c>
      <c r="CQ63" s="258">
        <f t="shared" si="14"/>
        <v>35.31</v>
      </c>
      <c r="CR63" s="258">
        <v>1.6</v>
      </c>
      <c r="CS63" s="256">
        <v>0.045</v>
      </c>
      <c r="CT63" s="261">
        <f t="shared" si="46"/>
        <v>0.0957428936791116</v>
      </c>
      <c r="CU63" s="208">
        <f t="shared" si="15"/>
        <v>0.004683576806245348</v>
      </c>
      <c r="CV63" s="262"/>
      <c r="CW63" s="262"/>
      <c r="CX63" s="262"/>
      <c r="CY63" s="262"/>
      <c r="DA63" s="261"/>
      <c r="DB63" s="208"/>
      <c r="DC63" s="260">
        <v>33.1</v>
      </c>
      <c r="DD63" s="260">
        <v>31.01</v>
      </c>
      <c r="DE63" s="258">
        <f t="shared" si="17"/>
        <v>32.055</v>
      </c>
      <c r="DF63" s="258">
        <v>1.5</v>
      </c>
      <c r="DG63" s="261">
        <v>0.0533</v>
      </c>
      <c r="DH63" s="261">
        <f t="shared" si="63"/>
        <v>0.10614911422753681</v>
      </c>
      <c r="DI63" s="208">
        <f t="shared" si="62"/>
        <v>0.00179314330161713</v>
      </c>
      <c r="DJ63" s="255">
        <v>22.5</v>
      </c>
      <c r="DK63" s="255">
        <v>20.6</v>
      </c>
      <c r="DL63" s="258">
        <f t="shared" si="75"/>
        <v>21.55</v>
      </c>
      <c r="DM63" s="258">
        <v>0.82</v>
      </c>
      <c r="DN63" s="256">
        <v>0.05</v>
      </c>
      <c r="DO63" s="261">
        <f t="shared" si="76"/>
        <v>0.09269233830046719</v>
      </c>
      <c r="DP63" s="208">
        <f t="shared" si="77"/>
        <v>0.0028891149655529717</v>
      </c>
      <c r="DQ63" s="255">
        <v>36.76</v>
      </c>
      <c r="DR63" s="255">
        <v>33.58</v>
      </c>
      <c r="DS63" s="258">
        <f t="shared" si="20"/>
        <v>35.17</v>
      </c>
      <c r="DT63" s="258">
        <v>1.65</v>
      </c>
      <c r="DU63" s="256">
        <v>0.0688</v>
      </c>
      <c r="DV63" s="261">
        <f t="shared" si="70"/>
        <v>0.12256736720204908</v>
      </c>
      <c r="DW63" s="208">
        <f t="shared" si="56"/>
        <v>0.00479062035593413</v>
      </c>
      <c r="DX63" s="255">
        <v>24.62</v>
      </c>
      <c r="DY63" s="255">
        <v>22.75</v>
      </c>
      <c r="DZ63" s="258">
        <f t="shared" si="21"/>
        <v>23.685000000000002</v>
      </c>
      <c r="EA63" s="258">
        <v>1.272</v>
      </c>
      <c r="EB63" s="256">
        <v>0.044</v>
      </c>
      <c r="EC63" s="261">
        <f t="shared" si="48"/>
        <v>0.10428182019576826</v>
      </c>
      <c r="ED63" s="208">
        <f t="shared" si="22"/>
        <v>0.005171174878401462</v>
      </c>
      <c r="EE63" s="123">
        <v>20.91</v>
      </c>
      <c r="EF63" s="123">
        <v>19.58</v>
      </c>
      <c r="EG63" s="258">
        <f>AVERAGE(EE63:EF63)</f>
        <v>20.244999999999997</v>
      </c>
      <c r="EH63" s="278">
        <f t="shared" si="81"/>
        <v>1.04</v>
      </c>
      <c r="EI63" s="256">
        <v>0.0757</v>
      </c>
      <c r="EJ63" s="261">
        <f t="shared" si="50"/>
        <v>0.13505805377953806</v>
      </c>
      <c r="EK63" s="208">
        <f t="shared" si="23"/>
        <v>0.009313202781436257</v>
      </c>
      <c r="EL63" s="279">
        <v>25.1</v>
      </c>
      <c r="EM63" s="279">
        <v>22.55</v>
      </c>
      <c r="EN63" s="279">
        <f>AVERAGE(EL63:EM63)</f>
        <v>23.825000000000003</v>
      </c>
      <c r="EO63" s="278">
        <f t="shared" si="72"/>
        <v>0.72</v>
      </c>
      <c r="EP63" s="256">
        <v>0.1013</v>
      </c>
      <c r="EQ63" s="261">
        <f t="shared" si="51"/>
        <v>0.1367534822153489</v>
      </c>
      <c r="ER63" s="208">
        <f t="shared" si="24"/>
        <v>0.011068210348565624</v>
      </c>
      <c r="ET63" s="262">
        <v>1.212494</v>
      </c>
      <c r="EU63" s="262">
        <v>0.881885</v>
      </c>
      <c r="EW63" s="262">
        <v>0.867998</v>
      </c>
      <c r="EX63" s="280">
        <v>2.14192725</v>
      </c>
      <c r="EY63" s="262">
        <v>4.78124</v>
      </c>
      <c r="FA63" s="262">
        <v>0.814406</v>
      </c>
      <c r="FB63" s="262">
        <v>1.23861</v>
      </c>
      <c r="FC63" s="262">
        <v>0.712707</v>
      </c>
      <c r="FD63" s="262">
        <v>0.3322774</v>
      </c>
      <c r="FE63" s="258">
        <v>1.2</v>
      </c>
      <c r="FF63" s="258">
        <v>1.161991</v>
      </c>
      <c r="FG63" s="258">
        <v>1.129766</v>
      </c>
      <c r="FI63" s="258">
        <v>0.390136</v>
      </c>
      <c r="FJ63" s="258">
        <v>0.719844</v>
      </c>
      <c r="FK63" s="258">
        <v>0.902681</v>
      </c>
      <c r="FL63" s="258">
        <v>1.145244</v>
      </c>
      <c r="FM63" s="281">
        <v>1.5925606300000001</v>
      </c>
      <c r="FN63" s="281">
        <v>1.86920276</v>
      </c>
      <c r="FO63" s="258">
        <f>SUM(ET63:FN63)</f>
        <v>23.09497004</v>
      </c>
      <c r="FP63" s="261">
        <f t="shared" si="25"/>
        <v>0.12593361517516927</v>
      </c>
    </row>
    <row r="64" spans="1:172" ht="12.75">
      <c r="A64" s="263">
        <v>37530</v>
      </c>
      <c r="B64" s="255">
        <v>24.09000015</v>
      </c>
      <c r="C64" s="255">
        <v>20.5</v>
      </c>
      <c r="D64" s="255">
        <f t="shared" si="26"/>
        <v>22.295000075</v>
      </c>
      <c r="E64" s="255">
        <v>1.08</v>
      </c>
      <c r="F64" s="77">
        <v>0.07</v>
      </c>
      <c r="G64" s="261">
        <f t="shared" si="27"/>
        <v>0.12561243568611413</v>
      </c>
      <c r="H64" s="277">
        <f t="shared" si="0"/>
        <v>0.0067863586538622995</v>
      </c>
      <c r="I64" s="255">
        <v>22.29999924</v>
      </c>
      <c r="J64" s="255">
        <v>20.62000084</v>
      </c>
      <c r="K64" s="258">
        <f aca="true" t="shared" si="83" ref="K64:K85">AVERAGE(I64:J64)</f>
        <v>21.460000039999997</v>
      </c>
      <c r="L64" s="259">
        <f>0.295*4</f>
        <v>1.18</v>
      </c>
      <c r="M64" s="256">
        <v>0.0771</v>
      </c>
      <c r="N64" s="261">
        <f t="shared" si="29"/>
        <v>0.140808817712462</v>
      </c>
      <c r="O64" s="208">
        <f t="shared" si="1"/>
        <v>0.005412929909847149</v>
      </c>
      <c r="P64" s="260">
        <v>20.20000076</v>
      </c>
      <c r="Q64" s="260">
        <v>18.10000038</v>
      </c>
      <c r="R64" s="260"/>
      <c r="S64" s="260"/>
      <c r="T64" s="260"/>
      <c r="U64" s="261"/>
      <c r="V64" s="260"/>
      <c r="W64" s="255">
        <v>28.20999908</v>
      </c>
      <c r="X64" s="255">
        <v>22.5</v>
      </c>
      <c r="Y64" s="258">
        <f aca="true" t="shared" si="84" ref="Y64:Y89">AVERAGE(W64:X64)</f>
        <v>25.35499954</v>
      </c>
      <c r="Z64" s="258">
        <v>0.72</v>
      </c>
      <c r="AA64" s="256">
        <v>0.07</v>
      </c>
      <c r="AB64" s="261">
        <f t="shared" si="32"/>
        <v>0.10234402940428589</v>
      </c>
      <c r="AC64" s="208">
        <f t="shared" si="4"/>
        <v>0.003721614486391972</v>
      </c>
      <c r="AD64" s="123">
        <v>36</v>
      </c>
      <c r="AE64" s="123">
        <v>32.09</v>
      </c>
      <c r="AF64" s="258">
        <f t="shared" si="5"/>
        <v>34.045</v>
      </c>
      <c r="AG64" s="123">
        <f t="shared" si="78"/>
        <v>0.68</v>
      </c>
      <c r="AH64" s="256">
        <v>0.1019</v>
      </c>
      <c r="AI64" s="261">
        <f t="shared" si="33"/>
        <v>0.1252505305701277</v>
      </c>
      <c r="AJ64" s="208">
        <f t="shared" si="6"/>
        <v>0.011488069530180823</v>
      </c>
      <c r="AK64" s="255">
        <v>36.97999954</v>
      </c>
      <c r="AL64" s="255">
        <v>30.75</v>
      </c>
      <c r="AM64" s="258">
        <f aca="true" t="shared" si="85" ref="AM64:AM101">AVERAGE(AK64:AL64)</f>
        <v>33.86499977</v>
      </c>
      <c r="AN64" s="258">
        <v>1.78</v>
      </c>
      <c r="AO64" s="256">
        <v>0.0775</v>
      </c>
      <c r="AP64" s="261">
        <f t="shared" si="54"/>
        <v>0.13836432636168672</v>
      </c>
      <c r="AQ64" s="208">
        <f t="shared" si="52"/>
        <v>0.02817610985765382</v>
      </c>
      <c r="AR64" s="260">
        <v>24.35000038</v>
      </c>
      <c r="AS64" s="260">
        <v>21.79000092</v>
      </c>
      <c r="AT64" s="258"/>
      <c r="AU64" s="258"/>
      <c r="AW64" s="261"/>
      <c r="AX64" s="208"/>
      <c r="AY64" s="255">
        <v>33.20000076</v>
      </c>
      <c r="AZ64" s="255">
        <v>29.52000046</v>
      </c>
      <c r="BA64" s="258">
        <f aca="true" t="shared" si="86" ref="BA64:BA82">AVERAGE(AY64:AZ64)</f>
        <v>31.36000061</v>
      </c>
      <c r="BB64" s="255">
        <v>1.2</v>
      </c>
      <c r="BC64" s="256">
        <v>0.0667</v>
      </c>
      <c r="BD64" s="261">
        <f t="shared" si="37"/>
        <v>0.11031925189044633</v>
      </c>
      <c r="BE64" s="208">
        <f t="shared" si="7"/>
        <v>0.004011623622337237</v>
      </c>
      <c r="BF64" s="255">
        <v>31.77000046</v>
      </c>
      <c r="BG64" s="255">
        <v>24.25</v>
      </c>
      <c r="BH64" s="258">
        <f aca="true" t="shared" si="87" ref="BH64:BH101">AVERAGE(BF64:BG64)</f>
        <v>28.01000023</v>
      </c>
      <c r="BI64" s="258">
        <v>1.84</v>
      </c>
      <c r="BJ64" s="256">
        <v>0.055</v>
      </c>
      <c r="BK64" s="261">
        <f t="shared" si="39"/>
        <v>0.12986495657592578</v>
      </c>
      <c r="BL64" s="208">
        <f t="shared" si="8"/>
        <v>0.007016106065284349</v>
      </c>
      <c r="BM64" s="255">
        <v>30.70000076</v>
      </c>
      <c r="BN64" s="255">
        <v>28.54000092</v>
      </c>
      <c r="BO64" s="258">
        <f aca="true" t="shared" si="88" ref="BO64:BO83">AVERAGE(BM64:BN64)</f>
        <v>29.620000840000003</v>
      </c>
      <c r="BP64" s="258">
        <v>1.26</v>
      </c>
      <c r="BQ64" s="256">
        <v>0.053</v>
      </c>
      <c r="BR64" s="261">
        <f t="shared" si="79"/>
        <v>0.10094859469863127</v>
      </c>
      <c r="BS64" s="208">
        <f t="shared" si="80"/>
        <v>0.0030415790135475155</v>
      </c>
      <c r="BT64" s="260">
        <v>22.25</v>
      </c>
      <c r="BU64" s="260">
        <v>9.64999962</v>
      </c>
      <c r="BV64" s="258">
        <f>AVERAGE(BT64:BU64)</f>
        <v>15.94999981</v>
      </c>
      <c r="BW64" s="49">
        <v>0.98</v>
      </c>
      <c r="BX64" s="256">
        <v>0.0767</v>
      </c>
      <c r="BY64" s="261">
        <f t="shared" si="10"/>
        <v>0.1443945297081881</v>
      </c>
      <c r="BZ64" s="208">
        <f t="shared" si="74"/>
        <v>0.0021002916404432473</v>
      </c>
      <c r="CA64" s="255">
        <v>19.36000061</v>
      </c>
      <c r="CB64" s="255">
        <v>16.67000008</v>
      </c>
      <c r="CC64" s="258">
        <f t="shared" si="82"/>
        <v>18.015000345</v>
      </c>
      <c r="CD64" s="258">
        <v>0.62</v>
      </c>
      <c r="CE64" s="256">
        <v>0.0858</v>
      </c>
      <c r="CF64" s="261">
        <f t="shared" si="69"/>
        <v>0.12567301886652027</v>
      </c>
      <c r="CG64" s="208">
        <f t="shared" si="12"/>
        <v>0.006267352367070843</v>
      </c>
      <c r="CH64" s="255">
        <v>36.59999847</v>
      </c>
      <c r="CI64" s="255">
        <v>31.05999947</v>
      </c>
      <c r="CJ64" s="258">
        <f aca="true" t="shared" si="89" ref="CJ64:CJ90">AVERAGE(CH64:CI64)</f>
        <v>33.829998970000005</v>
      </c>
      <c r="CK64" s="258">
        <v>2.08</v>
      </c>
      <c r="CL64" s="256">
        <v>0.055</v>
      </c>
      <c r="CM64" s="261">
        <f t="shared" si="45"/>
        <v>0.12495456731935395</v>
      </c>
      <c r="CN64" s="208">
        <f t="shared" si="13"/>
        <v>0.006231522965936292</v>
      </c>
      <c r="CO64" s="255">
        <v>36.45000076</v>
      </c>
      <c r="CP64" s="255">
        <v>31.54999924</v>
      </c>
      <c r="CQ64" s="258">
        <f t="shared" si="14"/>
        <v>34</v>
      </c>
      <c r="CR64" s="258">
        <v>1.6</v>
      </c>
      <c r="CS64" s="256">
        <v>0.045</v>
      </c>
      <c r="CT64" s="261">
        <f t="shared" si="46"/>
        <v>0.09773424263138852</v>
      </c>
      <c r="CU64" s="208">
        <f t="shared" si="15"/>
        <v>0.004874036944638802</v>
      </c>
      <c r="CV64" s="262">
        <v>8.14999962</v>
      </c>
      <c r="CW64" s="262">
        <v>6.8499999</v>
      </c>
      <c r="CX64" s="262"/>
      <c r="CY64" s="262"/>
      <c r="DA64" s="261"/>
      <c r="DB64" s="208"/>
      <c r="DC64" s="260">
        <v>33.29999924</v>
      </c>
      <c r="DD64" s="260">
        <v>31.39999962</v>
      </c>
      <c r="DE64" s="258">
        <f t="shared" si="17"/>
        <v>32.34999943</v>
      </c>
      <c r="DF64" s="258">
        <v>1.5</v>
      </c>
      <c r="DG64" s="261">
        <v>0.0533</v>
      </c>
      <c r="DH64" s="261">
        <f t="shared" si="63"/>
        <v>0.10565838176747411</v>
      </c>
      <c r="DI64" s="208">
        <f t="shared" si="62"/>
        <v>0.0016466300678633214</v>
      </c>
      <c r="DJ64" s="255">
        <v>22.75</v>
      </c>
      <c r="DK64" s="255">
        <v>19.81999969</v>
      </c>
      <c r="DL64" s="258">
        <f t="shared" si="75"/>
        <v>21.284999845</v>
      </c>
      <c r="DM64" s="258">
        <v>0.82</v>
      </c>
      <c r="DN64" s="256">
        <v>0.05</v>
      </c>
      <c r="DO64" s="261">
        <f t="shared" si="76"/>
        <v>0.09323193167120714</v>
      </c>
      <c r="DP64" s="208">
        <f t="shared" si="77"/>
        <v>0.0028090761204770335</v>
      </c>
      <c r="DQ64" s="255">
        <v>26.23333359</v>
      </c>
      <c r="DR64" s="255">
        <v>23.26666832</v>
      </c>
      <c r="DS64" s="258">
        <f t="shared" si="20"/>
        <v>24.750000955</v>
      </c>
      <c r="DT64" s="258">
        <v>1.1</v>
      </c>
      <c r="DU64" s="256">
        <v>0.0688</v>
      </c>
      <c r="DV64" s="261">
        <f t="shared" si="70"/>
        <v>0.11968643123557698</v>
      </c>
      <c r="DW64" s="208">
        <f t="shared" si="56"/>
        <v>0.0048496495028273</v>
      </c>
      <c r="DX64" s="255">
        <v>25.14999962</v>
      </c>
      <c r="DY64" s="255">
        <v>21.94000053</v>
      </c>
      <c r="DZ64" s="258">
        <f t="shared" si="21"/>
        <v>23.545000074999997</v>
      </c>
      <c r="EA64" s="258">
        <v>1.272</v>
      </c>
      <c r="EB64" s="256">
        <v>0.044</v>
      </c>
      <c r="EC64" s="261">
        <f t="shared" si="48"/>
        <v>0.10464788524926227</v>
      </c>
      <c r="ED64" s="208">
        <f t="shared" si="22"/>
        <v>0.0052188224428867174</v>
      </c>
      <c r="EE64" s="123">
        <v>20.48</v>
      </c>
      <c r="EF64" s="123">
        <v>17.95</v>
      </c>
      <c r="EG64" s="258">
        <f>AVERAGE(EE64:EF64)</f>
        <v>19.215</v>
      </c>
      <c r="EH64" s="278">
        <f t="shared" si="81"/>
        <v>1.04</v>
      </c>
      <c r="EI64" s="256">
        <v>0.0757</v>
      </c>
      <c r="EJ64" s="261">
        <f t="shared" si="50"/>
        <v>0.13830773589530798</v>
      </c>
      <c r="EK64" s="208">
        <f t="shared" si="23"/>
        <v>0.009305493263624178</v>
      </c>
      <c r="EL64" s="279">
        <v>26.15</v>
      </c>
      <c r="EM64" s="279">
        <v>21.41</v>
      </c>
      <c r="EN64" s="279">
        <f>AVERAGE(EL64:EM64)</f>
        <v>23.78</v>
      </c>
      <c r="EO64" s="278">
        <f t="shared" si="72"/>
        <v>0.72</v>
      </c>
      <c r="EP64" s="256">
        <v>0.1013</v>
      </c>
      <c r="EQ64" s="261">
        <f t="shared" si="51"/>
        <v>0.13682137326158927</v>
      </c>
      <c r="ER64" s="208">
        <f t="shared" si="24"/>
        <v>0.012005901721098744</v>
      </c>
      <c r="ES64" s="260"/>
      <c r="ET64" s="285">
        <v>1.3</v>
      </c>
      <c r="EU64" s="285">
        <v>0.925</v>
      </c>
      <c r="EV64" s="285"/>
      <c r="EW64" s="285">
        <v>0.875</v>
      </c>
      <c r="EX64" s="280">
        <v>2.207022</v>
      </c>
      <c r="EY64" s="285">
        <v>4.9</v>
      </c>
      <c r="EZ64" s="285"/>
      <c r="FA64" s="285">
        <v>0.875</v>
      </c>
      <c r="FB64" s="285">
        <v>1.3</v>
      </c>
      <c r="FC64" s="285">
        <v>0.725</v>
      </c>
      <c r="FD64" s="285">
        <v>0.35</v>
      </c>
      <c r="FE64" s="255">
        <v>1.2</v>
      </c>
      <c r="FF64" s="255">
        <v>1.2</v>
      </c>
      <c r="FG64" s="255">
        <v>1.2</v>
      </c>
      <c r="FH64" s="255"/>
      <c r="FI64" s="255">
        <v>0.375</v>
      </c>
      <c r="FJ64" s="255">
        <v>0.725</v>
      </c>
      <c r="FK64" s="255">
        <v>0.975</v>
      </c>
      <c r="FL64" s="255">
        <v>1.2</v>
      </c>
      <c r="FM64" s="281">
        <v>1.61894505</v>
      </c>
      <c r="FN64" s="281">
        <v>2.1114462</v>
      </c>
      <c r="FO64" s="258">
        <f>SUM(ET64:FN64)</f>
        <v>24.062413250000002</v>
      </c>
      <c r="FP64" s="261">
        <f t="shared" si="25"/>
        <v>0.12496316817597165</v>
      </c>
    </row>
    <row r="65" spans="1:172" ht="12.75">
      <c r="A65" s="263">
        <v>37561</v>
      </c>
      <c r="B65" s="255">
        <v>24.5</v>
      </c>
      <c r="C65" s="255">
        <v>22.70000076</v>
      </c>
      <c r="D65" s="255">
        <f t="shared" si="26"/>
        <v>23.60000038</v>
      </c>
      <c r="E65" s="255">
        <v>1.08</v>
      </c>
      <c r="F65" s="256">
        <v>0.07</v>
      </c>
      <c r="G65" s="261">
        <f t="shared" si="27"/>
        <v>0.12248185118964772</v>
      </c>
      <c r="H65" s="277">
        <f t="shared" si="0"/>
        <v>0.006598851736940089</v>
      </c>
      <c r="I65" s="255">
        <v>23.14999962</v>
      </c>
      <c r="J65" s="255">
        <v>21.27000046</v>
      </c>
      <c r="K65" s="258">
        <f t="shared" si="83"/>
        <v>22.210000039999997</v>
      </c>
      <c r="L65" s="259">
        <f>0.295*4</f>
        <v>1.18</v>
      </c>
      <c r="M65" s="256">
        <v>0.0657</v>
      </c>
      <c r="N65" s="261">
        <f t="shared" si="29"/>
        <v>0.12656142271032755</v>
      </c>
      <c r="O65" s="208">
        <f t="shared" si="1"/>
        <v>0.004851727022111251</v>
      </c>
      <c r="P65" s="260">
        <v>20.32999992</v>
      </c>
      <c r="Q65" s="260">
        <v>18.75</v>
      </c>
      <c r="R65" s="260"/>
      <c r="S65" s="260"/>
      <c r="T65" s="260"/>
      <c r="U65" s="261"/>
      <c r="V65" s="260"/>
      <c r="W65" s="255">
        <v>28.60000038</v>
      </c>
      <c r="X65" s="255">
        <v>26.71999931</v>
      </c>
      <c r="Y65" s="258">
        <f t="shared" si="84"/>
        <v>27.659999845</v>
      </c>
      <c r="Z65" s="258">
        <v>0.72</v>
      </c>
      <c r="AA65" s="256">
        <v>0.07</v>
      </c>
      <c r="AB65" s="261">
        <f t="shared" si="32"/>
        <v>0.09962104458559229</v>
      </c>
      <c r="AC65" s="208">
        <f t="shared" si="4"/>
        <v>0.0036125379746220626</v>
      </c>
      <c r="AD65" s="123">
        <v>36.55</v>
      </c>
      <c r="AE65" s="123">
        <v>34.1</v>
      </c>
      <c r="AF65" s="258">
        <f t="shared" si="5"/>
        <v>35.325</v>
      </c>
      <c r="AG65" s="123">
        <f t="shared" si="78"/>
        <v>0.68</v>
      </c>
      <c r="AH65" s="256">
        <v>0.1019</v>
      </c>
      <c r="AI65" s="261">
        <f t="shared" si="33"/>
        <v>0.1243980022633413</v>
      </c>
      <c r="AJ65" s="208">
        <f t="shared" si="6"/>
        <v>0.011364002304462103</v>
      </c>
      <c r="AK65" s="255">
        <v>37.15000153</v>
      </c>
      <c r="AL65" s="255">
        <v>33.79999924</v>
      </c>
      <c r="AM65" s="258">
        <f t="shared" si="85"/>
        <v>35.475000385</v>
      </c>
      <c r="AN65" s="258">
        <v>1.78</v>
      </c>
      <c r="AO65" s="256">
        <v>0.0775</v>
      </c>
      <c r="AP65" s="261">
        <f t="shared" si="54"/>
        <v>0.13554749501630514</v>
      </c>
      <c r="AQ65" s="208">
        <f t="shared" si="52"/>
        <v>0.027525857220531982</v>
      </c>
      <c r="AR65" s="260">
        <v>24.5</v>
      </c>
      <c r="AS65" s="260">
        <v>22.75</v>
      </c>
      <c r="AT65" s="258"/>
      <c r="AU65" s="258"/>
      <c r="AW65" s="261"/>
      <c r="AX65" s="208"/>
      <c r="AY65" s="255">
        <v>32.02999878</v>
      </c>
      <c r="AZ65" s="255">
        <v>29.86000061</v>
      </c>
      <c r="BA65" s="258">
        <f t="shared" si="86"/>
        <v>30.944999695</v>
      </c>
      <c r="BB65" s="255">
        <v>1.2</v>
      </c>
      <c r="BC65" s="256">
        <v>0.0667</v>
      </c>
      <c r="BD65" s="261">
        <f t="shared" si="37"/>
        <v>0.11091316610878565</v>
      </c>
      <c r="BE65" s="208">
        <f t="shared" si="7"/>
        <v>0.004022021914348618</v>
      </c>
      <c r="BF65" s="255">
        <v>33.29000092</v>
      </c>
      <c r="BG65" s="255">
        <v>29.71999931</v>
      </c>
      <c r="BH65" s="258">
        <f t="shared" si="87"/>
        <v>31.505000114999998</v>
      </c>
      <c r="BI65" s="258">
        <v>1.84</v>
      </c>
      <c r="BJ65" s="256">
        <v>0.0517</v>
      </c>
      <c r="BK65" s="261">
        <f t="shared" si="39"/>
        <v>0.11786157063599179</v>
      </c>
      <c r="BL65" s="208">
        <f t="shared" si="8"/>
        <v>0.0063499287654099216</v>
      </c>
      <c r="BM65" s="255">
        <v>30.18000031</v>
      </c>
      <c r="BN65" s="255">
        <v>25.5</v>
      </c>
      <c r="BO65" s="258">
        <f t="shared" si="88"/>
        <v>27.840000155</v>
      </c>
      <c r="BP65" s="258">
        <v>1.26</v>
      </c>
      <c r="BQ65" s="256">
        <v>0.053</v>
      </c>
      <c r="BR65" s="261">
        <f t="shared" si="79"/>
        <v>0.10406896585358716</v>
      </c>
      <c r="BS65" s="208">
        <f t="shared" si="80"/>
        <v>0.003126889414638221</v>
      </c>
      <c r="BT65" s="260">
        <v>15.27000046</v>
      </c>
      <c r="BU65" s="260">
        <v>12.39999962</v>
      </c>
      <c r="BV65" s="258">
        <f>AVERAGE(BT65:BU65)</f>
        <v>13.83500004</v>
      </c>
      <c r="BW65" s="49">
        <v>0.98</v>
      </c>
      <c r="BX65" s="256">
        <v>0.0533</v>
      </c>
      <c r="BY65" s="261">
        <f t="shared" si="10"/>
        <v>0.12991571632916288</v>
      </c>
      <c r="BZ65" s="208">
        <f t="shared" si="74"/>
        <v>0.0018844430338655763</v>
      </c>
      <c r="CA65" s="255">
        <v>19.54999924</v>
      </c>
      <c r="CB65" s="255">
        <v>17.43000031</v>
      </c>
      <c r="CC65" s="258">
        <f t="shared" si="82"/>
        <v>18.489999775</v>
      </c>
      <c r="CD65" s="258">
        <v>0.62</v>
      </c>
      <c r="CE65" s="256">
        <v>0.0858</v>
      </c>
      <c r="CF65" s="261">
        <f t="shared" si="69"/>
        <v>0.12463516445892586</v>
      </c>
      <c r="CG65" s="208">
        <f t="shared" si="12"/>
        <v>0.006198335986938403</v>
      </c>
      <c r="CH65" s="255">
        <v>37.25</v>
      </c>
      <c r="CI65" s="255">
        <v>33.68999863</v>
      </c>
      <c r="CJ65" s="258">
        <f t="shared" si="89"/>
        <v>35.469999314999995</v>
      </c>
      <c r="CK65" s="258">
        <v>2.08</v>
      </c>
      <c r="CL65" s="256">
        <v>0.055</v>
      </c>
      <c r="CM65" s="261">
        <f t="shared" si="45"/>
        <v>0.12164550274253583</v>
      </c>
      <c r="CN65" s="208">
        <f t="shared" si="13"/>
        <v>0.006049654610491234</v>
      </c>
      <c r="CO65" s="255">
        <v>36.5</v>
      </c>
      <c r="CP65" s="255">
        <v>32.75999832</v>
      </c>
      <c r="CQ65" s="258">
        <f t="shared" si="14"/>
        <v>34.62999916</v>
      </c>
      <c r="CR65" s="258">
        <v>1.6</v>
      </c>
      <c r="CS65" s="256">
        <v>0.045</v>
      </c>
      <c r="CT65" s="261">
        <f t="shared" si="46"/>
        <v>0.09675742844251234</v>
      </c>
      <c r="CU65" s="208">
        <f t="shared" si="15"/>
        <v>0.004811924895533694</v>
      </c>
      <c r="CV65" s="262">
        <v>7.36999989</v>
      </c>
      <c r="CW65" s="262">
        <v>6.4000001</v>
      </c>
      <c r="CX65" s="262"/>
      <c r="CY65" s="262"/>
      <c r="DA65" s="261"/>
      <c r="DB65" s="208"/>
      <c r="DC65" s="260">
        <v>32.59999847</v>
      </c>
      <c r="DD65" s="260">
        <v>31.5</v>
      </c>
      <c r="DE65" s="258">
        <f t="shared" si="17"/>
        <v>32.049999235</v>
      </c>
      <c r="DF65" s="258">
        <v>1.5</v>
      </c>
      <c r="DG65" s="261">
        <v>0.0533</v>
      </c>
      <c r="DH65" s="261">
        <f t="shared" si="63"/>
        <v>0.10615751230371617</v>
      </c>
      <c r="DI65" s="208">
        <f t="shared" si="62"/>
        <v>0.0016498151115009645</v>
      </c>
      <c r="DJ65" s="255">
        <v>22.89999962</v>
      </c>
      <c r="DK65" s="255">
        <v>21.39999962</v>
      </c>
      <c r="DL65" s="258">
        <f t="shared" si="75"/>
        <v>22.14999962</v>
      </c>
      <c r="DM65" s="258">
        <v>0.82</v>
      </c>
      <c r="DN65" s="256">
        <v>0.05</v>
      </c>
      <c r="DO65" s="261">
        <f t="shared" si="76"/>
        <v>0.09151901952249109</v>
      </c>
      <c r="DP65" s="208">
        <f t="shared" si="77"/>
        <v>0.002749809715468428</v>
      </c>
      <c r="DQ65" s="255">
        <v>26.99333572</v>
      </c>
      <c r="DR65" s="255">
        <v>24.53333282</v>
      </c>
      <c r="DS65" s="258">
        <f t="shared" si="20"/>
        <v>25.76333427</v>
      </c>
      <c r="DT65" s="258">
        <v>1.1</v>
      </c>
      <c r="DU65" s="256">
        <v>0.0688</v>
      </c>
      <c r="DV65" s="261">
        <f t="shared" si="70"/>
        <v>0.11765129115613937</v>
      </c>
      <c r="DW65" s="208">
        <f t="shared" si="56"/>
        <v>0.004753949785977885</v>
      </c>
      <c r="DX65" s="255">
        <v>24.45000076</v>
      </c>
      <c r="DY65" s="255">
        <v>22.18000031</v>
      </c>
      <c r="DZ65" s="258">
        <f t="shared" si="21"/>
        <v>23.315000535000003</v>
      </c>
      <c r="EA65" s="258">
        <v>1.272</v>
      </c>
      <c r="EB65" s="256">
        <v>0.044</v>
      </c>
      <c r="EC65" s="261">
        <f t="shared" si="48"/>
        <v>0.10525902348048155</v>
      </c>
      <c r="ED65" s="208">
        <f t="shared" si="22"/>
        <v>0.0052347248549110305</v>
      </c>
      <c r="EE65" s="123">
        <v>21</v>
      </c>
      <c r="EF65" s="123">
        <v>19.76</v>
      </c>
      <c r="EG65" s="258">
        <f>AVERAGE(EE65:EF65)</f>
        <v>20.380000000000003</v>
      </c>
      <c r="EH65" s="278">
        <f t="shared" si="81"/>
        <v>1.04</v>
      </c>
      <c r="EI65" s="256">
        <v>0.0757</v>
      </c>
      <c r="EJ65" s="261">
        <f t="shared" si="50"/>
        <v>0.13465695593195992</v>
      </c>
      <c r="EK65" s="208">
        <f t="shared" si="23"/>
        <v>0.009290028180551189</v>
      </c>
      <c r="EL65" s="279">
        <v>27.01</v>
      </c>
      <c r="EM65" s="279">
        <v>24.5</v>
      </c>
      <c r="EN65" s="279">
        <f>AVERAGE(EL65:EM65)</f>
        <v>25.755000000000003</v>
      </c>
      <c r="EO65" s="278">
        <f>4*0.185</f>
        <v>0.74</v>
      </c>
      <c r="EP65" s="256">
        <v>0.1013</v>
      </c>
      <c r="EQ65" s="261">
        <f t="shared" si="51"/>
        <v>0.13498795951825704</v>
      </c>
      <c r="ER65" s="208">
        <f t="shared" si="24"/>
        <v>0.011946395005262211</v>
      </c>
      <c r="ES65" s="260"/>
      <c r="ET65" s="285">
        <v>1.3</v>
      </c>
      <c r="EU65" s="285">
        <v>0.925</v>
      </c>
      <c r="EV65" s="285"/>
      <c r="EW65" s="285">
        <v>0.875</v>
      </c>
      <c r="EX65" s="280">
        <v>2.20426919</v>
      </c>
      <c r="EY65" s="285">
        <v>4.9</v>
      </c>
      <c r="EZ65" s="285"/>
      <c r="FA65" s="285">
        <v>0.875</v>
      </c>
      <c r="FB65" s="285">
        <v>1.3</v>
      </c>
      <c r="FC65" s="285">
        <v>0.725</v>
      </c>
      <c r="FD65" s="285">
        <v>0.35</v>
      </c>
      <c r="FE65" s="255">
        <v>1.2</v>
      </c>
      <c r="FF65" s="255">
        <v>1.2</v>
      </c>
      <c r="FG65" s="255">
        <v>1.2</v>
      </c>
      <c r="FH65" s="255"/>
      <c r="FI65" s="255">
        <v>0.375</v>
      </c>
      <c r="FJ65" s="255">
        <v>0.725</v>
      </c>
      <c r="FK65" s="255">
        <v>0.975</v>
      </c>
      <c r="FL65" s="255">
        <v>1.2</v>
      </c>
      <c r="FM65" s="281">
        <v>1.6646960999999998</v>
      </c>
      <c r="FN65" s="281">
        <v>2.13544584</v>
      </c>
      <c r="FO65" s="258">
        <f>SUM(ET65:FN65)</f>
        <v>24.12941113</v>
      </c>
      <c r="FP65" s="261">
        <f t="shared" si="25"/>
        <v>0.12202089753356486</v>
      </c>
    </row>
    <row r="66" spans="1:172" ht="12.75">
      <c r="A66" s="263">
        <v>37591</v>
      </c>
      <c r="B66" s="255">
        <v>25</v>
      </c>
      <c r="C66" s="255">
        <v>23.75</v>
      </c>
      <c r="D66" s="255">
        <f t="shared" si="26"/>
        <v>24.375</v>
      </c>
      <c r="E66" s="255">
        <v>1.08</v>
      </c>
      <c r="F66" s="256">
        <v>0.07</v>
      </c>
      <c r="G66" s="261">
        <f t="shared" si="27"/>
        <v>0.12078408074364266</v>
      </c>
      <c r="H66" s="277">
        <f t="shared" si="0"/>
        <v>0.006948412081214032</v>
      </c>
      <c r="I66" s="255">
        <v>23.87999916</v>
      </c>
      <c r="J66" s="255">
        <v>22.37999916</v>
      </c>
      <c r="K66" s="258">
        <f t="shared" si="83"/>
        <v>23.12999916</v>
      </c>
      <c r="L66" s="259">
        <f aca="true" t="shared" si="90" ref="L66:L77">0.3*4</f>
        <v>1.2</v>
      </c>
      <c r="M66" s="256">
        <v>0.0671</v>
      </c>
      <c r="N66" s="261">
        <f t="shared" si="29"/>
        <v>0.12657999151793375</v>
      </c>
      <c r="O66" s="208">
        <f t="shared" si="1"/>
        <v>0.004941246278031789</v>
      </c>
      <c r="P66" s="260">
        <v>20.44000053</v>
      </c>
      <c r="Q66" s="260">
        <v>17.70000076</v>
      </c>
      <c r="R66" s="260"/>
      <c r="S66" s="260"/>
      <c r="T66" s="260"/>
      <c r="U66" s="261"/>
      <c r="V66" s="260"/>
      <c r="W66" s="255">
        <v>29.98999977</v>
      </c>
      <c r="X66" s="255">
        <v>26.71999931</v>
      </c>
      <c r="Y66" s="258">
        <f t="shared" si="84"/>
        <v>28.35499954</v>
      </c>
      <c r="Z66" s="258">
        <v>0.72</v>
      </c>
      <c r="AA66" s="256">
        <v>0.07</v>
      </c>
      <c r="AB66" s="261">
        <f t="shared" si="32"/>
        <v>0.09888774527100086</v>
      </c>
      <c r="AC66" s="208">
        <f t="shared" si="4"/>
        <v>0.0038602364987049328</v>
      </c>
      <c r="AD66" s="123">
        <v>36.89</v>
      </c>
      <c r="AE66" s="123">
        <v>34.62</v>
      </c>
      <c r="AF66" s="258">
        <f t="shared" si="5"/>
        <v>35.754999999999995</v>
      </c>
      <c r="AG66" s="123">
        <f t="shared" si="78"/>
        <v>0.68</v>
      </c>
      <c r="AH66" s="256">
        <v>0.1017</v>
      </c>
      <c r="AI66" s="261">
        <f t="shared" si="33"/>
        <v>0.12392137134537506</v>
      </c>
      <c r="AJ66" s="208">
        <f t="shared" si="6"/>
        <v>0.011151089760906228</v>
      </c>
      <c r="AK66" s="255">
        <v>36.15999985</v>
      </c>
      <c r="AL66" s="255">
        <v>34.20000076</v>
      </c>
      <c r="AM66" s="258">
        <f t="shared" si="85"/>
        <v>35.180000305</v>
      </c>
      <c r="AN66" s="258">
        <v>1.78</v>
      </c>
      <c r="AO66" s="256">
        <v>0.0788</v>
      </c>
      <c r="AP66" s="261">
        <f t="shared" si="54"/>
        <v>0.13741458295177988</v>
      </c>
      <c r="AQ66" s="208">
        <f t="shared" si="52"/>
        <v>0.028232586093138494</v>
      </c>
      <c r="AR66" s="260">
        <v>24.84000015</v>
      </c>
      <c r="AS66" s="260">
        <v>23</v>
      </c>
      <c r="AT66" s="258"/>
      <c r="AU66" s="258"/>
      <c r="AW66" s="261"/>
      <c r="AX66" s="208"/>
      <c r="AY66" s="255">
        <v>33.59999847</v>
      </c>
      <c r="AZ66" s="255">
        <v>31.20000076</v>
      </c>
      <c r="BA66" s="258">
        <f t="shared" si="86"/>
        <v>32.399999615</v>
      </c>
      <c r="BB66" s="255">
        <v>1.2</v>
      </c>
      <c r="BC66" s="256">
        <v>0.0667</v>
      </c>
      <c r="BD66" s="261">
        <f t="shared" si="37"/>
        <v>0.10889869869099233</v>
      </c>
      <c r="BE66" s="208">
        <f t="shared" si="7"/>
        <v>0.003915421991842272</v>
      </c>
      <c r="BF66" s="255">
        <v>35.38999939</v>
      </c>
      <c r="BG66" s="255">
        <v>30.54999924</v>
      </c>
      <c r="BH66" s="258">
        <f t="shared" si="87"/>
        <v>32.969999314999995</v>
      </c>
      <c r="BI66" s="258">
        <v>1.84</v>
      </c>
      <c r="BJ66" s="256">
        <v>0.0517</v>
      </c>
      <c r="BK66" s="261">
        <f t="shared" si="39"/>
        <v>0.11485716205697605</v>
      </c>
      <c r="BL66" s="208">
        <f t="shared" si="8"/>
        <v>0.006607450978117877</v>
      </c>
      <c r="BM66" s="255">
        <v>27.84000015</v>
      </c>
      <c r="BN66" s="255">
        <v>25.62999916</v>
      </c>
      <c r="BO66" s="258">
        <f t="shared" si="88"/>
        <v>26.734999655000003</v>
      </c>
      <c r="BP66" s="258">
        <v>1.26</v>
      </c>
      <c r="BQ66" s="256">
        <v>0.0567</v>
      </c>
      <c r="BR66" s="261">
        <f t="shared" si="79"/>
        <v>0.1101059286957522</v>
      </c>
      <c r="BS66" s="208">
        <f t="shared" si="80"/>
        <v>0.0030539527247149157</v>
      </c>
      <c r="BT66" s="260">
        <v>17.5</v>
      </c>
      <c r="BU66" s="260">
        <v>15.25</v>
      </c>
      <c r="BV66" s="258">
        <f>AVERAGE(BT66:BU66)</f>
        <v>16.375</v>
      </c>
      <c r="BW66" s="49">
        <v>0.98</v>
      </c>
      <c r="BX66" s="256">
        <v>0.0533</v>
      </c>
      <c r="BY66" s="261">
        <f t="shared" si="10"/>
        <v>0.11776608269654343</v>
      </c>
      <c r="BZ66" s="208">
        <f t="shared" si="74"/>
        <v>0.0013307631173044437</v>
      </c>
      <c r="CA66" s="255">
        <v>19.70999908</v>
      </c>
      <c r="CB66" s="255">
        <v>18.55999947</v>
      </c>
      <c r="CC66" s="258">
        <f t="shared" si="82"/>
        <v>19.134999275</v>
      </c>
      <c r="CD66" s="258">
        <v>0.62</v>
      </c>
      <c r="CE66" s="256">
        <v>0.0858</v>
      </c>
      <c r="CF66" s="261">
        <f t="shared" si="69"/>
        <v>0.12330940042328153</v>
      </c>
      <c r="CG66" s="208">
        <f t="shared" si="12"/>
        <v>0.006080303598808382</v>
      </c>
      <c r="CH66" s="255">
        <v>38.99000168</v>
      </c>
      <c r="CI66" s="255">
        <v>35.40999985</v>
      </c>
      <c r="CJ66" s="258">
        <f t="shared" si="89"/>
        <v>37.200000765</v>
      </c>
      <c r="CK66" s="258">
        <v>2.08</v>
      </c>
      <c r="CL66" s="256">
        <v>0.055</v>
      </c>
      <c r="CM66" s="261">
        <f t="shared" si="45"/>
        <v>0.11847793101471704</v>
      </c>
      <c r="CN66" s="208">
        <f t="shared" si="13"/>
        <v>0.006328906016166861</v>
      </c>
      <c r="CO66" s="255">
        <v>36.77000046</v>
      </c>
      <c r="CP66" s="255">
        <v>34.25</v>
      </c>
      <c r="CQ66" s="258">
        <f t="shared" si="14"/>
        <v>35.51000023</v>
      </c>
      <c r="CR66" s="258">
        <v>1.6</v>
      </c>
      <c r="CS66" s="256">
        <v>0.045</v>
      </c>
      <c r="CT66" s="261">
        <f t="shared" si="46"/>
        <v>0.09545202576721135</v>
      </c>
      <c r="CU66" s="208">
        <f t="shared" si="15"/>
        <v>0.004706675190972277</v>
      </c>
      <c r="CV66" s="262">
        <v>7.25</v>
      </c>
      <c r="CW66" s="262">
        <v>5.5999999</v>
      </c>
      <c r="CX66" s="262"/>
      <c r="CY66" s="262"/>
      <c r="DA66" s="261"/>
      <c r="DB66" s="208"/>
      <c r="DC66" s="260">
        <v>33.65000153</v>
      </c>
      <c r="DD66" s="260">
        <v>32.24000168</v>
      </c>
      <c r="DE66" s="258"/>
      <c r="DF66" s="258"/>
      <c r="DH66" s="261"/>
      <c r="DI66" s="208"/>
      <c r="DJ66" s="255">
        <v>23.62999916</v>
      </c>
      <c r="DK66" s="255">
        <v>22</v>
      </c>
      <c r="DL66" s="258">
        <f t="shared" si="75"/>
        <v>22.81499958</v>
      </c>
      <c r="DM66" s="258">
        <v>0.82</v>
      </c>
      <c r="DN66" s="256">
        <v>0.05</v>
      </c>
      <c r="DO66" s="261">
        <f t="shared" si="76"/>
        <v>0.09029170667512965</v>
      </c>
      <c r="DP66" s="208">
        <f t="shared" si="77"/>
        <v>0.002875394232211604</v>
      </c>
      <c r="DQ66" s="255">
        <v>25.43333435</v>
      </c>
      <c r="DR66" s="255">
        <v>24.46666718</v>
      </c>
      <c r="DS66" s="258">
        <f t="shared" si="20"/>
        <v>24.950000765</v>
      </c>
      <c r="DT66" s="258">
        <v>1.1</v>
      </c>
      <c r="DU66" s="256">
        <v>0.0688</v>
      </c>
      <c r="DV66" s="261">
        <f t="shared" si="70"/>
        <v>0.11927143999272705</v>
      </c>
      <c r="DW66" s="208">
        <f t="shared" si="56"/>
        <v>0.004900995404874752</v>
      </c>
      <c r="DX66" s="255">
        <v>24.48999977</v>
      </c>
      <c r="DY66" s="255">
        <v>22.64999962</v>
      </c>
      <c r="DZ66" s="258">
        <f t="shared" si="21"/>
        <v>23.569999695</v>
      </c>
      <c r="EA66" s="258">
        <v>1.272</v>
      </c>
      <c r="EB66" s="256">
        <v>0.044</v>
      </c>
      <c r="EC66" s="261">
        <f t="shared" si="48"/>
        <v>0.10458219181312223</v>
      </c>
      <c r="ED66" s="208">
        <f t="shared" si="22"/>
        <v>0.0051568775378826315</v>
      </c>
      <c r="EE66" s="123">
        <v>21.86</v>
      </c>
      <c r="EF66" s="123">
        <v>20.54</v>
      </c>
      <c r="EG66" s="258">
        <f>AVERAGE(EE66:EF66)</f>
        <v>21.2</v>
      </c>
      <c r="EH66" s="278">
        <f t="shared" si="81"/>
        <v>1.04</v>
      </c>
      <c r="EI66" s="256">
        <v>0.0757</v>
      </c>
      <c r="EJ66" s="261">
        <f t="shared" si="50"/>
        <v>0.13233250240989158</v>
      </c>
      <c r="EK66" s="208">
        <f t="shared" si="23"/>
        <v>0.009067236085629381</v>
      </c>
      <c r="EL66" s="279">
        <v>28.39</v>
      </c>
      <c r="EM66" s="279">
        <v>25.74</v>
      </c>
      <c r="EN66" s="279">
        <f>AVERAGE(EL66:EM66)</f>
        <v>27.064999999999998</v>
      </c>
      <c r="EO66" s="278">
        <f aca="true" t="shared" si="91" ref="EO66:EO73">4*0.185</f>
        <v>0.74</v>
      </c>
      <c r="EP66" s="256">
        <v>0.1</v>
      </c>
      <c r="EQ66" s="261">
        <f t="shared" si="51"/>
        <v>0.1320020029664155</v>
      </c>
      <c r="ER66" s="208">
        <f t="shared" si="24"/>
        <v>0.012360413778313853</v>
      </c>
      <c r="ES66" s="260"/>
      <c r="ET66" s="285">
        <v>1.4</v>
      </c>
      <c r="EU66" s="285">
        <v>0.95</v>
      </c>
      <c r="EV66" s="285"/>
      <c r="EW66" s="285">
        <v>0.95</v>
      </c>
      <c r="EX66" s="280">
        <v>2.1898948799999998</v>
      </c>
      <c r="EY66" s="285">
        <v>5</v>
      </c>
      <c r="EZ66" s="285"/>
      <c r="FA66" s="285">
        <v>0.875</v>
      </c>
      <c r="FB66" s="285">
        <v>1.4</v>
      </c>
      <c r="FC66" s="285">
        <v>0.675</v>
      </c>
      <c r="FD66" s="285">
        <v>0.275</v>
      </c>
      <c r="FE66" s="255">
        <v>1.2</v>
      </c>
      <c r="FF66" s="255">
        <v>1.3</v>
      </c>
      <c r="FG66" s="255">
        <v>1.2</v>
      </c>
      <c r="FH66" s="255"/>
      <c r="FI66" s="255"/>
      <c r="FJ66" s="255">
        <v>0.775</v>
      </c>
      <c r="FK66" s="255">
        <v>1</v>
      </c>
      <c r="FL66" s="255">
        <v>1.2</v>
      </c>
      <c r="FM66" s="281">
        <v>1.66747974</v>
      </c>
      <c r="FN66" s="281">
        <v>2.27879184</v>
      </c>
      <c r="FO66" s="258">
        <f>SUM(ET66:FN66)</f>
        <v>24.336166459999998</v>
      </c>
      <c r="FP66" s="261">
        <f t="shared" si="25"/>
        <v>0.12151796136883472</v>
      </c>
    </row>
    <row r="67" spans="1:172" ht="12.75">
      <c r="A67" s="263">
        <v>37622</v>
      </c>
      <c r="B67" s="255">
        <v>25.40999985</v>
      </c>
      <c r="C67" s="255">
        <v>22.70999908</v>
      </c>
      <c r="D67" s="255">
        <f t="shared" si="26"/>
        <v>24.059999464999997</v>
      </c>
      <c r="E67" s="255">
        <v>1.08</v>
      </c>
      <c r="F67" s="256">
        <v>0.07</v>
      </c>
      <c r="G67" s="261">
        <f t="shared" si="27"/>
        <v>0.1214607195662174</v>
      </c>
      <c r="H67" s="277">
        <f t="shared" si="0"/>
        <v>0.0069598997526569475</v>
      </c>
      <c r="I67" s="255">
        <v>24.30999947</v>
      </c>
      <c r="J67" s="255">
        <v>21.39999962</v>
      </c>
      <c r="K67" s="258">
        <f t="shared" si="83"/>
        <v>22.854999545</v>
      </c>
      <c r="L67" s="259">
        <f t="shared" si="90"/>
        <v>1.2</v>
      </c>
      <c r="M67" s="256">
        <v>0.0671</v>
      </c>
      <c r="N67" s="261">
        <f t="shared" si="29"/>
        <v>0.12731047646507565</v>
      </c>
      <c r="O67" s="208">
        <f t="shared" si="1"/>
        <v>0.0049502467545720925</v>
      </c>
      <c r="P67" s="260">
        <v>20.23999977</v>
      </c>
      <c r="Q67" s="260">
        <v>18.04999924</v>
      </c>
      <c r="R67" s="260"/>
      <c r="S67" s="260"/>
      <c r="T67" s="260"/>
      <c r="U67" s="261"/>
      <c r="V67" s="260"/>
      <c r="W67" s="255">
        <v>30.95000076</v>
      </c>
      <c r="X67" s="255">
        <v>28.07999992</v>
      </c>
      <c r="Y67" s="258">
        <f t="shared" si="84"/>
        <v>29.51500034</v>
      </c>
      <c r="Z67" s="258">
        <v>0.72</v>
      </c>
      <c r="AA67" s="256">
        <v>0.07</v>
      </c>
      <c r="AB67" s="261">
        <f t="shared" si="32"/>
        <v>0.0977414784221311</v>
      </c>
      <c r="AC67" s="208">
        <f t="shared" si="4"/>
        <v>0.0038005076234159173</v>
      </c>
      <c r="AD67" s="123">
        <v>37.3</v>
      </c>
      <c r="AE67" s="123">
        <v>34.83</v>
      </c>
      <c r="AF67" s="258">
        <f t="shared" si="5"/>
        <v>36.065</v>
      </c>
      <c r="AG67" s="123">
        <f t="shared" si="78"/>
        <v>0.68</v>
      </c>
      <c r="AH67" s="256">
        <v>0.1017</v>
      </c>
      <c r="AI67" s="261">
        <f t="shared" si="33"/>
        <v>0.12372894515511557</v>
      </c>
      <c r="AJ67" s="208">
        <f t="shared" si="6"/>
        <v>0.011767357978081566</v>
      </c>
      <c r="AK67" s="255">
        <v>38.13999939</v>
      </c>
      <c r="AL67" s="255">
        <v>33.00999832</v>
      </c>
      <c r="AM67" s="258">
        <f t="shared" si="85"/>
        <v>35.574998855000004</v>
      </c>
      <c r="AN67" s="258">
        <v>1.78</v>
      </c>
      <c r="AO67" s="256">
        <v>0.08</v>
      </c>
      <c r="AP67" s="261">
        <f t="shared" si="54"/>
        <v>0.1380154077341056</v>
      </c>
      <c r="AQ67" s="208">
        <f t="shared" si="52"/>
        <v>0.02824468112530606</v>
      </c>
      <c r="AR67" s="260">
        <v>24.89999962</v>
      </c>
      <c r="AS67" s="260">
        <v>23</v>
      </c>
      <c r="AT67" s="258"/>
      <c r="AU67" s="258"/>
      <c r="AW67" s="261"/>
      <c r="AX67" s="208"/>
      <c r="AY67" s="255">
        <v>33.59999847</v>
      </c>
      <c r="AZ67" s="255">
        <v>30.01000023</v>
      </c>
      <c r="BA67" s="258">
        <f t="shared" si="86"/>
        <v>31.804999350000003</v>
      </c>
      <c r="BB67" s="255">
        <v>1.24</v>
      </c>
      <c r="BC67" s="256">
        <v>0.0667</v>
      </c>
      <c r="BD67" s="261">
        <f t="shared" si="37"/>
        <v>0.11115523717503706</v>
      </c>
      <c r="BE67" s="208">
        <f t="shared" si="7"/>
        <v>0.003980861623844268</v>
      </c>
      <c r="BF67" s="255">
        <v>35.61999893</v>
      </c>
      <c r="BG67" s="255">
        <v>30.64999962</v>
      </c>
      <c r="BH67" s="258">
        <f t="shared" si="87"/>
        <v>33.134999275</v>
      </c>
      <c r="BI67" s="258">
        <v>1.84</v>
      </c>
      <c r="BJ67" s="256">
        <v>0.0517</v>
      </c>
      <c r="BK67" s="261">
        <f t="shared" si="39"/>
        <v>0.11453578668653552</v>
      </c>
      <c r="BL67" s="208">
        <f t="shared" si="8"/>
        <v>0.006563089666164844</v>
      </c>
      <c r="BM67" s="255">
        <v>28.46999931</v>
      </c>
      <c r="BN67" s="255">
        <v>25.48999977</v>
      </c>
      <c r="BO67" s="258">
        <f t="shared" si="88"/>
        <v>26.97999954</v>
      </c>
      <c r="BP67" s="258">
        <v>1.26</v>
      </c>
      <c r="BQ67" s="256">
        <v>0.0567</v>
      </c>
      <c r="BR67" s="261">
        <f t="shared" si="79"/>
        <v>0.10961203955972842</v>
      </c>
      <c r="BS67" s="208">
        <f t="shared" si="80"/>
        <v>0.003028315577353307</v>
      </c>
      <c r="BT67" s="260">
        <v>17.39999962</v>
      </c>
      <c r="BU67" s="260">
        <v>15.19999981</v>
      </c>
      <c r="BV67" s="258">
        <f>AVERAGE(BT67:BU67)</f>
        <v>16.299999715</v>
      </c>
      <c r="BW67" s="49">
        <v>0.98</v>
      </c>
      <c r="BX67" s="256">
        <v>0.0533</v>
      </c>
      <c r="BY67" s="261">
        <f t="shared" si="10"/>
        <v>0.1180693778610622</v>
      </c>
      <c r="BZ67" s="208">
        <f t="shared" si="74"/>
        <v>0.0013289513038468447</v>
      </c>
      <c r="CA67" s="255">
        <v>20.20000076</v>
      </c>
      <c r="CB67" s="255">
        <v>16.75</v>
      </c>
      <c r="CC67" s="258">
        <f t="shared" si="82"/>
        <v>18.47500038</v>
      </c>
      <c r="CD67" s="258">
        <v>0.68</v>
      </c>
      <c r="CE67" s="256">
        <v>0.0858</v>
      </c>
      <c r="CF67" s="261">
        <f t="shared" si="69"/>
        <v>0.12848304152197842</v>
      </c>
      <c r="CG67" s="208">
        <f t="shared" si="12"/>
        <v>0.006310534623419678</v>
      </c>
      <c r="CH67" s="255">
        <v>40.34999847</v>
      </c>
      <c r="CI67" s="255">
        <v>36.13999939</v>
      </c>
      <c r="CJ67" s="258">
        <f t="shared" si="89"/>
        <v>38.24499893</v>
      </c>
      <c r="CK67" s="258">
        <v>2.12</v>
      </c>
      <c r="CL67" s="256">
        <v>0.055</v>
      </c>
      <c r="CM67" s="261">
        <f t="shared" si="45"/>
        <v>0.11791890833315155</v>
      </c>
      <c r="CN67" s="208">
        <f t="shared" si="13"/>
        <v>0.006274308970212656</v>
      </c>
      <c r="CO67" s="255">
        <v>36.86999893</v>
      </c>
      <c r="CP67" s="255">
        <v>33.95000076</v>
      </c>
      <c r="CQ67" s="258">
        <f t="shared" si="14"/>
        <v>35.409999845</v>
      </c>
      <c r="CR67" s="258">
        <v>1.66</v>
      </c>
      <c r="CS67" s="256">
        <v>0.045</v>
      </c>
      <c r="CT67" s="261">
        <f t="shared" si="46"/>
        <v>0.09752948202542022</v>
      </c>
      <c r="CU67" s="208">
        <f t="shared" si="15"/>
        <v>0.004790228856936888</v>
      </c>
      <c r="CV67" s="262">
        <v>6.19999981</v>
      </c>
      <c r="CW67" s="262">
        <v>4.48999977</v>
      </c>
      <c r="CX67" s="262"/>
      <c r="CY67" s="262"/>
      <c r="DA67" s="261"/>
      <c r="DB67" s="208"/>
      <c r="DC67" s="260">
        <v>33.75</v>
      </c>
      <c r="DD67" s="260">
        <v>31.75</v>
      </c>
      <c r="DE67" s="258"/>
      <c r="DF67" s="258"/>
      <c r="DH67" s="261"/>
      <c r="DI67" s="208"/>
      <c r="DJ67" s="255">
        <v>23.63999939</v>
      </c>
      <c r="DK67" s="255">
        <v>21.11000061</v>
      </c>
      <c r="DL67" s="258">
        <f t="shared" si="75"/>
        <v>22.375</v>
      </c>
      <c r="DM67" s="258">
        <v>0.82</v>
      </c>
      <c r="DN67" s="256">
        <v>0.05</v>
      </c>
      <c r="DO67" s="261">
        <f t="shared" si="76"/>
        <v>0.09109547961935816</v>
      </c>
      <c r="DP67" s="208">
        <f t="shared" si="77"/>
        <v>0.0028895993316064715</v>
      </c>
      <c r="DQ67" s="255">
        <v>27.88666916</v>
      </c>
      <c r="DR67" s="255">
        <v>24.93333435</v>
      </c>
      <c r="DS67" s="258">
        <f t="shared" si="20"/>
        <v>26.410001755</v>
      </c>
      <c r="DT67" s="258">
        <v>1.1</v>
      </c>
      <c r="DU67" s="256">
        <v>0.0688</v>
      </c>
      <c r="DV67" s="261">
        <f t="shared" si="70"/>
        <v>0.11643550771402489</v>
      </c>
      <c r="DW67" s="208">
        <f t="shared" si="56"/>
        <v>0.004765676298086342</v>
      </c>
      <c r="DX67" s="255">
        <v>25.69000053</v>
      </c>
      <c r="DY67" s="255">
        <v>23.14999962</v>
      </c>
      <c r="DZ67" s="258">
        <f t="shared" si="21"/>
        <v>24.420000074999997</v>
      </c>
      <c r="EA67" s="258">
        <v>1.272</v>
      </c>
      <c r="EB67" s="256">
        <v>0.044</v>
      </c>
      <c r="EC67" s="261">
        <f t="shared" si="48"/>
        <v>0.10243023520722394</v>
      </c>
      <c r="ED67" s="208">
        <f t="shared" si="22"/>
        <v>0.005030932783838527</v>
      </c>
      <c r="EE67" s="123">
        <v>21.54</v>
      </c>
      <c r="EF67" s="123">
        <v>20.02</v>
      </c>
      <c r="EG67" s="258">
        <f>AVERAGE(EE67:EF67)</f>
        <v>20.78</v>
      </c>
      <c r="EH67" s="278">
        <f t="shared" si="81"/>
        <v>1.04</v>
      </c>
      <c r="EI67" s="256">
        <v>0.0757</v>
      </c>
      <c r="EJ67" s="261">
        <f t="shared" si="50"/>
        <v>0.13349971160633411</v>
      </c>
      <c r="EK67" s="208">
        <f t="shared" si="23"/>
        <v>0.009047950640449918</v>
      </c>
      <c r="EL67" s="279">
        <v>28.97</v>
      </c>
      <c r="EM67" s="279">
        <v>26.5</v>
      </c>
      <c r="EN67" s="279">
        <f>AVERAGE(EL67:EM67)</f>
        <v>27.735</v>
      </c>
      <c r="EO67" s="278">
        <f t="shared" si="91"/>
        <v>0.74</v>
      </c>
      <c r="EP67" s="256">
        <v>0.1</v>
      </c>
      <c r="EQ67" s="261">
        <f t="shared" si="51"/>
        <v>0.13122079284693333</v>
      </c>
      <c r="ER67" s="208">
        <f t="shared" si="24"/>
        <v>0.01209823399942938</v>
      </c>
      <c r="ES67" s="260"/>
      <c r="ET67" s="285">
        <v>1.4</v>
      </c>
      <c r="EU67" s="285">
        <v>0.95</v>
      </c>
      <c r="EV67" s="285"/>
      <c r="EW67" s="285">
        <v>0.95</v>
      </c>
      <c r="EX67" s="280">
        <v>2.32363846</v>
      </c>
      <c r="EY67" s="285">
        <v>5</v>
      </c>
      <c r="EZ67" s="285"/>
      <c r="FA67" s="285">
        <v>0.875</v>
      </c>
      <c r="FB67" s="285">
        <v>1.4</v>
      </c>
      <c r="FC67" s="285">
        <v>0.675</v>
      </c>
      <c r="FD67" s="285">
        <v>0.275</v>
      </c>
      <c r="FE67" s="255">
        <v>1.2</v>
      </c>
      <c r="FF67" s="255">
        <v>1.3</v>
      </c>
      <c r="FG67" s="255">
        <v>1.2</v>
      </c>
      <c r="FH67" s="255"/>
      <c r="FI67" s="255"/>
      <c r="FJ67" s="255">
        <v>0.775</v>
      </c>
      <c r="FK67" s="255">
        <v>1</v>
      </c>
      <c r="FL67" s="255">
        <v>1.2</v>
      </c>
      <c r="FM67" s="281">
        <v>1.6558873799999998</v>
      </c>
      <c r="FN67" s="281">
        <v>2.25258</v>
      </c>
      <c r="FO67" s="258">
        <f>SUM(ET67:FN67)</f>
        <v>24.43210584</v>
      </c>
      <c r="FP67" s="261">
        <f t="shared" si="25"/>
        <v>0.12183137690922172</v>
      </c>
    </row>
    <row r="68" spans="1:172" ht="12.75">
      <c r="A68" s="263">
        <v>37653</v>
      </c>
      <c r="B68" s="255">
        <v>23.13999939</v>
      </c>
      <c r="C68" s="255">
        <v>21.89999962</v>
      </c>
      <c r="D68" s="255">
        <f t="shared" si="26"/>
        <v>22.519999505</v>
      </c>
      <c r="E68" s="255">
        <v>1.08</v>
      </c>
      <c r="F68" s="256">
        <v>0.07</v>
      </c>
      <c r="G68" s="261">
        <f t="shared" si="27"/>
        <v>0.12504631191223847</v>
      </c>
      <c r="H68" s="277">
        <f t="shared" si="0"/>
        <v>0.0071963189193135135</v>
      </c>
      <c r="I68" s="255">
        <v>22.46999931</v>
      </c>
      <c r="J68" s="255">
        <v>21.01000023</v>
      </c>
      <c r="K68" s="258">
        <f t="shared" si="83"/>
        <v>21.739999769999997</v>
      </c>
      <c r="L68" s="259">
        <f t="shared" si="90"/>
        <v>1.2</v>
      </c>
      <c r="M68" s="256">
        <v>0.0643</v>
      </c>
      <c r="N68" s="261">
        <f t="shared" si="29"/>
        <v>0.12749943837198363</v>
      </c>
      <c r="O68" s="208">
        <f t="shared" si="1"/>
        <v>0.004979014096004902</v>
      </c>
      <c r="P68" s="260">
        <v>19.69000053</v>
      </c>
      <c r="Q68" s="260">
        <v>18.5</v>
      </c>
      <c r="R68" s="260"/>
      <c r="S68" s="260"/>
      <c r="T68" s="260"/>
      <c r="U68" s="261"/>
      <c r="V68" s="260"/>
      <c r="W68" s="255">
        <v>30.85000038</v>
      </c>
      <c r="X68" s="255">
        <v>28.46999931</v>
      </c>
      <c r="Y68" s="258">
        <f t="shared" si="84"/>
        <v>29.659999845</v>
      </c>
      <c r="Z68" s="258">
        <v>0.72</v>
      </c>
      <c r="AA68" s="256">
        <v>0.072</v>
      </c>
      <c r="AB68" s="261">
        <f t="shared" si="32"/>
        <v>0.09965615722178578</v>
      </c>
      <c r="AC68" s="208">
        <f t="shared" si="4"/>
        <v>0.003891698801945338</v>
      </c>
      <c r="AD68" s="123">
        <v>37.84</v>
      </c>
      <c r="AE68" s="123">
        <v>34.44</v>
      </c>
      <c r="AF68" s="258">
        <f t="shared" si="5"/>
        <v>36.14</v>
      </c>
      <c r="AG68" s="123">
        <f t="shared" si="78"/>
        <v>0.68</v>
      </c>
      <c r="AH68" s="256">
        <v>0.1017</v>
      </c>
      <c r="AI68" s="261">
        <f t="shared" si="33"/>
        <v>0.12368289004507393</v>
      </c>
      <c r="AJ68" s="208">
        <f t="shared" si="6"/>
        <v>0.011534184635918378</v>
      </c>
      <c r="AK68" s="255">
        <v>34.18999863</v>
      </c>
      <c r="AL68" s="255">
        <v>31.02000046</v>
      </c>
      <c r="AM68" s="258">
        <f t="shared" si="85"/>
        <v>32.604999545</v>
      </c>
      <c r="AN68" s="258">
        <v>1.78</v>
      </c>
      <c r="AO68" s="256">
        <v>0.0778</v>
      </c>
      <c r="AP68" s="261">
        <f t="shared" si="54"/>
        <v>0.14108459107794302</v>
      </c>
      <c r="AQ68" s="208">
        <f t="shared" si="52"/>
        <v>0.028997534035640645</v>
      </c>
      <c r="AR68" s="260">
        <v>23.79999924</v>
      </c>
      <c r="AS68" s="260">
        <v>21.85000038</v>
      </c>
      <c r="AT68" s="258"/>
      <c r="AU68" s="258"/>
      <c r="AW68" s="261"/>
      <c r="AX68" s="208"/>
      <c r="AY68" s="255">
        <v>32.66999817</v>
      </c>
      <c r="AZ68" s="255">
        <v>30.42000008</v>
      </c>
      <c r="BA68" s="258">
        <f t="shared" si="86"/>
        <v>31.544999125</v>
      </c>
      <c r="BB68" s="255">
        <v>1.24</v>
      </c>
      <c r="BC68" s="256">
        <v>0.07</v>
      </c>
      <c r="BD68" s="261">
        <f t="shared" si="37"/>
        <v>0.1149660022713781</v>
      </c>
      <c r="BE68" s="208">
        <f t="shared" si="7"/>
        <v>0.004135128040621496</v>
      </c>
      <c r="BF68" s="255">
        <v>32.29999924</v>
      </c>
      <c r="BG68" s="255">
        <v>29.75</v>
      </c>
      <c r="BH68" s="258">
        <f t="shared" si="87"/>
        <v>31.02499962</v>
      </c>
      <c r="BI68" s="258">
        <v>1.84</v>
      </c>
      <c r="BJ68" s="256">
        <v>0.0517</v>
      </c>
      <c r="BK68" s="261">
        <f t="shared" si="39"/>
        <v>0.11890908786877641</v>
      </c>
      <c r="BL68" s="208">
        <f t="shared" si="8"/>
        <v>0.00684312640351162</v>
      </c>
      <c r="BM68" s="255">
        <v>26.26000023</v>
      </c>
      <c r="BN68" s="255">
        <v>24.04999924</v>
      </c>
      <c r="BO68" s="258">
        <f t="shared" si="88"/>
        <v>25.154999734999997</v>
      </c>
      <c r="BP68" s="258">
        <v>1.26</v>
      </c>
      <c r="BQ68" s="256">
        <v>0.0467</v>
      </c>
      <c r="BR68" s="261">
        <f t="shared" si="79"/>
        <v>0.10298883071563081</v>
      </c>
      <c r="BS68" s="208">
        <f t="shared" si="80"/>
        <v>0.0028576259367180537</v>
      </c>
      <c r="BT68" s="260">
        <v>16.03000069</v>
      </c>
      <c r="BU68" s="260">
        <v>14.89999962</v>
      </c>
      <c r="BV68" s="258">
        <f>AVERAGE(BT68:BU68)</f>
        <v>15.465000155</v>
      </c>
      <c r="BW68" s="49">
        <v>0.98</v>
      </c>
      <c r="BX68" s="256">
        <v>0.0533</v>
      </c>
      <c r="BY68" s="261">
        <f t="shared" si="10"/>
        <v>0.12164939574481926</v>
      </c>
      <c r="BZ68" s="208">
        <f t="shared" si="74"/>
        <v>0.0013751628413957622</v>
      </c>
      <c r="CA68" s="255">
        <v>17.54999924</v>
      </c>
      <c r="CB68" s="255">
        <v>16</v>
      </c>
      <c r="CC68" s="258">
        <f t="shared" si="82"/>
        <v>16.77499962</v>
      </c>
      <c r="CD68" s="258">
        <v>0.68</v>
      </c>
      <c r="CE68" s="256">
        <v>0.085</v>
      </c>
      <c r="CF68" s="261">
        <f t="shared" si="69"/>
        <v>0.1320430575269349</v>
      </c>
      <c r="CG68" s="208">
        <f t="shared" si="12"/>
        <v>0.006513408205195771</v>
      </c>
      <c r="CH68" s="255">
        <v>37.56000137</v>
      </c>
      <c r="CI68" s="255">
        <v>35.31000137</v>
      </c>
      <c r="CJ68" s="258">
        <f t="shared" si="89"/>
        <v>36.43500137</v>
      </c>
      <c r="CK68" s="258">
        <v>2.12</v>
      </c>
      <c r="CL68" s="256">
        <v>0.05</v>
      </c>
      <c r="CM68" s="261">
        <f t="shared" si="45"/>
        <v>0.11580285783358613</v>
      </c>
      <c r="CN68" s="208">
        <f t="shared" si="13"/>
        <v>0.006188339168064555</v>
      </c>
      <c r="CO68" s="255">
        <v>35.40000153</v>
      </c>
      <c r="CP68" s="255">
        <v>33.22000122</v>
      </c>
      <c r="CQ68" s="258">
        <f t="shared" si="14"/>
        <v>34.310001375</v>
      </c>
      <c r="CR68" s="258">
        <v>1.66</v>
      </c>
      <c r="CS68" s="256">
        <v>0.045</v>
      </c>
      <c r="CT68" s="261">
        <f t="shared" si="46"/>
        <v>0.09924571259507142</v>
      </c>
      <c r="CU68" s="208">
        <f t="shared" si="15"/>
        <v>0.004895583689550489</v>
      </c>
      <c r="CV68" s="262">
        <v>4.94000006</v>
      </c>
      <c r="CW68" s="262">
        <v>3.1500001</v>
      </c>
      <c r="CX68" s="262"/>
      <c r="CY68" s="262"/>
      <c r="DA68" s="261"/>
      <c r="DB68" s="208"/>
      <c r="DC68" s="260">
        <v>32.40999985</v>
      </c>
      <c r="DD68" s="260">
        <v>30.54999924</v>
      </c>
      <c r="DE68" s="258"/>
      <c r="DF68" s="258"/>
      <c r="DH68" s="261"/>
      <c r="DI68" s="208"/>
      <c r="DJ68" s="255">
        <v>21.95999908</v>
      </c>
      <c r="DK68" s="255">
        <v>19.92000008</v>
      </c>
      <c r="DL68" s="258">
        <f t="shared" si="75"/>
        <v>20.93999958</v>
      </c>
      <c r="DM68" s="258">
        <v>0.82</v>
      </c>
      <c r="DN68" s="256">
        <v>0.0475</v>
      </c>
      <c r="DO68" s="261">
        <f t="shared" si="76"/>
        <v>0.09135054340212867</v>
      </c>
      <c r="DP68" s="208">
        <f t="shared" si="77"/>
        <v>0.002910209917624392</v>
      </c>
      <c r="DQ68" s="255">
        <v>28.36666679</v>
      </c>
      <c r="DR68" s="255">
        <v>26.03333282</v>
      </c>
      <c r="DS68" s="258">
        <f t="shared" si="20"/>
        <v>27.199999804999997</v>
      </c>
      <c r="DT68" s="258">
        <v>1.1</v>
      </c>
      <c r="DU68" s="256">
        <v>0.0725</v>
      </c>
      <c r="DV68" s="261">
        <f t="shared" si="70"/>
        <v>0.11888997938448975</v>
      </c>
      <c r="DW68" s="208">
        <f t="shared" si="56"/>
        <v>0.004887161946401014</v>
      </c>
      <c r="DX68" s="255">
        <v>26.10000038</v>
      </c>
      <c r="DY68" s="255">
        <v>24.37999916</v>
      </c>
      <c r="DZ68" s="258">
        <f t="shared" si="21"/>
        <v>25.23999977</v>
      </c>
      <c r="EA68" s="258">
        <v>1.272</v>
      </c>
      <c r="EB68" s="256">
        <v>0.042</v>
      </c>
      <c r="EC68" s="261">
        <f t="shared" si="48"/>
        <v>0.09838605718405447</v>
      </c>
      <c r="ED68" s="208">
        <f t="shared" si="22"/>
        <v>0.004853178683845312</v>
      </c>
      <c r="EE68" s="123">
        <v>20.75</v>
      </c>
      <c r="EF68" s="123">
        <v>18.97</v>
      </c>
      <c r="EG68" s="258">
        <f>AVERAGE(EE68:EF68)</f>
        <v>19.86</v>
      </c>
      <c r="EH68" s="278">
        <f t="shared" si="81"/>
        <v>1.04</v>
      </c>
      <c r="EI68" s="256">
        <v>0.0717</v>
      </c>
      <c r="EJ68" s="261">
        <f t="shared" si="50"/>
        <v>0.13200739614030765</v>
      </c>
      <c r="EK68" s="208">
        <f t="shared" si="23"/>
        <v>0.008544642604941453</v>
      </c>
      <c r="EL68" s="279">
        <v>28.64</v>
      </c>
      <c r="EM68" s="279">
        <v>26.04</v>
      </c>
      <c r="EN68" s="279">
        <f>AVERAGE(EL68:EM68)</f>
        <v>27.34</v>
      </c>
      <c r="EO68" s="278">
        <f t="shared" si="91"/>
        <v>0.74</v>
      </c>
      <c r="EP68" s="256">
        <v>0.102</v>
      </c>
      <c r="EQ68" s="261">
        <f t="shared" si="51"/>
        <v>0.1337342692353063</v>
      </c>
      <c r="ER68" s="208">
        <f t="shared" si="24"/>
        <v>0.012554357372580024</v>
      </c>
      <c r="ES68" s="260"/>
      <c r="ET68" s="285">
        <v>1.4</v>
      </c>
      <c r="EU68" s="285">
        <v>0.95</v>
      </c>
      <c r="EV68" s="285"/>
      <c r="EW68" s="285">
        <v>0.95</v>
      </c>
      <c r="EX68" s="280">
        <v>2.2686410999999995</v>
      </c>
      <c r="EY68" s="285">
        <v>5</v>
      </c>
      <c r="EZ68" s="285"/>
      <c r="FA68" s="285">
        <v>0.875</v>
      </c>
      <c r="FB68" s="285">
        <v>1.4</v>
      </c>
      <c r="FC68" s="285">
        <v>0.675</v>
      </c>
      <c r="FD68" s="285">
        <v>0.275</v>
      </c>
      <c r="FE68" s="255">
        <v>1.2</v>
      </c>
      <c r="FF68" s="255">
        <v>1.3</v>
      </c>
      <c r="FG68" s="255">
        <v>1.2</v>
      </c>
      <c r="FH68" s="255"/>
      <c r="FI68" s="255"/>
      <c r="FJ68" s="255">
        <v>0.775</v>
      </c>
      <c r="FK68" s="255">
        <v>1</v>
      </c>
      <c r="FL68" s="255">
        <v>1.2</v>
      </c>
      <c r="FM68" s="281">
        <v>1.5746504399999999</v>
      </c>
      <c r="FN68" s="281">
        <v>2.28370656</v>
      </c>
      <c r="FO68" s="258">
        <f>SUM(ET68:FN68)</f>
        <v>24.326998099999994</v>
      </c>
      <c r="FP68" s="261">
        <f t="shared" si="25"/>
        <v>0.12315667529927271</v>
      </c>
    </row>
    <row r="69" spans="1:172" ht="12.75">
      <c r="A69" s="263">
        <v>37681</v>
      </c>
      <c r="B69" s="255">
        <v>23.70000076</v>
      </c>
      <c r="C69" s="255">
        <v>22.03000069</v>
      </c>
      <c r="D69" s="255">
        <f t="shared" si="26"/>
        <v>22.865000725</v>
      </c>
      <c r="E69" s="255">
        <v>1.08</v>
      </c>
      <c r="F69" s="256">
        <v>0.0647</v>
      </c>
      <c r="G69" s="261">
        <f t="shared" si="27"/>
        <v>0.11863181969958281</v>
      </c>
      <c r="H69" s="277">
        <f t="shared" si="0"/>
        <v>0.006491777190094124</v>
      </c>
      <c r="I69" s="255">
        <v>21.89999962</v>
      </c>
      <c r="J69" s="255">
        <v>20.85000038</v>
      </c>
      <c r="K69" s="258">
        <f t="shared" si="83"/>
        <v>21.375</v>
      </c>
      <c r="L69" s="259">
        <f t="shared" si="90"/>
        <v>1.2</v>
      </c>
      <c r="M69" s="256">
        <v>0.0629</v>
      </c>
      <c r="N69" s="261">
        <f t="shared" si="29"/>
        <v>0.12711790852374705</v>
      </c>
      <c r="O69" s="208">
        <f t="shared" si="1"/>
        <v>0.005083342888052532</v>
      </c>
      <c r="P69" s="260">
        <v>19.62999916</v>
      </c>
      <c r="Q69" s="260">
        <v>18.20000076</v>
      </c>
      <c r="R69" s="260"/>
      <c r="S69" s="260"/>
      <c r="T69" s="260"/>
      <c r="U69" s="261"/>
      <c r="V69" s="260"/>
      <c r="W69" s="255">
        <v>32.06000137</v>
      </c>
      <c r="X69" s="255">
        <v>30.31999969</v>
      </c>
      <c r="Y69" s="258">
        <f t="shared" si="84"/>
        <v>31.19000053</v>
      </c>
      <c r="Z69" s="258">
        <v>0.72</v>
      </c>
      <c r="AA69" s="256">
        <v>0.072</v>
      </c>
      <c r="AB69" s="261">
        <f t="shared" si="32"/>
        <v>0.09828716015141303</v>
      </c>
      <c r="AC69" s="208">
        <f t="shared" si="4"/>
        <v>0.0045510177919345085</v>
      </c>
      <c r="AD69" s="123">
        <v>37.9</v>
      </c>
      <c r="AE69" s="123">
        <v>36.05</v>
      </c>
      <c r="AF69" s="258">
        <f t="shared" si="5"/>
        <v>36.974999999999994</v>
      </c>
      <c r="AG69" s="123">
        <f t="shared" si="78"/>
        <v>0.68</v>
      </c>
      <c r="AH69" s="256">
        <v>0.0956</v>
      </c>
      <c r="AI69" s="261">
        <f t="shared" si="33"/>
        <v>0.11696390527418998</v>
      </c>
      <c r="AJ69" s="208">
        <f t="shared" si="6"/>
        <v>0.011504036756526025</v>
      </c>
      <c r="AK69" s="255">
        <v>33.43999863</v>
      </c>
      <c r="AL69" s="255">
        <v>31.06999969</v>
      </c>
      <c r="AM69" s="258">
        <f t="shared" si="85"/>
        <v>32.25499916</v>
      </c>
      <c r="AN69" s="258">
        <v>1.78</v>
      </c>
      <c r="AO69" s="256">
        <v>0.071</v>
      </c>
      <c r="AP69" s="261">
        <f t="shared" si="54"/>
        <v>0.13458252023602535</v>
      </c>
      <c r="AQ69" s="208">
        <f t="shared" si="52"/>
        <v>0.025492958074935776</v>
      </c>
      <c r="AR69" s="260">
        <v>23.95999908</v>
      </c>
      <c r="AS69" s="260">
        <v>21.89999962</v>
      </c>
      <c r="AT69" s="258"/>
      <c r="AU69" s="258"/>
      <c r="AW69" s="261"/>
      <c r="AX69" s="208"/>
      <c r="AY69" s="255">
        <v>33.70000076</v>
      </c>
      <c r="AZ69" s="255">
        <v>31.70000076</v>
      </c>
      <c r="BA69" s="258">
        <f t="shared" si="86"/>
        <v>32.70000076</v>
      </c>
      <c r="BB69" s="255">
        <v>1.24</v>
      </c>
      <c r="BC69" s="256">
        <v>0.07</v>
      </c>
      <c r="BD69" s="261">
        <f t="shared" si="37"/>
        <v>0.11335402480326029</v>
      </c>
      <c r="BE69" s="208">
        <f t="shared" si="7"/>
        <v>0.004055785067509058</v>
      </c>
      <c r="BF69" s="255">
        <v>31.85000038</v>
      </c>
      <c r="BG69" s="255">
        <v>23.70000076</v>
      </c>
      <c r="BH69" s="258">
        <f t="shared" si="87"/>
        <v>27.775000570000003</v>
      </c>
      <c r="BI69" s="258">
        <v>1.84</v>
      </c>
      <c r="BJ69" s="256">
        <v>0.0517</v>
      </c>
      <c r="BK69" s="261">
        <f t="shared" si="39"/>
        <v>0.12697868537740975</v>
      </c>
      <c r="BL69" s="208">
        <f t="shared" si="8"/>
        <v>0.0058795294874611145</v>
      </c>
      <c r="BM69" s="255">
        <v>25.71999931</v>
      </c>
      <c r="BN69" s="255">
        <v>24.12999916</v>
      </c>
      <c r="BO69" s="258">
        <f t="shared" si="88"/>
        <v>24.924999235</v>
      </c>
      <c r="BP69" s="258">
        <v>1.26</v>
      </c>
      <c r="BQ69" s="256">
        <v>0.0467</v>
      </c>
      <c r="BR69" s="261">
        <f t="shared" si="79"/>
        <v>0.10351858972009409</v>
      </c>
      <c r="BS69" s="208">
        <f t="shared" si="80"/>
        <v>0.002941312582513696</v>
      </c>
      <c r="BT69" s="260">
        <v>15.73999977</v>
      </c>
      <c r="BU69" s="260">
        <v>13.13000011</v>
      </c>
      <c r="BV69" s="258"/>
      <c r="BY69" s="261"/>
      <c r="BZ69" s="208"/>
      <c r="CA69" s="255">
        <v>18.57999992</v>
      </c>
      <c r="CB69" s="255">
        <v>17.12999916</v>
      </c>
      <c r="CC69" s="258">
        <f t="shared" si="82"/>
        <v>17.85499954</v>
      </c>
      <c r="CD69" s="258">
        <v>0.68</v>
      </c>
      <c r="CE69" s="256">
        <v>0.088</v>
      </c>
      <c r="CF69" s="261">
        <f t="shared" si="69"/>
        <v>0.13227695721705235</v>
      </c>
      <c r="CG69" s="208">
        <f t="shared" si="12"/>
        <v>0.007238467182002912</v>
      </c>
      <c r="CH69" s="255">
        <v>36.43000031</v>
      </c>
      <c r="CI69" s="255">
        <v>34.93000031</v>
      </c>
      <c r="CJ69" s="258">
        <f t="shared" si="89"/>
        <v>35.68000031</v>
      </c>
      <c r="CK69" s="258">
        <v>2.12</v>
      </c>
      <c r="CL69" s="256">
        <v>0.0525</v>
      </c>
      <c r="CM69" s="261">
        <f t="shared" si="45"/>
        <v>0.11988791470139692</v>
      </c>
      <c r="CN69" s="208">
        <f t="shared" si="13"/>
        <v>0.00656051329228001</v>
      </c>
      <c r="CO69" s="255">
        <v>35.88000107</v>
      </c>
      <c r="CP69" s="255">
        <v>33.52999878</v>
      </c>
      <c r="CQ69" s="258">
        <f t="shared" si="14"/>
        <v>34.704999924999996</v>
      </c>
      <c r="CR69" s="258">
        <v>1.66</v>
      </c>
      <c r="CS69" s="256">
        <v>0.045</v>
      </c>
      <c r="CT69" s="261">
        <f t="shared" si="46"/>
        <v>0.09861667856323164</v>
      </c>
      <c r="CU69" s="208">
        <f t="shared" si="15"/>
        <v>0.004566275574870207</v>
      </c>
      <c r="CV69" s="262">
        <v>4.26000023</v>
      </c>
      <c r="CW69" s="262">
        <v>3.51999998</v>
      </c>
      <c r="CX69" s="262"/>
      <c r="CY69" s="262"/>
      <c r="DA69" s="261"/>
      <c r="DB69" s="208"/>
      <c r="DC69" s="260">
        <v>32.04999924</v>
      </c>
      <c r="DD69" s="260">
        <v>30.94000053</v>
      </c>
      <c r="DE69" s="258"/>
      <c r="DF69" s="258"/>
      <c r="DH69" s="261"/>
      <c r="DI69" s="208"/>
      <c r="DJ69" s="255">
        <v>20.88999939</v>
      </c>
      <c r="DK69" s="255">
        <v>19.29999924</v>
      </c>
      <c r="DL69" s="258">
        <f t="shared" si="75"/>
        <v>20.094999315</v>
      </c>
      <c r="DM69" s="258">
        <v>0.82</v>
      </c>
      <c r="DN69" s="256">
        <v>0.05</v>
      </c>
      <c r="DO69" s="261">
        <f t="shared" si="76"/>
        <v>0.0958332558015933</v>
      </c>
      <c r="DP69" s="208">
        <f t="shared" si="77"/>
        <v>0.002622096439389889</v>
      </c>
      <c r="DQ69" s="255">
        <v>30.56666565</v>
      </c>
      <c r="DR69" s="255">
        <v>27.41333389</v>
      </c>
      <c r="DS69" s="258">
        <f t="shared" si="20"/>
        <v>28.98999977</v>
      </c>
      <c r="DT69" s="258">
        <v>1.1</v>
      </c>
      <c r="DU69" s="256">
        <v>0.0633</v>
      </c>
      <c r="DV69" s="261">
        <f t="shared" si="70"/>
        <v>0.10640980446022219</v>
      </c>
      <c r="DW69" s="208">
        <f t="shared" si="56"/>
        <v>0.00537504311676164</v>
      </c>
      <c r="DX69" s="255">
        <v>26.95999908</v>
      </c>
      <c r="DY69" s="255">
        <v>25</v>
      </c>
      <c r="DZ69" s="258">
        <f t="shared" si="21"/>
        <v>25.97999954</v>
      </c>
      <c r="EA69" s="258">
        <v>1.272</v>
      </c>
      <c r="EB69" s="256">
        <v>0.0433</v>
      </c>
      <c r="EC69" s="261">
        <f t="shared" si="48"/>
        <v>0.09811733103648113</v>
      </c>
      <c r="ED69" s="208">
        <f t="shared" si="22"/>
        <v>0.0049561681604236634</v>
      </c>
      <c r="EE69" s="123">
        <v>22.25</v>
      </c>
      <c r="EF69" s="123">
        <v>19.63</v>
      </c>
      <c r="EG69" s="258">
        <f>AVERAGE(EE69:EF69)</f>
        <v>20.939999999999998</v>
      </c>
      <c r="EH69" s="278">
        <f t="shared" si="81"/>
        <v>1.04</v>
      </c>
      <c r="EI69" s="256">
        <v>0.065</v>
      </c>
      <c r="EJ69" s="261">
        <f t="shared" si="50"/>
        <v>0.12177897720654962</v>
      </c>
      <c r="EK69" s="208">
        <f t="shared" si="23"/>
        <v>0.009034409377235087</v>
      </c>
      <c r="EL69" s="279">
        <v>29.85</v>
      </c>
      <c r="EM69" s="279">
        <v>27.92</v>
      </c>
      <c r="EN69" s="279">
        <f>AVERAGE(EL69:EM69)</f>
        <v>28.885</v>
      </c>
      <c r="EO69" s="278">
        <f t="shared" si="91"/>
        <v>0.74</v>
      </c>
      <c r="EP69" s="256">
        <v>0.0982</v>
      </c>
      <c r="EQ69" s="261">
        <f t="shared" si="51"/>
        <v>0.12811621092901526</v>
      </c>
      <c r="ER69" s="208">
        <f t="shared" si="24"/>
        <v>0.01311786559092463</v>
      </c>
      <c r="ES69" s="260"/>
      <c r="ET69" s="285">
        <v>1.3</v>
      </c>
      <c r="EU69" s="285">
        <v>0.95</v>
      </c>
      <c r="EV69" s="285"/>
      <c r="EW69" s="285">
        <v>1.1</v>
      </c>
      <c r="EX69" s="280">
        <v>2.33657292</v>
      </c>
      <c r="EY69" s="285">
        <v>4.5</v>
      </c>
      <c r="EZ69" s="285"/>
      <c r="FA69" s="285">
        <v>0.85</v>
      </c>
      <c r="FB69" s="285">
        <v>1.1</v>
      </c>
      <c r="FC69" s="285">
        <v>0.675</v>
      </c>
      <c r="FD69" s="285"/>
      <c r="FE69" s="255">
        <v>1.3</v>
      </c>
      <c r="FF69" s="255">
        <v>1.3</v>
      </c>
      <c r="FG69" s="255">
        <v>1.1</v>
      </c>
      <c r="FH69" s="255"/>
      <c r="FI69" s="255"/>
      <c r="FJ69" s="255">
        <v>0.65</v>
      </c>
      <c r="FK69" s="255">
        <v>1.2</v>
      </c>
      <c r="FL69" s="255">
        <v>1.2</v>
      </c>
      <c r="FM69" s="281">
        <v>1.76241582</v>
      </c>
      <c r="FN69" s="281">
        <v>2.4324282000000004</v>
      </c>
      <c r="FO69" s="258">
        <f>SUM(ET69:FN69)</f>
        <v>23.75641694</v>
      </c>
      <c r="FP69" s="261">
        <f t="shared" si="25"/>
        <v>0.11947059857291485</v>
      </c>
    </row>
    <row r="70" spans="1:172" ht="12.75">
      <c r="A70" s="263">
        <v>37712</v>
      </c>
      <c r="B70" s="255">
        <v>25.87000084</v>
      </c>
      <c r="C70" s="255">
        <v>23.29999924</v>
      </c>
      <c r="D70" s="255">
        <f t="shared" si="26"/>
        <v>24.585000039999997</v>
      </c>
      <c r="E70" s="255">
        <v>1.08</v>
      </c>
      <c r="F70" s="256">
        <v>0.0623</v>
      </c>
      <c r="G70" s="261">
        <f t="shared" si="27"/>
        <v>0.11228050693404223</v>
      </c>
      <c r="H70" s="277">
        <f t="shared" si="0"/>
        <v>0.006083620428772806</v>
      </c>
      <c r="I70" s="255">
        <v>22.94000053</v>
      </c>
      <c r="J70" s="255">
        <v>21.04999924</v>
      </c>
      <c r="K70" s="258">
        <f t="shared" si="83"/>
        <v>21.994999885</v>
      </c>
      <c r="L70" s="259">
        <f t="shared" si="90"/>
        <v>1.2</v>
      </c>
      <c r="M70" s="256">
        <v>0.0609</v>
      </c>
      <c r="N70" s="261">
        <f t="shared" si="29"/>
        <v>0.12315148859769565</v>
      </c>
      <c r="O70" s="208">
        <f t="shared" si="1"/>
        <v>0.004876156811381837</v>
      </c>
      <c r="P70" s="260">
        <v>19.54000092</v>
      </c>
      <c r="Q70" s="260">
        <v>18.20000076</v>
      </c>
      <c r="R70" s="260"/>
      <c r="S70" s="260"/>
      <c r="T70" s="260"/>
      <c r="U70" s="261"/>
      <c r="V70" s="260"/>
      <c r="W70" s="255">
        <v>33.18999863</v>
      </c>
      <c r="X70" s="255">
        <v>31.71999931</v>
      </c>
      <c r="Y70" s="258">
        <f t="shared" si="84"/>
        <v>32.45499897</v>
      </c>
      <c r="Z70" s="258">
        <v>0.72</v>
      </c>
      <c r="AA70" s="256">
        <v>0.072</v>
      </c>
      <c r="AB70" s="261">
        <f t="shared" si="32"/>
        <v>0.09725360368974267</v>
      </c>
      <c r="AC70" s="208">
        <f t="shared" si="4"/>
        <v>0.004458746491046187</v>
      </c>
      <c r="AD70" s="123">
        <v>39</v>
      </c>
      <c r="AE70" s="123">
        <v>37.08</v>
      </c>
      <c r="AF70" s="258">
        <f t="shared" si="5"/>
        <v>38.04</v>
      </c>
      <c r="AG70" s="123">
        <f t="shared" si="78"/>
        <v>0.68</v>
      </c>
      <c r="AH70" s="256">
        <v>0.0956</v>
      </c>
      <c r="AI70" s="261">
        <f t="shared" si="33"/>
        <v>0.11636156661076957</v>
      </c>
      <c r="AJ70" s="208">
        <f t="shared" si="6"/>
        <v>0.011606829039207671</v>
      </c>
      <c r="AK70" s="255">
        <v>34.25</v>
      </c>
      <c r="AL70" s="255">
        <v>31.87000084</v>
      </c>
      <c r="AM70" s="258">
        <f t="shared" si="85"/>
        <v>33.06000042</v>
      </c>
      <c r="AN70" s="258">
        <v>1.78</v>
      </c>
      <c r="AO70" s="256">
        <v>0.071</v>
      </c>
      <c r="AP70" s="261">
        <f t="shared" si="54"/>
        <v>0.13300148906806375</v>
      </c>
      <c r="AQ70" s="208">
        <f t="shared" si="52"/>
        <v>0.02494499433199753</v>
      </c>
      <c r="AR70" s="260">
        <v>24.29000092</v>
      </c>
      <c r="AS70" s="260">
        <v>23.10000038</v>
      </c>
      <c r="AT70" s="258"/>
      <c r="AU70" s="258"/>
      <c r="AW70" s="261"/>
      <c r="AX70" s="208"/>
      <c r="AY70" s="255">
        <v>34.79000092</v>
      </c>
      <c r="AZ70" s="255">
        <v>32.25</v>
      </c>
      <c r="BA70" s="258">
        <f t="shared" si="86"/>
        <v>33.52000046</v>
      </c>
      <c r="BB70" s="255">
        <v>1.24</v>
      </c>
      <c r="BC70" s="256">
        <v>0.07</v>
      </c>
      <c r="BD70" s="261">
        <f t="shared" si="37"/>
        <v>0.11227799712891917</v>
      </c>
      <c r="BE70" s="208">
        <f t="shared" si="7"/>
        <v>0.003977662904163725</v>
      </c>
      <c r="BF70" s="255">
        <v>30.46999931</v>
      </c>
      <c r="BG70" s="255">
        <v>27.04999924</v>
      </c>
      <c r="BH70" s="258">
        <f t="shared" si="87"/>
        <v>28.759999275</v>
      </c>
      <c r="BI70" s="258">
        <v>1.84</v>
      </c>
      <c r="BJ70" s="256">
        <v>0.0517</v>
      </c>
      <c r="BK70" s="261">
        <f t="shared" si="39"/>
        <v>0.1243355806998363</v>
      </c>
      <c r="BL70" s="208">
        <f t="shared" si="8"/>
        <v>0.005700362897874349</v>
      </c>
      <c r="BM70" s="255">
        <v>26</v>
      </c>
      <c r="BN70" s="255">
        <v>24.77000046</v>
      </c>
      <c r="BO70" s="258">
        <f t="shared" si="88"/>
        <v>25.38500023</v>
      </c>
      <c r="BP70" s="258">
        <v>1.26</v>
      </c>
      <c r="BQ70" s="256">
        <v>0.0467</v>
      </c>
      <c r="BR70" s="261">
        <f t="shared" si="79"/>
        <v>0.1024688570807748</v>
      </c>
      <c r="BS70" s="208">
        <f t="shared" si="80"/>
        <v>0.0028827704227184755</v>
      </c>
      <c r="BT70" s="260">
        <v>15.82999992</v>
      </c>
      <c r="BU70" s="260">
        <v>14</v>
      </c>
      <c r="BV70" s="258"/>
      <c r="BY70" s="261"/>
      <c r="BZ70" s="208"/>
      <c r="CA70" s="255">
        <v>19.45000076</v>
      </c>
      <c r="CB70" s="255">
        <v>18.13999939</v>
      </c>
      <c r="CC70" s="258">
        <f t="shared" si="82"/>
        <v>18.795000075</v>
      </c>
      <c r="CD70" s="258">
        <v>0.68</v>
      </c>
      <c r="CE70" s="256">
        <v>0.088</v>
      </c>
      <c r="CF70" s="261">
        <f t="shared" si="69"/>
        <v>0.1300309577300376</v>
      </c>
      <c r="CG70" s="208">
        <f t="shared" si="12"/>
        <v>0.007045381361557687</v>
      </c>
      <c r="CH70" s="255">
        <v>39.34000015</v>
      </c>
      <c r="CI70" s="255">
        <v>35.15999985</v>
      </c>
      <c r="CJ70" s="258">
        <f t="shared" si="89"/>
        <v>37.25</v>
      </c>
      <c r="CK70" s="258">
        <v>2.12</v>
      </c>
      <c r="CL70" s="256">
        <v>0.0474</v>
      </c>
      <c r="CM70" s="261">
        <f t="shared" si="45"/>
        <v>0.11157159880043177</v>
      </c>
      <c r="CN70" s="208">
        <f t="shared" si="13"/>
        <v>0.006045210128342925</v>
      </c>
      <c r="CO70" s="255">
        <v>37.65000153</v>
      </c>
      <c r="CP70" s="255">
        <v>35.15000153</v>
      </c>
      <c r="CQ70" s="258">
        <f t="shared" si="14"/>
        <v>36.40000153</v>
      </c>
      <c r="CR70" s="258">
        <v>1.66</v>
      </c>
      <c r="CS70" s="256">
        <v>0.045</v>
      </c>
      <c r="CT70" s="261">
        <f t="shared" si="46"/>
        <v>0.09607513386021993</v>
      </c>
      <c r="CU70" s="208">
        <f t="shared" si="15"/>
        <v>0.004404717663138162</v>
      </c>
      <c r="CV70" s="262">
        <v>5.6500001</v>
      </c>
      <c r="CW70" s="262">
        <v>3.50999999</v>
      </c>
      <c r="CX70" s="262"/>
      <c r="CY70" s="262"/>
      <c r="DA70" s="261"/>
      <c r="DB70" s="208"/>
      <c r="DC70" s="260">
        <v>35.15000153</v>
      </c>
      <c r="DD70" s="260">
        <v>31.54000092</v>
      </c>
      <c r="DE70" s="258"/>
      <c r="DF70" s="258"/>
      <c r="DH70" s="261"/>
      <c r="DI70" s="208"/>
      <c r="DJ70" s="255">
        <v>21.28000069</v>
      </c>
      <c r="DK70" s="255">
        <v>19.73999977</v>
      </c>
      <c r="DL70" s="258">
        <f t="shared" si="75"/>
        <v>20.510000230000003</v>
      </c>
      <c r="DM70" s="258">
        <v>0.82</v>
      </c>
      <c r="DN70" s="256">
        <v>0.05</v>
      </c>
      <c r="DO70" s="261">
        <f t="shared" si="76"/>
        <v>0.09489125499132745</v>
      </c>
      <c r="DP70" s="208">
        <f t="shared" si="77"/>
        <v>0.0025707150472532437</v>
      </c>
      <c r="DQ70" s="255">
        <v>32.54999924</v>
      </c>
      <c r="DR70" s="255">
        <v>29</v>
      </c>
      <c r="DS70" s="258">
        <f t="shared" si="20"/>
        <v>30.77499962</v>
      </c>
      <c r="DT70" s="258">
        <v>1.14</v>
      </c>
      <c r="DU70" s="256">
        <v>0.0633</v>
      </c>
      <c r="DV70" s="261">
        <f t="shared" si="70"/>
        <v>0.10537112847836605</v>
      </c>
      <c r="DW70" s="208">
        <f t="shared" si="56"/>
        <v>0.005270080750858147</v>
      </c>
      <c r="DX70" s="255">
        <v>27.5</v>
      </c>
      <c r="DY70" s="255">
        <v>26.29999924</v>
      </c>
      <c r="DZ70" s="258">
        <f t="shared" si="21"/>
        <v>26.89999962</v>
      </c>
      <c r="EA70" s="258">
        <v>1.272</v>
      </c>
      <c r="EB70" s="256">
        <v>0.0433</v>
      </c>
      <c r="EC70" s="261">
        <f t="shared" si="48"/>
        <v>0.09620762993378107</v>
      </c>
      <c r="ED70" s="208">
        <f t="shared" si="22"/>
        <v>0.004811773262006977</v>
      </c>
      <c r="EE70" s="123">
        <v>23.62</v>
      </c>
      <c r="EF70" s="123">
        <v>21.6</v>
      </c>
      <c r="EG70" s="258">
        <f>AVERAGE(EE70:EF70)</f>
        <v>22.61</v>
      </c>
      <c r="EH70" s="278">
        <f t="shared" si="81"/>
        <v>1.04</v>
      </c>
      <c r="EI70" s="256">
        <v>0.065</v>
      </c>
      <c r="EJ70" s="261">
        <f t="shared" si="50"/>
        <v>0.11750929030855972</v>
      </c>
      <c r="EK70" s="208">
        <f t="shared" si="23"/>
        <v>0.009259215737249336</v>
      </c>
      <c r="EL70" s="279">
        <v>31.75</v>
      </c>
      <c r="EM70" s="279">
        <v>29.35</v>
      </c>
      <c r="EN70" s="279">
        <f>AVERAGE(EL70:EM70)</f>
        <v>30.55</v>
      </c>
      <c r="EO70" s="278">
        <f t="shared" si="91"/>
        <v>0.74</v>
      </c>
      <c r="EP70" s="256">
        <v>0.09</v>
      </c>
      <c r="EQ70" s="261">
        <f t="shared" si="51"/>
        <v>0.11805909795141445</v>
      </c>
      <c r="ER70" s="208">
        <f t="shared" si="24"/>
        <v>0.012223891917371218</v>
      </c>
      <c r="ES70" s="260"/>
      <c r="ET70" s="285">
        <v>1.3</v>
      </c>
      <c r="EU70" s="285">
        <v>0.95</v>
      </c>
      <c r="EV70" s="285"/>
      <c r="EW70" s="285">
        <v>1.1</v>
      </c>
      <c r="EX70" s="280">
        <v>2.39325864</v>
      </c>
      <c r="EY70" s="285">
        <v>4.5</v>
      </c>
      <c r="EZ70" s="285"/>
      <c r="FA70" s="285">
        <v>0.85</v>
      </c>
      <c r="FB70" s="285">
        <v>1.1</v>
      </c>
      <c r="FC70" s="285">
        <v>0.675</v>
      </c>
      <c r="FD70" s="285"/>
      <c r="FE70" s="255">
        <v>1.3</v>
      </c>
      <c r="FF70" s="255">
        <v>1.3</v>
      </c>
      <c r="FG70" s="255">
        <v>1.1</v>
      </c>
      <c r="FH70" s="255"/>
      <c r="FI70" s="255"/>
      <c r="FJ70" s="255">
        <v>0.65</v>
      </c>
      <c r="FK70" s="255">
        <v>1.2</v>
      </c>
      <c r="FL70" s="255">
        <v>1.2</v>
      </c>
      <c r="FM70" s="281">
        <v>1.8905475600000001</v>
      </c>
      <c r="FN70" s="281">
        <v>2.484252</v>
      </c>
      <c r="FO70" s="258">
        <f>SUM(ET70:FN70)</f>
        <v>23.993058200000004</v>
      </c>
      <c r="FP70" s="261">
        <f t="shared" si="25"/>
        <v>0.11616212919494028</v>
      </c>
    </row>
    <row r="71" spans="1:172" ht="12.75">
      <c r="A71" s="263">
        <v>37742</v>
      </c>
      <c r="B71" s="255">
        <v>26.97999954</v>
      </c>
      <c r="C71" s="255">
        <v>24.5</v>
      </c>
      <c r="D71" s="255">
        <f t="shared" si="26"/>
        <v>25.73999977</v>
      </c>
      <c r="E71" s="255">
        <v>1.08</v>
      </c>
      <c r="F71" s="256">
        <v>0.0559</v>
      </c>
      <c r="G71" s="261">
        <f t="shared" si="27"/>
        <v>0.10331335234124395</v>
      </c>
      <c r="H71" s="277">
        <f t="shared" si="0"/>
        <v>0.005487974703923626</v>
      </c>
      <c r="I71" s="255">
        <v>24.97999954</v>
      </c>
      <c r="J71" s="255">
        <v>22.37000084</v>
      </c>
      <c r="K71" s="258">
        <f t="shared" si="83"/>
        <v>23.67500019</v>
      </c>
      <c r="L71" s="259">
        <f t="shared" si="90"/>
        <v>1.2</v>
      </c>
      <c r="M71" s="256">
        <v>0.0609</v>
      </c>
      <c r="N71" s="261">
        <f t="shared" si="29"/>
        <v>0.11864595683742718</v>
      </c>
      <c r="O71" s="208">
        <f t="shared" si="1"/>
        <v>0.004605627855127637</v>
      </c>
      <c r="P71" s="260">
        <v>19.79999924</v>
      </c>
      <c r="Q71" s="260">
        <v>18.36000061</v>
      </c>
      <c r="R71" s="260"/>
      <c r="S71" s="260"/>
      <c r="T71" s="260"/>
      <c r="U71" s="261"/>
      <c r="V71" s="260"/>
      <c r="W71" s="255">
        <v>33.95000076</v>
      </c>
      <c r="X71" s="255">
        <v>31.60000038</v>
      </c>
      <c r="Y71" s="258">
        <f t="shared" si="84"/>
        <v>32.77500057</v>
      </c>
      <c r="Z71" s="258">
        <v>0.72</v>
      </c>
      <c r="AA71" s="256">
        <v>0.0725</v>
      </c>
      <c r="AB71" s="261">
        <f t="shared" si="32"/>
        <v>0.09751656471203218</v>
      </c>
      <c r="AC71" s="208">
        <f t="shared" si="4"/>
        <v>0.0043831201280670066</v>
      </c>
      <c r="AD71" s="123">
        <v>40.27</v>
      </c>
      <c r="AE71" s="123">
        <v>37.72</v>
      </c>
      <c r="AF71" s="258">
        <f t="shared" si="5"/>
        <v>38.995000000000005</v>
      </c>
      <c r="AG71" s="123">
        <v>0.8</v>
      </c>
      <c r="AH71" s="256">
        <v>0.0956</v>
      </c>
      <c r="AI71" s="261">
        <f t="shared" si="33"/>
        <v>0.11945200519212729</v>
      </c>
      <c r="AJ71" s="208">
        <f t="shared" si="6"/>
        <v>0.012271511074556513</v>
      </c>
      <c r="AK71" s="255">
        <v>37.50999832</v>
      </c>
      <c r="AL71" s="255">
        <v>33.27999878</v>
      </c>
      <c r="AM71" s="258">
        <f t="shared" si="85"/>
        <v>35.39499855</v>
      </c>
      <c r="AN71" s="258">
        <v>1.78</v>
      </c>
      <c r="AO71" s="256">
        <v>0.0664</v>
      </c>
      <c r="AP71" s="261">
        <f t="shared" si="54"/>
        <v>0.12398193422360726</v>
      </c>
      <c r="AQ71" s="208">
        <f t="shared" si="52"/>
        <v>0.02279728958288127</v>
      </c>
      <c r="AR71" s="260">
        <v>26.92000008</v>
      </c>
      <c r="AS71" s="260">
        <v>23.79999924</v>
      </c>
      <c r="AT71" s="258"/>
      <c r="AU71" s="258"/>
      <c r="AW71" s="261"/>
      <c r="AX71" s="208"/>
      <c r="AY71" s="255">
        <v>35.49000168</v>
      </c>
      <c r="AZ71" s="255">
        <v>32.59999847</v>
      </c>
      <c r="BA71" s="258">
        <f t="shared" si="86"/>
        <v>34.045000075000004</v>
      </c>
      <c r="BB71" s="255">
        <v>1.24</v>
      </c>
      <c r="BC71" s="256">
        <v>0.065</v>
      </c>
      <c r="BD71" s="261">
        <f t="shared" si="37"/>
        <v>0.10642221098950877</v>
      </c>
      <c r="BE71" s="208">
        <f t="shared" si="7"/>
        <v>0.0036962683861886357</v>
      </c>
      <c r="BF71" s="255">
        <v>36.29999924</v>
      </c>
      <c r="BG71" s="255">
        <v>29.06999969</v>
      </c>
      <c r="BH71" s="258">
        <f t="shared" si="87"/>
        <v>32.684999465</v>
      </c>
      <c r="BI71" s="258">
        <f aca="true" t="shared" si="92" ref="BI71:BI76">0.465*4</f>
        <v>1.86</v>
      </c>
      <c r="BJ71" s="256">
        <v>0.0517</v>
      </c>
      <c r="BK71" s="261">
        <f t="shared" si="39"/>
        <v>0.1161282048894734</v>
      </c>
      <c r="BL71" s="208">
        <f t="shared" si="8"/>
        <v>0.0052196657438706535</v>
      </c>
      <c r="BM71" s="255">
        <v>28.52000046</v>
      </c>
      <c r="BN71" s="255">
        <v>25.52000046</v>
      </c>
      <c r="BO71" s="258">
        <f t="shared" si="88"/>
        <v>27.02000046</v>
      </c>
      <c r="BP71" s="258">
        <v>1.26</v>
      </c>
      <c r="BQ71" s="256">
        <v>0.0467</v>
      </c>
      <c r="BR71" s="261">
        <f t="shared" si="79"/>
        <v>0.0990322945573281</v>
      </c>
      <c r="BS71" s="208">
        <f t="shared" si="80"/>
        <v>0.0027314478249009996</v>
      </c>
      <c r="BT71" s="260">
        <v>16.04999924</v>
      </c>
      <c r="BU71" s="260">
        <v>13.19999981</v>
      </c>
      <c r="BV71" s="258"/>
      <c r="BY71" s="261"/>
      <c r="BZ71" s="208"/>
      <c r="CA71" s="255">
        <v>20.57999992</v>
      </c>
      <c r="CB71" s="255">
        <v>18.5</v>
      </c>
      <c r="CC71" s="258">
        <f t="shared" si="82"/>
        <v>19.53999996</v>
      </c>
      <c r="CD71" s="258">
        <v>0.68</v>
      </c>
      <c r="CE71" s="256">
        <v>0.088</v>
      </c>
      <c r="CF71" s="261">
        <f t="shared" si="69"/>
        <v>0.12840647406653893</v>
      </c>
      <c r="CG71" s="208">
        <f t="shared" si="12"/>
        <v>0.006820913904425395</v>
      </c>
      <c r="CH71" s="255">
        <v>44.59999847</v>
      </c>
      <c r="CI71" s="255">
        <v>38.45999908</v>
      </c>
      <c r="CJ71" s="258">
        <f t="shared" si="89"/>
        <v>41.529998775</v>
      </c>
      <c r="CK71" s="258">
        <v>2.12</v>
      </c>
      <c r="CL71" s="256">
        <v>0.0499</v>
      </c>
      <c r="CM71" s="261">
        <f t="shared" si="45"/>
        <v>0.10746248207369624</v>
      </c>
      <c r="CN71" s="208">
        <f t="shared" si="13"/>
        <v>0.005708375247502787</v>
      </c>
      <c r="CO71" s="255">
        <v>39.68999863</v>
      </c>
      <c r="CP71" s="255">
        <v>36.52999878</v>
      </c>
      <c r="CQ71" s="258">
        <f t="shared" si="14"/>
        <v>38.109998704999995</v>
      </c>
      <c r="CR71" s="258">
        <v>1.66</v>
      </c>
      <c r="CS71" s="256">
        <v>0.0467</v>
      </c>
      <c r="CT71" s="261">
        <f t="shared" si="46"/>
        <v>0.09552337714684445</v>
      </c>
      <c r="CU71" s="208">
        <f t="shared" si="15"/>
        <v>0.004293531445756612</v>
      </c>
      <c r="CV71" s="262">
        <v>7.34000015</v>
      </c>
      <c r="CW71" s="262">
        <v>5.03000021</v>
      </c>
      <c r="CX71" s="262"/>
      <c r="CY71" s="262"/>
      <c r="DA71" s="261"/>
      <c r="DB71" s="208"/>
      <c r="DC71" s="260">
        <v>37.75</v>
      </c>
      <c r="DD71" s="260">
        <v>34.79999924</v>
      </c>
      <c r="DE71" s="258"/>
      <c r="DF71" s="258"/>
      <c r="DH71" s="261"/>
      <c r="DI71" s="208"/>
      <c r="DJ71" s="255">
        <v>21.77000046</v>
      </c>
      <c r="DK71" s="255">
        <v>20.04999924</v>
      </c>
      <c r="DL71" s="258">
        <f t="shared" si="75"/>
        <v>20.90999985</v>
      </c>
      <c r="DM71" s="258">
        <v>0.82</v>
      </c>
      <c r="DN71" s="256">
        <v>0.0525</v>
      </c>
      <c r="DO71" s="261">
        <f t="shared" si="76"/>
        <v>0.09662404369962241</v>
      </c>
      <c r="DP71" s="208">
        <f t="shared" si="77"/>
        <v>0.002566320304189028</v>
      </c>
      <c r="DQ71" s="255">
        <v>34.49000168</v>
      </c>
      <c r="DR71" s="255">
        <v>30.60000038</v>
      </c>
      <c r="DS71" s="258">
        <f t="shared" si="20"/>
        <v>32.54500103</v>
      </c>
      <c r="DT71" s="258">
        <v>1.14</v>
      </c>
      <c r="DU71" s="256">
        <v>0.0633</v>
      </c>
      <c r="DV71" s="261">
        <f t="shared" si="70"/>
        <v>0.10305146224742767</v>
      </c>
      <c r="DW71" s="208">
        <f t="shared" si="56"/>
        <v>0.005052981396589394</v>
      </c>
      <c r="DX71" s="255">
        <v>28.13999939</v>
      </c>
      <c r="DY71" s="255">
        <v>25.96999931</v>
      </c>
      <c r="DZ71" s="258">
        <f t="shared" si="21"/>
        <v>27.05499935</v>
      </c>
      <c r="EA71" s="258">
        <f aca="true" t="shared" si="93" ref="EA71:EA76">0.32*4</f>
        <v>1.28</v>
      </c>
      <c r="EB71" s="256">
        <v>0.0443</v>
      </c>
      <c r="EC71" s="261">
        <f t="shared" si="48"/>
        <v>0.09728662070711991</v>
      </c>
      <c r="ED71" s="208">
        <f t="shared" si="22"/>
        <v>0.004770310618104754</v>
      </c>
      <c r="EE71" s="123">
        <v>25.75</v>
      </c>
      <c r="EF71" s="123">
        <v>23.15</v>
      </c>
      <c r="EG71" s="258">
        <f>AVERAGE(EE71:EF71)</f>
        <v>24.45</v>
      </c>
      <c r="EH71" s="278">
        <f t="shared" si="81"/>
        <v>1.04</v>
      </c>
      <c r="EI71" s="256">
        <v>0.0633</v>
      </c>
      <c r="EJ71" s="261">
        <f t="shared" si="50"/>
        <v>0.1117140933798022</v>
      </c>
      <c r="EK71" s="208">
        <f t="shared" si="23"/>
        <v>0.009429932763580244</v>
      </c>
      <c r="EL71" s="279">
        <v>33</v>
      </c>
      <c r="EM71" s="279">
        <v>29.72</v>
      </c>
      <c r="EN71" s="279">
        <f>AVERAGE(EL71:EM71)</f>
        <v>31.36</v>
      </c>
      <c r="EO71" s="278">
        <f t="shared" si="91"/>
        <v>0.74</v>
      </c>
      <c r="EP71" s="256">
        <v>0.09</v>
      </c>
      <c r="EQ71" s="261">
        <f t="shared" si="51"/>
        <v>0.11732761454089635</v>
      </c>
      <c r="ER71" s="208">
        <f t="shared" si="24"/>
        <v>0.012791160179041746</v>
      </c>
      <c r="ES71" s="260"/>
      <c r="ET71" s="285">
        <v>1.3</v>
      </c>
      <c r="EU71" s="285">
        <v>0.95</v>
      </c>
      <c r="EV71" s="285"/>
      <c r="EW71" s="285">
        <v>1.1</v>
      </c>
      <c r="EX71" s="280">
        <v>2.51415648</v>
      </c>
      <c r="EY71" s="285">
        <v>4.5</v>
      </c>
      <c r="EZ71" s="285"/>
      <c r="FA71" s="285">
        <v>0.85</v>
      </c>
      <c r="FB71" s="285">
        <v>1.1</v>
      </c>
      <c r="FC71" s="285">
        <v>0.675</v>
      </c>
      <c r="FD71" s="285"/>
      <c r="FE71" s="255">
        <v>1.3</v>
      </c>
      <c r="FF71" s="255">
        <v>1.3</v>
      </c>
      <c r="FG71" s="255">
        <v>1.1</v>
      </c>
      <c r="FH71" s="255"/>
      <c r="FI71" s="255"/>
      <c r="FJ71" s="255">
        <v>0.65</v>
      </c>
      <c r="FK71" s="255">
        <v>1.2</v>
      </c>
      <c r="FL71" s="255">
        <v>1.2</v>
      </c>
      <c r="FM71" s="281">
        <v>2.0658003000000003</v>
      </c>
      <c r="FN71" s="281">
        <v>2.66807112</v>
      </c>
      <c r="FO71" s="258">
        <f>SUM(ET71:FN71)</f>
        <v>24.473027899999998</v>
      </c>
      <c r="FP71" s="261">
        <f t="shared" si="25"/>
        <v>0.1126264311587063</v>
      </c>
    </row>
    <row r="72" spans="1:172" ht="12.75">
      <c r="A72" s="263">
        <v>37773</v>
      </c>
      <c r="B72" s="281">
        <v>26.98</v>
      </c>
      <c r="C72" s="281">
        <v>25.28</v>
      </c>
      <c r="D72" s="255">
        <f t="shared" si="26"/>
        <v>26.130000000000003</v>
      </c>
      <c r="E72" s="255">
        <v>1.12</v>
      </c>
      <c r="F72" s="256">
        <v>0.0559</v>
      </c>
      <c r="G72" s="261">
        <f t="shared" si="27"/>
        <v>0.10435279538252606</v>
      </c>
      <c r="H72" s="277">
        <f t="shared" si="0"/>
        <v>0.006072185507973609</v>
      </c>
      <c r="I72" s="123">
        <v>25.5</v>
      </c>
      <c r="J72" s="123">
        <v>23.6</v>
      </c>
      <c r="K72" s="258">
        <f t="shared" si="83"/>
        <v>24.55</v>
      </c>
      <c r="L72" s="259">
        <f t="shared" si="90"/>
        <v>1.2</v>
      </c>
      <c r="M72" s="256">
        <v>0.0609</v>
      </c>
      <c r="N72" s="261">
        <f t="shared" si="29"/>
        <v>0.11654819305620467</v>
      </c>
      <c r="O72" s="208">
        <f t="shared" si="1"/>
        <v>0.00478716958921223</v>
      </c>
      <c r="R72" s="260"/>
      <c r="S72" s="260"/>
      <c r="T72" s="260"/>
      <c r="U72" s="261"/>
      <c r="V72" s="260"/>
      <c r="W72" s="123">
        <v>34.29</v>
      </c>
      <c r="X72" s="123">
        <v>32.35</v>
      </c>
      <c r="Y72" s="258">
        <f t="shared" si="84"/>
        <v>33.32</v>
      </c>
      <c r="Z72" s="258">
        <v>0.72</v>
      </c>
      <c r="AA72" s="256">
        <v>0.0725</v>
      </c>
      <c r="AB72" s="261">
        <f t="shared" si="32"/>
        <v>0.09710389401526487</v>
      </c>
      <c r="AC72" s="208">
        <f t="shared" si="4"/>
        <v>0.003988502920845722</v>
      </c>
      <c r="AD72" s="123">
        <v>42</v>
      </c>
      <c r="AE72" s="123">
        <v>40.02</v>
      </c>
      <c r="AF72" s="258">
        <f t="shared" si="5"/>
        <v>41.010000000000005</v>
      </c>
      <c r="AG72" s="123">
        <v>0.8</v>
      </c>
      <c r="AH72" s="256">
        <v>0.0956</v>
      </c>
      <c r="AI72" s="261">
        <f t="shared" si="33"/>
        <v>0.11827103762322766</v>
      </c>
      <c r="AJ72" s="208">
        <f t="shared" si="6"/>
        <v>0.010299354054117756</v>
      </c>
      <c r="AK72" s="255">
        <v>36.7</v>
      </c>
      <c r="AL72" s="255">
        <v>35.12</v>
      </c>
      <c r="AM72" s="258">
        <f t="shared" si="85"/>
        <v>35.91</v>
      </c>
      <c r="AN72" s="258">
        <v>1.78</v>
      </c>
      <c r="AO72" s="256">
        <v>0.0664</v>
      </c>
      <c r="AP72" s="261">
        <f t="shared" si="54"/>
        <v>0.12314000603784869</v>
      </c>
      <c r="AQ72" s="208">
        <f t="shared" si="52"/>
        <v>0.024025146715219537</v>
      </c>
      <c r="AT72" s="258"/>
      <c r="AU72" s="258"/>
      <c r="AW72" s="261"/>
      <c r="AX72" s="208"/>
      <c r="AY72" s="255">
        <v>36.6</v>
      </c>
      <c r="AZ72" s="255">
        <v>35.12</v>
      </c>
      <c r="BA72" s="258">
        <f t="shared" si="86"/>
        <v>35.86</v>
      </c>
      <c r="BB72" s="255">
        <v>1.24</v>
      </c>
      <c r="BC72" s="256">
        <v>0.065</v>
      </c>
      <c r="BD72" s="261">
        <f t="shared" si="37"/>
        <v>0.10429712703739757</v>
      </c>
      <c r="BE72" s="208">
        <f t="shared" si="7"/>
        <v>0.003480719156888346</v>
      </c>
      <c r="BF72" s="255">
        <v>39.3</v>
      </c>
      <c r="BG72" s="255">
        <v>35.29</v>
      </c>
      <c r="BH72" s="258">
        <f t="shared" si="87"/>
        <v>37.295</v>
      </c>
      <c r="BI72" s="258">
        <f t="shared" si="92"/>
        <v>1.86</v>
      </c>
      <c r="BJ72" s="256">
        <v>0.0517</v>
      </c>
      <c r="BK72" s="261">
        <f t="shared" si="39"/>
        <v>0.1080081030447162</v>
      </c>
      <c r="BL72" s="208">
        <f t="shared" si="8"/>
        <v>0.006284884229959667</v>
      </c>
      <c r="BM72" s="255">
        <v>28.88</v>
      </c>
      <c r="BN72" s="255">
        <v>27.2</v>
      </c>
      <c r="BO72" s="258">
        <f t="shared" si="88"/>
        <v>28.04</v>
      </c>
      <c r="BP72" s="258">
        <v>1.26</v>
      </c>
      <c r="BQ72" s="256">
        <v>0.0467</v>
      </c>
      <c r="BR72" s="261">
        <f t="shared" si="79"/>
        <v>0.09709493752879617</v>
      </c>
      <c r="BS72" s="208">
        <f t="shared" si="80"/>
        <v>0.003240359717407905</v>
      </c>
      <c r="BV72" s="258"/>
      <c r="BY72" s="261"/>
      <c r="BZ72" s="208"/>
      <c r="CA72" s="255">
        <v>20.99</v>
      </c>
      <c r="CB72" s="255">
        <v>19.28</v>
      </c>
      <c r="CC72" s="258">
        <f t="shared" si="82"/>
        <v>20.134999999999998</v>
      </c>
      <c r="CD72" s="258">
        <f>0.17*4</f>
        <v>0.68</v>
      </c>
      <c r="CE72" s="256">
        <v>0.088</v>
      </c>
      <c r="CF72" s="261">
        <f t="shared" si="69"/>
        <v>0.12719655084812564</v>
      </c>
      <c r="CG72" s="208">
        <f t="shared" si="12"/>
        <v>0.008272198705964073</v>
      </c>
      <c r="CH72" s="255">
        <v>45.25</v>
      </c>
      <c r="CI72" s="255">
        <v>42.45</v>
      </c>
      <c r="CJ72" s="258">
        <f t="shared" si="89"/>
        <v>43.85</v>
      </c>
      <c r="CK72" s="258">
        <v>2.12</v>
      </c>
      <c r="CL72" s="256">
        <v>0.0499</v>
      </c>
      <c r="CM72" s="261">
        <f t="shared" si="45"/>
        <v>0.10435902450881662</v>
      </c>
      <c r="CN72" s="208">
        <f t="shared" si="13"/>
        <v>0.005715339270254085</v>
      </c>
      <c r="CO72" s="255">
        <v>41.5</v>
      </c>
      <c r="CP72" s="255">
        <v>38.78</v>
      </c>
      <c r="CQ72" s="258">
        <f t="shared" si="14"/>
        <v>40.14</v>
      </c>
      <c r="CR72" s="258">
        <v>1.66</v>
      </c>
      <c r="CS72" s="256">
        <v>0.05</v>
      </c>
      <c r="CT72" s="261">
        <f t="shared" si="46"/>
        <v>0.09646003475864573</v>
      </c>
      <c r="CU72" s="208">
        <f t="shared" si="15"/>
        <v>0.004292228052624367</v>
      </c>
      <c r="CV72" s="262"/>
      <c r="CW72" s="262"/>
      <c r="CX72" s="262"/>
      <c r="CY72" s="262"/>
      <c r="DA72" s="261"/>
      <c r="DB72" s="208"/>
      <c r="DE72" s="258"/>
      <c r="DF72" s="258"/>
      <c r="DH72" s="261"/>
      <c r="DI72" s="208"/>
      <c r="DJ72" s="255">
        <v>22.45</v>
      </c>
      <c r="DK72" s="255">
        <v>20.78</v>
      </c>
      <c r="DL72" s="258">
        <f t="shared" si="75"/>
        <v>21.615000000000002</v>
      </c>
      <c r="DM72" s="258">
        <v>0.82</v>
      </c>
      <c r="DN72" s="256">
        <v>0.0525</v>
      </c>
      <c r="DO72" s="261">
        <f t="shared" si="76"/>
        <v>0.09516337408094033</v>
      </c>
      <c r="DP72" s="208">
        <f t="shared" si="77"/>
        <v>0.0024429980340161315</v>
      </c>
      <c r="DQ72" s="255">
        <v>35.05</v>
      </c>
      <c r="DR72" s="255">
        <v>30.7</v>
      </c>
      <c r="DS72" s="258">
        <f t="shared" si="20"/>
        <v>32.875</v>
      </c>
      <c r="DT72" s="258">
        <v>1.14</v>
      </c>
      <c r="DU72" s="256">
        <v>0.0633</v>
      </c>
      <c r="DV72" s="261">
        <f t="shared" si="70"/>
        <v>0.10264698431173236</v>
      </c>
      <c r="DW72" s="208">
        <f t="shared" si="56"/>
        <v>0.004918880281555152</v>
      </c>
      <c r="DX72" s="255">
        <v>28.79</v>
      </c>
      <c r="DY72" s="255">
        <v>26.62</v>
      </c>
      <c r="DZ72" s="258">
        <f t="shared" si="21"/>
        <v>27.705</v>
      </c>
      <c r="EA72" s="258">
        <f t="shared" si="93"/>
        <v>1.28</v>
      </c>
      <c r="EB72" s="256">
        <v>0.0443</v>
      </c>
      <c r="EC72" s="261">
        <f t="shared" si="48"/>
        <v>0.09602085622966738</v>
      </c>
      <c r="ED72" s="208">
        <f t="shared" si="22"/>
        <v>0.004601353848757624</v>
      </c>
      <c r="EE72" s="123">
        <v>26.9</v>
      </c>
      <c r="EF72" s="123">
        <v>25.6</v>
      </c>
      <c r="EG72" s="258">
        <f>AVERAGE(EE72:EF72)</f>
        <v>26.25</v>
      </c>
      <c r="EH72" s="258">
        <f aca="true" t="shared" si="94" ref="EH72:EH78">0.27*4</f>
        <v>1.08</v>
      </c>
      <c r="EI72" s="256">
        <v>0.0633</v>
      </c>
      <c r="EJ72" s="261">
        <f t="shared" si="50"/>
        <v>0.11010297158520133</v>
      </c>
      <c r="EK72" s="208">
        <f t="shared" si="23"/>
        <v>0.007931519537975495</v>
      </c>
      <c r="EL72" s="279">
        <v>34.12</v>
      </c>
      <c r="EM72" s="279">
        <v>32.34</v>
      </c>
      <c r="EN72" s="279">
        <f>AVERAGE(EL72:EM72)</f>
        <v>33.230000000000004</v>
      </c>
      <c r="EO72" s="278">
        <f t="shared" si="91"/>
        <v>0.74</v>
      </c>
      <c r="EP72" s="256">
        <v>0.0909</v>
      </c>
      <c r="EQ72" s="261">
        <f t="shared" si="51"/>
        <v>0.11669755015337957</v>
      </c>
      <c r="ER72" s="208">
        <f t="shared" si="24"/>
        <v>0.011050281699770055</v>
      </c>
      <c r="ES72" s="260"/>
      <c r="ET72" s="285">
        <v>1.7</v>
      </c>
      <c r="EU72" s="285">
        <v>1.2</v>
      </c>
      <c r="EV72" s="285"/>
      <c r="EW72" s="285">
        <v>1.2</v>
      </c>
      <c r="EX72" s="280">
        <v>2.54413152</v>
      </c>
      <c r="EY72" s="285">
        <v>5.7</v>
      </c>
      <c r="EZ72" s="285"/>
      <c r="FA72" s="285">
        <v>0.975</v>
      </c>
      <c r="FB72" s="285">
        <v>1.7</v>
      </c>
      <c r="FC72" s="285">
        <v>0.975</v>
      </c>
      <c r="FD72" s="285"/>
      <c r="FE72" s="255">
        <v>1.9</v>
      </c>
      <c r="FF72" s="255">
        <v>1.6</v>
      </c>
      <c r="FG72" s="255">
        <v>1.3</v>
      </c>
      <c r="FH72" s="255"/>
      <c r="FI72" s="255"/>
      <c r="FJ72" s="255">
        <v>0.75</v>
      </c>
      <c r="FK72" s="255">
        <v>1.4</v>
      </c>
      <c r="FL72" s="255">
        <v>1.4</v>
      </c>
      <c r="FM72" s="281">
        <v>2.1045795</v>
      </c>
      <c r="FN72" s="281">
        <v>2.76642938</v>
      </c>
      <c r="FO72" s="258">
        <f>SUM(ET72:FN72)</f>
        <v>29.215140399999996</v>
      </c>
      <c r="FP72" s="261">
        <f t="shared" si="25"/>
        <v>0.11140312132254174</v>
      </c>
    </row>
    <row r="73" spans="1:172" ht="12.75">
      <c r="A73" s="263">
        <v>37803</v>
      </c>
      <c r="B73" s="281">
        <v>27.67</v>
      </c>
      <c r="C73" s="281">
        <v>25.35</v>
      </c>
      <c r="D73" s="255">
        <f t="shared" si="26"/>
        <v>26.51</v>
      </c>
      <c r="E73" s="255">
        <v>1.12</v>
      </c>
      <c r="F73" s="256">
        <v>0.0553</v>
      </c>
      <c r="G73" s="261">
        <f t="shared" si="27"/>
        <v>0.10301957199735323</v>
      </c>
      <c r="H73" s="277">
        <f t="shared" si="0"/>
        <v>0.006079439201888267</v>
      </c>
      <c r="I73" s="123">
        <v>25.14</v>
      </c>
      <c r="J73" s="123">
        <v>24.05</v>
      </c>
      <c r="K73" s="258">
        <f t="shared" si="83"/>
        <v>24.595</v>
      </c>
      <c r="L73" s="259">
        <f t="shared" si="90"/>
        <v>1.2</v>
      </c>
      <c r="M73" s="256">
        <v>0.0609</v>
      </c>
      <c r="N73" s="261">
        <f t="shared" si="29"/>
        <v>0.11644442028574442</v>
      </c>
      <c r="O73" s="208">
        <f t="shared" si="1"/>
        <v>0.004850592446609219</v>
      </c>
      <c r="R73" s="260"/>
      <c r="S73" s="260"/>
      <c r="T73" s="260"/>
      <c r="U73" s="261"/>
      <c r="V73" s="260"/>
      <c r="W73" s="123">
        <v>34.8</v>
      </c>
      <c r="X73" s="123">
        <v>31.35</v>
      </c>
      <c r="Y73" s="258">
        <f t="shared" si="84"/>
        <v>33.075</v>
      </c>
      <c r="Z73" s="258">
        <v>0.72</v>
      </c>
      <c r="AA73" s="256">
        <v>0.07</v>
      </c>
      <c r="AB73" s="261">
        <f t="shared" si="32"/>
        <v>0.09472992948710957</v>
      </c>
      <c r="AC73" s="208">
        <f t="shared" si="4"/>
        <v>0.003946056662143484</v>
      </c>
      <c r="AD73" s="123">
        <v>41.27</v>
      </c>
      <c r="AE73" s="123">
        <v>38.37</v>
      </c>
      <c r="AF73" s="258">
        <f t="shared" si="5"/>
        <v>39.82</v>
      </c>
      <c r="AG73" s="258">
        <f>4*0.3</f>
        <v>1.2</v>
      </c>
      <c r="AH73" s="256">
        <v>0.0956</v>
      </c>
      <c r="AI73" s="261">
        <f t="shared" si="33"/>
        <v>0.1307699034833103</v>
      </c>
      <c r="AJ73" s="208">
        <f t="shared" si="6"/>
        <v>0.010950801386302996</v>
      </c>
      <c r="AK73" s="255">
        <v>35.8</v>
      </c>
      <c r="AL73" s="255">
        <v>33.52</v>
      </c>
      <c r="AM73" s="258">
        <f t="shared" si="85"/>
        <v>34.66</v>
      </c>
      <c r="AN73" s="258">
        <v>1.78</v>
      </c>
      <c r="AO73" s="256">
        <v>0.0664</v>
      </c>
      <c r="AP73" s="261">
        <f t="shared" si="54"/>
        <v>0.12522771717746672</v>
      </c>
      <c r="AQ73" s="208">
        <f t="shared" si="52"/>
        <v>0.024778224095183397</v>
      </c>
      <c r="AT73" s="258"/>
      <c r="AU73" s="258"/>
      <c r="AW73" s="261"/>
      <c r="AX73" s="208"/>
      <c r="AY73" s="255">
        <v>36.87</v>
      </c>
      <c r="AZ73" s="255">
        <v>34.5</v>
      </c>
      <c r="BA73" s="258">
        <f t="shared" si="86"/>
        <v>35.685</v>
      </c>
      <c r="BB73" s="255">
        <v>1.24</v>
      </c>
      <c r="BC73" s="256">
        <v>0.065</v>
      </c>
      <c r="BD73" s="261">
        <f t="shared" si="37"/>
        <v>0.10449248036323433</v>
      </c>
      <c r="BE73" s="208">
        <f t="shared" si="7"/>
        <v>0.003536588341640158</v>
      </c>
      <c r="BF73" s="255">
        <v>37.7</v>
      </c>
      <c r="BG73" s="255">
        <v>35.35</v>
      </c>
      <c r="BH73" s="258">
        <f t="shared" si="87"/>
        <v>36.525000000000006</v>
      </c>
      <c r="BI73" s="258">
        <f t="shared" si="92"/>
        <v>1.86</v>
      </c>
      <c r="BJ73" s="256">
        <v>0.0438</v>
      </c>
      <c r="BK73" s="261">
        <f t="shared" si="39"/>
        <v>0.10088691017352303</v>
      </c>
      <c r="BL73" s="208">
        <f t="shared" si="8"/>
        <v>0.0059535855641300265</v>
      </c>
      <c r="BM73" s="255">
        <v>28.65</v>
      </c>
      <c r="BN73" s="255">
        <v>27.03</v>
      </c>
      <c r="BO73" s="258">
        <f t="shared" si="88"/>
        <v>27.84</v>
      </c>
      <c r="BP73" s="258">
        <v>1.26</v>
      </c>
      <c r="BQ73" s="256">
        <v>0.0467</v>
      </c>
      <c r="BR73" s="261">
        <f t="shared" si="79"/>
        <v>0.09746342531990737</v>
      </c>
      <c r="BS73" s="208">
        <f t="shared" si="80"/>
        <v>0.003298687259834431</v>
      </c>
      <c r="BV73" s="258"/>
      <c r="BY73" s="261"/>
      <c r="BZ73" s="208"/>
      <c r="CA73" s="255">
        <v>21.28</v>
      </c>
      <c r="CB73" s="255">
        <v>19.56</v>
      </c>
      <c r="CC73" s="258">
        <f t="shared" si="82"/>
        <v>20.42</v>
      </c>
      <c r="CD73" s="258">
        <f>0.17*4</f>
        <v>0.68</v>
      </c>
      <c r="CE73" s="256">
        <v>0.088</v>
      </c>
      <c r="CF73" s="261">
        <f t="shared" si="69"/>
        <v>0.1266423085536248</v>
      </c>
      <c r="CG73" s="208">
        <f t="shared" si="12"/>
        <v>0.008352707563470401</v>
      </c>
      <c r="CH73" s="255">
        <v>44.3</v>
      </c>
      <c r="CI73" s="255">
        <v>40.89</v>
      </c>
      <c r="CJ73" s="258">
        <f t="shared" si="89"/>
        <v>42.595</v>
      </c>
      <c r="CK73" s="258">
        <v>2.12</v>
      </c>
      <c r="CL73" s="256">
        <v>0.0499</v>
      </c>
      <c r="CM73" s="261">
        <f t="shared" si="45"/>
        <v>0.10599504440830221</v>
      </c>
      <c r="CN73" s="208">
        <f t="shared" si="13"/>
        <v>0.00588708627999828</v>
      </c>
      <c r="CO73" s="255">
        <v>39.74</v>
      </c>
      <c r="CP73" s="255">
        <v>37.38</v>
      </c>
      <c r="CQ73" s="258">
        <f t="shared" si="14"/>
        <v>38.56</v>
      </c>
      <c r="CR73" s="258">
        <v>1.66</v>
      </c>
      <c r="CS73" s="256">
        <v>0.05</v>
      </c>
      <c r="CT73" s="261">
        <f t="shared" si="46"/>
        <v>0.09839603971914168</v>
      </c>
      <c r="CU73" s="208">
        <f t="shared" si="15"/>
        <v>0.0044403359390023924</v>
      </c>
      <c r="CV73" s="262"/>
      <c r="CW73" s="262"/>
      <c r="CX73" s="262"/>
      <c r="CY73" s="262"/>
      <c r="DA73" s="261"/>
      <c r="DB73" s="208"/>
      <c r="DE73" s="258"/>
      <c r="DF73" s="258"/>
      <c r="DH73" s="261"/>
      <c r="DI73" s="208"/>
      <c r="DJ73" s="255">
        <v>21.72</v>
      </c>
      <c r="DK73" s="255">
        <v>20.14</v>
      </c>
      <c r="DL73" s="258">
        <f t="shared" si="75"/>
        <v>20.93</v>
      </c>
      <c r="DM73" s="258">
        <v>0.82</v>
      </c>
      <c r="DN73" s="256">
        <v>0.0525</v>
      </c>
      <c r="DO73" s="261">
        <f t="shared" si="76"/>
        <v>0.09658122901668298</v>
      </c>
      <c r="DP73" s="208">
        <f t="shared" si="77"/>
        <v>0.002514483834878896</v>
      </c>
      <c r="DQ73" s="255">
        <v>33.45</v>
      </c>
      <c r="DR73" s="255">
        <v>30.9</v>
      </c>
      <c r="DS73" s="258">
        <f t="shared" si="20"/>
        <v>32.175</v>
      </c>
      <c r="DT73" s="258">
        <v>1.14</v>
      </c>
      <c r="DU73" s="256">
        <v>0.0633</v>
      </c>
      <c r="DV73" s="261">
        <f t="shared" si="70"/>
        <v>0.10351497377795038</v>
      </c>
      <c r="DW73" s="208">
        <f t="shared" si="56"/>
        <v>0.005030672774763878</v>
      </c>
      <c r="DX73" s="255">
        <v>27.62</v>
      </c>
      <c r="DY73" s="255">
        <v>25.21</v>
      </c>
      <c r="DZ73" s="258">
        <f t="shared" si="21"/>
        <v>26.415</v>
      </c>
      <c r="EA73" s="258">
        <f t="shared" si="93"/>
        <v>1.28</v>
      </c>
      <c r="EB73" s="256">
        <v>0.0443</v>
      </c>
      <c r="EC73" s="261">
        <f t="shared" si="48"/>
        <v>0.09859492336855546</v>
      </c>
      <c r="ED73" s="208">
        <f t="shared" si="22"/>
        <v>0.004791565689656534</v>
      </c>
      <c r="EE73" s="123">
        <v>27.51</v>
      </c>
      <c r="EF73" s="123">
        <v>24.13</v>
      </c>
      <c r="EG73" s="258">
        <f>AVERAGE(EE73:EF73)</f>
        <v>25.82</v>
      </c>
      <c r="EH73" s="258">
        <f t="shared" si="94"/>
        <v>1.08</v>
      </c>
      <c r="EI73" s="256">
        <v>0.0633</v>
      </c>
      <c r="EJ73" s="261">
        <f t="shared" si="50"/>
        <v>0.11089526430431329</v>
      </c>
      <c r="EK73" s="208">
        <f t="shared" si="23"/>
        <v>0.007523177937322407</v>
      </c>
      <c r="EL73" s="279">
        <v>33.99</v>
      </c>
      <c r="EM73" s="279">
        <v>31.35</v>
      </c>
      <c r="EN73" s="279">
        <f>AVERAGE(EL73:EM73)</f>
        <v>32.67</v>
      </c>
      <c r="EO73" s="278">
        <f t="shared" si="91"/>
        <v>0.74</v>
      </c>
      <c r="EP73" s="256">
        <v>0.0909</v>
      </c>
      <c r="EQ73" s="261">
        <f t="shared" si="51"/>
        <v>0.1171436988516712</v>
      </c>
      <c r="ER73" s="208">
        <f t="shared" si="24"/>
        <v>0.010738621327758727</v>
      </c>
      <c r="ES73" s="260"/>
      <c r="ET73" s="285">
        <v>1.7</v>
      </c>
      <c r="EU73" s="285">
        <v>1.2</v>
      </c>
      <c r="EV73" s="285"/>
      <c r="EW73" s="285">
        <v>1.2</v>
      </c>
      <c r="EX73" s="280">
        <v>2.4123662400000003</v>
      </c>
      <c r="EY73" s="285">
        <v>5.7</v>
      </c>
      <c r="EZ73" s="285"/>
      <c r="FA73" s="285">
        <v>0.975</v>
      </c>
      <c r="FB73" s="285">
        <v>1.7</v>
      </c>
      <c r="FC73" s="285">
        <v>0.975</v>
      </c>
      <c r="FD73" s="285"/>
      <c r="FE73" s="255">
        <v>1.9</v>
      </c>
      <c r="FF73" s="255">
        <v>1.6</v>
      </c>
      <c r="FG73" s="255">
        <v>1.3</v>
      </c>
      <c r="FH73" s="255"/>
      <c r="FI73" s="255"/>
      <c r="FJ73" s="255">
        <v>0.75</v>
      </c>
      <c r="FK73" s="255">
        <v>1.4</v>
      </c>
      <c r="FL73" s="255">
        <v>1.4</v>
      </c>
      <c r="FM73" s="281">
        <v>1.9543101</v>
      </c>
      <c r="FN73" s="281">
        <v>2.6407952999999997</v>
      </c>
      <c r="FO73" s="258">
        <f>SUM(ET73:FN73)</f>
        <v>28.80747164</v>
      </c>
      <c r="FP73" s="261">
        <f t="shared" si="25"/>
        <v>0.1126726263045835</v>
      </c>
    </row>
    <row r="74" spans="1:172" ht="12.75">
      <c r="A74" s="263">
        <v>37834</v>
      </c>
      <c r="B74" s="281">
        <v>27.92</v>
      </c>
      <c r="C74" s="281">
        <v>26.82</v>
      </c>
      <c r="D74" s="255">
        <f t="shared" si="26"/>
        <v>27.37</v>
      </c>
      <c r="E74" s="255">
        <v>1.12</v>
      </c>
      <c r="F74" s="256">
        <v>0.0553</v>
      </c>
      <c r="G74" s="261">
        <f t="shared" si="27"/>
        <v>0.10149599410177745</v>
      </c>
      <c r="H74" s="277">
        <f t="shared" si="0"/>
        <v>0.005991520203878909</v>
      </c>
      <c r="I74" s="123">
        <v>24.84</v>
      </c>
      <c r="J74" s="123">
        <v>23</v>
      </c>
      <c r="K74" s="258">
        <f t="shared" si="83"/>
        <v>23.92</v>
      </c>
      <c r="L74" s="259">
        <f t="shared" si="90"/>
        <v>1.2</v>
      </c>
      <c r="M74" s="256">
        <v>0.0609</v>
      </c>
      <c r="N74" s="261">
        <f t="shared" si="29"/>
        <v>0.11804281077333112</v>
      </c>
      <c r="O74" s="208">
        <f t="shared" si="1"/>
        <v>0.004918809388756423</v>
      </c>
      <c r="R74" s="260"/>
      <c r="S74" s="260"/>
      <c r="T74" s="260"/>
      <c r="U74" s="261"/>
      <c r="V74" s="260"/>
      <c r="W74" s="123">
        <v>35.99</v>
      </c>
      <c r="X74" s="123">
        <v>32.96</v>
      </c>
      <c r="Y74" s="258">
        <f t="shared" si="84"/>
        <v>34.475</v>
      </c>
      <c r="Z74" s="258">
        <v>0.72</v>
      </c>
      <c r="AA74" s="77">
        <v>0.07</v>
      </c>
      <c r="AB74" s="261">
        <f t="shared" si="32"/>
        <v>0.09371739855321759</v>
      </c>
      <c r="AC74" s="208">
        <f t="shared" si="4"/>
        <v>0.003905176578509099</v>
      </c>
      <c r="AD74" s="123">
        <v>39.8</v>
      </c>
      <c r="AE74" s="123">
        <v>37.85</v>
      </c>
      <c r="AF74" s="258">
        <f t="shared" si="5"/>
        <v>38.825</v>
      </c>
      <c r="AG74" s="258">
        <f>4*0.3</f>
        <v>1.2</v>
      </c>
      <c r="AH74" s="256">
        <v>0.0944</v>
      </c>
      <c r="AI74" s="261">
        <f t="shared" si="33"/>
        <v>0.13044269426111654</v>
      </c>
      <c r="AJ74" s="208">
        <f t="shared" si="6"/>
        <v>0.01112852332480522</v>
      </c>
      <c r="AK74" s="255">
        <v>34.47</v>
      </c>
      <c r="AL74" s="255">
        <v>32.3</v>
      </c>
      <c r="AM74" s="258">
        <f t="shared" si="85"/>
        <v>33.385</v>
      </c>
      <c r="AN74" s="258">
        <v>1.78</v>
      </c>
      <c r="AO74" s="256">
        <v>0.0664</v>
      </c>
      <c r="AP74" s="261">
        <f t="shared" si="54"/>
        <v>0.12752158679846115</v>
      </c>
      <c r="AQ74" s="208">
        <f t="shared" si="52"/>
        <v>0.025240489259314786</v>
      </c>
      <c r="AT74" s="258"/>
      <c r="AU74" s="258"/>
      <c r="AW74" s="261"/>
      <c r="AX74" s="208"/>
      <c r="AY74" s="255">
        <v>36.39</v>
      </c>
      <c r="AZ74" s="255">
        <v>33.7</v>
      </c>
      <c r="BA74" s="258">
        <f t="shared" si="86"/>
        <v>35.045</v>
      </c>
      <c r="BB74" s="255">
        <v>1.24</v>
      </c>
      <c r="BC74" s="256">
        <v>0.065</v>
      </c>
      <c r="BD74" s="261">
        <f t="shared" si="37"/>
        <v>0.10522376014094337</v>
      </c>
      <c r="BE74" s="208">
        <f t="shared" si="7"/>
        <v>0.0035625226807755616</v>
      </c>
      <c r="BF74" s="255">
        <v>36.4</v>
      </c>
      <c r="BG74" s="255">
        <v>33.51</v>
      </c>
      <c r="BH74" s="258">
        <f t="shared" si="87"/>
        <v>34.955</v>
      </c>
      <c r="BI74" s="258">
        <f t="shared" si="92"/>
        <v>1.86</v>
      </c>
      <c r="BJ74" s="256">
        <v>0.0438</v>
      </c>
      <c r="BK74" s="261">
        <f t="shared" si="39"/>
        <v>0.1035047177323285</v>
      </c>
      <c r="BL74" s="208">
        <f t="shared" si="8"/>
        <v>0.006110099349026124</v>
      </c>
      <c r="BM74" s="255">
        <v>29</v>
      </c>
      <c r="BN74" s="255">
        <v>27.02</v>
      </c>
      <c r="BO74" s="258">
        <f t="shared" si="88"/>
        <v>28.009999999999998</v>
      </c>
      <c r="BP74" s="258">
        <v>1.26</v>
      </c>
      <c r="BQ74" s="256">
        <v>0.0467</v>
      </c>
      <c r="BR74" s="261">
        <f t="shared" si="79"/>
        <v>0.09714986934332681</v>
      </c>
      <c r="BS74" s="208">
        <f t="shared" si="80"/>
        <v>0.0032891678885681123</v>
      </c>
      <c r="BV74" s="258"/>
      <c r="BY74" s="261"/>
      <c r="BZ74" s="208"/>
      <c r="CA74" s="255">
        <v>21.2</v>
      </c>
      <c r="CB74" s="255">
        <v>18.75</v>
      </c>
      <c r="CC74" s="258">
        <f t="shared" si="82"/>
        <v>19.975</v>
      </c>
      <c r="CD74" s="258">
        <f>0.17*4</f>
        <v>0.68</v>
      </c>
      <c r="CE74" s="256">
        <v>0.08</v>
      </c>
      <c r="CF74" s="261">
        <f t="shared" si="69"/>
        <v>0.11922417911589367</v>
      </c>
      <c r="CG74" s="208">
        <f t="shared" si="12"/>
        <v>0.007866058048094201</v>
      </c>
      <c r="CH74" s="255">
        <v>41.36</v>
      </c>
      <c r="CI74" s="255">
        <v>39.53</v>
      </c>
      <c r="CJ74" s="258">
        <f t="shared" si="89"/>
        <v>40.445</v>
      </c>
      <c r="CK74" s="258">
        <v>2.12</v>
      </c>
      <c r="CL74" s="256">
        <v>0.0514</v>
      </c>
      <c r="CM74" s="261">
        <f t="shared" si="45"/>
        <v>0.11062306062304783</v>
      </c>
      <c r="CN74" s="208">
        <f t="shared" si="13"/>
        <v>0.006146174094419336</v>
      </c>
      <c r="CO74" s="255">
        <v>39.32</v>
      </c>
      <c r="CP74" s="255">
        <v>37.23</v>
      </c>
      <c r="CQ74" s="258">
        <f t="shared" si="14"/>
        <v>38.275</v>
      </c>
      <c r="CR74" s="258">
        <v>1.66</v>
      </c>
      <c r="CS74" s="256">
        <v>0.052</v>
      </c>
      <c r="CT74" s="261">
        <f t="shared" si="46"/>
        <v>0.10085544105670974</v>
      </c>
      <c r="CU74" s="208">
        <f t="shared" si="15"/>
        <v>0.004552834781331799</v>
      </c>
      <c r="CV74" s="262"/>
      <c r="CW74" s="262"/>
      <c r="CX74" s="262"/>
      <c r="CY74" s="262"/>
      <c r="DA74" s="261"/>
      <c r="DB74" s="208"/>
      <c r="DE74" s="258"/>
      <c r="DF74" s="258"/>
      <c r="DH74" s="261"/>
      <c r="DI74" s="208"/>
      <c r="DJ74" s="255">
        <v>22.83</v>
      </c>
      <c r="DK74" s="255">
        <v>20.8</v>
      </c>
      <c r="DL74" s="258">
        <f t="shared" si="75"/>
        <v>21.814999999999998</v>
      </c>
      <c r="DM74" s="258">
        <v>0.82</v>
      </c>
      <c r="DN74" s="256">
        <v>0.0525</v>
      </c>
      <c r="DO74" s="261">
        <f t="shared" si="76"/>
        <v>0.09476644267781298</v>
      </c>
      <c r="DP74" s="208">
        <f t="shared" si="77"/>
        <v>0.002468056212661715</v>
      </c>
      <c r="DQ74" s="255">
        <v>31.45</v>
      </c>
      <c r="DR74" s="255">
        <v>28.95</v>
      </c>
      <c r="DS74" s="258">
        <f t="shared" si="20"/>
        <v>30.2</v>
      </c>
      <c r="DT74" s="258">
        <v>1.14</v>
      </c>
      <c r="DU74" s="256">
        <v>0.0633</v>
      </c>
      <c r="DV74" s="261">
        <f t="shared" si="70"/>
        <v>0.10618406865178076</v>
      </c>
      <c r="DW74" s="208">
        <f t="shared" si="56"/>
        <v>0.005162102253119107</v>
      </c>
      <c r="DX74" s="255">
        <v>26.9</v>
      </c>
      <c r="DY74" s="255">
        <v>25.28</v>
      </c>
      <c r="DZ74" s="258">
        <f t="shared" si="21"/>
        <v>26.09</v>
      </c>
      <c r="EA74" s="258">
        <f t="shared" si="93"/>
        <v>1.28</v>
      </c>
      <c r="EB74" s="256">
        <v>0.0464</v>
      </c>
      <c r="EC74" s="261">
        <f t="shared" si="48"/>
        <v>0.10149490885106527</v>
      </c>
      <c r="ED74" s="208">
        <f t="shared" si="22"/>
        <v>0.00493414034998381</v>
      </c>
      <c r="EE74" s="123">
        <v>23.95</v>
      </c>
      <c r="EF74" s="123">
        <v>22.51</v>
      </c>
      <c r="EG74" s="258">
        <f>AVERAGE(EE74:EF74)</f>
        <v>23.23</v>
      </c>
      <c r="EH74" s="258">
        <f t="shared" si="94"/>
        <v>1.08</v>
      </c>
      <c r="EI74" s="256">
        <v>0.0617</v>
      </c>
      <c r="EJ74" s="261">
        <f t="shared" si="50"/>
        <v>0.11461937225947905</v>
      </c>
      <c r="EK74" s="208">
        <f t="shared" si="23"/>
        <v>0.0074939307936982185</v>
      </c>
      <c r="EL74" s="279">
        <v>32.7</v>
      </c>
      <c r="EM74" s="279">
        <v>30.11</v>
      </c>
      <c r="EN74" s="279">
        <f>AVERAGE(EL74:EM74)</f>
        <v>31.405</v>
      </c>
      <c r="EO74" s="258">
        <f aca="true" t="shared" si="95" ref="EO74:EO83">0.205*4</f>
        <v>0.82</v>
      </c>
      <c r="EP74" s="256">
        <v>0.09</v>
      </c>
      <c r="EQ74" s="261">
        <f t="shared" si="51"/>
        <v>0.12026854474836801</v>
      </c>
      <c r="ER74" s="208">
        <f t="shared" si="24"/>
        <v>0.011101483869131281</v>
      </c>
      <c r="ES74" s="260"/>
      <c r="ET74" s="285">
        <v>1.7</v>
      </c>
      <c r="EU74" s="285">
        <v>1.2</v>
      </c>
      <c r="EV74" s="285"/>
      <c r="EW74" s="285">
        <v>1.2</v>
      </c>
      <c r="EX74" s="280">
        <v>2.4568496200000003</v>
      </c>
      <c r="EY74" s="285">
        <v>5.7</v>
      </c>
      <c r="EZ74" s="285"/>
      <c r="FA74" s="285">
        <v>0.975</v>
      </c>
      <c r="FB74" s="285">
        <v>1.7</v>
      </c>
      <c r="FC74" s="285">
        <v>0.975</v>
      </c>
      <c r="FD74" s="285"/>
      <c r="FE74" s="255">
        <v>1.9</v>
      </c>
      <c r="FF74" s="255">
        <v>1.6</v>
      </c>
      <c r="FG74" s="255">
        <v>1.3</v>
      </c>
      <c r="FH74" s="255"/>
      <c r="FI74" s="255"/>
      <c r="FJ74" s="255">
        <v>0.75</v>
      </c>
      <c r="FK74" s="255">
        <v>1.4</v>
      </c>
      <c r="FL74" s="255">
        <v>1.4</v>
      </c>
      <c r="FM74" s="281">
        <v>1.8828357999999998</v>
      </c>
      <c r="FN74" s="281">
        <v>2.65821296</v>
      </c>
      <c r="FO74" s="258">
        <f>SUM(ET74:FN74)</f>
        <v>28.797898379999996</v>
      </c>
      <c r="FP74" s="261">
        <f t="shared" si="25"/>
        <v>0.1138710890760737</v>
      </c>
    </row>
    <row r="75" spans="1:172" ht="12.75">
      <c r="A75" s="263">
        <v>37865</v>
      </c>
      <c r="B75" s="281">
        <v>28.49</v>
      </c>
      <c r="C75" s="281">
        <v>27.77</v>
      </c>
      <c r="D75" s="255">
        <f t="shared" si="26"/>
        <v>28.13</v>
      </c>
      <c r="E75" s="255">
        <v>1.12</v>
      </c>
      <c r="F75" s="77">
        <v>0.054299999999999994</v>
      </c>
      <c r="G75" s="261">
        <f t="shared" si="27"/>
        <v>0.09918574741344943</v>
      </c>
      <c r="H75" s="277">
        <f t="shared" si="0"/>
        <v>0.006434893307304762</v>
      </c>
      <c r="I75" s="123">
        <v>24.98</v>
      </c>
      <c r="J75" s="123">
        <v>23.81</v>
      </c>
      <c r="K75" s="258">
        <f t="shared" si="83"/>
        <v>24.395</v>
      </c>
      <c r="L75" s="259">
        <f t="shared" si="90"/>
        <v>1.2</v>
      </c>
      <c r="M75" s="256">
        <v>0.0609</v>
      </c>
      <c r="N75" s="261">
        <f t="shared" si="29"/>
        <v>0.11690861921419393</v>
      </c>
      <c r="O75" s="208">
        <f t="shared" si="1"/>
        <v>0.005056469038921933</v>
      </c>
      <c r="R75" s="260"/>
      <c r="S75" s="260"/>
      <c r="T75" s="260"/>
      <c r="U75" s="261"/>
      <c r="V75" s="260"/>
      <c r="W75" s="123">
        <v>37.09</v>
      </c>
      <c r="X75" s="123">
        <v>35.3</v>
      </c>
      <c r="Y75" s="258">
        <f t="shared" si="84"/>
        <v>36.195</v>
      </c>
      <c r="Z75" s="258">
        <f>0.185*4</f>
        <v>0.74</v>
      </c>
      <c r="AA75" s="77">
        <v>0.07</v>
      </c>
      <c r="AB75" s="261">
        <f t="shared" si="32"/>
        <v>0.09321382077710183</v>
      </c>
      <c r="AC75" s="208">
        <f t="shared" si="4"/>
        <v>0.004367603821010311</v>
      </c>
      <c r="AD75" s="123">
        <v>41.65</v>
      </c>
      <c r="AE75" s="123">
        <v>39.29</v>
      </c>
      <c r="AF75" s="258">
        <f t="shared" si="5"/>
        <v>40.47</v>
      </c>
      <c r="AG75" s="258">
        <f>4*0.3</f>
        <v>1.2</v>
      </c>
      <c r="AH75" s="256">
        <v>0.0944</v>
      </c>
      <c r="AI75" s="261">
        <f t="shared" si="33"/>
        <v>0.12896053228963456</v>
      </c>
      <c r="AJ75" s="208">
        <f t="shared" si="6"/>
        <v>0.011891308942524685</v>
      </c>
      <c r="AK75" s="255">
        <v>35.83</v>
      </c>
      <c r="AL75" s="255">
        <v>33.83</v>
      </c>
      <c r="AM75" s="258">
        <f t="shared" si="85"/>
        <v>34.83</v>
      </c>
      <c r="AN75" s="258">
        <v>1.78</v>
      </c>
      <c r="AO75" s="256">
        <v>0.0655</v>
      </c>
      <c r="AP75" s="261">
        <f t="shared" si="54"/>
        <v>0.1239854080794549</v>
      </c>
      <c r="AQ75" s="208">
        <f t="shared" si="52"/>
        <v>0.02457835656851653</v>
      </c>
      <c r="AT75" s="258"/>
      <c r="AU75" s="258"/>
      <c r="AW75" s="261"/>
      <c r="AX75" s="208"/>
      <c r="AY75" s="255">
        <v>37.36</v>
      </c>
      <c r="AZ75" s="255">
        <v>35.81</v>
      </c>
      <c r="BA75" s="258">
        <f t="shared" si="86"/>
        <v>36.585</v>
      </c>
      <c r="BB75" s="255">
        <v>1.24</v>
      </c>
      <c r="BC75" s="256">
        <v>0.065</v>
      </c>
      <c r="BD75" s="261">
        <f t="shared" si="37"/>
        <v>0.10350797953735547</v>
      </c>
      <c r="BE75" s="208">
        <f t="shared" si="7"/>
        <v>0.0036374582907623848</v>
      </c>
      <c r="BF75" s="255">
        <v>36.05</v>
      </c>
      <c r="BG75" s="255">
        <v>34</v>
      </c>
      <c r="BH75" s="258">
        <f t="shared" si="87"/>
        <v>35.025</v>
      </c>
      <c r="BI75" s="258">
        <f t="shared" si="92"/>
        <v>1.86</v>
      </c>
      <c r="BJ75" s="256">
        <v>0.0438</v>
      </c>
      <c r="BK75" s="261">
        <f t="shared" si="39"/>
        <v>0.10338289820282398</v>
      </c>
      <c r="BL75" s="208">
        <f t="shared" si="8"/>
        <v>0.005589327239410353</v>
      </c>
      <c r="BM75" s="255">
        <v>30.1</v>
      </c>
      <c r="BN75" s="255">
        <v>28.4</v>
      </c>
      <c r="BO75" s="258">
        <f t="shared" si="88"/>
        <v>29.25</v>
      </c>
      <c r="BP75" s="258">
        <v>1.26</v>
      </c>
      <c r="BQ75" s="256">
        <v>0.0467</v>
      </c>
      <c r="BR75" s="261">
        <f t="shared" si="79"/>
        <v>0.09497485784498783</v>
      </c>
      <c r="BS75" s="208">
        <f t="shared" si="80"/>
        <v>0.0025673760807646624</v>
      </c>
      <c r="BV75" s="258"/>
      <c r="BY75" s="261"/>
      <c r="BZ75" s="208"/>
      <c r="CA75" s="255">
        <v>21.68</v>
      </c>
      <c r="CB75" s="255">
        <v>20.17</v>
      </c>
      <c r="CC75" s="258">
        <f t="shared" si="82"/>
        <v>20.925</v>
      </c>
      <c r="CD75" s="258">
        <f>0.17*4</f>
        <v>0.68</v>
      </c>
      <c r="CE75" s="256">
        <v>0.0867</v>
      </c>
      <c r="CF75" s="261">
        <f t="shared" si="69"/>
        <v>0.12435273544772496</v>
      </c>
      <c r="CG75" s="208">
        <f t="shared" si="12"/>
        <v>0.007171250627747615</v>
      </c>
      <c r="CH75" s="255">
        <v>42.56</v>
      </c>
      <c r="CI75" s="255">
        <v>40.06</v>
      </c>
      <c r="CJ75" s="258">
        <f t="shared" si="89"/>
        <v>41.31</v>
      </c>
      <c r="CK75" s="258">
        <v>2.12</v>
      </c>
      <c r="CL75" s="256">
        <v>0.0514</v>
      </c>
      <c r="CM75" s="261">
        <f t="shared" si="45"/>
        <v>0.10935791728241528</v>
      </c>
      <c r="CN75" s="208">
        <f t="shared" si="13"/>
        <v>0.005912362649309937</v>
      </c>
      <c r="CO75" s="255">
        <v>39.95</v>
      </c>
      <c r="CP75" s="255">
        <v>38.69</v>
      </c>
      <c r="CQ75" s="258">
        <f t="shared" si="14"/>
        <v>39.32</v>
      </c>
      <c r="CR75" s="258">
        <v>1.66</v>
      </c>
      <c r="CS75" s="256">
        <v>0.052</v>
      </c>
      <c r="CT75" s="261">
        <f t="shared" si="46"/>
        <v>0.09953542764372525</v>
      </c>
      <c r="CU75" s="208">
        <f t="shared" si="15"/>
        <v>0.004663807474882763</v>
      </c>
      <c r="CV75" s="262"/>
      <c r="CW75" s="262"/>
      <c r="CX75" s="262"/>
      <c r="CY75" s="262"/>
      <c r="DA75" s="261"/>
      <c r="DB75" s="208"/>
      <c r="DE75" s="258"/>
      <c r="DF75" s="258"/>
      <c r="DH75" s="261"/>
      <c r="DI75" s="208"/>
      <c r="DJ75" s="255">
        <v>23.49</v>
      </c>
      <c r="DK75" s="255">
        <v>22.25</v>
      </c>
      <c r="DL75" s="258">
        <f t="shared" si="75"/>
        <v>22.869999999999997</v>
      </c>
      <c r="DM75" s="258">
        <v>0.82</v>
      </c>
      <c r="DN75" s="256">
        <v>0.0545</v>
      </c>
      <c r="DO75" s="261">
        <f t="shared" si="76"/>
        <v>0.09486569690951052</v>
      </c>
      <c r="DP75" s="208">
        <f t="shared" si="77"/>
        <v>0.0025644252242847743</v>
      </c>
      <c r="DQ75" s="255">
        <v>31.09</v>
      </c>
      <c r="DR75" s="255">
        <v>28.86</v>
      </c>
      <c r="DS75" s="258">
        <f t="shared" si="20"/>
        <v>29.975</v>
      </c>
      <c r="DT75" s="258">
        <f>0.285*4</f>
        <v>1.14</v>
      </c>
      <c r="DU75" s="256">
        <v>0.0633</v>
      </c>
      <c r="DV75" s="261">
        <f t="shared" si="70"/>
        <v>0.10651079204394587</v>
      </c>
      <c r="DW75" s="208">
        <f t="shared" si="56"/>
        <v>0.0049906434306815715</v>
      </c>
      <c r="DX75" s="255">
        <v>27.97</v>
      </c>
      <c r="DY75" s="255">
        <v>26.9</v>
      </c>
      <c r="DZ75" s="258">
        <f t="shared" si="21"/>
        <v>27.435</v>
      </c>
      <c r="EA75" s="258">
        <f t="shared" si="93"/>
        <v>1.28</v>
      </c>
      <c r="EB75" s="256">
        <v>0.0464</v>
      </c>
      <c r="EC75" s="261">
        <f t="shared" si="48"/>
        <v>0.09874426848105577</v>
      </c>
      <c r="ED75" s="208">
        <f t="shared" si="22"/>
        <v>0.0046267371160765795</v>
      </c>
      <c r="EE75" s="123">
        <v>24.1</v>
      </c>
      <c r="EF75" s="123">
        <v>22.64</v>
      </c>
      <c r="EG75" s="258">
        <f>AVERAGE(EE75:EF75)</f>
        <v>23.37</v>
      </c>
      <c r="EH75" s="258">
        <f t="shared" si="94"/>
        <v>1.08</v>
      </c>
      <c r="EI75" s="256">
        <v>0.0617</v>
      </c>
      <c r="EJ75" s="261">
        <f t="shared" si="50"/>
        <v>0.11429658343584692</v>
      </c>
      <c r="EK75" s="208">
        <f t="shared" si="23"/>
        <v>0.007655974533551109</v>
      </c>
      <c r="EL75" s="279">
        <v>33</v>
      </c>
      <c r="EM75" s="279">
        <v>30.68</v>
      </c>
      <c r="EN75" s="279">
        <f>AVERAGE(EL75:EM75)</f>
        <v>31.84</v>
      </c>
      <c r="EO75" s="258">
        <f t="shared" si="95"/>
        <v>0.82</v>
      </c>
      <c r="EP75" s="256">
        <v>0.09</v>
      </c>
      <c r="EQ75" s="261">
        <f t="shared" si="51"/>
        <v>0.11985081525311037</v>
      </c>
      <c r="ER75" s="208">
        <f t="shared" si="24"/>
        <v>0.011028277294868445</v>
      </c>
      <c r="ES75" s="260"/>
      <c r="ET75" s="285">
        <v>1.8</v>
      </c>
      <c r="EU75" s="285">
        <v>1.2</v>
      </c>
      <c r="EV75" s="285"/>
      <c r="EW75" s="285">
        <v>1.3</v>
      </c>
      <c r="EX75" s="280">
        <v>2.5583106</v>
      </c>
      <c r="EY75" s="285">
        <v>5.5</v>
      </c>
      <c r="EZ75" s="285"/>
      <c r="FA75" s="285">
        <v>0.975</v>
      </c>
      <c r="FB75" s="285">
        <v>1.5</v>
      </c>
      <c r="FC75" s="285">
        <v>0.75</v>
      </c>
      <c r="FD75" s="285"/>
      <c r="FE75" s="255">
        <v>1.6</v>
      </c>
      <c r="FF75" s="255">
        <v>1.5</v>
      </c>
      <c r="FG75" s="255">
        <v>1.3</v>
      </c>
      <c r="FH75" s="255"/>
      <c r="FI75" s="255"/>
      <c r="FJ75" s="255">
        <v>0.75</v>
      </c>
      <c r="FK75" s="255">
        <v>1.3</v>
      </c>
      <c r="FL75" s="255">
        <v>1.3</v>
      </c>
      <c r="FM75" s="281">
        <v>1.8584362</v>
      </c>
      <c r="FN75" s="281">
        <v>2.5529782199999995</v>
      </c>
      <c r="FO75" s="258">
        <f>SUM(ET75:FN75)</f>
        <v>27.74472502</v>
      </c>
      <c r="FP75" s="261">
        <f t="shared" si="25"/>
        <v>0.11273627164061842</v>
      </c>
    </row>
    <row r="76" spans="1:172" ht="12.75">
      <c r="A76" s="263">
        <v>37895</v>
      </c>
      <c r="B76" s="281">
        <v>29.04</v>
      </c>
      <c r="C76" s="281">
        <v>27.24</v>
      </c>
      <c r="D76" s="255">
        <f t="shared" si="26"/>
        <v>28.14</v>
      </c>
      <c r="E76" s="255">
        <v>1.12</v>
      </c>
      <c r="F76" s="77">
        <v>0.054299999999999994</v>
      </c>
      <c r="G76" s="261">
        <f t="shared" si="27"/>
        <v>0.09916954638593167</v>
      </c>
      <c r="H76" s="277">
        <f aca="true" t="shared" si="96" ref="H76:H86">G76*($ET76/$FO76)</f>
        <v>0.006423782438423454</v>
      </c>
      <c r="I76" s="123">
        <v>24.95</v>
      </c>
      <c r="J76" s="123">
        <v>24.05</v>
      </c>
      <c r="K76" s="258">
        <f t="shared" si="83"/>
        <v>24.5</v>
      </c>
      <c r="L76" s="259">
        <f t="shared" si="90"/>
        <v>1.2</v>
      </c>
      <c r="M76" s="256">
        <v>0.0609</v>
      </c>
      <c r="N76" s="261">
        <f t="shared" si="29"/>
        <v>0.11666395176272704</v>
      </c>
      <c r="O76" s="208">
        <f aca="true" t="shared" si="97" ref="O76:O86">N76*($EU76/$FO76)</f>
        <v>0.005037997193305042</v>
      </c>
      <c r="R76" s="260"/>
      <c r="S76" s="260"/>
      <c r="T76" s="260"/>
      <c r="U76" s="261"/>
      <c r="V76" s="260"/>
      <c r="W76" s="123">
        <v>38.93</v>
      </c>
      <c r="X76" s="123">
        <v>36.14</v>
      </c>
      <c r="Y76" s="258">
        <f t="shared" si="84"/>
        <v>37.535</v>
      </c>
      <c r="Z76" s="258">
        <f>0.185*4</f>
        <v>0.74</v>
      </c>
      <c r="AA76" s="77">
        <v>0.07</v>
      </c>
      <c r="AB76" s="261">
        <f t="shared" si="32"/>
        <v>0.09237864433814158</v>
      </c>
      <c r="AC76" s="208">
        <f>AB76*($EW76/$FO76)</f>
        <v>0.004321703112689389</v>
      </c>
      <c r="AD76" s="123">
        <v>41.97</v>
      </c>
      <c r="AE76" s="123">
        <v>40.68</v>
      </c>
      <c r="AF76" s="258">
        <f>AVERAGE(AD76:AE76)</f>
        <v>41.325</v>
      </c>
      <c r="AG76" s="258">
        <f>4*0.3</f>
        <v>1.2</v>
      </c>
      <c r="AH76" s="256">
        <v>0.095</v>
      </c>
      <c r="AI76" s="261">
        <f t="shared" si="33"/>
        <v>0.12885585345963357</v>
      </c>
      <c r="AJ76" s="208">
        <f>AI76*($EX76/$FO76)</f>
        <v>0.011891942706003869</v>
      </c>
      <c r="AK76" s="255">
        <v>36.28</v>
      </c>
      <c r="AL76" s="255">
        <v>34.37</v>
      </c>
      <c r="AM76" s="258">
        <f t="shared" si="85"/>
        <v>35.325</v>
      </c>
      <c r="AN76" s="258">
        <v>1.78</v>
      </c>
      <c r="AO76" s="256">
        <v>0.0655</v>
      </c>
      <c r="AP76" s="261">
        <f t="shared" si="54"/>
        <v>0.12314960555289844</v>
      </c>
      <c r="AQ76" s="208">
        <f t="shared" si="52"/>
        <v>0.02437449948954513</v>
      </c>
      <c r="AT76" s="258"/>
      <c r="AU76" s="258"/>
      <c r="AW76" s="261"/>
      <c r="AX76" s="208"/>
      <c r="AY76" s="255">
        <v>38</v>
      </c>
      <c r="AZ76" s="255">
        <v>35.76</v>
      </c>
      <c r="BA76" s="258">
        <f t="shared" si="86"/>
        <v>36.879999999999995</v>
      </c>
      <c r="BB76" s="255">
        <v>1.24</v>
      </c>
      <c r="BC76" s="256">
        <v>0.065</v>
      </c>
      <c r="BD76" s="261">
        <f t="shared" si="37"/>
        <v>0.1031958757292426</v>
      </c>
      <c r="BE76" s="208">
        <f aca="true" t="shared" si="98" ref="BE76:BE82">BD76*($FA76/$FO76)</f>
        <v>0.0036208201085142742</v>
      </c>
      <c r="BF76" s="255">
        <v>36.62</v>
      </c>
      <c r="BG76" s="255">
        <v>32.75</v>
      </c>
      <c r="BH76" s="258">
        <f t="shared" si="87"/>
        <v>34.685</v>
      </c>
      <c r="BI76" s="258">
        <f t="shared" si="92"/>
        <v>1.86</v>
      </c>
      <c r="BJ76" s="256">
        <v>0.0433</v>
      </c>
      <c r="BK76" s="261">
        <f t="shared" si="39"/>
        <v>0.10345046815464687</v>
      </c>
      <c r="BL76" s="208">
        <f aca="true" t="shared" si="99" ref="BL76:BL83">BK76*($FB76/$FO76)</f>
        <v>0.005584235322205548</v>
      </c>
      <c r="BM76" s="255">
        <v>30.5</v>
      </c>
      <c r="BN76" s="255">
        <v>28.51</v>
      </c>
      <c r="BO76" s="258">
        <f t="shared" si="88"/>
        <v>29.505000000000003</v>
      </c>
      <c r="BP76" s="258">
        <v>1.26</v>
      </c>
      <c r="BQ76" s="256">
        <v>0.0467</v>
      </c>
      <c r="BR76" s="261">
        <f t="shared" si="79"/>
        <v>0.0945506182605762</v>
      </c>
      <c r="BS76" s="208">
        <f t="shared" si="80"/>
        <v>0.0025519116135742964</v>
      </c>
      <c r="BV76" s="258"/>
      <c r="BY76" s="261"/>
      <c r="BZ76" s="208"/>
      <c r="CA76" s="255">
        <v>21.24</v>
      </c>
      <c r="CB76" s="255">
        <v>19.45</v>
      </c>
      <c r="CC76" s="258">
        <f t="shared" si="82"/>
        <v>20.345</v>
      </c>
      <c r="CD76" s="258">
        <f>0.17*4</f>
        <v>0.68</v>
      </c>
      <c r="CE76" s="256">
        <v>0.0865</v>
      </c>
      <c r="CF76" s="261">
        <f t="shared" si="69"/>
        <v>0.12523316238799587</v>
      </c>
      <c r="CG76" s="208">
        <f>CF76*($FE76/$FO76)</f>
        <v>0.007210731462307186</v>
      </c>
      <c r="CH76" s="255">
        <v>42.72</v>
      </c>
      <c r="CI76" s="255">
        <v>40.03</v>
      </c>
      <c r="CJ76" s="258">
        <f t="shared" si="89"/>
        <v>41.375</v>
      </c>
      <c r="CK76" s="258">
        <v>2.12</v>
      </c>
      <c r="CL76" s="256">
        <v>0.0514</v>
      </c>
      <c r="CM76" s="261">
        <f t="shared" si="45"/>
        <v>0.10926502823012552</v>
      </c>
      <c r="CN76" s="208">
        <f aca="true" t="shared" si="100" ref="CN76:CN93">CM76*($FF76/$FO76)</f>
        <v>0.005898104097627957</v>
      </c>
      <c r="CO76" s="255">
        <v>39.98</v>
      </c>
      <c r="CP76" s="255">
        <v>38.85</v>
      </c>
      <c r="CQ76" s="258">
        <f>AVERAGE(CO76:CP76)</f>
        <v>39.415</v>
      </c>
      <c r="CR76" s="258">
        <v>1.66</v>
      </c>
      <c r="CS76" s="256">
        <v>0.052</v>
      </c>
      <c r="CT76" s="261">
        <f t="shared" si="46"/>
        <v>0.0994189542711943</v>
      </c>
      <c r="CU76" s="208">
        <f>CT76*($FG76/$FO76)</f>
        <v>0.004651066349939338</v>
      </c>
      <c r="CV76" s="262"/>
      <c r="CW76" s="262"/>
      <c r="CX76" s="262"/>
      <c r="CY76" s="262"/>
      <c r="DA76" s="261"/>
      <c r="DB76" s="208"/>
      <c r="DE76" s="258"/>
      <c r="DF76" s="258"/>
      <c r="DH76" s="261"/>
      <c r="DI76" s="208"/>
      <c r="DJ76" s="255">
        <v>23.48</v>
      </c>
      <c r="DK76" s="255">
        <v>22.28</v>
      </c>
      <c r="DL76" s="258">
        <f t="shared" si="75"/>
        <v>22.880000000000003</v>
      </c>
      <c r="DM76" s="258">
        <v>0.82</v>
      </c>
      <c r="DN76" s="256">
        <v>0.0545</v>
      </c>
      <c r="DO76" s="261">
        <f t="shared" si="76"/>
        <v>0.09484780537115167</v>
      </c>
      <c r="DP76" s="208">
        <f t="shared" si="77"/>
        <v>0.0025599326635984436</v>
      </c>
      <c r="DQ76" s="255">
        <v>31.44</v>
      </c>
      <c r="DR76" s="255">
        <v>28.85</v>
      </c>
      <c r="DS76" s="258">
        <f>AVERAGE(DQ76:DR76)</f>
        <v>30.145000000000003</v>
      </c>
      <c r="DT76" s="258">
        <v>1.14</v>
      </c>
      <c r="DU76" s="256">
        <v>0.0633</v>
      </c>
      <c r="DV76" s="261">
        <f t="shared" si="70"/>
        <v>0.10626347731740071</v>
      </c>
      <c r="DW76" s="208">
        <f>DV76*($FK76/$FO76)</f>
        <v>0.004971270188884953</v>
      </c>
      <c r="DX76" s="255">
        <v>28.47</v>
      </c>
      <c r="DY76" s="255">
        <v>27.37</v>
      </c>
      <c r="DZ76" s="258">
        <f>AVERAGE(DX76:DY76)</f>
        <v>27.92</v>
      </c>
      <c r="EA76" s="258">
        <f t="shared" si="93"/>
        <v>1.28</v>
      </c>
      <c r="EB76" s="256">
        <v>0.0464</v>
      </c>
      <c r="EC76" s="261">
        <f t="shared" si="48"/>
        <v>0.09781857465279575</v>
      </c>
      <c r="ED76" s="208">
        <f aca="true" t="shared" si="101" ref="ED76:ED116">EC76*($FL76/$FO76)</f>
        <v>0.004576196604579133</v>
      </c>
      <c r="EE76" s="123">
        <v>23.85</v>
      </c>
      <c r="EF76" s="123">
        <v>21.71</v>
      </c>
      <c r="EG76" s="258">
        <f>AVERAGE(EE76:EF76)</f>
        <v>22.78</v>
      </c>
      <c r="EH76" s="258">
        <f t="shared" si="94"/>
        <v>1.08</v>
      </c>
      <c r="EI76" s="256">
        <v>0.0617</v>
      </c>
      <c r="EJ76" s="261">
        <f t="shared" si="50"/>
        <v>0.11568427677006632</v>
      </c>
      <c r="EK76" s="208">
        <f>EJ76*($FM76/$FO76)</f>
        <v>0.0075675152918622994</v>
      </c>
      <c r="EL76" s="279">
        <v>33.35</v>
      </c>
      <c r="EM76" s="279">
        <v>30.75</v>
      </c>
      <c r="EN76" s="279">
        <f>AVERAGE(EL76:EM76)</f>
        <v>32.05</v>
      </c>
      <c r="EO76" s="258">
        <f t="shared" si="95"/>
        <v>0.82</v>
      </c>
      <c r="EP76" s="256">
        <v>0.0873</v>
      </c>
      <c r="EQ76" s="261">
        <f t="shared" si="51"/>
        <v>0.11687979885486333</v>
      </c>
      <c r="ER76" s="208">
        <f>EQ76*($FN76/$FO76)</f>
        <v>0.0110656922689546</v>
      </c>
      <c r="ES76" s="260"/>
      <c r="ET76" s="285">
        <v>1.8</v>
      </c>
      <c r="EU76" s="285">
        <v>1.2</v>
      </c>
      <c r="EV76" s="285"/>
      <c r="EW76" s="285">
        <v>1.3</v>
      </c>
      <c r="EX76" s="280">
        <v>2.5645352000000003</v>
      </c>
      <c r="EY76" s="285">
        <v>5.5</v>
      </c>
      <c r="EZ76" s="285"/>
      <c r="FA76" s="285">
        <v>0.975</v>
      </c>
      <c r="FB76" s="285">
        <v>1.5</v>
      </c>
      <c r="FC76" s="285">
        <v>0.75</v>
      </c>
      <c r="FD76" s="285"/>
      <c r="FE76" s="255">
        <v>1.6</v>
      </c>
      <c r="FF76" s="255">
        <v>1.5</v>
      </c>
      <c r="FG76" s="255">
        <v>1.3</v>
      </c>
      <c r="FH76" s="255"/>
      <c r="FI76" s="255"/>
      <c r="FJ76" s="255">
        <v>0.75</v>
      </c>
      <c r="FK76" s="255">
        <v>1.3</v>
      </c>
      <c r="FL76" s="255">
        <v>1.3</v>
      </c>
      <c r="FM76" s="281">
        <v>1.8177702000000002</v>
      </c>
      <c r="FN76" s="281">
        <v>2.6308685</v>
      </c>
      <c r="FO76" s="258">
        <f>SUM(ET76:FN76)</f>
        <v>27.788173900000004</v>
      </c>
      <c r="FP76" s="261">
        <f aca="true" t="shared" si="102" ref="FP76:FP114">SUM(H76,O76,V76,AC76,AJ76,AQ76,AX76,BE76,BL76,BS76,BZ76,CG76,CN76,CU76,DB76,DI76,DP76,DW76,ED76,EK76,ER76)</f>
        <v>0.1123074009120149</v>
      </c>
    </row>
    <row r="77" spans="1:172" ht="12.75">
      <c r="A77" s="263">
        <v>37926</v>
      </c>
      <c r="B77" s="281">
        <v>28.72</v>
      </c>
      <c r="C77" s="281">
        <v>27.5</v>
      </c>
      <c r="D77" s="255">
        <f aca="true" t="shared" si="103" ref="D77:D85">AVERAGE(B77:C77)</f>
        <v>28.11</v>
      </c>
      <c r="E77" s="255">
        <v>1.12</v>
      </c>
      <c r="F77" s="77">
        <v>0.0471</v>
      </c>
      <c r="G77" s="261">
        <f aca="true" t="shared" si="104" ref="G77:G86">+((((((E77/4)*(1+F77)^0.25))/(D77*0.95))+(1+F77)^(0.25))^4)-1</f>
        <v>0.0917114304101514</v>
      </c>
      <c r="H77" s="277">
        <f t="shared" si="96"/>
        <v>0.005884794541871655</v>
      </c>
      <c r="I77" s="123">
        <v>24.89</v>
      </c>
      <c r="J77" s="123">
        <v>24.27</v>
      </c>
      <c r="K77" s="258">
        <f t="shared" si="83"/>
        <v>24.58</v>
      </c>
      <c r="L77" s="259">
        <f t="shared" si="90"/>
        <v>1.2</v>
      </c>
      <c r="M77" s="256">
        <v>0.0567</v>
      </c>
      <c r="N77" s="261">
        <f aca="true" t="shared" si="105" ref="N77:N86">+((((((L77/4)*(1+M77)^0.25))/(K77*0.95))+(1+M77)^(0.25))^4)-1</f>
        <v>0.11205893645378429</v>
      </c>
      <c r="O77" s="208">
        <f t="shared" si="97"/>
        <v>0.004793614163192897</v>
      </c>
      <c r="R77" s="260"/>
      <c r="S77" s="260"/>
      <c r="T77" s="260"/>
      <c r="U77" s="261"/>
      <c r="V77" s="260"/>
      <c r="W77" s="255">
        <v>39.04</v>
      </c>
      <c r="X77" s="255">
        <v>36.62</v>
      </c>
      <c r="Y77" s="258">
        <f t="shared" si="84"/>
        <v>37.83</v>
      </c>
      <c r="Z77" s="258">
        <f>0.185*4</f>
        <v>0.74</v>
      </c>
      <c r="AA77" s="77">
        <v>0.07</v>
      </c>
      <c r="AB77" s="261">
        <f>+((((((Z77/4)*(1+AA77)^0.25))/(Y77*0.95))+(1+AA77)^(0.25))^4)-1</f>
        <v>0.09220278841747143</v>
      </c>
      <c r="AC77" s="208">
        <f>AB77*($EW77/$FO77)</f>
        <v>0.004272900109235524</v>
      </c>
      <c r="AD77" s="123">
        <v>41.6</v>
      </c>
      <c r="AE77" s="123">
        <v>39.95</v>
      </c>
      <c r="AF77" s="258">
        <f>AVERAGE(AD77:AE77)</f>
        <v>40.775000000000006</v>
      </c>
      <c r="AG77" s="258">
        <f>4*0.3</f>
        <v>1.2</v>
      </c>
      <c r="AH77" s="256">
        <v>0.0978</v>
      </c>
      <c r="AI77" s="261">
        <f aca="true" t="shared" si="106" ref="AI77:AI116">+((((((AG77/4)*(1+AH77)^0.25))/(AF77*0.95))+(1+AH77)^(0.25))^4)-1</f>
        <v>0.13220557547463518</v>
      </c>
      <c r="AJ77" s="208">
        <f>AI77*($EX77/$FO77)</f>
        <v>0.012087670266922767</v>
      </c>
      <c r="AK77" s="255">
        <v>35.45</v>
      </c>
      <c r="AL77" s="255">
        <v>33.64</v>
      </c>
      <c r="AM77" s="258">
        <f t="shared" si="85"/>
        <v>34.545</v>
      </c>
      <c r="AN77" s="258">
        <v>1.78</v>
      </c>
      <c r="AO77" s="256">
        <v>0.0588</v>
      </c>
      <c r="AP77" s="261">
        <f t="shared" si="54"/>
        <v>0.11740685203298495</v>
      </c>
      <c r="AQ77" s="208">
        <f t="shared" si="52"/>
        <v>0.02301926569583375</v>
      </c>
      <c r="AT77" s="258"/>
      <c r="AU77" s="258"/>
      <c r="AW77" s="261"/>
      <c r="AX77" s="208"/>
      <c r="AY77" s="255">
        <v>39.25</v>
      </c>
      <c r="AZ77" s="255">
        <v>36.45</v>
      </c>
      <c r="BA77" s="258">
        <f t="shared" si="86"/>
        <v>37.85</v>
      </c>
      <c r="BB77" s="255">
        <f>4*0.325</f>
        <v>1.3</v>
      </c>
      <c r="BC77" s="256">
        <v>0.065</v>
      </c>
      <c r="BD77" s="261">
        <f aca="true" t="shared" si="107" ref="BD77:BD82">+((((((BB77/4)*(1+BC77)^0.25))/(BA77*0.95))+(1+BC77)^(0.25))^4)-1</f>
        <v>0.10402896356863112</v>
      </c>
      <c r="BE77" s="208">
        <f t="shared" si="98"/>
        <v>0.003615715241035758</v>
      </c>
      <c r="BF77" s="255">
        <v>34.45</v>
      </c>
      <c r="BG77" s="255">
        <v>32.03</v>
      </c>
      <c r="BH77" s="258">
        <f t="shared" si="87"/>
        <v>33.24</v>
      </c>
      <c r="BI77" s="258">
        <f>4*0.465</f>
        <v>1.86</v>
      </c>
      <c r="BJ77" s="256">
        <v>0.0404</v>
      </c>
      <c r="BK77" s="261">
        <f aca="true" t="shared" si="108" ref="BK77:BK83">+((((((BI77/4)*(1+BJ77)^0.25))/(BH77*0.95))+(1+BJ77)^(0.25))^4)-1</f>
        <v>0.10304832903120276</v>
      </c>
      <c r="BL77" s="208">
        <f t="shared" si="99"/>
        <v>0.005510202322653019</v>
      </c>
      <c r="BM77" s="255">
        <v>30.85</v>
      </c>
      <c r="BN77" s="255">
        <v>28.91</v>
      </c>
      <c r="BO77" s="258">
        <f t="shared" si="88"/>
        <v>29.880000000000003</v>
      </c>
      <c r="BP77" s="258">
        <f>4*0.325</f>
        <v>1.3</v>
      </c>
      <c r="BQ77" s="256">
        <v>0.0417</v>
      </c>
      <c r="BR77" s="261">
        <f t="shared" si="79"/>
        <v>0.0902325573846603</v>
      </c>
      <c r="BS77" s="208">
        <f t="shared" si="80"/>
        <v>0.002412458561697426</v>
      </c>
      <c r="BV77" s="258"/>
      <c r="BY77" s="261"/>
      <c r="BZ77" s="208"/>
      <c r="CA77" s="255">
        <v>20.16</v>
      </c>
      <c r="CB77" s="255">
        <v>19.2</v>
      </c>
      <c r="CC77" s="258">
        <f t="shared" si="82"/>
        <v>19.68</v>
      </c>
      <c r="CD77" s="258">
        <f>4*0.18</f>
        <v>0.72</v>
      </c>
      <c r="CE77" s="256">
        <v>0.0798</v>
      </c>
      <c r="CF77" s="261">
        <f t="shared" si="69"/>
        <v>0.12198848633280757</v>
      </c>
      <c r="CG77" s="208">
        <f>CF77*($FE77/$FO77)</f>
        <v>0.0069578355144997665</v>
      </c>
      <c r="CH77" s="255">
        <v>40.9</v>
      </c>
      <c r="CI77" s="255">
        <v>38.82</v>
      </c>
      <c r="CJ77" s="258">
        <f t="shared" si="89"/>
        <v>39.86</v>
      </c>
      <c r="CK77" s="258">
        <f>4*0.53</f>
        <v>2.12</v>
      </c>
      <c r="CL77" s="256">
        <v>0.048</v>
      </c>
      <c r="CM77" s="261">
        <f aca="true" t="shared" si="109" ref="CM77:CM93">+((((((CK77/4)*(1+CL77)^0.25))/(CJ77*0.95))+(1+CL77)^(0.25))^4)-1</f>
        <v>0.1079160634843499</v>
      </c>
      <c r="CN77" s="208">
        <f t="shared" si="100"/>
        <v>0.005770489917240486</v>
      </c>
      <c r="CO77" s="255">
        <v>41.13</v>
      </c>
      <c r="CP77" s="255">
        <v>39.41</v>
      </c>
      <c r="CQ77" s="258">
        <f>AVERAGE(CO77:CP77)</f>
        <v>40.269999999999996</v>
      </c>
      <c r="CR77" s="258">
        <v>1.66</v>
      </c>
      <c r="CS77" s="256">
        <v>0.052</v>
      </c>
      <c r="CT77" s="261">
        <f aca="true" t="shared" si="110" ref="CT77:CT100">+((((((CR77/4)*(1+CS77)^0.25))/(CQ77*0.95))+(1+CS77)^(0.25))^4)-1</f>
        <v>0.0983958210861311</v>
      </c>
      <c r="CU77" s="208">
        <f>CT77*($FG77/$FO77)</f>
        <v>0.004559900214336475</v>
      </c>
      <c r="CV77" s="262"/>
      <c r="CW77" s="262"/>
      <c r="CX77" s="262"/>
      <c r="CY77" s="262"/>
      <c r="DA77" s="261"/>
      <c r="DB77" s="208"/>
      <c r="DE77" s="258"/>
      <c r="DF77" s="258"/>
      <c r="DH77" s="261"/>
      <c r="DI77" s="208"/>
      <c r="DJ77" s="255">
        <v>23.15</v>
      </c>
      <c r="DK77" s="255">
        <v>22.01</v>
      </c>
      <c r="DL77" s="258">
        <f t="shared" si="75"/>
        <v>22.58</v>
      </c>
      <c r="DM77" s="258">
        <v>0.82</v>
      </c>
      <c r="DN77" s="256">
        <v>0.055</v>
      </c>
      <c r="DO77" s="261">
        <f t="shared" si="76"/>
        <v>0.09591093204383294</v>
      </c>
      <c r="DP77" s="208">
        <f t="shared" si="77"/>
        <v>0.0025642756436919964</v>
      </c>
      <c r="DQ77" s="255">
        <v>32.69</v>
      </c>
      <c r="DR77" s="255">
        <v>30.57</v>
      </c>
      <c r="DS77" s="258">
        <f>AVERAGE(DQ77:DR77)</f>
        <v>31.63</v>
      </c>
      <c r="DT77" s="258">
        <f>4*0.285</f>
        <v>1.14</v>
      </c>
      <c r="DU77" s="256">
        <v>0.0633</v>
      </c>
      <c r="DV77" s="261">
        <f t="shared" si="70"/>
        <v>0.10421774070956968</v>
      </c>
      <c r="DW77" s="208">
        <f>DV77*($FK77/$FO77)</f>
        <v>0.004829702043781336</v>
      </c>
      <c r="DX77" s="255">
        <v>28.16</v>
      </c>
      <c r="DY77" s="255">
        <v>26.2</v>
      </c>
      <c r="DZ77" s="258">
        <f>AVERAGE(DX77:DY77)</f>
        <v>27.18</v>
      </c>
      <c r="EA77" s="258">
        <f>4*0.32</f>
        <v>1.28</v>
      </c>
      <c r="EB77" s="256">
        <v>0.0414</v>
      </c>
      <c r="EC77" s="261">
        <f aca="true" t="shared" si="111" ref="EC77:EC116">+((((((EA77/4)*(1+EB77)^0.25))/(DZ77*0.95))+(1+EB77)^(0.25))^4)-1</f>
        <v>0.09399196181060221</v>
      </c>
      <c r="ED77" s="208">
        <f t="shared" si="101"/>
        <v>0.0043558147294781935</v>
      </c>
      <c r="EE77" s="123">
        <v>23.9</v>
      </c>
      <c r="EF77" s="123">
        <v>22.76</v>
      </c>
      <c r="EG77" s="258">
        <f>AVERAGE(EE77:EF77)</f>
        <v>23.33</v>
      </c>
      <c r="EH77" s="258">
        <f t="shared" si="94"/>
        <v>1.08</v>
      </c>
      <c r="EI77" s="256">
        <v>0.048</v>
      </c>
      <c r="EJ77" s="261">
        <f aca="true" t="shared" si="112" ref="EJ77:EJ89">+((((((EH77/4)*(1+EI77)^0.25))/(EG77*0.95))+(1+EI77)^(0.25))^4)-1</f>
        <v>0.1000085239476467</v>
      </c>
      <c r="EK77" s="208">
        <f>EJ77*($FM77/$FO77)</f>
        <v>0.006698009849633836</v>
      </c>
      <c r="EL77" s="279">
        <v>34.22</v>
      </c>
      <c r="EM77" s="279">
        <v>31.8</v>
      </c>
      <c r="EN77" s="279">
        <f>AVERAGE(EL77:EM77)</f>
        <v>33.01</v>
      </c>
      <c r="EO77" s="258">
        <f t="shared" si="95"/>
        <v>0.82</v>
      </c>
      <c r="EP77" s="256">
        <v>0.086</v>
      </c>
      <c r="EQ77" s="261">
        <f aca="true" t="shared" si="113" ref="EQ77:EQ110">+((((((EO77/4)*(1+EP77)^0.25))/(EN77*0.95))+(1+EP77)^(0.25))^4)-1</f>
        <v>0.11467680405522573</v>
      </c>
      <c r="ER77" s="208">
        <f>EQ77*($FN77/$FO77)</f>
        <v>0.011583190417285444</v>
      </c>
      <c r="ES77" s="260"/>
      <c r="ET77" s="285">
        <v>1.8</v>
      </c>
      <c r="EU77" s="285">
        <v>1.2</v>
      </c>
      <c r="EV77" s="285"/>
      <c r="EW77" s="285">
        <v>1.3</v>
      </c>
      <c r="EX77" s="280">
        <v>2.5648236</v>
      </c>
      <c r="EY77" s="285">
        <v>5.5</v>
      </c>
      <c r="EZ77" s="285"/>
      <c r="FA77" s="285">
        <v>0.975</v>
      </c>
      <c r="FB77" s="285">
        <v>1.5</v>
      </c>
      <c r="FC77" s="285">
        <v>0.75</v>
      </c>
      <c r="FD77" s="285"/>
      <c r="FE77" s="255">
        <v>1.6</v>
      </c>
      <c r="FF77" s="255">
        <v>1.5</v>
      </c>
      <c r="FG77" s="255">
        <v>1.3</v>
      </c>
      <c r="FH77" s="255"/>
      <c r="FI77" s="255"/>
      <c r="FJ77" s="255">
        <v>0.75</v>
      </c>
      <c r="FK77" s="255">
        <v>1.3</v>
      </c>
      <c r="FL77" s="255">
        <v>1.3</v>
      </c>
      <c r="FM77" s="281">
        <v>1.8787692000000003</v>
      </c>
      <c r="FN77" s="281">
        <v>2.83346128</v>
      </c>
      <c r="FO77" s="258">
        <f>SUM(ET77:FN77)</f>
        <v>28.052054080000005</v>
      </c>
      <c r="FP77" s="261">
        <f t="shared" si="102"/>
        <v>0.10891583923239033</v>
      </c>
    </row>
    <row r="78" spans="1:172" ht="12.75">
      <c r="A78" s="263">
        <v>37956</v>
      </c>
      <c r="B78" s="281">
        <v>29.35</v>
      </c>
      <c r="C78" s="281">
        <v>28.25</v>
      </c>
      <c r="D78" s="255">
        <f t="shared" si="103"/>
        <v>28.8</v>
      </c>
      <c r="E78" s="255">
        <v>1.12</v>
      </c>
      <c r="F78" s="77">
        <v>0.0471</v>
      </c>
      <c r="G78" s="261">
        <f t="shared" si="104"/>
        <v>0.0906262394775883</v>
      </c>
      <c r="H78" s="277">
        <f t="shared" si="96"/>
        <v>0.005935488681318542</v>
      </c>
      <c r="I78" s="123">
        <v>25</v>
      </c>
      <c r="J78" s="123">
        <v>23.92</v>
      </c>
      <c r="K78" s="258">
        <f t="shared" si="83"/>
        <v>24.46</v>
      </c>
      <c r="L78" s="259">
        <f>4*0.305</f>
        <v>1.22</v>
      </c>
      <c r="M78" s="256">
        <v>0.0567</v>
      </c>
      <c r="N78" s="261">
        <f t="shared" si="105"/>
        <v>0.1132812557345253</v>
      </c>
      <c r="O78" s="208">
        <f t="shared" si="97"/>
        <v>0.005076335621198583</v>
      </c>
      <c r="R78" s="260"/>
      <c r="S78" s="260"/>
      <c r="T78" s="260"/>
      <c r="U78" s="261"/>
      <c r="V78" s="260"/>
      <c r="W78" s="255">
        <v>42</v>
      </c>
      <c r="X78" s="255">
        <v>38.55</v>
      </c>
      <c r="Y78" s="258">
        <f t="shared" si="84"/>
        <v>40.275</v>
      </c>
      <c r="Z78" s="258">
        <f>0.185*4</f>
        <v>0.74</v>
      </c>
      <c r="AA78" s="77">
        <v>0.07</v>
      </c>
      <c r="AB78" s="261">
        <f>+((((((Z78/4)*(1+AA78)^0.25))/(Y78*0.95))+(1+AA78)^(0.25))^4)-1</f>
        <v>0.09084514426910006</v>
      </c>
      <c r="AC78" s="208">
        <f>AB78*($EW78/$FO78)</f>
        <v>0.00438408206891324</v>
      </c>
      <c r="AD78" s="123">
        <v>43.42</v>
      </c>
      <c r="AE78" s="123">
        <v>41.34</v>
      </c>
      <c r="AF78" s="258">
        <f>AVERAGE(AD78:AE78)</f>
        <v>42.38</v>
      </c>
      <c r="AG78" s="258">
        <v>1.2</v>
      </c>
      <c r="AH78" s="256">
        <v>0.0978</v>
      </c>
      <c r="AI78" s="261">
        <f t="shared" si="106"/>
        <v>0.13088803816471772</v>
      </c>
      <c r="AJ78" s="208">
        <f>AI78*($EX78/$FO78)</f>
        <v>0.012055046154836699</v>
      </c>
      <c r="AK78" s="255">
        <v>37.09</v>
      </c>
      <c r="AL78" s="255">
        <v>34.86</v>
      </c>
      <c r="AM78" s="258">
        <f t="shared" si="85"/>
        <v>35.975</v>
      </c>
      <c r="AN78" s="258">
        <v>1.78</v>
      </c>
      <c r="AO78" s="256">
        <v>0.0588</v>
      </c>
      <c r="AP78" s="261">
        <f t="shared" si="54"/>
        <v>0.11503186100925866</v>
      </c>
      <c r="AQ78" s="208">
        <f aca="true" t="shared" si="114" ref="AQ78:AQ103">AP78*($EY78/$FO78)</f>
        <v>0.02180869888880081</v>
      </c>
      <c r="AT78" s="258"/>
      <c r="AU78" s="258"/>
      <c r="AW78" s="261"/>
      <c r="AX78" s="208"/>
      <c r="AY78" s="255">
        <v>39.54</v>
      </c>
      <c r="AZ78" s="255">
        <v>37.55</v>
      </c>
      <c r="BA78" s="258">
        <f t="shared" si="86"/>
        <v>38.545</v>
      </c>
      <c r="BB78" s="255">
        <f>4*0.325</f>
        <v>1.3</v>
      </c>
      <c r="BC78" s="256">
        <v>0.06</v>
      </c>
      <c r="BD78" s="261">
        <f t="shared" si="107"/>
        <v>0.09813599695875741</v>
      </c>
      <c r="BE78" s="208">
        <f t="shared" si="98"/>
        <v>0.0033828073039118512</v>
      </c>
      <c r="BF78" s="255">
        <v>34.65</v>
      </c>
      <c r="BG78" s="255">
        <v>32.86</v>
      </c>
      <c r="BH78" s="258">
        <f t="shared" si="87"/>
        <v>33.754999999999995</v>
      </c>
      <c r="BI78" s="258">
        <f>4*0.465</f>
        <v>1.86</v>
      </c>
      <c r="BJ78" s="256">
        <v>0.0386</v>
      </c>
      <c r="BK78" s="261">
        <f t="shared" si="108"/>
        <v>0.10016506987391893</v>
      </c>
      <c r="BL78" s="208">
        <f t="shared" si="99"/>
        <v>0.0051791260159419535</v>
      </c>
      <c r="BM78" s="255">
        <v>31.3</v>
      </c>
      <c r="BN78" s="255">
        <v>29.5</v>
      </c>
      <c r="BO78" s="258">
        <f t="shared" si="88"/>
        <v>30.4</v>
      </c>
      <c r="BP78" s="258">
        <f>4*0.325</f>
        <v>1.3</v>
      </c>
      <c r="BQ78" s="256">
        <v>0.0417</v>
      </c>
      <c r="BR78" s="261">
        <f t="shared" si="79"/>
        <v>0.0893884109279417</v>
      </c>
      <c r="BS78" s="208">
        <f t="shared" si="80"/>
        <v>0.00238798635083797</v>
      </c>
      <c r="BV78" s="258"/>
      <c r="BY78" s="261"/>
      <c r="BZ78" s="208"/>
      <c r="CA78" s="255">
        <v>22.44</v>
      </c>
      <c r="CB78" s="255">
        <v>19.65</v>
      </c>
      <c r="CC78" s="258">
        <f t="shared" si="82"/>
        <v>21.045</v>
      </c>
      <c r="CD78" s="258">
        <f>4*0.18</f>
        <v>0.72</v>
      </c>
      <c r="CE78" s="256">
        <v>0.0798</v>
      </c>
      <c r="CF78" s="261">
        <f t="shared" si="69"/>
        <v>0.11921521919283218</v>
      </c>
      <c r="CG78" s="208">
        <f>CF78*($FE78/$FO78)</f>
        <v>0.006986015482852453</v>
      </c>
      <c r="CH78" s="255">
        <v>42.64</v>
      </c>
      <c r="CI78" s="255">
        <v>40.06</v>
      </c>
      <c r="CJ78" s="258">
        <f t="shared" si="89"/>
        <v>41.35</v>
      </c>
      <c r="CK78" s="258">
        <f>4*0.53</f>
        <v>2.12</v>
      </c>
      <c r="CL78" s="256">
        <v>0.048</v>
      </c>
      <c r="CM78" s="261">
        <f t="shared" si="109"/>
        <v>0.10571348114540058</v>
      </c>
      <c r="CN78" s="208">
        <f t="shared" si="100"/>
        <v>0.005466011665794212</v>
      </c>
      <c r="CO78" s="255">
        <v>43.95</v>
      </c>
      <c r="CP78" s="255">
        <v>40.71</v>
      </c>
      <c r="CQ78" s="258">
        <f>AVERAGE(CO78:CP78)</f>
        <v>42.33</v>
      </c>
      <c r="CR78" s="258">
        <v>1.66</v>
      </c>
      <c r="CS78" s="256">
        <v>0.052</v>
      </c>
      <c r="CT78" s="261">
        <f t="shared" si="110"/>
        <v>0.09610308183740535</v>
      </c>
      <c r="CU78" s="208">
        <f>CT78*($FG78/$FO78)</f>
        <v>0.0046378240822936186</v>
      </c>
      <c r="CV78" s="262"/>
      <c r="CW78" s="262"/>
      <c r="CX78" s="262"/>
      <c r="CY78" s="262"/>
      <c r="DA78" s="261"/>
      <c r="DB78" s="208"/>
      <c r="DE78" s="258"/>
      <c r="DF78" s="258"/>
      <c r="DH78" s="261"/>
      <c r="DI78" s="208"/>
      <c r="DJ78" s="255">
        <v>23.18</v>
      </c>
      <c r="DK78" s="255">
        <v>22.05</v>
      </c>
      <c r="DL78" s="258">
        <f t="shared" si="75"/>
        <v>22.615000000000002</v>
      </c>
      <c r="DM78" s="258">
        <v>0.82</v>
      </c>
      <c r="DN78" s="256">
        <v>0.055</v>
      </c>
      <c r="DO78" s="261">
        <f t="shared" si="76"/>
        <v>0.09584671167770153</v>
      </c>
      <c r="DP78" s="208">
        <f t="shared" si="77"/>
        <v>0.002477920689404546</v>
      </c>
      <c r="DQ78" s="255">
        <v>34.2</v>
      </c>
      <c r="DR78" s="255">
        <v>32.1</v>
      </c>
      <c r="DS78" s="258">
        <f>AVERAGE(DQ78:DR78)</f>
        <v>33.150000000000006</v>
      </c>
      <c r="DT78" s="258">
        <f>4*0.285</f>
        <v>1.14</v>
      </c>
      <c r="DU78" s="256">
        <v>0.0633</v>
      </c>
      <c r="DV78" s="261">
        <f t="shared" si="70"/>
        <v>0.10231615262425531</v>
      </c>
      <c r="DW78" s="208">
        <f>DV78*($FK78/$FO78)</f>
        <v>0.004937659725119303</v>
      </c>
      <c r="DX78" s="255">
        <v>28.55</v>
      </c>
      <c r="DY78" s="255">
        <v>26.63</v>
      </c>
      <c r="DZ78" s="258">
        <f>AVERAGE(DX78:DY78)</f>
        <v>27.59</v>
      </c>
      <c r="EA78" s="258">
        <f>4*0.32</f>
        <v>1.28</v>
      </c>
      <c r="EB78" s="256">
        <v>0.0414</v>
      </c>
      <c r="EC78" s="261">
        <f t="shared" si="111"/>
        <v>0.09319614052061409</v>
      </c>
      <c r="ED78" s="208">
        <f t="shared" si="101"/>
        <v>0.004176285695417432</v>
      </c>
      <c r="EE78" s="123">
        <v>25.01</v>
      </c>
      <c r="EF78" s="123">
        <v>23.16</v>
      </c>
      <c r="EG78" s="258">
        <f>AVERAGE(EE78:EF78)</f>
        <v>24.085</v>
      </c>
      <c r="EH78" s="258">
        <f t="shared" si="94"/>
        <v>1.08</v>
      </c>
      <c r="EI78" s="256">
        <v>0.048</v>
      </c>
      <c r="EJ78" s="261">
        <f t="shared" si="112"/>
        <v>0.09834940590805052</v>
      </c>
      <c r="EK78" s="208">
        <f>EJ78*($FM78/$FO78)</f>
        <v>0.006761099763026621</v>
      </c>
      <c r="EL78" s="279">
        <v>35.5</v>
      </c>
      <c r="EM78" s="279">
        <v>33.57</v>
      </c>
      <c r="EN78" s="279">
        <f>AVERAGE(EL78:EM78)</f>
        <v>34.535</v>
      </c>
      <c r="EO78" s="258">
        <f t="shared" si="95"/>
        <v>0.82</v>
      </c>
      <c r="EP78" s="256">
        <v>0.086</v>
      </c>
      <c r="EQ78" s="261">
        <f t="shared" si="113"/>
        <v>0.11339863748911783</v>
      </c>
      <c r="ER78" s="208">
        <f>EQ78*($FN78/$FO78)</f>
        <v>0.011410123532910061</v>
      </c>
      <c r="ES78" s="260"/>
      <c r="ET78" s="285">
        <v>1.9</v>
      </c>
      <c r="EU78" s="285">
        <v>1.3</v>
      </c>
      <c r="EV78" s="285"/>
      <c r="EW78" s="285">
        <v>1.4</v>
      </c>
      <c r="EX78" s="280">
        <v>2.6718987600000004</v>
      </c>
      <c r="EY78" s="285">
        <v>5.5</v>
      </c>
      <c r="EZ78" s="285"/>
      <c r="FA78" s="285">
        <v>1</v>
      </c>
      <c r="FB78" s="285">
        <v>1.5</v>
      </c>
      <c r="FC78" s="285">
        <v>0.775</v>
      </c>
      <c r="FD78" s="285"/>
      <c r="FE78" s="255">
        <v>1.7</v>
      </c>
      <c r="FF78" s="255">
        <v>1.5</v>
      </c>
      <c r="FG78" s="255">
        <v>1.4</v>
      </c>
      <c r="FH78" s="255"/>
      <c r="FI78" s="255"/>
      <c r="FJ78" s="255">
        <v>0.75</v>
      </c>
      <c r="FK78" s="255">
        <v>1.4</v>
      </c>
      <c r="FL78" s="255">
        <v>1.3</v>
      </c>
      <c r="FM78" s="281">
        <v>1.99432844</v>
      </c>
      <c r="FN78" s="281">
        <v>2.9189966000000003</v>
      </c>
      <c r="FO78" s="258">
        <f>SUM(ET78:FN78)</f>
        <v>29.010223799999995</v>
      </c>
      <c r="FP78" s="261">
        <f t="shared" si="102"/>
        <v>0.1070625117225779</v>
      </c>
    </row>
    <row r="79" spans="1:172" ht="12.75">
      <c r="A79" s="263">
        <v>37987</v>
      </c>
      <c r="B79" s="281">
        <v>30.63</v>
      </c>
      <c r="C79" s="281">
        <v>28.6</v>
      </c>
      <c r="D79" s="255">
        <f t="shared" si="103"/>
        <v>29.615000000000002</v>
      </c>
      <c r="E79" s="255">
        <f>4*0.28</f>
        <v>1.12</v>
      </c>
      <c r="F79" s="77">
        <v>0.0471</v>
      </c>
      <c r="G79" s="261">
        <f t="shared" si="104"/>
        <v>0.08941055692710176</v>
      </c>
      <c r="H79" s="277">
        <f t="shared" si="96"/>
        <v>0.006194350343172046</v>
      </c>
      <c r="I79" s="123">
        <v>25.96</v>
      </c>
      <c r="J79" s="123">
        <v>24.3</v>
      </c>
      <c r="K79" s="258">
        <f t="shared" si="83"/>
        <v>25.130000000000003</v>
      </c>
      <c r="L79" s="259">
        <f>4*0.305</f>
        <v>1.22</v>
      </c>
      <c r="M79" s="256">
        <v>0.0567</v>
      </c>
      <c r="N79" s="261">
        <f t="shared" si="105"/>
        <v>0.11174388480949715</v>
      </c>
      <c r="O79" s="208">
        <f t="shared" si="97"/>
        <v>0.0052968842389187355</v>
      </c>
      <c r="R79" s="260"/>
      <c r="S79" s="260"/>
      <c r="T79" s="260"/>
      <c r="U79" s="261"/>
      <c r="V79" s="260"/>
      <c r="W79" s="123">
        <v>44.72</v>
      </c>
      <c r="X79" s="123">
        <v>40.72</v>
      </c>
      <c r="Y79" s="258">
        <f t="shared" si="84"/>
        <v>42.72</v>
      </c>
      <c r="Z79" s="258">
        <f>0.185*4</f>
        <v>0.74</v>
      </c>
      <c r="AA79" s="77">
        <v>0.07</v>
      </c>
      <c r="AB79" s="261">
        <f>+((((((Z79/4)*(1+AA79)^0.25))/(Y79*0.95))+(1+AA79)^(0.25))^4)-1</f>
        <v>0.08964396163581179</v>
      </c>
      <c r="AC79" s="208">
        <f>AB79*($EW79/$FO79)</f>
        <v>0.004576173064362315</v>
      </c>
      <c r="AD79" s="119">
        <v>44.92</v>
      </c>
      <c r="AE79" s="119">
        <v>42.34</v>
      </c>
      <c r="AF79" s="258">
        <f aca="true" t="shared" si="115" ref="AF79:AF93">AVERAGE(AD79:AE79)</f>
        <v>43.63</v>
      </c>
      <c r="AG79" s="258">
        <v>1.2</v>
      </c>
      <c r="AH79" s="256">
        <v>0.0975</v>
      </c>
      <c r="AI79" s="261">
        <f t="shared" si="106"/>
        <v>0.1296210076482196</v>
      </c>
      <c r="AJ79" s="208">
        <f aca="true" t="shared" si="116" ref="AJ79:AJ116">AI79*($EX79/$FO79)</f>
        <v>0.012761229558803754</v>
      </c>
      <c r="AK79" s="255">
        <v>37.26</v>
      </c>
      <c r="AL79" s="255">
        <v>35.72</v>
      </c>
      <c r="AM79" s="258">
        <f t="shared" si="85"/>
        <v>36.489999999999995</v>
      </c>
      <c r="AN79" s="258">
        <v>1.78</v>
      </c>
      <c r="AO79" s="256">
        <v>0.0588</v>
      </c>
      <c r="AP79" s="261">
        <f aca="true" t="shared" si="117" ref="AP79:AP103">+((((((AN79/4)*(1+AO79)^0.25))/(AM79*0.95))+(1+AO79)^(0.25))^4)-1</f>
        <v>0.1142229891544384</v>
      </c>
      <c r="AQ79" s="208">
        <f t="shared" si="114"/>
        <v>0.022907071662695032</v>
      </c>
      <c r="AT79" s="260"/>
      <c r="AU79" s="260"/>
      <c r="AV79" s="260"/>
      <c r="AW79" s="261"/>
      <c r="AX79" s="260"/>
      <c r="AY79" s="255">
        <v>39.49</v>
      </c>
      <c r="AZ79" s="255">
        <v>37.75</v>
      </c>
      <c r="BA79" s="258">
        <f t="shared" si="86"/>
        <v>38.620000000000005</v>
      </c>
      <c r="BB79" s="255">
        <f>4*0.325</f>
        <v>1.3</v>
      </c>
      <c r="BC79" s="256">
        <v>0.06</v>
      </c>
      <c r="BD79" s="261">
        <f t="shared" si="107"/>
        <v>0.09806095431538053</v>
      </c>
      <c r="BE79" s="208">
        <f t="shared" si="98"/>
        <v>0.0035756045329218065</v>
      </c>
      <c r="BF79" s="255">
        <v>34.24</v>
      </c>
      <c r="BG79" s="255">
        <v>32.49</v>
      </c>
      <c r="BH79" s="258">
        <f t="shared" si="87"/>
        <v>33.365</v>
      </c>
      <c r="BI79" s="258">
        <f>4*0.465</f>
        <v>1.86</v>
      </c>
      <c r="BJ79" s="256">
        <v>0.0383</v>
      </c>
      <c r="BK79" s="261">
        <f t="shared" si="108"/>
        <v>0.10058250040587557</v>
      </c>
      <c r="BL79" s="208">
        <f t="shared" si="99"/>
        <v>0.005501321808890187</v>
      </c>
      <c r="BM79" s="255">
        <v>31.97</v>
      </c>
      <c r="BN79" s="255">
        <v>29.95</v>
      </c>
      <c r="BO79" s="255">
        <f t="shared" si="88"/>
        <v>30.96</v>
      </c>
      <c r="BP79" s="255">
        <f>4*0.325</f>
        <v>1.3</v>
      </c>
      <c r="BQ79" s="256">
        <v>0.0417</v>
      </c>
      <c r="BR79" s="261">
        <f t="shared" si="79"/>
        <v>0.08851156187063847</v>
      </c>
      <c r="BS79" s="208">
        <f t="shared" si="80"/>
        <v>0.0025012383026342686</v>
      </c>
      <c r="BV79" s="258"/>
      <c r="BY79" s="261"/>
      <c r="BZ79" s="260"/>
      <c r="CA79" s="123">
        <v>23.32</v>
      </c>
      <c r="CB79" s="123">
        <v>21.64</v>
      </c>
      <c r="CC79" s="258">
        <f t="shared" si="82"/>
        <v>22.48</v>
      </c>
      <c r="CD79" s="258">
        <f>4*0.18</f>
        <v>0.72</v>
      </c>
      <c r="CE79" s="256">
        <v>0.0798</v>
      </c>
      <c r="CF79" s="261">
        <f t="shared" si="69"/>
        <v>0.11666741810619463</v>
      </c>
      <c r="CG79" s="208">
        <f>CF79*($FE79/$FO79)</f>
        <v>0.007231891003847982</v>
      </c>
      <c r="CH79" s="255">
        <v>43.26</v>
      </c>
      <c r="CI79" s="255">
        <v>41.37</v>
      </c>
      <c r="CJ79" s="258">
        <f t="shared" si="89"/>
        <v>42.315</v>
      </c>
      <c r="CK79" s="258">
        <f>4*0.53</f>
        <v>2.12</v>
      </c>
      <c r="CL79" s="256">
        <v>0.05</v>
      </c>
      <c r="CM79" s="261">
        <f t="shared" si="109"/>
        <v>0.10647893122735463</v>
      </c>
      <c r="CN79" s="208">
        <f t="shared" si="100"/>
        <v>0.005823824862024866</v>
      </c>
      <c r="CO79" s="123"/>
      <c r="CP79" s="123"/>
      <c r="CT79" s="261"/>
      <c r="CU79" s="208"/>
      <c r="CV79" s="260"/>
      <c r="CW79" s="260"/>
      <c r="CX79" s="260"/>
      <c r="CY79" s="260"/>
      <c r="CZ79" s="260"/>
      <c r="DA79" s="261"/>
      <c r="DB79" s="260"/>
      <c r="DE79" s="260"/>
      <c r="DF79" s="260"/>
      <c r="DG79" s="260"/>
      <c r="DH79" s="261"/>
      <c r="DI79" s="260"/>
      <c r="DJ79" s="255">
        <v>24.05</v>
      </c>
      <c r="DK79" s="255">
        <v>22.39</v>
      </c>
      <c r="DL79" s="258">
        <f t="shared" si="75"/>
        <v>23.22</v>
      </c>
      <c r="DM79" s="258">
        <v>0.82</v>
      </c>
      <c r="DN79" s="256">
        <v>0.0533</v>
      </c>
      <c r="DO79" s="261">
        <f t="shared" si="76"/>
        <v>0.09300355556925233</v>
      </c>
      <c r="DP79" s="208">
        <f t="shared" si="77"/>
        <v>0.0025433971440998815</v>
      </c>
      <c r="DQ79" s="255">
        <v>34.35</v>
      </c>
      <c r="DR79" s="255">
        <v>31.4</v>
      </c>
      <c r="DS79" s="258">
        <f>AVERAGE(DQ79:DR79)</f>
        <v>32.875</v>
      </c>
      <c r="DT79" s="258">
        <f>4*0.285</f>
        <v>1.14</v>
      </c>
      <c r="DU79" s="256">
        <v>0.06</v>
      </c>
      <c r="DV79" s="261">
        <f t="shared" si="70"/>
        <v>0.09922486915304751</v>
      </c>
      <c r="DW79" s="208">
        <f>DV79*($FK79/$FO79)</f>
        <v>0.005065262235707075</v>
      </c>
      <c r="DX79" s="255">
        <v>28.7</v>
      </c>
      <c r="DY79" s="255">
        <v>27.15</v>
      </c>
      <c r="DZ79" s="258">
        <f>AVERAGE(DX79:DY79)</f>
        <v>27.924999999999997</v>
      </c>
      <c r="EA79" s="123">
        <f>4*0.32</f>
        <v>1.28</v>
      </c>
      <c r="EB79" s="256">
        <v>0.0386</v>
      </c>
      <c r="EC79" s="261">
        <f t="shared" si="111"/>
        <v>0.08962599107210223</v>
      </c>
      <c r="ED79" s="208">
        <f t="shared" si="101"/>
        <v>0.004248451719005758</v>
      </c>
      <c r="EE79" s="123">
        <v>25.74</v>
      </c>
      <c r="EF79" s="123">
        <v>24.4</v>
      </c>
      <c r="EG79" s="258">
        <f>AVERAGE(EE79:EF79)</f>
        <v>25.07</v>
      </c>
      <c r="EH79" s="258">
        <f>0.27*4</f>
        <v>1.08</v>
      </c>
      <c r="EI79" s="256">
        <v>0.0425</v>
      </c>
      <c r="EJ79" s="261">
        <f t="shared" si="112"/>
        <v>0.09058393594032843</v>
      </c>
      <c r="EK79" s="208">
        <f>EJ79*($FM79/$FO79)</f>
        <v>0.006275641870068333</v>
      </c>
      <c r="EL79" s="123">
        <v>37.08</v>
      </c>
      <c r="EM79" s="123">
        <v>34.76</v>
      </c>
      <c r="EN79" s="279">
        <f>AVERAGE(EL79:EM79)</f>
        <v>35.92</v>
      </c>
      <c r="EO79" s="258">
        <f t="shared" si="95"/>
        <v>0.82</v>
      </c>
      <c r="EP79" s="256">
        <v>0.0856</v>
      </c>
      <c r="EQ79" s="261">
        <f t="shared" si="113"/>
        <v>0.11192299615377199</v>
      </c>
      <c r="ER79" s="208">
        <f>EQ79*($FN79/$FO79)</f>
        <v>0.011426960409500878</v>
      </c>
      <c r="ES79" s="260"/>
      <c r="ET79" s="285">
        <v>1.9</v>
      </c>
      <c r="EU79" s="285">
        <v>1.3</v>
      </c>
      <c r="EV79" s="285"/>
      <c r="EW79" s="285">
        <v>1.4</v>
      </c>
      <c r="EX79" s="285">
        <v>2.7</v>
      </c>
      <c r="EY79" s="285">
        <v>5.5</v>
      </c>
      <c r="EZ79" s="285"/>
      <c r="FA79" s="285">
        <v>1</v>
      </c>
      <c r="FB79" s="285">
        <v>1.5</v>
      </c>
      <c r="FC79" s="285">
        <v>0.775</v>
      </c>
      <c r="FD79" s="285"/>
      <c r="FE79" s="255">
        <v>1.7</v>
      </c>
      <c r="FF79" s="255">
        <v>1.5</v>
      </c>
      <c r="FG79" s="255"/>
      <c r="FH79" s="255"/>
      <c r="FI79" s="255"/>
      <c r="FJ79" s="255">
        <v>0.75</v>
      </c>
      <c r="FK79" s="255">
        <v>1.4</v>
      </c>
      <c r="FL79" s="255">
        <v>1.3</v>
      </c>
      <c r="FM79" s="255">
        <v>1.9</v>
      </c>
      <c r="FN79" s="255">
        <v>2.8</v>
      </c>
      <c r="FO79" s="258">
        <f>SUM(ET79:FN79)</f>
        <v>27.424999999999997</v>
      </c>
      <c r="FP79" s="261">
        <f t="shared" si="102"/>
        <v>0.10592930275665292</v>
      </c>
    </row>
    <row r="80" spans="1:172" ht="12.75">
      <c r="A80" s="263">
        <v>38018</v>
      </c>
      <c r="B80" s="123">
        <v>29.39</v>
      </c>
      <c r="C80" s="123">
        <v>27.87</v>
      </c>
      <c r="D80" s="255">
        <f t="shared" si="103"/>
        <v>28.630000000000003</v>
      </c>
      <c r="E80" s="255">
        <f>0.28*4</f>
        <v>1.12</v>
      </c>
      <c r="F80" s="77">
        <v>0.0431</v>
      </c>
      <c r="G80" s="261">
        <f t="shared" si="104"/>
        <v>0.08672139903890974</v>
      </c>
      <c r="H80" s="277">
        <f t="shared" si="96"/>
        <v>0.005716241393718249</v>
      </c>
      <c r="I80" s="123">
        <v>26.7</v>
      </c>
      <c r="J80" s="123">
        <v>24.8</v>
      </c>
      <c r="K80" s="258">
        <f t="shared" si="83"/>
        <v>25.75</v>
      </c>
      <c r="L80" s="259">
        <f aca="true" t="shared" si="118" ref="L80:L86">0.305*4</f>
        <v>1.22</v>
      </c>
      <c r="M80" s="256">
        <v>0.0567</v>
      </c>
      <c r="N80" s="261">
        <f t="shared" si="105"/>
        <v>0.11039382870915881</v>
      </c>
      <c r="O80" s="208">
        <f t="shared" si="97"/>
        <v>0.004978732951323729</v>
      </c>
      <c r="R80" s="260"/>
      <c r="S80" s="260"/>
      <c r="T80" s="260"/>
      <c r="U80" s="261"/>
      <c r="V80" s="260"/>
      <c r="W80" s="123">
        <v>43.49</v>
      </c>
      <c r="X80" s="123">
        <v>40.89</v>
      </c>
      <c r="Y80" s="258">
        <f t="shared" si="84"/>
        <v>42.19</v>
      </c>
      <c r="Z80" s="258">
        <f>0.184*4</f>
        <v>0.736</v>
      </c>
      <c r="AA80" s="77">
        <v>0.07</v>
      </c>
      <c r="AB80" s="261">
        <f>+((((((Z80/4)*(1+AA80)^0.25))/(Y80*0.95))+(1+AA80)^(0.25))^4)-1</f>
        <v>0.08978417410874129</v>
      </c>
      <c r="AC80" s="208">
        <f>AB80*($EW80/$FO80)</f>
        <v>0.004360723113694287</v>
      </c>
      <c r="AD80" s="119">
        <v>44.86</v>
      </c>
      <c r="AE80" s="119">
        <v>42.5</v>
      </c>
      <c r="AF80" s="258">
        <f t="shared" si="115"/>
        <v>43.68</v>
      </c>
      <c r="AG80" s="258">
        <v>1.2</v>
      </c>
      <c r="AH80" s="256">
        <v>0.0975</v>
      </c>
      <c r="AI80" s="261">
        <f t="shared" si="106"/>
        <v>0.1295838408502945</v>
      </c>
      <c r="AJ80" s="208">
        <f t="shared" si="116"/>
        <v>0.012137948665942594</v>
      </c>
      <c r="AK80" s="123">
        <v>38</v>
      </c>
      <c r="AL80" s="123">
        <v>36.16</v>
      </c>
      <c r="AM80" s="258">
        <f t="shared" si="85"/>
        <v>37.08</v>
      </c>
      <c r="AN80" s="258">
        <f aca="true" t="shared" si="119" ref="AN80:AN90">0.445*4</f>
        <v>1.78</v>
      </c>
      <c r="AO80" s="256">
        <v>0.0529</v>
      </c>
      <c r="AP80" s="261">
        <f t="shared" si="117"/>
        <v>0.10712062294159463</v>
      </c>
      <c r="AQ80" s="208">
        <f t="shared" si="114"/>
        <v>0.020439320942888833</v>
      </c>
      <c r="AT80" s="260"/>
      <c r="AU80" s="260"/>
      <c r="AV80" s="260"/>
      <c r="AW80" s="261"/>
      <c r="AX80" s="260"/>
      <c r="AY80" s="123">
        <v>40</v>
      </c>
      <c r="AZ80" s="123">
        <v>37.63</v>
      </c>
      <c r="BA80" s="258">
        <f t="shared" si="86"/>
        <v>38.815</v>
      </c>
      <c r="BB80" s="255">
        <f>0.325*4</f>
        <v>1.3</v>
      </c>
      <c r="BC80" s="256">
        <v>0.06</v>
      </c>
      <c r="BD80" s="261">
        <f t="shared" si="107"/>
        <v>0.09786721843296586</v>
      </c>
      <c r="BE80" s="208">
        <f t="shared" si="98"/>
        <v>0.0033952200670586603</v>
      </c>
      <c r="BF80" s="123">
        <v>36.25</v>
      </c>
      <c r="BG80" s="123">
        <v>32.55</v>
      </c>
      <c r="BH80" s="258">
        <f t="shared" si="87"/>
        <v>34.4</v>
      </c>
      <c r="BI80" s="258">
        <f aca="true" t="shared" si="120" ref="BI80:BI103">0.465*4</f>
        <v>1.86</v>
      </c>
      <c r="BJ80" s="256">
        <v>0.0373</v>
      </c>
      <c r="BK80" s="261">
        <f t="shared" si="108"/>
        <v>0.09761056804263246</v>
      </c>
      <c r="BL80" s="208">
        <f t="shared" si="99"/>
        <v>0.005079474486173416</v>
      </c>
      <c r="BM80" s="123">
        <v>32</v>
      </c>
      <c r="BN80" s="123">
        <v>30.07</v>
      </c>
      <c r="BO80" s="255">
        <f t="shared" si="88"/>
        <v>31.035</v>
      </c>
      <c r="BP80" s="255">
        <f aca="true" t="shared" si="121" ref="BP80:BP85">0.325*4</f>
        <v>1.3</v>
      </c>
      <c r="BQ80" s="256">
        <v>0.0488</v>
      </c>
      <c r="BR80" s="261">
        <f t="shared" si="79"/>
        <v>0.09581484245943472</v>
      </c>
      <c r="BS80" s="208">
        <f t="shared" si="80"/>
        <v>0.002576114584772313</v>
      </c>
      <c r="BV80" s="258"/>
      <c r="BY80" s="261"/>
      <c r="BZ80" s="260"/>
      <c r="CA80" s="123">
        <v>22.78</v>
      </c>
      <c r="CB80" s="123">
        <v>21.65</v>
      </c>
      <c r="CC80" s="258">
        <f t="shared" si="82"/>
        <v>22.215</v>
      </c>
      <c r="CD80" s="258">
        <f>0.19*4</f>
        <v>0.76</v>
      </c>
      <c r="CE80" s="256">
        <v>0.0798</v>
      </c>
      <c r="CF80" s="261">
        <f t="shared" si="69"/>
        <v>0.11921372070501901</v>
      </c>
      <c r="CG80" s="208">
        <f aca="true" t="shared" si="122" ref="CG80:CG103">CF80*($FE80/$FO80)</f>
        <v>0.007030817873322891</v>
      </c>
      <c r="CH80" s="123">
        <v>44.7</v>
      </c>
      <c r="CI80" s="123">
        <v>42.47</v>
      </c>
      <c r="CJ80" s="258">
        <f t="shared" si="89"/>
        <v>43.585</v>
      </c>
      <c r="CK80" s="258">
        <f aca="true" t="shared" si="123" ref="CK80:CK85">0.54*4</f>
        <v>2.16</v>
      </c>
      <c r="CL80" s="256">
        <v>0.05</v>
      </c>
      <c r="CM80" s="261">
        <f t="shared" si="109"/>
        <v>0.10585588382105504</v>
      </c>
      <c r="CN80" s="208">
        <f t="shared" si="100"/>
        <v>0.005508545558771295</v>
      </c>
      <c r="CO80" s="123">
        <v>41.86</v>
      </c>
      <c r="CP80" s="123">
        <v>40.39</v>
      </c>
      <c r="CQ80" s="258">
        <f aca="true" t="shared" si="124" ref="CQ80:CQ101">AVERAGE(CO80:CP80)</f>
        <v>41.125</v>
      </c>
      <c r="CR80" s="258">
        <f aca="true" t="shared" si="125" ref="CR80:CR85">0.43*4</f>
        <v>1.72</v>
      </c>
      <c r="CS80" s="256">
        <v>0.05</v>
      </c>
      <c r="CT80" s="261">
        <f t="shared" si="110"/>
        <v>0.09699498390359818</v>
      </c>
      <c r="CU80" s="208">
        <f aca="true" t="shared" si="126" ref="CU80:CU100">CT80*($FG80/$FO80)</f>
        <v>0.004710944578145271</v>
      </c>
      <c r="CV80" s="260"/>
      <c r="CW80" s="260"/>
      <c r="CX80" s="260"/>
      <c r="CY80" s="260"/>
      <c r="CZ80" s="260"/>
      <c r="DA80" s="261"/>
      <c r="DB80" s="260"/>
      <c r="DE80" s="260"/>
      <c r="DF80" s="260"/>
      <c r="DG80" s="260"/>
      <c r="DH80" s="261"/>
      <c r="DI80" s="260"/>
      <c r="DJ80" s="123">
        <v>23.99</v>
      </c>
      <c r="DK80" s="123">
        <v>22.68</v>
      </c>
      <c r="DL80" s="258">
        <f t="shared" si="75"/>
        <v>23.335</v>
      </c>
      <c r="DM80" s="258">
        <f>0.205*4</f>
        <v>0.82</v>
      </c>
      <c r="DN80" s="256">
        <v>0.0533</v>
      </c>
      <c r="DO80" s="261">
        <f t="shared" si="76"/>
        <v>0.09280517793444831</v>
      </c>
      <c r="DP80" s="208">
        <f t="shared" si="77"/>
        <v>0.002414705410263183</v>
      </c>
      <c r="DQ80" s="123">
        <v>33.1</v>
      </c>
      <c r="DR80" s="123">
        <v>31.9</v>
      </c>
      <c r="DS80" s="258">
        <f>AVERAGE(DQ80:DR80)</f>
        <v>32.5</v>
      </c>
      <c r="DT80" s="258">
        <f>0.285*4</f>
        <v>1.14</v>
      </c>
      <c r="DU80" s="256">
        <v>0.0633</v>
      </c>
      <c r="DV80" s="261">
        <f t="shared" si="70"/>
        <v>0.10310726492947353</v>
      </c>
      <c r="DW80" s="208">
        <f>DV80*($FK80/$FO80)</f>
        <v>0.005007811653122739</v>
      </c>
      <c r="DX80" s="123">
        <v>28.98</v>
      </c>
      <c r="DY80" s="123">
        <v>27.74</v>
      </c>
      <c r="DZ80" s="258">
        <f>AVERAGE(DX80:DY80)</f>
        <v>28.36</v>
      </c>
      <c r="EA80" s="123">
        <f>0.32*4</f>
        <v>1.28</v>
      </c>
      <c r="EB80" s="256">
        <v>0.0386</v>
      </c>
      <c r="EC80" s="261">
        <f t="shared" si="111"/>
        <v>0.08882941494130248</v>
      </c>
      <c r="ED80" s="208">
        <f t="shared" si="101"/>
        <v>0.0040061835012556194</v>
      </c>
      <c r="EE80" s="123">
        <v>26.48</v>
      </c>
      <c r="EF80" s="123">
        <v>24.75</v>
      </c>
      <c r="EG80" s="258">
        <f>AVERAGE(EE80:EF80)</f>
        <v>25.615000000000002</v>
      </c>
      <c r="EH80" s="258">
        <f aca="true" t="shared" si="127" ref="EH80:EH85">0.27*4</f>
        <v>1.08</v>
      </c>
      <c r="EI80" s="256">
        <v>0.0425</v>
      </c>
      <c r="EJ80" s="261">
        <f t="shared" si="112"/>
        <v>0.08954388185760664</v>
      </c>
      <c r="EK80" s="208">
        <f aca="true" t="shared" si="128" ref="EK80:EK89">EJ80*($FM80/$FO80)</f>
        <v>0.0059022853609523905</v>
      </c>
      <c r="EL80" s="123">
        <v>36.89</v>
      </c>
      <c r="EM80" s="123">
        <v>34.4</v>
      </c>
      <c r="EN80" s="258">
        <f>AVERAGE(EL80:EM80)</f>
        <v>35.644999999999996</v>
      </c>
      <c r="EO80" s="258">
        <f t="shared" si="95"/>
        <v>0.82</v>
      </c>
      <c r="EP80" s="256">
        <v>0.0833</v>
      </c>
      <c r="EQ80" s="261">
        <f t="shared" si="113"/>
        <v>0.10977171630903082</v>
      </c>
      <c r="ER80" s="208">
        <f aca="true" t="shared" si="129" ref="ER80:ER116">EQ80*($FN80/$FO80)</f>
        <v>0.010662994125421902</v>
      </c>
      <c r="ES80" s="260"/>
      <c r="ET80" s="285">
        <v>1.9</v>
      </c>
      <c r="EU80" s="285">
        <v>1.3</v>
      </c>
      <c r="EV80" s="285"/>
      <c r="EW80" s="285">
        <v>1.4</v>
      </c>
      <c r="EX80" s="285">
        <v>2.7</v>
      </c>
      <c r="EY80" s="285">
        <v>5.5</v>
      </c>
      <c r="EZ80" s="285"/>
      <c r="FA80" s="285">
        <v>1</v>
      </c>
      <c r="FB80" s="285">
        <v>1.5</v>
      </c>
      <c r="FC80" s="285">
        <v>0.775</v>
      </c>
      <c r="FD80" s="285"/>
      <c r="FE80" s="255">
        <v>1.7</v>
      </c>
      <c r="FF80" s="255">
        <v>1.5</v>
      </c>
      <c r="FG80" s="255">
        <v>1.4</v>
      </c>
      <c r="FH80" s="255"/>
      <c r="FI80" s="255"/>
      <c r="FJ80" s="255">
        <v>0.75</v>
      </c>
      <c r="FK80" s="255">
        <v>1.4</v>
      </c>
      <c r="FL80" s="255">
        <v>1.3</v>
      </c>
      <c r="FM80" s="255">
        <v>1.9</v>
      </c>
      <c r="FN80" s="255">
        <v>2.8</v>
      </c>
      <c r="FO80" s="258">
        <f>SUM(ET80:FN80)</f>
        <v>28.824999999999996</v>
      </c>
      <c r="FP80" s="261">
        <f t="shared" si="102"/>
        <v>0.10392806426682738</v>
      </c>
    </row>
    <row r="81" spans="1:172" ht="12.75">
      <c r="A81" s="263">
        <v>38047</v>
      </c>
      <c r="B81" s="123">
        <v>29.02</v>
      </c>
      <c r="C81" s="123">
        <v>28.01</v>
      </c>
      <c r="D81" s="255">
        <f t="shared" si="103"/>
        <v>28.515</v>
      </c>
      <c r="E81" s="255">
        <f aca="true" t="shared" si="130" ref="E81:E86">0.29*4</f>
        <v>1.16</v>
      </c>
      <c r="F81" s="77">
        <v>0.0403</v>
      </c>
      <c r="G81" s="261">
        <f t="shared" si="104"/>
        <v>0.08556757533227222</v>
      </c>
      <c r="H81" s="277">
        <f t="shared" si="96"/>
        <v>0.005481196996373311</v>
      </c>
      <c r="I81" s="123">
        <v>26.99</v>
      </c>
      <c r="J81" s="123">
        <v>25.04</v>
      </c>
      <c r="K81" s="258">
        <f t="shared" si="83"/>
        <v>26.015</v>
      </c>
      <c r="L81" s="259">
        <f t="shared" si="118"/>
        <v>1.22</v>
      </c>
      <c r="M81" s="256">
        <v>0.056</v>
      </c>
      <c r="N81" s="261">
        <f t="shared" si="105"/>
        <v>0.10910157771562279</v>
      </c>
      <c r="O81" s="208">
        <f t="shared" si="97"/>
        <v>0.005435665793660923</v>
      </c>
      <c r="R81" s="260"/>
      <c r="S81" s="260"/>
      <c r="T81" s="260"/>
      <c r="U81" s="261"/>
      <c r="V81" s="260"/>
      <c r="W81" s="123">
        <v>43.2</v>
      </c>
      <c r="X81" s="123">
        <v>39.87</v>
      </c>
      <c r="Y81" s="258">
        <f t="shared" si="84"/>
        <v>41.535</v>
      </c>
      <c r="AA81" s="77"/>
      <c r="AB81" s="261"/>
      <c r="AC81" s="208"/>
      <c r="AD81" s="119">
        <v>44.45</v>
      </c>
      <c r="AE81" s="119">
        <v>42.1</v>
      </c>
      <c r="AF81" s="258">
        <f t="shared" si="115"/>
        <v>43.275000000000006</v>
      </c>
      <c r="AG81" s="258">
        <v>1.2</v>
      </c>
      <c r="AH81" s="256">
        <v>0.0975</v>
      </c>
      <c r="AI81" s="261">
        <f t="shared" si="106"/>
        <v>0.12988738838023384</v>
      </c>
      <c r="AJ81" s="208">
        <f t="shared" si="116"/>
        <v>0.01248028286927514</v>
      </c>
      <c r="AK81" s="123">
        <v>38.6</v>
      </c>
      <c r="AL81" s="123">
        <v>36.87</v>
      </c>
      <c r="AM81" s="258">
        <f t="shared" si="85"/>
        <v>37.735</v>
      </c>
      <c r="AN81" s="258">
        <f t="shared" si="119"/>
        <v>1.78</v>
      </c>
      <c r="AO81" s="256">
        <v>0.0529</v>
      </c>
      <c r="AP81" s="261">
        <f t="shared" si="117"/>
        <v>0.10616198296156698</v>
      </c>
      <c r="AQ81" s="208">
        <f t="shared" si="114"/>
        <v>0.02266803906652676</v>
      </c>
      <c r="AT81" s="260"/>
      <c r="AU81" s="260"/>
      <c r="AV81" s="260"/>
      <c r="AW81" s="261"/>
      <c r="AX81" s="260"/>
      <c r="AY81" s="123">
        <v>39.2</v>
      </c>
      <c r="AZ81" s="123">
        <v>36.81</v>
      </c>
      <c r="BA81" s="258">
        <f t="shared" si="86"/>
        <v>38.005</v>
      </c>
      <c r="BB81" s="255">
        <f>0.325*4</f>
        <v>1.3</v>
      </c>
      <c r="BC81" s="256">
        <v>0.0625</v>
      </c>
      <c r="BD81" s="261">
        <f t="shared" si="107"/>
        <v>0.1012764029065536</v>
      </c>
      <c r="BE81" s="208">
        <f t="shared" si="98"/>
        <v>0.0036041424521905206</v>
      </c>
      <c r="BF81" s="123">
        <v>37.43</v>
      </c>
      <c r="BG81" s="123">
        <v>34.76</v>
      </c>
      <c r="BH81" s="258">
        <f t="shared" si="87"/>
        <v>36.095</v>
      </c>
      <c r="BI81" s="258">
        <f t="shared" si="120"/>
        <v>1.86</v>
      </c>
      <c r="BJ81" s="256">
        <v>0.0368</v>
      </c>
      <c r="BK81" s="261">
        <f t="shared" si="108"/>
        <v>0.09419329705937596</v>
      </c>
      <c r="BL81" s="208">
        <f t="shared" si="99"/>
        <v>0.0053633194055160704</v>
      </c>
      <c r="BM81" s="123">
        <v>33</v>
      </c>
      <c r="BN81" s="123">
        <v>30.9</v>
      </c>
      <c r="BO81" s="255">
        <f t="shared" si="88"/>
        <v>31.95</v>
      </c>
      <c r="BP81" s="255">
        <f t="shared" si="121"/>
        <v>1.3</v>
      </c>
      <c r="BQ81" s="256">
        <v>0.0488</v>
      </c>
      <c r="BR81" s="261">
        <f t="shared" si="79"/>
        <v>0.09444682743550215</v>
      </c>
      <c r="BS81" s="208">
        <f t="shared" si="80"/>
        <v>0.0027729050759533556</v>
      </c>
      <c r="BV81" s="258"/>
      <c r="BY81" s="261"/>
      <c r="BZ81" s="260"/>
      <c r="CA81" s="123">
        <v>23.47</v>
      </c>
      <c r="CB81" s="123">
        <v>21.66</v>
      </c>
      <c r="CC81" s="258">
        <f t="shared" si="82"/>
        <v>22.564999999999998</v>
      </c>
      <c r="CD81" s="258">
        <f>0.19*4</f>
        <v>0.76</v>
      </c>
      <c r="CE81" s="256">
        <v>0.0773</v>
      </c>
      <c r="CF81" s="261">
        <f t="shared" si="69"/>
        <v>0.11600445172173557</v>
      </c>
      <c r="CG81" s="208">
        <f t="shared" si="122"/>
        <v>0.009907853527835069</v>
      </c>
      <c r="CH81" s="123">
        <v>46.03</v>
      </c>
      <c r="CI81" s="123">
        <v>43.52</v>
      </c>
      <c r="CJ81" s="258">
        <f t="shared" si="89"/>
        <v>44.775000000000006</v>
      </c>
      <c r="CK81" s="258">
        <f t="shared" si="123"/>
        <v>2.16</v>
      </c>
      <c r="CL81" s="256">
        <v>0.05</v>
      </c>
      <c r="CM81" s="261">
        <f t="shared" si="109"/>
        <v>0.10434318388176789</v>
      </c>
      <c r="CN81" s="208">
        <f t="shared" si="100"/>
        <v>0.006312576960818699</v>
      </c>
      <c r="CO81" s="123">
        <v>43.06</v>
      </c>
      <c r="CP81" s="123">
        <v>40.7</v>
      </c>
      <c r="CQ81" s="258">
        <f t="shared" si="124"/>
        <v>41.88</v>
      </c>
      <c r="CR81" s="258">
        <f t="shared" si="125"/>
        <v>1.72</v>
      </c>
      <c r="CS81" s="256">
        <v>0.0475</v>
      </c>
      <c r="CT81" s="261">
        <f t="shared" si="110"/>
        <v>0.09352422214775591</v>
      </c>
      <c r="CU81" s="208">
        <f t="shared" si="126"/>
        <v>0.0046595697867209355</v>
      </c>
      <c r="CV81" s="260"/>
      <c r="CW81" s="260"/>
      <c r="CX81" s="260"/>
      <c r="CY81" s="260"/>
      <c r="CZ81" s="260"/>
      <c r="DA81" s="261"/>
      <c r="DB81" s="260"/>
      <c r="DE81" s="260"/>
      <c r="DF81" s="260"/>
      <c r="DG81" s="260"/>
      <c r="DH81" s="261"/>
      <c r="DI81" s="260"/>
      <c r="DJ81" s="123">
        <v>23.57</v>
      </c>
      <c r="DK81" s="123">
        <v>22.81</v>
      </c>
      <c r="DL81" s="258">
        <f t="shared" si="75"/>
        <v>23.189999999999998</v>
      </c>
      <c r="DM81" s="258">
        <f>0.205*4</f>
        <v>0.82</v>
      </c>
      <c r="DN81" s="256">
        <v>0.0533</v>
      </c>
      <c r="DO81" s="261">
        <f t="shared" si="76"/>
        <v>0.09305563431300312</v>
      </c>
      <c r="DP81" s="208">
        <f t="shared" si="77"/>
        <v>0.002566481017529446</v>
      </c>
      <c r="DQ81" s="123">
        <v>33.47</v>
      </c>
      <c r="DR81" s="123">
        <v>31.8</v>
      </c>
      <c r="DT81" s="258"/>
      <c r="DV81" s="261"/>
      <c r="DW81" s="208"/>
      <c r="DX81" s="123">
        <v>30.18</v>
      </c>
      <c r="DY81" s="123">
        <v>28.88</v>
      </c>
      <c r="DZ81" s="258">
        <f>AVERAGE(DX81:DY81)</f>
        <v>29.53</v>
      </c>
      <c r="EA81" s="123">
        <f>0.32*4</f>
        <v>1.28</v>
      </c>
      <c r="EB81" s="256">
        <v>0.0386</v>
      </c>
      <c r="EC81" s="261">
        <f t="shared" si="111"/>
        <v>0.08680531691834115</v>
      </c>
      <c r="ED81" s="208">
        <f t="shared" si="101"/>
        <v>0.004324820059988527</v>
      </c>
      <c r="EE81" s="123">
        <v>26.25</v>
      </c>
      <c r="EF81" s="123">
        <v>24.26</v>
      </c>
      <c r="EG81" s="258">
        <f>AVERAGE(EE81:EF81)</f>
        <v>25.255000000000003</v>
      </c>
      <c r="EH81" s="258">
        <f t="shared" si="127"/>
        <v>1.08</v>
      </c>
      <c r="EI81" s="256">
        <v>0.0425</v>
      </c>
      <c r="EJ81" s="261">
        <f t="shared" si="112"/>
        <v>0.09022577351895777</v>
      </c>
      <c r="EK81" s="208">
        <f t="shared" si="128"/>
        <v>0.0067428514017726475</v>
      </c>
      <c r="EL81" s="123">
        <v>36.5</v>
      </c>
      <c r="EM81" s="123">
        <v>33.82</v>
      </c>
      <c r="EN81" s="258">
        <f>AVERAGE(EL81:EM81)</f>
        <v>35.16</v>
      </c>
      <c r="EO81" s="258">
        <f t="shared" si="95"/>
        <v>0.82</v>
      </c>
      <c r="EP81" s="256">
        <v>0.08</v>
      </c>
      <c r="EQ81" s="261">
        <f t="shared" si="113"/>
        <v>0.10675846578976689</v>
      </c>
      <c r="ER81" s="208">
        <f t="shared" si="129"/>
        <v>0.011397700973996467</v>
      </c>
      <c r="ES81" s="260"/>
      <c r="ET81" s="285">
        <v>1.8</v>
      </c>
      <c r="EU81" s="285">
        <v>1.4</v>
      </c>
      <c r="EV81" s="285"/>
      <c r="EW81" s="285"/>
      <c r="EX81" s="285">
        <v>2.7</v>
      </c>
      <c r="EY81" s="285">
        <v>6</v>
      </c>
      <c r="EZ81" s="285"/>
      <c r="FA81" s="285">
        <v>1</v>
      </c>
      <c r="FB81" s="285">
        <v>1.6</v>
      </c>
      <c r="FC81" s="285">
        <v>0.825</v>
      </c>
      <c r="FD81" s="285"/>
      <c r="FE81" s="255">
        <v>2.4</v>
      </c>
      <c r="FF81" s="255">
        <v>1.7</v>
      </c>
      <c r="FG81" s="255">
        <v>1.4</v>
      </c>
      <c r="FH81" s="255"/>
      <c r="FI81" s="255"/>
      <c r="FJ81" s="255">
        <v>0.775</v>
      </c>
      <c r="FK81" s="255"/>
      <c r="FL81" s="255">
        <v>1.4</v>
      </c>
      <c r="FM81" s="255">
        <v>2.1</v>
      </c>
      <c r="FN81" s="255">
        <v>3</v>
      </c>
      <c r="FO81" s="258">
        <f>SUM(ET81:FN81)</f>
        <v>28.099999999999994</v>
      </c>
      <c r="FP81" s="261">
        <f t="shared" si="102"/>
        <v>0.10371740538815788</v>
      </c>
    </row>
    <row r="82" spans="1:172" ht="12.75">
      <c r="A82" s="263">
        <v>38078</v>
      </c>
      <c r="B82" s="123">
        <v>29.41</v>
      </c>
      <c r="C82" s="123">
        <v>27.53</v>
      </c>
      <c r="D82" s="255">
        <f t="shared" si="103"/>
        <v>28.47</v>
      </c>
      <c r="E82" s="255">
        <f t="shared" si="130"/>
        <v>1.16</v>
      </c>
      <c r="F82" s="77">
        <v>0.044</v>
      </c>
      <c r="G82" s="261">
        <f t="shared" si="104"/>
        <v>0.08950153469799593</v>
      </c>
      <c r="H82" s="277">
        <f t="shared" si="96"/>
        <v>0.005733194393465933</v>
      </c>
      <c r="I82" s="123">
        <v>26.16</v>
      </c>
      <c r="J82" s="123">
        <v>24.1</v>
      </c>
      <c r="K82" s="258">
        <f t="shared" si="83"/>
        <v>25.130000000000003</v>
      </c>
      <c r="L82" s="259">
        <f t="shared" si="118"/>
        <v>1.22</v>
      </c>
      <c r="M82" s="256">
        <v>0.056</v>
      </c>
      <c r="N82" s="261">
        <f t="shared" si="105"/>
        <v>0.11100742155657128</v>
      </c>
      <c r="O82" s="208">
        <f t="shared" si="97"/>
        <v>0.005530618867587182</v>
      </c>
      <c r="R82" s="260"/>
      <c r="S82" s="260"/>
      <c r="T82" s="260"/>
      <c r="U82" s="261"/>
      <c r="V82" s="260"/>
      <c r="W82" s="123">
        <v>42.61</v>
      </c>
      <c r="X82" s="123">
        <v>40.41</v>
      </c>
      <c r="Y82" s="258">
        <f t="shared" si="84"/>
        <v>41.51</v>
      </c>
      <c r="AA82" s="77"/>
      <c r="AB82" s="261"/>
      <c r="AC82" s="208"/>
      <c r="AD82" s="119">
        <v>47.8</v>
      </c>
      <c r="AE82" s="119">
        <v>43.99</v>
      </c>
      <c r="AF82" s="258">
        <f t="shared" si="115"/>
        <v>45.894999999999996</v>
      </c>
      <c r="AG82" s="258">
        <v>1.2</v>
      </c>
      <c r="AH82" s="256">
        <v>0.0971</v>
      </c>
      <c r="AI82" s="261">
        <f t="shared" si="106"/>
        <v>0.12760831805668094</v>
      </c>
      <c r="AJ82" s="208">
        <f t="shared" si="116"/>
        <v>0.012261297464520947</v>
      </c>
      <c r="AK82" s="123">
        <v>38.99</v>
      </c>
      <c r="AL82" s="123">
        <v>35.41</v>
      </c>
      <c r="AM82" s="258">
        <f t="shared" si="85"/>
        <v>37.2</v>
      </c>
      <c r="AN82" s="258">
        <f t="shared" si="119"/>
        <v>1.78</v>
      </c>
      <c r="AO82" s="256">
        <v>0.0514</v>
      </c>
      <c r="AP82" s="261">
        <f t="shared" si="117"/>
        <v>0.10536543046239721</v>
      </c>
      <c r="AQ82" s="208">
        <f t="shared" si="114"/>
        <v>0.0224979566823624</v>
      </c>
      <c r="AT82" s="260"/>
      <c r="AU82" s="260"/>
      <c r="AV82" s="260"/>
      <c r="AW82" s="261"/>
      <c r="AX82" s="260"/>
      <c r="AY82" s="123">
        <v>38.9</v>
      </c>
      <c r="AZ82" s="123">
        <v>36.55</v>
      </c>
      <c r="BA82" s="258">
        <f t="shared" si="86"/>
        <v>37.724999999999994</v>
      </c>
      <c r="BB82" s="255">
        <f>0.325*4</f>
        <v>1.3</v>
      </c>
      <c r="BC82" s="256">
        <v>0.0633</v>
      </c>
      <c r="BD82" s="261">
        <f t="shared" si="107"/>
        <v>0.10239753165053145</v>
      </c>
      <c r="BE82" s="208">
        <f t="shared" si="98"/>
        <v>0.003644040272260907</v>
      </c>
      <c r="BF82" s="123">
        <v>35.65</v>
      </c>
      <c r="BG82" s="123">
        <v>33.31</v>
      </c>
      <c r="BH82" s="258">
        <f t="shared" si="87"/>
        <v>34.480000000000004</v>
      </c>
      <c r="BI82" s="258">
        <f t="shared" si="120"/>
        <v>1.86</v>
      </c>
      <c r="BJ82" s="256">
        <v>0.0368</v>
      </c>
      <c r="BK82" s="261">
        <f t="shared" si="108"/>
        <v>0.096938661875275</v>
      </c>
      <c r="BL82" s="208">
        <f t="shared" si="99"/>
        <v>0.005519639110335945</v>
      </c>
      <c r="BM82" s="123">
        <v>31.65</v>
      </c>
      <c r="BN82" s="123">
        <v>29.15</v>
      </c>
      <c r="BO82" s="255">
        <f t="shared" si="88"/>
        <v>30.4</v>
      </c>
      <c r="BP82" s="255">
        <f t="shared" si="121"/>
        <v>1.3</v>
      </c>
      <c r="BQ82" s="256">
        <v>0.0488</v>
      </c>
      <c r="BR82" s="261">
        <f t="shared" si="79"/>
        <v>0.09681344473574383</v>
      </c>
      <c r="BS82" s="208">
        <f t="shared" si="80"/>
        <v>0.0028423876123483513</v>
      </c>
      <c r="BV82" s="258"/>
      <c r="BY82" s="261"/>
      <c r="BZ82" s="260"/>
      <c r="CA82" s="123">
        <v>23.04</v>
      </c>
      <c r="CB82" s="123">
        <v>20.75</v>
      </c>
      <c r="CC82" s="258">
        <f t="shared" si="82"/>
        <v>21.895</v>
      </c>
      <c r="CD82" s="258">
        <f>0.19*4</f>
        <v>0.76</v>
      </c>
      <c r="CE82" s="256">
        <v>0.0773</v>
      </c>
      <c r="CF82" s="261">
        <f t="shared" si="69"/>
        <v>0.1172050376298186</v>
      </c>
      <c r="CG82" s="208">
        <f t="shared" si="122"/>
        <v>0.01001039467300942</v>
      </c>
      <c r="CH82" s="123">
        <v>45.19</v>
      </c>
      <c r="CI82" s="123">
        <v>41.15</v>
      </c>
      <c r="CJ82" s="258">
        <f t="shared" si="89"/>
        <v>43.17</v>
      </c>
      <c r="CK82" s="258">
        <f t="shared" si="123"/>
        <v>2.16</v>
      </c>
      <c r="CL82" s="256">
        <v>0.05</v>
      </c>
      <c r="CM82" s="261">
        <f t="shared" si="109"/>
        <v>0.10640341768939865</v>
      </c>
      <c r="CN82" s="208">
        <f t="shared" si="100"/>
        <v>0.006437217440283905</v>
      </c>
      <c r="CO82" s="123">
        <v>43.03</v>
      </c>
      <c r="CP82" s="123">
        <v>39.8</v>
      </c>
      <c r="CQ82" s="258">
        <f t="shared" si="124"/>
        <v>41.415</v>
      </c>
      <c r="CR82" s="258">
        <f t="shared" si="125"/>
        <v>1.72</v>
      </c>
      <c r="CS82" s="256">
        <v>0.0475</v>
      </c>
      <c r="CT82" s="261">
        <f t="shared" si="110"/>
        <v>0.09404943031928181</v>
      </c>
      <c r="CU82" s="208">
        <f t="shared" si="126"/>
        <v>0.004685736741885927</v>
      </c>
      <c r="CV82" s="260"/>
      <c r="CW82" s="260"/>
      <c r="CX82" s="260"/>
      <c r="CY82" s="260"/>
      <c r="CZ82" s="260"/>
      <c r="DA82" s="261"/>
      <c r="DB82" s="260"/>
      <c r="DE82" s="260"/>
      <c r="DF82" s="260"/>
      <c r="DG82" s="260"/>
      <c r="DH82" s="261"/>
      <c r="DI82" s="260"/>
      <c r="DJ82" s="123">
        <v>24.06</v>
      </c>
      <c r="DK82" s="123">
        <v>22.75</v>
      </c>
      <c r="DL82" s="258">
        <f t="shared" si="75"/>
        <v>23.405</v>
      </c>
      <c r="DM82" s="258">
        <f>0.205*4</f>
        <v>0.82</v>
      </c>
      <c r="DN82" s="256">
        <v>0.0533</v>
      </c>
      <c r="DO82" s="261">
        <f t="shared" si="76"/>
        <v>0.09268539386499275</v>
      </c>
      <c r="DP82" s="208">
        <f t="shared" si="77"/>
        <v>0.0025562697596216866</v>
      </c>
      <c r="DQ82" s="123">
        <v>33.4</v>
      </c>
      <c r="DR82" s="123">
        <v>31.29</v>
      </c>
      <c r="DT82" s="258"/>
      <c r="DV82" s="261"/>
      <c r="DW82" s="208"/>
      <c r="DX82" s="123">
        <v>30.39</v>
      </c>
      <c r="DY82" s="123">
        <v>27.75</v>
      </c>
      <c r="DZ82" s="258">
        <f>AVERAGE(DX82:DY82)</f>
        <v>29.07</v>
      </c>
      <c r="EA82" s="123">
        <f>0.32*4</f>
        <v>1.28</v>
      </c>
      <c r="EB82" s="256">
        <v>0.0386</v>
      </c>
      <c r="EC82" s="261">
        <f t="shared" si="111"/>
        <v>0.08758134577292775</v>
      </c>
      <c r="ED82" s="208">
        <f t="shared" si="101"/>
        <v>0.0043634834192917745</v>
      </c>
      <c r="EE82" s="123">
        <v>25.2</v>
      </c>
      <c r="EF82" s="123">
        <v>23.75</v>
      </c>
      <c r="EG82" s="258">
        <f>AVERAGE(EE82:EF82)</f>
        <v>24.475</v>
      </c>
      <c r="EH82" s="258">
        <f t="shared" si="127"/>
        <v>1.08</v>
      </c>
      <c r="EI82" s="256">
        <v>0.04</v>
      </c>
      <c r="EJ82" s="261">
        <f t="shared" si="112"/>
        <v>0.0891550460783046</v>
      </c>
      <c r="EK82" s="208">
        <f t="shared" si="128"/>
        <v>0.006662832625069029</v>
      </c>
      <c r="EL82" s="123">
        <v>37</v>
      </c>
      <c r="EM82" s="123">
        <v>34.51</v>
      </c>
      <c r="EN82" s="258">
        <f>AVERAGE(EL82:EM82)</f>
        <v>35.754999999999995</v>
      </c>
      <c r="EO82" s="258">
        <f t="shared" si="95"/>
        <v>0.82</v>
      </c>
      <c r="EP82" s="256">
        <v>0.08</v>
      </c>
      <c r="EQ82" s="261">
        <f t="shared" si="113"/>
        <v>0.1063091506890983</v>
      </c>
      <c r="ER82" s="208">
        <f t="shared" si="129"/>
        <v>0.011349731390295194</v>
      </c>
      <c r="ES82" s="260"/>
      <c r="ET82" s="285">
        <v>1.8</v>
      </c>
      <c r="EU82" s="285">
        <v>1.4</v>
      </c>
      <c r="EV82" s="285"/>
      <c r="EW82" s="285"/>
      <c r="EX82" s="285">
        <v>2.7</v>
      </c>
      <c r="EY82" s="285">
        <v>6</v>
      </c>
      <c r="EZ82" s="285"/>
      <c r="FA82" s="285">
        <v>1</v>
      </c>
      <c r="FB82" s="285">
        <v>1.6</v>
      </c>
      <c r="FC82" s="285">
        <v>0.825</v>
      </c>
      <c r="FD82" s="285"/>
      <c r="FE82" s="255">
        <v>2.4</v>
      </c>
      <c r="FF82" s="255">
        <v>1.7</v>
      </c>
      <c r="FG82" s="255">
        <v>1.4</v>
      </c>
      <c r="FH82" s="255"/>
      <c r="FI82" s="255"/>
      <c r="FJ82" s="255">
        <v>0.775</v>
      </c>
      <c r="FK82" s="255"/>
      <c r="FL82" s="255">
        <v>1.4</v>
      </c>
      <c r="FM82" s="255">
        <v>2.1</v>
      </c>
      <c r="FN82" s="255">
        <v>3</v>
      </c>
      <c r="FO82" s="258">
        <f>SUM(ET82:FN82)</f>
        <v>28.099999999999994</v>
      </c>
      <c r="FP82" s="261">
        <f t="shared" si="102"/>
        <v>0.1040948004523386</v>
      </c>
    </row>
    <row r="83" spans="1:172" ht="12.75">
      <c r="A83" s="263">
        <v>38108</v>
      </c>
      <c r="B83" s="123">
        <v>28.99</v>
      </c>
      <c r="C83" s="123">
        <v>26.51</v>
      </c>
      <c r="D83" s="255">
        <f t="shared" si="103"/>
        <v>27.75</v>
      </c>
      <c r="E83" s="255">
        <f t="shared" si="130"/>
        <v>1.16</v>
      </c>
      <c r="F83" s="77">
        <v>0.048</v>
      </c>
      <c r="G83" s="261">
        <f t="shared" si="104"/>
        <v>0.09488049688643785</v>
      </c>
      <c r="H83" s="277">
        <f t="shared" si="96"/>
        <v>0.006487555342662417</v>
      </c>
      <c r="I83" s="123">
        <v>25.1</v>
      </c>
      <c r="J83" s="123">
        <v>23.4</v>
      </c>
      <c r="K83" s="258">
        <f t="shared" si="83"/>
        <v>24.25</v>
      </c>
      <c r="L83" s="259">
        <f t="shared" si="118"/>
        <v>1.22</v>
      </c>
      <c r="M83" s="256">
        <v>0.0667</v>
      </c>
      <c r="N83" s="261">
        <f t="shared" si="105"/>
        <v>0.12432112848904864</v>
      </c>
      <c r="O83" s="208">
        <f t="shared" si="97"/>
        <v>0.006611569986122246</v>
      </c>
      <c r="R83" s="260"/>
      <c r="S83" s="260"/>
      <c r="T83" s="260"/>
      <c r="U83" s="261"/>
      <c r="V83" s="260"/>
      <c r="W83" s="123">
        <v>44.95</v>
      </c>
      <c r="X83" s="123">
        <v>40.12</v>
      </c>
      <c r="Y83" s="258">
        <f t="shared" si="84"/>
        <v>42.535</v>
      </c>
      <c r="AA83" s="77"/>
      <c r="AB83" s="261"/>
      <c r="AC83" s="208"/>
      <c r="AD83" s="119">
        <v>48.7</v>
      </c>
      <c r="AE83" s="119">
        <v>45.16</v>
      </c>
      <c r="AF83" s="258">
        <f t="shared" si="115"/>
        <v>46.93</v>
      </c>
      <c r="AG83" s="258">
        <v>1.2</v>
      </c>
      <c r="AH83" s="256">
        <v>0.094</v>
      </c>
      <c r="AI83" s="261">
        <f t="shared" si="106"/>
        <v>0.12374441629659838</v>
      </c>
      <c r="AJ83" s="208">
        <f t="shared" si="116"/>
        <v>0.012691735004779324</v>
      </c>
      <c r="AK83" s="123">
        <v>36.9</v>
      </c>
      <c r="AL83" s="123">
        <v>33.87</v>
      </c>
      <c r="AM83" s="258">
        <f t="shared" si="85"/>
        <v>35.385</v>
      </c>
      <c r="AN83" s="258">
        <f t="shared" si="119"/>
        <v>1.78</v>
      </c>
      <c r="AO83" s="256">
        <v>0.0489</v>
      </c>
      <c r="AP83" s="261">
        <f t="shared" si="117"/>
        <v>0.10555331505866716</v>
      </c>
      <c r="AQ83" s="208">
        <f t="shared" si="114"/>
        <v>0.02405773562590705</v>
      </c>
      <c r="AT83" s="260"/>
      <c r="AU83" s="260"/>
      <c r="AV83" s="260"/>
      <c r="AW83" s="261"/>
      <c r="AX83" s="260"/>
      <c r="AY83" s="123">
        <v>41.98</v>
      </c>
      <c r="AZ83" s="123">
        <v>38.51</v>
      </c>
      <c r="BD83" s="261"/>
      <c r="BE83" s="208"/>
      <c r="BF83" s="123">
        <v>34.5</v>
      </c>
      <c r="BG83" s="123">
        <v>32.04</v>
      </c>
      <c r="BH83" s="258">
        <f t="shared" si="87"/>
        <v>33.269999999999996</v>
      </c>
      <c r="BI83" s="258">
        <f t="shared" si="120"/>
        <v>1.86</v>
      </c>
      <c r="BJ83" s="256">
        <v>0.0367</v>
      </c>
      <c r="BK83" s="261">
        <f t="shared" si="108"/>
        <v>0.09906800222119427</v>
      </c>
      <c r="BL83" s="208">
        <f t="shared" si="99"/>
        <v>0.006021227105561666</v>
      </c>
      <c r="BM83" s="123">
        <v>29.84</v>
      </c>
      <c r="BN83" s="123">
        <v>27.46</v>
      </c>
      <c r="BO83" s="255">
        <f t="shared" si="88"/>
        <v>28.65</v>
      </c>
      <c r="BP83" s="255">
        <f t="shared" si="121"/>
        <v>1.3</v>
      </c>
      <c r="BQ83" s="256">
        <v>0.0488</v>
      </c>
      <c r="BR83" s="261">
        <f t="shared" si="79"/>
        <v>0.09979865627762519</v>
      </c>
      <c r="BS83" s="208">
        <f t="shared" si="80"/>
        <v>0.003127593216677713</v>
      </c>
      <c r="BV83" s="258"/>
      <c r="BY83" s="261"/>
      <c r="BZ83" s="260"/>
      <c r="CA83" s="123">
        <v>21.45</v>
      </c>
      <c r="CB83" s="123">
        <v>19.69</v>
      </c>
      <c r="CC83" s="258">
        <f t="shared" si="82"/>
        <v>20.57</v>
      </c>
      <c r="CD83" s="258">
        <f>0.21*4</f>
        <v>0.84</v>
      </c>
      <c r="CE83" s="256">
        <v>0.065</v>
      </c>
      <c r="CF83" s="261">
        <f t="shared" si="69"/>
        <v>0.11152274035650422</v>
      </c>
      <c r="CG83" s="208">
        <f t="shared" si="122"/>
        <v>0.010167315360137139</v>
      </c>
      <c r="CH83" s="123">
        <v>42.01</v>
      </c>
      <c r="CI83" s="123">
        <v>38.91</v>
      </c>
      <c r="CJ83" s="258">
        <f t="shared" si="89"/>
        <v>40.459999999999994</v>
      </c>
      <c r="CK83" s="258">
        <f t="shared" si="123"/>
        <v>2.16</v>
      </c>
      <c r="CL83" s="256">
        <v>0.045</v>
      </c>
      <c r="CM83" s="261">
        <f t="shared" si="109"/>
        <v>0.10497382874943373</v>
      </c>
      <c r="CN83" s="208">
        <f t="shared" si="100"/>
        <v>0.0067789367093651414</v>
      </c>
      <c r="CO83" s="123">
        <v>41.05</v>
      </c>
      <c r="CP83" s="123">
        <v>38.32</v>
      </c>
      <c r="CQ83" s="258">
        <f t="shared" si="124"/>
        <v>39.685</v>
      </c>
      <c r="CR83" s="258">
        <f t="shared" si="125"/>
        <v>1.72</v>
      </c>
      <c r="CS83" s="256">
        <v>0.048</v>
      </c>
      <c r="CT83" s="261">
        <f t="shared" si="110"/>
        <v>0.09663654173349512</v>
      </c>
      <c r="CU83" s="208">
        <f t="shared" si="126"/>
        <v>0.00513926527737486</v>
      </c>
      <c r="CV83" s="260"/>
      <c r="CW83" s="260"/>
      <c r="CX83" s="260"/>
      <c r="CY83" s="260"/>
      <c r="CZ83" s="260"/>
      <c r="DA83" s="261"/>
      <c r="DB83" s="260"/>
      <c r="DE83" s="260"/>
      <c r="DF83" s="260"/>
      <c r="DG83" s="260"/>
      <c r="DH83" s="261"/>
      <c r="DI83" s="260"/>
      <c r="DJ83" s="123">
        <v>23.36</v>
      </c>
      <c r="DK83" s="123">
        <v>21.5</v>
      </c>
      <c r="DO83" s="261"/>
      <c r="DP83" s="208"/>
      <c r="DQ83" s="123">
        <v>32.14</v>
      </c>
      <c r="DR83" s="123">
        <v>29.85</v>
      </c>
      <c r="DT83" s="258"/>
      <c r="DV83" s="261"/>
      <c r="DW83" s="208"/>
      <c r="DX83" s="123">
        <v>29.15</v>
      </c>
      <c r="DY83" s="123">
        <v>26.66</v>
      </c>
      <c r="DZ83" s="258">
        <f>AVERAGE(DX83:DY83)</f>
        <v>27.905</v>
      </c>
      <c r="EA83" s="123">
        <f aca="true" t="shared" si="131" ref="EA83:EA92">0.325*4</f>
        <v>1.3</v>
      </c>
      <c r="EB83" s="256">
        <v>0.0393</v>
      </c>
      <c r="EC83" s="261">
        <f t="shared" si="111"/>
        <v>0.09121069345144184</v>
      </c>
      <c r="ED83" s="208">
        <f t="shared" si="101"/>
        <v>0.004850711142716756</v>
      </c>
      <c r="EE83" s="123">
        <v>25.57</v>
      </c>
      <c r="EF83" s="123">
        <v>23.9</v>
      </c>
      <c r="EG83" s="258">
        <f>AVERAGE(EE83:EF83)</f>
        <v>24.735</v>
      </c>
      <c r="EH83" s="258">
        <f t="shared" si="127"/>
        <v>1.08</v>
      </c>
      <c r="EI83" s="256">
        <v>0.03</v>
      </c>
      <c r="EJ83" s="261">
        <f t="shared" si="112"/>
        <v>0.07816187857707191</v>
      </c>
      <c r="EK83" s="208">
        <f t="shared" si="128"/>
        <v>0.006235135612985794</v>
      </c>
      <c r="EL83" s="123">
        <v>37.05</v>
      </c>
      <c r="EM83" s="123">
        <v>34.26</v>
      </c>
      <c r="EN83" s="258">
        <f>AVERAGE(EL83:EM83)</f>
        <v>35.655</v>
      </c>
      <c r="EO83" s="258">
        <f t="shared" si="95"/>
        <v>0.82</v>
      </c>
      <c r="EP83" s="256">
        <v>0.0817</v>
      </c>
      <c r="EQ83" s="261">
        <f t="shared" si="113"/>
        <v>0.1081251377455521</v>
      </c>
      <c r="ER83" s="208">
        <f t="shared" si="129"/>
        <v>0.012321953019436139</v>
      </c>
      <c r="ES83" s="260"/>
      <c r="ET83" s="285">
        <v>1.8</v>
      </c>
      <c r="EU83" s="285">
        <v>1.4</v>
      </c>
      <c r="EV83" s="285"/>
      <c r="EW83" s="285"/>
      <c r="EX83" s="285">
        <v>2.7</v>
      </c>
      <c r="EY83" s="285">
        <v>6</v>
      </c>
      <c r="EZ83" s="285"/>
      <c r="FA83" s="285"/>
      <c r="FB83" s="285">
        <v>1.6</v>
      </c>
      <c r="FC83" s="285">
        <v>0.825</v>
      </c>
      <c r="FD83" s="285"/>
      <c r="FE83" s="255">
        <v>2.4</v>
      </c>
      <c r="FF83" s="255">
        <v>1.7</v>
      </c>
      <c r="FG83" s="255">
        <v>1.4</v>
      </c>
      <c r="FH83" s="255"/>
      <c r="FI83" s="255"/>
      <c r="FJ83" s="255"/>
      <c r="FK83" s="255"/>
      <c r="FL83" s="255">
        <v>1.4</v>
      </c>
      <c r="FM83" s="255">
        <v>2.1</v>
      </c>
      <c r="FN83" s="255">
        <v>3</v>
      </c>
      <c r="FO83" s="258">
        <f>SUM(ET83:FN83)</f>
        <v>26.324999999999996</v>
      </c>
      <c r="FP83" s="261">
        <f t="shared" si="102"/>
        <v>0.10449073340372624</v>
      </c>
    </row>
    <row r="84" spans="1:172" ht="12.75">
      <c r="A84" s="263">
        <v>38139</v>
      </c>
      <c r="B84" s="123">
        <v>29.2</v>
      </c>
      <c r="C84" s="123">
        <v>27.92</v>
      </c>
      <c r="D84" s="255">
        <f t="shared" si="103"/>
        <v>28.560000000000002</v>
      </c>
      <c r="E84" s="255">
        <f t="shared" si="130"/>
        <v>1.16</v>
      </c>
      <c r="F84" s="77">
        <v>0.0483</v>
      </c>
      <c r="G84" s="261">
        <f t="shared" si="104"/>
        <v>0.09384266335074698</v>
      </c>
      <c r="H84" s="277">
        <f t="shared" si="96"/>
        <v>0.006689774021043348</v>
      </c>
      <c r="I84" s="123">
        <v>25.6</v>
      </c>
      <c r="J84" s="123">
        <v>24.2</v>
      </c>
      <c r="K84" s="258">
        <f t="shared" si="83"/>
        <v>24.9</v>
      </c>
      <c r="L84" s="259">
        <f t="shared" si="118"/>
        <v>1.22</v>
      </c>
      <c r="M84" s="256">
        <v>0.044</v>
      </c>
      <c r="N84" s="261">
        <f t="shared" si="105"/>
        <v>0.09889435897204746</v>
      </c>
      <c r="O84" s="208">
        <f t="shared" si="97"/>
        <v>0.005091590758956898</v>
      </c>
      <c r="R84" s="260"/>
      <c r="S84" s="260"/>
      <c r="T84" s="260"/>
      <c r="U84" s="261"/>
      <c r="V84" s="260"/>
      <c r="W84" s="123">
        <v>48.56</v>
      </c>
      <c r="X84" s="123">
        <v>43.45</v>
      </c>
      <c r="Y84" s="258">
        <f t="shared" si="84"/>
        <v>46.005</v>
      </c>
      <c r="AA84" s="77"/>
      <c r="AB84" s="261"/>
      <c r="AC84" s="208"/>
      <c r="AD84" s="123">
        <v>51.72</v>
      </c>
      <c r="AE84" s="123">
        <v>47.34</v>
      </c>
      <c r="AF84" s="258">
        <f t="shared" si="115"/>
        <v>49.53</v>
      </c>
      <c r="AG84" s="258">
        <f aca="true" t="shared" si="132" ref="AG84:AG93">4*0.38</f>
        <v>1.52</v>
      </c>
      <c r="AH84" s="256">
        <v>0.0933</v>
      </c>
      <c r="AI84" s="261">
        <f t="shared" si="106"/>
        <v>0.1290477260292866</v>
      </c>
      <c r="AJ84" s="208">
        <f t="shared" si="116"/>
        <v>0.016865643401847354</v>
      </c>
      <c r="AK84" s="123">
        <v>36.78</v>
      </c>
      <c r="AL84" s="123">
        <v>34.67</v>
      </c>
      <c r="AM84" s="258">
        <f t="shared" si="85"/>
        <v>35.725</v>
      </c>
      <c r="AN84" s="258">
        <f t="shared" si="119"/>
        <v>1.78</v>
      </c>
      <c r="AO84" s="256">
        <v>0.0489</v>
      </c>
      <c r="AP84" s="261">
        <f t="shared" si="117"/>
        <v>0.10500355755600621</v>
      </c>
      <c r="AQ84" s="208">
        <f t="shared" si="114"/>
        <v>0.024951340409348006</v>
      </c>
      <c r="AT84" s="260"/>
      <c r="AU84" s="260"/>
      <c r="AV84" s="260"/>
      <c r="AW84" s="261"/>
      <c r="AX84" s="260"/>
      <c r="AY84" s="123">
        <v>42.4</v>
      </c>
      <c r="AZ84" s="123">
        <v>40.24</v>
      </c>
      <c r="BD84" s="261"/>
      <c r="BE84" s="208"/>
      <c r="BF84" s="123">
        <v>35.18</v>
      </c>
      <c r="BG84" s="123">
        <v>33.04</v>
      </c>
      <c r="BH84" s="258">
        <f t="shared" si="87"/>
        <v>34.11</v>
      </c>
      <c r="BI84" s="258">
        <f t="shared" si="120"/>
        <v>1.86</v>
      </c>
      <c r="BK84" s="261"/>
      <c r="BL84" s="208"/>
      <c r="BM84" s="123">
        <v>30.75</v>
      </c>
      <c r="BN84" s="123">
        <v>28.89</v>
      </c>
      <c r="BO84" s="255">
        <f>AVERAGE(BM84:BN84)</f>
        <v>29.82</v>
      </c>
      <c r="BP84" s="255">
        <f t="shared" si="121"/>
        <v>1.3</v>
      </c>
      <c r="BQ84" s="256">
        <v>0.0488</v>
      </c>
      <c r="BR84" s="261">
        <f t="shared" si="79"/>
        <v>0.09776334992454783</v>
      </c>
      <c r="BS84" s="208">
        <f t="shared" si="80"/>
        <v>0.0029038618789469645</v>
      </c>
      <c r="BV84" s="258"/>
      <c r="BY84" s="261"/>
      <c r="BZ84" s="260"/>
      <c r="CA84" s="123">
        <v>22.19</v>
      </c>
      <c r="CB84" s="123">
        <v>20.9</v>
      </c>
      <c r="CC84" s="258">
        <f t="shared" si="82"/>
        <v>21.545</v>
      </c>
      <c r="CD84" s="258">
        <f>0.21*4</f>
        <v>0.84</v>
      </c>
      <c r="CE84" s="256">
        <v>0.065</v>
      </c>
      <c r="CF84" s="261">
        <f t="shared" si="69"/>
        <v>0.10938506268476167</v>
      </c>
      <c r="CG84" s="208">
        <f t="shared" si="122"/>
        <v>0.010396996057165464</v>
      </c>
      <c r="CH84" s="123">
        <v>42.75</v>
      </c>
      <c r="CI84" s="123">
        <v>40.8</v>
      </c>
      <c r="CJ84" s="258">
        <f t="shared" si="89"/>
        <v>41.775</v>
      </c>
      <c r="CK84" s="258">
        <f t="shared" si="123"/>
        <v>2.16</v>
      </c>
      <c r="CL84" s="256">
        <v>0.045</v>
      </c>
      <c r="CM84" s="261">
        <f t="shared" si="109"/>
        <v>0.1030475349859874</v>
      </c>
      <c r="CN84" s="208">
        <f t="shared" si="100"/>
        <v>0.0065297447911912805</v>
      </c>
      <c r="CO84" s="123">
        <v>43.18</v>
      </c>
      <c r="CP84" s="123">
        <v>40.53</v>
      </c>
      <c r="CQ84" s="258">
        <f t="shared" si="124"/>
        <v>41.855000000000004</v>
      </c>
      <c r="CR84" s="258">
        <f t="shared" si="125"/>
        <v>1.72</v>
      </c>
      <c r="CS84" s="256">
        <v>0.045</v>
      </c>
      <c r="CT84" s="261">
        <f t="shared" si="110"/>
        <v>0.09094224785813232</v>
      </c>
      <c r="CU84" s="208">
        <f t="shared" si="126"/>
        <v>0.005762677092000464</v>
      </c>
      <c r="CV84" s="260"/>
      <c r="CW84" s="260"/>
      <c r="CX84" s="260"/>
      <c r="CY84" s="260"/>
      <c r="CZ84" s="260"/>
      <c r="DA84" s="261"/>
      <c r="DB84" s="260"/>
      <c r="DE84" s="260"/>
      <c r="DF84" s="260"/>
      <c r="DG84" s="260"/>
      <c r="DH84" s="261"/>
      <c r="DI84" s="260"/>
      <c r="DJ84" s="123">
        <v>24.2</v>
      </c>
      <c r="DK84" s="123">
        <v>22.29</v>
      </c>
      <c r="DL84" s="123"/>
      <c r="DO84" s="261"/>
      <c r="DP84" s="208"/>
      <c r="DQ84" s="123"/>
      <c r="DR84" s="123"/>
      <c r="DT84" s="258"/>
      <c r="DV84" s="261"/>
      <c r="DW84" s="208"/>
      <c r="DX84" s="123">
        <v>29.42</v>
      </c>
      <c r="DY84" s="123">
        <v>27.36</v>
      </c>
      <c r="DZ84" s="258">
        <f>AVERAGE(DX84:DY84)</f>
        <v>28.39</v>
      </c>
      <c r="EA84" s="123">
        <f t="shared" si="131"/>
        <v>1.3</v>
      </c>
      <c r="EB84" s="256">
        <v>0.0367</v>
      </c>
      <c r="EC84" s="261">
        <f t="shared" si="111"/>
        <v>0.08758027866113238</v>
      </c>
      <c r="ED84" s="208">
        <f t="shared" si="101"/>
        <v>0.004855936242597438</v>
      </c>
      <c r="EE84" s="123">
        <v>25.38</v>
      </c>
      <c r="EF84" s="123">
        <v>24.2</v>
      </c>
      <c r="EG84" s="258">
        <f>AVERAGE(EE84:EF84)</f>
        <v>24.79</v>
      </c>
      <c r="EH84" s="258">
        <f t="shared" si="127"/>
        <v>1.08</v>
      </c>
      <c r="EI84" s="256">
        <v>0.0325</v>
      </c>
      <c r="EJ84" s="261">
        <f t="shared" si="112"/>
        <v>0.080669824868975</v>
      </c>
      <c r="EK84" s="208">
        <f t="shared" si="128"/>
        <v>0.006389689098532673</v>
      </c>
      <c r="EL84" s="123">
        <v>38.85</v>
      </c>
      <c r="EM84" s="123">
        <v>36.58</v>
      </c>
      <c r="EN84" s="258">
        <f>AVERAGE(EL84:EM84)</f>
        <v>37.715</v>
      </c>
      <c r="EO84" s="258">
        <f>0.215*4</f>
        <v>0.86</v>
      </c>
      <c r="EP84" s="256">
        <v>0.0814</v>
      </c>
      <c r="EQ84" s="261">
        <f t="shared" si="113"/>
        <v>0.10759112953568817</v>
      </c>
      <c r="ER84" s="208">
        <f t="shared" si="129"/>
        <v>0.013209207982599338</v>
      </c>
      <c r="ES84" s="260"/>
      <c r="ET84" s="285">
        <v>1.8</v>
      </c>
      <c r="EU84" s="285">
        <v>1.3</v>
      </c>
      <c r="EV84" s="285"/>
      <c r="EW84" s="285"/>
      <c r="EX84" s="285">
        <v>3.3</v>
      </c>
      <c r="EY84" s="285">
        <v>6</v>
      </c>
      <c r="EZ84" s="285"/>
      <c r="FA84" s="285"/>
      <c r="FB84" s="285"/>
      <c r="FC84" s="285">
        <v>0.75</v>
      </c>
      <c r="FD84" s="285"/>
      <c r="FE84" s="255">
        <v>2.4</v>
      </c>
      <c r="FF84" s="255">
        <v>1.6</v>
      </c>
      <c r="FG84" s="255">
        <v>1.6</v>
      </c>
      <c r="FH84" s="255"/>
      <c r="FI84" s="255"/>
      <c r="FJ84" s="255"/>
      <c r="FK84" s="255"/>
      <c r="FL84" s="255">
        <v>1.4</v>
      </c>
      <c r="FM84" s="255">
        <v>2</v>
      </c>
      <c r="FN84" s="255">
        <v>3.1</v>
      </c>
      <c r="FO84" s="258">
        <f>SUM(ET84:FN84)</f>
        <v>25.250000000000004</v>
      </c>
      <c r="FP84" s="261">
        <f t="shared" si="102"/>
        <v>0.10364646173422923</v>
      </c>
    </row>
    <row r="85" spans="1:172" ht="12.75">
      <c r="A85" s="263">
        <v>38169</v>
      </c>
      <c r="B85" s="123">
        <v>29.75</v>
      </c>
      <c r="C85" s="123">
        <v>28.6</v>
      </c>
      <c r="D85" s="255">
        <f t="shared" si="103"/>
        <v>29.175</v>
      </c>
      <c r="E85" s="255">
        <f t="shared" si="130"/>
        <v>1.16</v>
      </c>
      <c r="F85" s="77">
        <v>0.0483</v>
      </c>
      <c r="G85" s="261">
        <f t="shared" si="104"/>
        <v>0.09286760019734452</v>
      </c>
      <c r="H85" s="277">
        <f t="shared" si="96"/>
        <v>0.005652127822661713</v>
      </c>
      <c r="I85" s="123">
        <v>26.18</v>
      </c>
      <c r="J85" s="123">
        <v>24.4</v>
      </c>
      <c r="K85" s="258">
        <f t="shared" si="83"/>
        <v>25.29</v>
      </c>
      <c r="L85" s="259">
        <f t="shared" si="118"/>
        <v>1.22</v>
      </c>
      <c r="M85" s="256">
        <v>0.0407</v>
      </c>
      <c r="N85" s="261">
        <f t="shared" si="105"/>
        <v>0.09456095427330347</v>
      </c>
      <c r="O85" s="208">
        <f t="shared" si="97"/>
        <v>0.00415652546256279</v>
      </c>
      <c r="R85" s="260"/>
      <c r="S85" s="260"/>
      <c r="T85" s="260"/>
      <c r="U85" s="261"/>
      <c r="V85" s="260"/>
      <c r="W85" s="123">
        <v>49.4</v>
      </c>
      <c r="X85" s="123">
        <v>45.87</v>
      </c>
      <c r="Y85" s="258">
        <f t="shared" si="84"/>
        <v>47.635</v>
      </c>
      <c r="Z85" s="258">
        <f>0.184*4</f>
        <v>0.736</v>
      </c>
      <c r="AA85" s="77">
        <v>0.07</v>
      </c>
      <c r="AB85" s="261">
        <f>+((((((Z85/4)*(1+AA85)^0.25))/(Y85*0.95))+(1+AA85)^(0.25))^4)-1</f>
        <v>0.0875089330549399</v>
      </c>
      <c r="AC85" s="208">
        <f>AB85*($EW85/$FO85)</f>
        <v>0.005325987472490002</v>
      </c>
      <c r="AD85" s="123">
        <v>52.58</v>
      </c>
      <c r="AE85" s="123">
        <v>49.89</v>
      </c>
      <c r="AF85" s="258">
        <f t="shared" si="115"/>
        <v>51.235</v>
      </c>
      <c r="AG85" s="258">
        <f t="shared" si="132"/>
        <v>1.52</v>
      </c>
      <c r="AH85" s="256">
        <v>0.0933</v>
      </c>
      <c r="AI85" s="261">
        <f t="shared" si="106"/>
        <v>0.1278442022287094</v>
      </c>
      <c r="AJ85" s="208">
        <f t="shared" si="116"/>
        <v>0.014264949022983637</v>
      </c>
      <c r="AK85" s="123">
        <v>37.38</v>
      </c>
      <c r="AL85" s="123">
        <v>35.19</v>
      </c>
      <c r="AM85" s="258">
        <f t="shared" si="85"/>
        <v>36.285</v>
      </c>
      <c r="AN85" s="258">
        <f t="shared" si="119"/>
        <v>1.78</v>
      </c>
      <c r="AO85" s="256">
        <v>0.0489</v>
      </c>
      <c r="AP85" s="261">
        <f t="shared" si="117"/>
        <v>0.10412096305805152</v>
      </c>
      <c r="AQ85" s="208">
        <f t="shared" si="114"/>
        <v>0.02182755607641317</v>
      </c>
      <c r="AT85" s="260"/>
      <c r="AU85" s="260"/>
      <c r="AV85" s="260"/>
      <c r="AW85" s="261"/>
      <c r="AX85" s="260"/>
      <c r="AY85" s="123">
        <v>42.4</v>
      </c>
      <c r="AZ85" s="123">
        <v>40.24</v>
      </c>
      <c r="BA85" s="258">
        <f aca="true" t="shared" si="133" ref="BA85:BA110">AVERAGE(AY85:AZ85)</f>
        <v>41.32</v>
      </c>
      <c r="BB85" s="255">
        <f>0.325*4</f>
        <v>1.3</v>
      </c>
      <c r="BC85" s="256">
        <v>0.0545</v>
      </c>
      <c r="BD85" s="261">
        <f aca="true" t="shared" si="134" ref="BD85:BD110">+((((((BB85/4)*(1+BC85)^0.25))/(BA85*0.95))+(1+BC85)^(0.25))^4)-1</f>
        <v>0.08985866180012314</v>
      </c>
      <c r="BE85" s="208">
        <f aca="true" t="shared" si="135" ref="BE85:BE116">BD85*($FA85/$FO85)</f>
        <v>0.0033421649359301935</v>
      </c>
      <c r="BF85" s="123">
        <v>34.29</v>
      </c>
      <c r="BG85" s="123">
        <v>32.37</v>
      </c>
      <c r="BH85" s="258">
        <f t="shared" si="87"/>
        <v>33.33</v>
      </c>
      <c r="BI85" s="258">
        <f t="shared" si="120"/>
        <v>1.86</v>
      </c>
      <c r="BK85" s="261"/>
      <c r="BL85" s="208"/>
      <c r="BM85" s="123">
        <v>31.55</v>
      </c>
      <c r="BN85" s="123">
        <v>29.13</v>
      </c>
      <c r="BO85" s="255">
        <f>AVERAGE(BM85:BN85)</f>
        <v>30.34</v>
      </c>
      <c r="BP85" s="255">
        <f t="shared" si="121"/>
        <v>1.3</v>
      </c>
      <c r="BQ85" s="256">
        <v>0.0417</v>
      </c>
      <c r="BR85" s="261">
        <f t="shared" si="79"/>
        <v>0.08948431099322662</v>
      </c>
      <c r="BS85" s="208">
        <f t="shared" si="80"/>
        <v>0.00226925556195841</v>
      </c>
      <c r="BV85" s="258"/>
      <c r="BY85" s="261"/>
      <c r="BZ85" s="260"/>
      <c r="CA85" s="123">
        <v>22.2</v>
      </c>
      <c r="CB85" s="123">
        <v>20.72</v>
      </c>
      <c r="CC85" s="258">
        <f t="shared" si="82"/>
        <v>21.46</v>
      </c>
      <c r="CD85" s="258">
        <f>0.21*4</f>
        <v>0.84</v>
      </c>
      <c r="CE85" s="256">
        <v>0.0633</v>
      </c>
      <c r="CF85" s="261">
        <f t="shared" si="69"/>
        <v>0.10779244293254964</v>
      </c>
      <c r="CG85" s="208">
        <f t="shared" si="122"/>
        <v>0.009111787230139445</v>
      </c>
      <c r="CH85" s="123">
        <v>43</v>
      </c>
      <c r="CI85" s="123">
        <v>38.79</v>
      </c>
      <c r="CJ85" s="258">
        <f t="shared" si="89"/>
        <v>40.894999999999996</v>
      </c>
      <c r="CK85" s="258">
        <f t="shared" si="123"/>
        <v>2.16</v>
      </c>
      <c r="CL85" s="256">
        <v>0.0413</v>
      </c>
      <c r="CM85" s="261">
        <f t="shared" si="109"/>
        <v>0.10041257796594816</v>
      </c>
      <c r="CN85" s="208">
        <f t="shared" si="100"/>
        <v>0.0054322950040749645</v>
      </c>
      <c r="CO85" s="123">
        <v>42.92</v>
      </c>
      <c r="CP85" s="123">
        <v>40.3</v>
      </c>
      <c r="CQ85" s="258">
        <f t="shared" si="124"/>
        <v>41.61</v>
      </c>
      <c r="CR85" s="258">
        <f t="shared" si="125"/>
        <v>1.72</v>
      </c>
      <c r="CS85" s="256">
        <v>0.045</v>
      </c>
      <c r="CT85" s="261">
        <f t="shared" si="110"/>
        <v>0.09121716213436182</v>
      </c>
      <c r="CU85" s="208">
        <f t="shared" si="126"/>
        <v>0.004934825339475196</v>
      </c>
      <c r="CV85" s="260"/>
      <c r="CW85" s="260"/>
      <c r="CX85" s="260"/>
      <c r="CY85" s="260"/>
      <c r="CZ85" s="260"/>
      <c r="DA85" s="261"/>
      <c r="DB85" s="260"/>
      <c r="DE85" s="260"/>
      <c r="DF85" s="260"/>
      <c r="DG85" s="260"/>
      <c r="DH85" s="261"/>
      <c r="DI85" s="260"/>
      <c r="DJ85" s="123">
        <v>24.46</v>
      </c>
      <c r="DK85" s="123">
        <v>22.7</v>
      </c>
      <c r="DL85" s="258">
        <f aca="true" t="shared" si="136" ref="DL85:DL90">AVERAGE(DJ85:DK85)</f>
        <v>23.58</v>
      </c>
      <c r="DM85" s="258">
        <f aca="true" t="shared" si="137" ref="DM85:DM93">0.205*4</f>
        <v>0.82</v>
      </c>
      <c r="DN85" s="256">
        <v>0.037</v>
      </c>
      <c r="DO85" s="261">
        <f>+((((((DM85/4)*(1+DN85)^0.25))/(DL85*0.95))+(1+DN85)^(0.25))^4)-1</f>
        <v>0.07548417704764376</v>
      </c>
      <c r="DP85" s="208">
        <f aca="true" t="shared" si="138" ref="DP85:DP93">DO85*($FJ85/$FO85)</f>
        <v>0.0021056448373391753</v>
      </c>
      <c r="DQ85" s="123"/>
      <c r="DR85" s="123"/>
      <c r="DT85" s="258"/>
      <c r="DV85" s="261"/>
      <c r="DW85" s="208"/>
      <c r="DX85" s="123">
        <v>29.04</v>
      </c>
      <c r="DY85" s="123">
        <v>26.91</v>
      </c>
      <c r="DZ85" s="258">
        <f>AVERAGE(DX85:DY85)</f>
        <v>27.975</v>
      </c>
      <c r="EA85" s="123">
        <f t="shared" si="131"/>
        <v>1.3</v>
      </c>
      <c r="EB85" s="256">
        <v>0.0357</v>
      </c>
      <c r="EC85" s="261">
        <f t="shared" si="111"/>
        <v>0.08729906934554155</v>
      </c>
      <c r="ED85" s="208">
        <f t="shared" si="101"/>
        <v>0.004132500324049304</v>
      </c>
      <c r="EE85" s="123">
        <v>26.78</v>
      </c>
      <c r="EF85" s="123">
        <v>24.84</v>
      </c>
      <c r="EG85" s="258">
        <f>AVERAGE(EE85:EF85)</f>
        <v>25.810000000000002</v>
      </c>
      <c r="EH85" s="258">
        <f t="shared" si="127"/>
        <v>1.08</v>
      </c>
      <c r="EI85" s="256">
        <v>0.0433</v>
      </c>
      <c r="EJ85" s="261">
        <f t="shared" si="112"/>
        <v>0.09001841958712498</v>
      </c>
      <c r="EK85" s="208">
        <f t="shared" si="128"/>
        <v>0.006087467089577345</v>
      </c>
      <c r="EL85" s="123">
        <v>42.06</v>
      </c>
      <c r="EM85" s="123">
        <v>37.83</v>
      </c>
      <c r="EN85" s="258">
        <f>AVERAGE(EL85:EM85)</f>
        <v>39.945</v>
      </c>
      <c r="EO85" s="258">
        <f>0.215*4</f>
        <v>0.86</v>
      </c>
      <c r="EP85" s="256">
        <v>0.0833</v>
      </c>
      <c r="EQ85" s="261">
        <f t="shared" si="113"/>
        <v>0.10805997915989485</v>
      </c>
      <c r="ER85" s="208">
        <f t="shared" si="129"/>
        <v>0.012422787122354775</v>
      </c>
      <c r="ES85" s="260"/>
      <c r="ET85" s="285">
        <v>1.8</v>
      </c>
      <c r="EU85" s="285">
        <v>1.3</v>
      </c>
      <c r="EV85" s="285"/>
      <c r="EW85" s="285">
        <v>1.8</v>
      </c>
      <c r="EX85" s="285">
        <v>3.3</v>
      </c>
      <c r="EY85" s="285">
        <v>6.2</v>
      </c>
      <c r="EZ85" s="285"/>
      <c r="FA85" s="285">
        <v>1.1</v>
      </c>
      <c r="FB85" s="285"/>
      <c r="FC85" s="285">
        <v>0.75</v>
      </c>
      <c r="FD85" s="285"/>
      <c r="FE85" s="255">
        <v>2.5</v>
      </c>
      <c r="FF85" s="255">
        <v>1.6</v>
      </c>
      <c r="FG85" s="255">
        <v>1.6</v>
      </c>
      <c r="FH85" s="255"/>
      <c r="FI85" s="255"/>
      <c r="FJ85" s="255">
        <v>0.825</v>
      </c>
      <c r="FK85" s="255"/>
      <c r="FL85" s="255">
        <v>1.4</v>
      </c>
      <c r="FM85" s="255">
        <v>2</v>
      </c>
      <c r="FN85" s="255">
        <v>3.4</v>
      </c>
      <c r="FO85" s="258">
        <f>SUM(ET85:FN85)</f>
        <v>29.575</v>
      </c>
      <c r="FP85" s="261">
        <f t="shared" si="102"/>
        <v>0.10106587330201013</v>
      </c>
    </row>
    <row r="86" spans="1:172" ht="12.75">
      <c r="A86" s="263">
        <v>38200</v>
      </c>
      <c r="B86" s="123">
        <v>30.5</v>
      </c>
      <c r="C86" s="123">
        <v>28.82</v>
      </c>
      <c r="D86" s="255">
        <f>AVERAGE(B86:C86)</f>
        <v>29.66</v>
      </c>
      <c r="E86" s="255">
        <f t="shared" si="130"/>
        <v>1.16</v>
      </c>
      <c r="F86" s="77">
        <v>0.0433</v>
      </c>
      <c r="G86" s="261">
        <f t="shared" si="104"/>
        <v>0.08691856033977485</v>
      </c>
      <c r="H86" s="277">
        <f t="shared" si="96"/>
        <v>0.005585128375246578</v>
      </c>
      <c r="I86" s="123">
        <v>25.55</v>
      </c>
      <c r="J86" s="123">
        <v>24.45</v>
      </c>
      <c r="K86" s="258">
        <f>AVERAGE(I86:J86)</f>
        <v>25</v>
      </c>
      <c r="L86" s="259">
        <f t="shared" si="118"/>
        <v>1.22</v>
      </c>
      <c r="M86" s="256">
        <v>0.038</v>
      </c>
      <c r="N86" s="261">
        <f t="shared" si="105"/>
        <v>0.09235636256053747</v>
      </c>
      <c r="O86" s="208">
        <f t="shared" si="97"/>
        <v>0.004747636308332851</v>
      </c>
      <c r="R86" s="260"/>
      <c r="S86" s="260"/>
      <c r="T86" s="260"/>
      <c r="U86" s="261"/>
      <c r="V86" s="260"/>
      <c r="W86" s="123">
        <v>47.56</v>
      </c>
      <c r="X86" s="123">
        <v>45.95</v>
      </c>
      <c r="Y86" s="258">
        <f t="shared" si="84"/>
        <v>46.755</v>
      </c>
      <c r="Z86" s="258">
        <f>0.184*4</f>
        <v>0.736</v>
      </c>
      <c r="AA86" s="77">
        <v>0.07</v>
      </c>
      <c r="AB86" s="261">
        <f>+((((((Z86/4)*(1+AA86)^0.25))/(Y86*0.95))+(1+AA86)^(0.25))^4)-1</f>
        <v>0.08784052415926324</v>
      </c>
      <c r="AC86" s="208">
        <f>AB86*($EW86/$FO86)</f>
        <v>0.005079933927282694</v>
      </c>
      <c r="AD86" s="123">
        <v>52.51</v>
      </c>
      <c r="AE86" s="123">
        <v>49.92</v>
      </c>
      <c r="AF86" s="258">
        <f t="shared" si="115"/>
        <v>51.215</v>
      </c>
      <c r="AG86" s="258">
        <f t="shared" si="132"/>
        <v>1.52</v>
      </c>
      <c r="AH86" s="256">
        <v>0.0943</v>
      </c>
      <c r="AI86" s="261">
        <f t="shared" si="106"/>
        <v>0.1288894586893392</v>
      </c>
      <c r="AJ86" s="208">
        <f t="shared" si="116"/>
        <v>0.013665388391158858</v>
      </c>
      <c r="AK86" s="123">
        <v>38.1</v>
      </c>
      <c r="AL86" s="123">
        <v>35.74</v>
      </c>
      <c r="AM86" s="258">
        <f t="shared" si="85"/>
        <v>36.92</v>
      </c>
      <c r="AN86" s="258">
        <f t="shared" si="119"/>
        <v>1.78</v>
      </c>
      <c r="AO86" s="256">
        <v>0.0489</v>
      </c>
      <c r="AP86" s="261">
        <f t="shared" si="117"/>
        <v>0.10315316551862819</v>
      </c>
      <c r="AQ86" s="208">
        <f t="shared" si="114"/>
        <v>0.020547779155517906</v>
      </c>
      <c r="AT86" s="260"/>
      <c r="AU86" s="260"/>
      <c r="AV86" s="260"/>
      <c r="AW86" s="261"/>
      <c r="AX86" s="260"/>
      <c r="AY86" s="123">
        <v>40.97</v>
      </c>
      <c r="AZ86" s="123">
        <v>39.54</v>
      </c>
      <c r="BA86" s="258">
        <f t="shared" si="133"/>
        <v>40.254999999999995</v>
      </c>
      <c r="BB86" s="255">
        <f>0.325*4</f>
        <v>1.3</v>
      </c>
      <c r="BC86" s="256">
        <v>0.0545</v>
      </c>
      <c r="BD86" s="261">
        <f t="shared" si="134"/>
        <v>0.09080603263679543</v>
      </c>
      <c r="BE86" s="208">
        <f t="shared" si="135"/>
        <v>0.003500955475153559</v>
      </c>
      <c r="BF86" s="123">
        <v>36</v>
      </c>
      <c r="BG86" s="123">
        <v>32.65</v>
      </c>
      <c r="BH86" s="258">
        <f t="shared" si="87"/>
        <v>34.325</v>
      </c>
      <c r="BI86" s="258">
        <f t="shared" si="120"/>
        <v>1.86</v>
      </c>
      <c r="BJ86" s="256">
        <v>0.031</v>
      </c>
      <c r="BK86" s="261">
        <f aca="true" t="shared" si="139" ref="BK86:BK103">+((((((BI86/4)*(1+BJ86)^0.25))/(BH86*0.95))+(1+BJ86)^(0.25))^4)-1</f>
        <v>0.09107804713350398</v>
      </c>
      <c r="BL86" s="208">
        <f aca="true" t="shared" si="140" ref="BL86:BL103">BK86*($FB86/$FO86)</f>
        <v>0.004681923708067675</v>
      </c>
      <c r="BM86" s="123">
        <v>30.9</v>
      </c>
      <c r="BN86" s="123">
        <v>28.84</v>
      </c>
      <c r="BO86" s="255"/>
      <c r="BP86" s="255"/>
      <c r="BR86" s="261"/>
      <c r="BS86" s="208"/>
      <c r="BV86" s="258"/>
      <c r="BY86" s="261"/>
      <c r="BZ86" s="260"/>
      <c r="CA86" s="123">
        <v>23.59</v>
      </c>
      <c r="CB86" s="123">
        <v>20.61</v>
      </c>
      <c r="CC86" s="258">
        <f t="shared" si="82"/>
        <v>22.1</v>
      </c>
      <c r="CD86" s="258">
        <v>0.92</v>
      </c>
      <c r="CE86" s="256">
        <v>0.0633</v>
      </c>
      <c r="CF86" s="261">
        <f t="shared" si="69"/>
        <v>0.11066501875335755</v>
      </c>
      <c r="CG86" s="208">
        <f t="shared" si="122"/>
        <v>0.008888756526374102</v>
      </c>
      <c r="CH86" s="123">
        <v>41.68</v>
      </c>
      <c r="CI86" s="123">
        <v>38.5</v>
      </c>
      <c r="CJ86" s="258">
        <f t="shared" si="89"/>
        <v>40.09</v>
      </c>
      <c r="CK86" s="258">
        <v>2.16</v>
      </c>
      <c r="CL86" s="256">
        <v>0.0433</v>
      </c>
      <c r="CM86" s="261">
        <f t="shared" si="109"/>
        <v>0.10374060156468579</v>
      </c>
      <c r="CN86" s="208">
        <f t="shared" si="100"/>
        <v>0.005332850200915575</v>
      </c>
      <c r="CO86" s="123">
        <v>21.73</v>
      </c>
      <c r="CP86" s="123">
        <v>20.45</v>
      </c>
      <c r="CQ86" s="258">
        <f t="shared" si="124"/>
        <v>21.09</v>
      </c>
      <c r="CR86" s="258">
        <v>0.86</v>
      </c>
      <c r="CS86" s="256">
        <v>0.045</v>
      </c>
      <c r="CT86" s="261">
        <f t="shared" si="110"/>
        <v>0.09058257226116995</v>
      </c>
      <c r="CU86" s="208">
        <f t="shared" si="126"/>
        <v>0.004947481858441411</v>
      </c>
      <c r="CV86" s="260"/>
      <c r="CW86" s="260"/>
      <c r="CX86" s="260"/>
      <c r="CY86" s="260"/>
      <c r="CZ86" s="260"/>
      <c r="DA86" s="261"/>
      <c r="DB86" s="260"/>
      <c r="DE86" s="260"/>
      <c r="DF86" s="260"/>
      <c r="DG86" s="260"/>
      <c r="DH86" s="261"/>
      <c r="DI86" s="260"/>
      <c r="DJ86" s="123">
        <v>23.82</v>
      </c>
      <c r="DK86" s="123">
        <v>22.87</v>
      </c>
      <c r="DL86" s="258">
        <f t="shared" si="136"/>
        <v>23.345</v>
      </c>
      <c r="DM86" s="258">
        <f t="shared" si="137"/>
        <v>0.82</v>
      </c>
      <c r="DN86" s="256">
        <v>0.037</v>
      </c>
      <c r="DO86" s="261">
        <f>+((((((DM86/4)*(1+DN86)^0.25))/(DL86*0.95))+(1+DN86)^(0.25))^4)-1</f>
        <v>0.07587693736785517</v>
      </c>
      <c r="DP86" s="208">
        <f t="shared" si="138"/>
        <v>0.002011195930232306</v>
      </c>
      <c r="DQ86" s="123"/>
      <c r="DR86" s="123"/>
      <c r="DT86" s="258"/>
      <c r="DV86" s="261"/>
      <c r="DW86" s="208"/>
      <c r="DX86" s="123">
        <v>28.97</v>
      </c>
      <c r="DY86" s="123">
        <v>27.3</v>
      </c>
      <c r="DZ86" s="258">
        <f>AVERAGE(DX86:DY86)</f>
        <v>28.134999999999998</v>
      </c>
      <c r="EA86" s="123">
        <f t="shared" si="131"/>
        <v>1.3</v>
      </c>
      <c r="EB86" s="256">
        <v>0.0367</v>
      </c>
      <c r="EC86" s="261">
        <f t="shared" si="111"/>
        <v>0.08804982362109937</v>
      </c>
      <c r="ED86" s="208">
        <f t="shared" si="101"/>
        <v>0.00396047399420206</v>
      </c>
      <c r="EE86" s="123">
        <v>27.11</v>
      </c>
      <c r="EF86" s="123">
        <v>25.05</v>
      </c>
      <c r="EG86" s="258">
        <f>AVERAGE(EE86:EF86)</f>
        <v>26.08</v>
      </c>
      <c r="EH86" s="258">
        <v>1.12</v>
      </c>
      <c r="EI86" s="256">
        <v>0.0433</v>
      </c>
      <c r="EJ86" s="261">
        <f t="shared" si="112"/>
        <v>0.09126794779456193</v>
      </c>
      <c r="EK86" s="208">
        <f t="shared" si="128"/>
        <v>0.005864607087200767</v>
      </c>
      <c r="EL86" s="123">
        <v>41.4</v>
      </c>
      <c r="EM86" s="123">
        <v>39.8</v>
      </c>
      <c r="EN86" s="258">
        <f>AVERAGE(EL86:EM86)</f>
        <v>40.599999999999994</v>
      </c>
      <c r="EO86" s="258">
        <f aca="true" t="shared" si="141" ref="EO86:EO95">0.215*4</f>
        <v>0.86</v>
      </c>
      <c r="EP86" s="256">
        <v>0.0857</v>
      </c>
      <c r="EQ86" s="261">
        <f t="shared" si="113"/>
        <v>0.11011115188749332</v>
      </c>
      <c r="ER86" s="208">
        <f t="shared" si="129"/>
        <v>0.01202820614995911</v>
      </c>
      <c r="ES86" s="260"/>
      <c r="ET86" s="285">
        <v>2</v>
      </c>
      <c r="EU86" s="285">
        <v>1.6</v>
      </c>
      <c r="EV86" s="285"/>
      <c r="EW86" s="285">
        <v>1.8</v>
      </c>
      <c r="EX86" s="285">
        <v>3.3</v>
      </c>
      <c r="EY86" s="285">
        <v>6.2</v>
      </c>
      <c r="EZ86" s="285"/>
      <c r="FA86" s="285">
        <v>1.2</v>
      </c>
      <c r="FB86" s="285">
        <v>1.6</v>
      </c>
      <c r="FC86" s="285"/>
      <c r="FD86" s="285"/>
      <c r="FE86" s="255">
        <v>2.5</v>
      </c>
      <c r="FF86" s="255">
        <v>1.6</v>
      </c>
      <c r="FG86" s="255">
        <v>1.7</v>
      </c>
      <c r="FH86" s="255"/>
      <c r="FI86" s="255"/>
      <c r="FJ86" s="255">
        <v>0.825</v>
      </c>
      <c r="FK86" s="255"/>
      <c r="FL86" s="255">
        <v>1.4</v>
      </c>
      <c r="FM86" s="255">
        <v>2</v>
      </c>
      <c r="FN86" s="255">
        <v>3.4</v>
      </c>
      <c r="FO86" s="258">
        <f>SUM(ET86:FN86)</f>
        <v>31.124999999999996</v>
      </c>
      <c r="FP86" s="261">
        <f t="shared" si="102"/>
        <v>0.10084231708808544</v>
      </c>
    </row>
    <row r="87" spans="1:172" ht="12.75">
      <c r="A87" s="263">
        <v>38231</v>
      </c>
      <c r="B87" s="123">
        <v>31.27</v>
      </c>
      <c r="C87" s="123">
        <v>30.2</v>
      </c>
      <c r="F87" s="77"/>
      <c r="G87" s="261"/>
      <c r="H87" s="277"/>
      <c r="I87" s="123">
        <v>25.87</v>
      </c>
      <c r="J87" s="123">
        <v>24.7</v>
      </c>
      <c r="N87" s="261"/>
      <c r="O87" s="208"/>
      <c r="R87" s="260"/>
      <c r="S87" s="260"/>
      <c r="T87" s="260"/>
      <c r="U87" s="261"/>
      <c r="V87" s="260"/>
      <c r="W87" s="123">
        <v>51.93</v>
      </c>
      <c r="X87" s="123">
        <v>47.29</v>
      </c>
      <c r="Y87" s="258">
        <f t="shared" si="84"/>
        <v>49.61</v>
      </c>
      <c r="Z87" s="258">
        <f>0.184*4</f>
        <v>0.736</v>
      </c>
      <c r="AA87" s="77">
        <v>0.07</v>
      </c>
      <c r="AB87" s="261">
        <f>+((((((Z87/4)*(1+AA87)^0.25))/(Y87*0.95))+(1+AA87)^(0.25))^4)-1</f>
        <v>0.08680781450371367</v>
      </c>
      <c r="AC87" s="208">
        <f>AB87*($EW87/$FO87)</f>
        <v>0.0056155998600785125</v>
      </c>
      <c r="AD87" s="123">
        <v>54.49</v>
      </c>
      <c r="AE87" s="123">
        <v>52.15</v>
      </c>
      <c r="AF87" s="258">
        <f t="shared" si="115"/>
        <v>53.32</v>
      </c>
      <c r="AG87" s="258">
        <f t="shared" si="132"/>
        <v>1.52</v>
      </c>
      <c r="AH87" s="256">
        <v>0.0943</v>
      </c>
      <c r="AI87" s="261">
        <f t="shared" si="106"/>
        <v>0.12750857176753705</v>
      </c>
      <c r="AJ87" s="208">
        <f t="shared" si="116"/>
        <v>0.01512231039830628</v>
      </c>
      <c r="AK87" s="123">
        <v>39.49</v>
      </c>
      <c r="AL87" s="123">
        <v>38.06</v>
      </c>
      <c r="AM87" s="258">
        <f t="shared" si="85"/>
        <v>38.775000000000006</v>
      </c>
      <c r="AN87" s="258">
        <f t="shared" si="119"/>
        <v>1.78</v>
      </c>
      <c r="AO87" s="256">
        <v>0.0504</v>
      </c>
      <c r="AP87" s="261">
        <f t="shared" si="117"/>
        <v>0.10208458369457363</v>
      </c>
      <c r="AQ87" s="208">
        <f t="shared" si="114"/>
        <v>0.022746609843894216</v>
      </c>
      <c r="AT87" s="260"/>
      <c r="AU87" s="260"/>
      <c r="AV87" s="260"/>
      <c r="AW87" s="261"/>
      <c r="AX87" s="260"/>
      <c r="AY87" s="123">
        <v>42.35</v>
      </c>
      <c r="AZ87" s="123">
        <v>40.38</v>
      </c>
      <c r="BA87" s="258">
        <f t="shared" si="133"/>
        <v>41.365</v>
      </c>
      <c r="BB87" s="255">
        <f>0.325*4</f>
        <v>1.3</v>
      </c>
      <c r="BC87" s="256">
        <v>0.0545</v>
      </c>
      <c r="BD87" s="261">
        <f t="shared" si="134"/>
        <v>0.08981971942991773</v>
      </c>
      <c r="BE87" s="208">
        <f t="shared" si="135"/>
        <v>0.0038736267139587166</v>
      </c>
      <c r="BF87" s="123">
        <v>37.36</v>
      </c>
      <c r="BG87" s="123">
        <v>35.72</v>
      </c>
      <c r="BH87" s="258">
        <f t="shared" si="87"/>
        <v>36.54</v>
      </c>
      <c r="BI87" s="258">
        <f t="shared" si="120"/>
        <v>1.86</v>
      </c>
      <c r="BJ87" s="256">
        <v>0.0263</v>
      </c>
      <c r="BK87" s="261">
        <f t="shared" si="139"/>
        <v>0.08240630649899172</v>
      </c>
      <c r="BL87" s="208">
        <f t="shared" si="140"/>
        <v>0.004738547723212462</v>
      </c>
      <c r="BM87" s="123">
        <v>32.37</v>
      </c>
      <c r="BN87" s="123">
        <v>30.48</v>
      </c>
      <c r="BO87" s="255"/>
      <c r="BP87" s="255"/>
      <c r="BR87" s="261"/>
      <c r="BS87" s="208"/>
      <c r="BV87" s="258"/>
      <c r="BY87" s="261"/>
      <c r="BZ87" s="260"/>
      <c r="CA87" s="119">
        <v>26.13</v>
      </c>
      <c r="CB87" s="119">
        <v>23.48</v>
      </c>
      <c r="CC87" s="258">
        <f t="shared" si="82"/>
        <v>24.805</v>
      </c>
      <c r="CD87" s="258">
        <v>0.92</v>
      </c>
      <c r="CE87" s="256">
        <v>0.0633</v>
      </c>
      <c r="CF87" s="261">
        <f t="shared" si="69"/>
        <v>0.1054244143903722</v>
      </c>
      <c r="CG87" s="208">
        <f t="shared" si="122"/>
        <v>0.009472094734085553</v>
      </c>
      <c r="CH87" s="123">
        <v>43.86</v>
      </c>
      <c r="CI87" s="123">
        <v>41.21</v>
      </c>
      <c r="CJ87" s="258">
        <f t="shared" si="89"/>
        <v>42.535</v>
      </c>
      <c r="CK87" s="258">
        <v>2.16</v>
      </c>
      <c r="CL87" s="256">
        <v>0.0433</v>
      </c>
      <c r="CM87" s="261">
        <f t="shared" si="109"/>
        <v>0.10019691311166712</v>
      </c>
      <c r="CN87" s="208">
        <f t="shared" si="100"/>
        <v>0.005761547564372593</v>
      </c>
      <c r="CO87" s="123">
        <v>22.55</v>
      </c>
      <c r="CP87" s="123">
        <v>21.5</v>
      </c>
      <c r="CQ87" s="258">
        <f t="shared" si="124"/>
        <v>22.025</v>
      </c>
      <c r="CR87" s="258">
        <v>0.86</v>
      </c>
      <c r="CS87" s="256">
        <v>0.045</v>
      </c>
      <c r="CT87" s="261">
        <f t="shared" si="110"/>
        <v>0.08861774975362935</v>
      </c>
      <c r="CU87" s="208">
        <f t="shared" si="126"/>
        <v>0.0054142021412819374</v>
      </c>
      <c r="CV87" s="260"/>
      <c r="CW87" s="260"/>
      <c r="CX87" s="260"/>
      <c r="CY87" s="260"/>
      <c r="CZ87" s="260"/>
      <c r="DA87" s="261"/>
      <c r="DB87" s="260"/>
      <c r="DE87" s="260"/>
      <c r="DF87" s="260"/>
      <c r="DG87" s="260"/>
      <c r="DH87" s="261"/>
      <c r="DI87" s="260"/>
      <c r="DJ87" s="123">
        <v>24.15</v>
      </c>
      <c r="DK87" s="123">
        <v>23.15</v>
      </c>
      <c r="DL87" s="258">
        <f t="shared" si="136"/>
        <v>23.65</v>
      </c>
      <c r="DM87" s="258">
        <f t="shared" si="137"/>
        <v>0.82</v>
      </c>
      <c r="DN87" s="256">
        <v>0.037</v>
      </c>
      <c r="DO87" s="261"/>
      <c r="DP87" s="208"/>
      <c r="DQ87" s="123"/>
      <c r="DR87" s="123"/>
      <c r="DT87" s="258"/>
      <c r="DV87" s="261"/>
      <c r="DW87" s="208"/>
      <c r="DX87" s="123">
        <v>29.67</v>
      </c>
      <c r="DY87" s="123">
        <v>27.74</v>
      </c>
      <c r="DZ87" s="258">
        <f>AVERAGE(DX87:DY87)</f>
        <v>28.705</v>
      </c>
      <c r="EA87" s="123">
        <f t="shared" si="131"/>
        <v>1.3</v>
      </c>
      <c r="EB87" s="256">
        <v>0.0348</v>
      </c>
      <c r="EC87" s="261">
        <f t="shared" si="111"/>
        <v>0.08501976493260299</v>
      </c>
      <c r="ED87" s="208">
        <f t="shared" si="101"/>
        <v>0.004277724021766188</v>
      </c>
      <c r="EE87" s="119">
        <v>28.43</v>
      </c>
      <c r="EF87" s="119">
        <v>26.6</v>
      </c>
      <c r="EG87" s="258">
        <f>AVERAGE(EE87:EF87)</f>
        <v>27.515</v>
      </c>
      <c r="EH87" s="258">
        <v>1.12</v>
      </c>
      <c r="EI87" s="256">
        <v>0.0433</v>
      </c>
      <c r="EJ87" s="261">
        <f t="shared" si="112"/>
        <v>0.08872615362559477</v>
      </c>
      <c r="EK87" s="208">
        <f t="shared" si="128"/>
        <v>0.007334057622241437</v>
      </c>
      <c r="EL87" s="123">
        <v>46.4</v>
      </c>
      <c r="EM87" s="123">
        <v>40.01</v>
      </c>
      <c r="EN87" s="258">
        <f>AVERAGE(EL87:EM87)</f>
        <v>43.205</v>
      </c>
      <c r="EO87" s="258">
        <f t="shared" si="141"/>
        <v>0.86</v>
      </c>
      <c r="EP87" s="256">
        <v>0.0857</v>
      </c>
      <c r="EQ87" s="261">
        <f t="shared" si="113"/>
        <v>0.10862775589908469</v>
      </c>
      <c r="ER87" s="208">
        <f t="shared" si="129"/>
        <v>0.013273472418935776</v>
      </c>
      <c r="ES87" s="260"/>
      <c r="ET87" s="285"/>
      <c r="EU87" s="285"/>
      <c r="EV87" s="285"/>
      <c r="EW87" s="285">
        <v>1.8</v>
      </c>
      <c r="EX87" s="285">
        <v>3.3</v>
      </c>
      <c r="EY87" s="285">
        <v>6.2</v>
      </c>
      <c r="EZ87" s="285"/>
      <c r="FA87" s="285">
        <v>1.2</v>
      </c>
      <c r="FB87" s="285">
        <v>1.6</v>
      </c>
      <c r="FC87" s="285"/>
      <c r="FD87" s="285"/>
      <c r="FE87" s="255">
        <v>2.5</v>
      </c>
      <c r="FF87" s="255">
        <v>1.6</v>
      </c>
      <c r="FG87" s="255">
        <v>1.7</v>
      </c>
      <c r="FH87" s="255"/>
      <c r="FI87" s="255"/>
      <c r="FJ87" s="255">
        <v>0.825</v>
      </c>
      <c r="FK87" s="255"/>
      <c r="FL87" s="255">
        <v>1.4</v>
      </c>
      <c r="FM87" s="255">
        <v>2.3</v>
      </c>
      <c r="FN87" s="255">
        <v>3.4</v>
      </c>
      <c r="FO87" s="258">
        <f>SUM(ET87:FN87)</f>
        <v>27.825</v>
      </c>
      <c r="FP87" s="261">
        <f t="shared" si="102"/>
        <v>0.09762979304213368</v>
      </c>
    </row>
    <row r="88" spans="1:172" ht="12.75">
      <c r="A88" s="263">
        <v>38261</v>
      </c>
      <c r="B88" s="123">
        <v>31.26</v>
      </c>
      <c r="C88" s="123">
        <v>30.11</v>
      </c>
      <c r="F88" s="77"/>
      <c r="G88" s="261"/>
      <c r="H88" s="277"/>
      <c r="I88" s="123">
        <v>25.9</v>
      </c>
      <c r="J88" s="123">
        <v>24.6</v>
      </c>
      <c r="N88" s="261"/>
      <c r="O88" s="208"/>
      <c r="R88" s="260"/>
      <c r="S88" s="260"/>
      <c r="T88" s="260"/>
      <c r="U88" s="261"/>
      <c r="V88" s="260"/>
      <c r="W88" s="123">
        <v>53.9</v>
      </c>
      <c r="X88" s="123">
        <v>50.87</v>
      </c>
      <c r="Y88" s="258">
        <f t="shared" si="84"/>
        <v>52.385</v>
      </c>
      <c r="AA88" s="77"/>
      <c r="AB88" s="261"/>
      <c r="AC88" s="208"/>
      <c r="AD88" s="123">
        <v>55.8</v>
      </c>
      <c r="AE88" s="123">
        <v>53.36</v>
      </c>
      <c r="AF88" s="258">
        <f t="shared" si="115"/>
        <v>54.58</v>
      </c>
      <c r="AG88" s="258">
        <f t="shared" si="132"/>
        <v>1.52</v>
      </c>
      <c r="AH88" s="256">
        <v>0.0943</v>
      </c>
      <c r="AI88" s="261">
        <f t="shared" si="106"/>
        <v>0.12673352329609155</v>
      </c>
      <c r="AJ88" s="208">
        <f t="shared" si="116"/>
        <v>0.01659057032239744</v>
      </c>
      <c r="AK88" s="123">
        <v>39.99</v>
      </c>
      <c r="AL88" s="123">
        <v>38.22</v>
      </c>
      <c r="AM88" s="258">
        <f t="shared" si="85"/>
        <v>39.105000000000004</v>
      </c>
      <c r="AN88" s="258">
        <f t="shared" si="119"/>
        <v>1.78</v>
      </c>
      <c r="AO88" s="256">
        <v>0.0489</v>
      </c>
      <c r="AP88" s="261">
        <f t="shared" si="117"/>
        <v>0.10006743368024118</v>
      </c>
      <c r="AQ88" s="208">
        <f t="shared" si="114"/>
        <v>0.022196776198162592</v>
      </c>
      <c r="AT88" s="260"/>
      <c r="AU88" s="260"/>
      <c r="AV88" s="260"/>
      <c r="AW88" s="261"/>
      <c r="AX88" s="260"/>
      <c r="AY88" s="123">
        <v>42.49</v>
      </c>
      <c r="AZ88" s="123">
        <v>40.54</v>
      </c>
      <c r="BA88" s="258">
        <f t="shared" si="133"/>
        <v>41.515</v>
      </c>
      <c r="BB88" s="255">
        <v>1.36</v>
      </c>
      <c r="BC88" s="256">
        <v>0.0545</v>
      </c>
      <c r="BD88" s="261">
        <f t="shared" si="134"/>
        <v>0.09133568577161477</v>
      </c>
      <c r="BE88" s="208">
        <f t="shared" si="135"/>
        <v>0.003985557197306827</v>
      </c>
      <c r="BF88" s="123">
        <v>37.8</v>
      </c>
      <c r="BG88" s="123">
        <v>36.3</v>
      </c>
      <c r="BH88" s="258">
        <f t="shared" si="87"/>
        <v>37.05</v>
      </c>
      <c r="BI88" s="258">
        <f t="shared" si="120"/>
        <v>1.86</v>
      </c>
      <c r="BJ88" s="256">
        <v>0.0272</v>
      </c>
      <c r="BK88" s="261">
        <f t="shared" si="139"/>
        <v>0.08256723594577386</v>
      </c>
      <c r="BL88" s="208">
        <f t="shared" si="140"/>
        <v>0.004803911909572299</v>
      </c>
      <c r="BM88" s="123">
        <v>32.35</v>
      </c>
      <c r="BN88" s="123">
        <v>30.77</v>
      </c>
      <c r="BO88" s="255"/>
      <c r="BP88" s="255"/>
      <c r="BR88" s="261"/>
      <c r="BS88" s="208"/>
      <c r="BV88" s="258"/>
      <c r="BY88" s="261"/>
      <c r="BZ88" s="260"/>
      <c r="CA88" s="119">
        <v>26.9</v>
      </c>
      <c r="CB88" s="119">
        <v>25.66</v>
      </c>
      <c r="CC88" s="258">
        <f t="shared" si="82"/>
        <v>26.28</v>
      </c>
      <c r="CD88" s="258">
        <v>0.92</v>
      </c>
      <c r="CE88" s="256">
        <v>0.0633</v>
      </c>
      <c r="CF88" s="261">
        <f t="shared" si="69"/>
        <v>0.10302751967139501</v>
      </c>
      <c r="CG88" s="208">
        <f t="shared" si="122"/>
        <v>0.0104900747301784</v>
      </c>
      <c r="CH88" s="123">
        <v>43.27</v>
      </c>
      <c r="CI88" s="123">
        <v>41.05</v>
      </c>
      <c r="CJ88" s="258">
        <f t="shared" si="89"/>
        <v>42.16</v>
      </c>
      <c r="CK88" s="258">
        <v>2.16</v>
      </c>
      <c r="CL88" s="256">
        <v>0.0426</v>
      </c>
      <c r="CM88" s="261">
        <f t="shared" si="109"/>
        <v>0.09997468444363666</v>
      </c>
      <c r="CN88" s="208">
        <f t="shared" si="100"/>
        <v>0.006180253220152086</v>
      </c>
      <c r="CO88" s="123">
        <v>23.03</v>
      </c>
      <c r="CP88" s="123">
        <v>21.92</v>
      </c>
      <c r="CQ88" s="258">
        <f t="shared" si="124"/>
        <v>22.475</v>
      </c>
      <c r="CR88" s="258">
        <v>0.86</v>
      </c>
      <c r="CS88" s="256">
        <v>0.0463</v>
      </c>
      <c r="CT88" s="261">
        <f t="shared" si="110"/>
        <v>0.08908441648516408</v>
      </c>
      <c r="CU88" s="208">
        <f t="shared" si="126"/>
        <v>0.005830979988119831</v>
      </c>
      <c r="CV88" s="260"/>
      <c r="CW88" s="260"/>
      <c r="CX88" s="260"/>
      <c r="CY88" s="260"/>
      <c r="CZ88" s="260"/>
      <c r="DA88" s="261"/>
      <c r="DB88" s="260"/>
      <c r="DE88" s="260"/>
      <c r="DF88" s="260"/>
      <c r="DG88" s="260"/>
      <c r="DH88" s="261"/>
      <c r="DI88" s="260"/>
      <c r="DJ88" s="123">
        <v>24.68</v>
      </c>
      <c r="DK88" s="123">
        <v>23.45</v>
      </c>
      <c r="DL88" s="258">
        <f t="shared" si="136"/>
        <v>24.064999999999998</v>
      </c>
      <c r="DM88" s="258">
        <f t="shared" si="137"/>
        <v>0.82</v>
      </c>
      <c r="DN88" s="256">
        <v>0.037</v>
      </c>
      <c r="DO88" s="261"/>
      <c r="DP88" s="208"/>
      <c r="DQ88" s="123"/>
      <c r="DR88" s="123"/>
      <c r="DT88" s="258"/>
      <c r="DV88" s="261"/>
      <c r="DW88" s="208"/>
      <c r="DX88" s="123">
        <v>29.18</v>
      </c>
      <c r="DY88" s="123">
        <v>27.71</v>
      </c>
      <c r="DZ88" s="258">
        <f>AVERAGE(DX88:DY88)</f>
        <v>28.445</v>
      </c>
      <c r="EA88" s="123">
        <f t="shared" si="131"/>
        <v>1.3</v>
      </c>
      <c r="EB88" s="256">
        <v>0.0357</v>
      </c>
      <c r="EC88" s="261">
        <f t="shared" si="111"/>
        <v>0.08643114517043293</v>
      </c>
      <c r="ED88" s="208">
        <f t="shared" si="101"/>
        <v>0.004714426100205433</v>
      </c>
      <c r="EE88" s="119">
        <v>29.06</v>
      </c>
      <c r="EF88" s="119">
        <v>27.8</v>
      </c>
      <c r="EG88" s="258">
        <f>AVERAGE(EE88:EF88)</f>
        <v>28.43</v>
      </c>
      <c r="EH88" s="258">
        <v>1.12</v>
      </c>
      <c r="EI88" s="256">
        <v>0.0433</v>
      </c>
      <c r="EJ88" s="261">
        <f t="shared" si="112"/>
        <v>0.08724145531224647</v>
      </c>
      <c r="EK88" s="208">
        <f t="shared" si="128"/>
        <v>0.007296558080660615</v>
      </c>
      <c r="EL88" s="123">
        <v>49.7</v>
      </c>
      <c r="EM88" s="123">
        <v>45.02</v>
      </c>
      <c r="EN88" s="258">
        <f>AVERAGE(EL88:EM88)</f>
        <v>47.36</v>
      </c>
      <c r="EO88" s="258">
        <f t="shared" si="141"/>
        <v>0.86</v>
      </c>
      <c r="EP88" s="256">
        <v>0.0844</v>
      </c>
      <c r="EQ88" s="261">
        <f t="shared" si="113"/>
        <v>0.10527682317558784</v>
      </c>
      <c r="ER88" s="208">
        <f t="shared" si="129"/>
        <v>0.015312992461903688</v>
      </c>
      <c r="ES88" s="260"/>
      <c r="ET88" s="285"/>
      <c r="EU88" s="285"/>
      <c r="EV88" s="285"/>
      <c r="EW88" s="285"/>
      <c r="EX88" s="285">
        <v>3.6</v>
      </c>
      <c r="EY88" s="285">
        <v>6.1</v>
      </c>
      <c r="EZ88" s="285"/>
      <c r="FA88" s="285">
        <v>1.2</v>
      </c>
      <c r="FB88" s="285">
        <v>1.6</v>
      </c>
      <c r="FC88" s="285"/>
      <c r="FD88" s="285"/>
      <c r="FE88" s="255">
        <v>2.8</v>
      </c>
      <c r="FF88" s="255">
        <v>1.7</v>
      </c>
      <c r="FG88" s="255">
        <v>1.8</v>
      </c>
      <c r="FH88" s="255"/>
      <c r="FI88" s="255"/>
      <c r="FJ88" s="255">
        <v>0.9</v>
      </c>
      <c r="FK88" s="255"/>
      <c r="FL88" s="255">
        <v>1.5</v>
      </c>
      <c r="FM88" s="255">
        <v>2.3</v>
      </c>
      <c r="FN88" s="255">
        <v>4</v>
      </c>
      <c r="FO88" s="258">
        <f>SUM(ET88:FN88)</f>
        <v>27.499999999999996</v>
      </c>
      <c r="FP88" s="261">
        <f t="shared" si="102"/>
        <v>0.09740210020865922</v>
      </c>
    </row>
    <row r="89" spans="1:172" ht="12.75">
      <c r="A89" s="263">
        <v>38292</v>
      </c>
      <c r="B89" s="123">
        <v>33.26</v>
      </c>
      <c r="C89" s="123">
        <v>30.64</v>
      </c>
      <c r="F89" s="77"/>
      <c r="G89" s="261"/>
      <c r="H89" s="277"/>
      <c r="I89" s="123">
        <v>27.06</v>
      </c>
      <c r="J89" s="123">
        <v>25.15</v>
      </c>
      <c r="N89" s="261"/>
      <c r="O89" s="208"/>
      <c r="R89" s="260"/>
      <c r="S89" s="260"/>
      <c r="T89" s="260"/>
      <c r="U89" s="261"/>
      <c r="V89" s="260"/>
      <c r="W89" s="123">
        <v>58.69</v>
      </c>
      <c r="X89" s="123">
        <v>53.73</v>
      </c>
      <c r="Y89" s="258">
        <f t="shared" si="84"/>
        <v>56.209999999999994</v>
      </c>
      <c r="AA89" s="77"/>
      <c r="AB89" s="261"/>
      <c r="AC89" s="208"/>
      <c r="AD89" s="123">
        <v>59.85</v>
      </c>
      <c r="AE89" s="123">
        <v>55.01</v>
      </c>
      <c r="AF89" s="258">
        <f t="shared" si="115"/>
        <v>57.43</v>
      </c>
      <c r="AG89" s="258">
        <f t="shared" si="132"/>
        <v>1.52</v>
      </c>
      <c r="AH89" s="256">
        <v>0.0943</v>
      </c>
      <c r="AI89" s="261">
        <f t="shared" si="106"/>
        <v>0.12510719843877083</v>
      </c>
      <c r="AJ89" s="208">
        <f t="shared" si="116"/>
        <v>0.01637766961380273</v>
      </c>
      <c r="AK89" s="123">
        <v>41.53</v>
      </c>
      <c r="AL89" s="123">
        <v>39.46</v>
      </c>
      <c r="AM89" s="258">
        <f t="shared" si="85"/>
        <v>40.495000000000005</v>
      </c>
      <c r="AN89" s="258">
        <f t="shared" si="119"/>
        <v>1.78</v>
      </c>
      <c r="AO89" s="256">
        <v>0.0471</v>
      </c>
      <c r="AP89" s="261">
        <f t="shared" si="117"/>
        <v>0.09639595451735694</v>
      </c>
      <c r="AQ89" s="208">
        <f t="shared" si="114"/>
        <v>0.02138237536566827</v>
      </c>
      <c r="AT89" s="260"/>
      <c r="AU89" s="260"/>
      <c r="AV89" s="260"/>
      <c r="AW89" s="261"/>
      <c r="AX89" s="260"/>
      <c r="AY89" s="123">
        <v>44.55</v>
      </c>
      <c r="AZ89" s="123">
        <v>40.95</v>
      </c>
      <c r="BA89" s="258">
        <f t="shared" si="133"/>
        <v>42.75</v>
      </c>
      <c r="BB89" s="255">
        <v>1.36</v>
      </c>
      <c r="BC89" s="256">
        <v>0.055</v>
      </c>
      <c r="BD89" s="261">
        <f t="shared" si="134"/>
        <v>0.09077515725231078</v>
      </c>
      <c r="BE89" s="208">
        <f t="shared" si="135"/>
        <v>0.003961097771009925</v>
      </c>
      <c r="BF89" s="123">
        <v>39.65</v>
      </c>
      <c r="BG89" s="123">
        <v>36.89</v>
      </c>
      <c r="BH89" s="258">
        <f t="shared" si="87"/>
        <v>38.269999999999996</v>
      </c>
      <c r="BI89" s="258">
        <f t="shared" si="120"/>
        <v>1.86</v>
      </c>
      <c r="BJ89" s="256">
        <v>0.0272</v>
      </c>
      <c r="BK89" s="261">
        <f t="shared" si="139"/>
        <v>0.08076842046435573</v>
      </c>
      <c r="BL89" s="208">
        <f t="shared" si="140"/>
        <v>0.004699253554289789</v>
      </c>
      <c r="BM89" s="123">
        <v>34.13</v>
      </c>
      <c r="BN89" s="123">
        <v>31.34</v>
      </c>
      <c r="BO89" s="255"/>
      <c r="BP89" s="255"/>
      <c r="BR89" s="261"/>
      <c r="BS89" s="208"/>
      <c r="BV89" s="258"/>
      <c r="BY89" s="261"/>
      <c r="BZ89" s="260"/>
      <c r="CA89" s="119">
        <v>28.56</v>
      </c>
      <c r="CB89" s="119">
        <v>26.13</v>
      </c>
      <c r="CC89" s="258">
        <f t="shared" si="82"/>
        <v>27.345</v>
      </c>
      <c r="CD89" s="258">
        <v>1</v>
      </c>
      <c r="CE89" s="256">
        <v>0.064</v>
      </c>
      <c r="CF89" s="261">
        <f t="shared" si="69"/>
        <v>0.10555317825093025</v>
      </c>
      <c r="CG89" s="208">
        <f t="shared" si="122"/>
        <v>0.01074723269464017</v>
      </c>
      <c r="CH89" s="123">
        <v>45.25</v>
      </c>
      <c r="CI89" s="123">
        <v>42.55</v>
      </c>
      <c r="CJ89" s="258">
        <f t="shared" si="89"/>
        <v>43.9</v>
      </c>
      <c r="CK89" s="258">
        <v>2.16</v>
      </c>
      <c r="CL89" s="256">
        <v>0.0426</v>
      </c>
      <c r="CM89" s="261">
        <f t="shared" si="109"/>
        <v>0.0976565575003372</v>
      </c>
      <c r="CN89" s="208">
        <f t="shared" si="100"/>
        <v>0.006036950827293573</v>
      </c>
      <c r="CO89" s="123">
        <v>24.35</v>
      </c>
      <c r="CP89" s="123">
        <v>22.7</v>
      </c>
      <c r="CQ89" s="258">
        <f t="shared" si="124"/>
        <v>23.525</v>
      </c>
      <c r="CR89" s="258">
        <v>0.86</v>
      </c>
      <c r="CS89" s="256">
        <v>0.0463</v>
      </c>
      <c r="CT89" s="261">
        <f t="shared" si="110"/>
        <v>0.08714730262384096</v>
      </c>
      <c r="CU89" s="208">
        <f t="shared" si="126"/>
        <v>0.005704187080833227</v>
      </c>
      <c r="CV89" s="260"/>
      <c r="CW89" s="260"/>
      <c r="CX89" s="260"/>
      <c r="CY89" s="260"/>
      <c r="CZ89" s="260"/>
      <c r="DA89" s="261"/>
      <c r="DB89" s="260"/>
      <c r="DE89" s="260"/>
      <c r="DF89" s="260"/>
      <c r="DG89" s="260"/>
      <c r="DH89" s="261"/>
      <c r="DI89" s="260"/>
      <c r="DJ89" s="123">
        <v>25.98</v>
      </c>
      <c r="DK89" s="123">
        <v>24.42</v>
      </c>
      <c r="DL89" s="258">
        <f t="shared" si="136"/>
        <v>25.200000000000003</v>
      </c>
      <c r="DM89" s="258">
        <f t="shared" si="137"/>
        <v>0.82</v>
      </c>
      <c r="DN89" s="256">
        <v>0.037</v>
      </c>
      <c r="DO89" s="261"/>
      <c r="DP89" s="208"/>
      <c r="DQ89" s="123"/>
      <c r="DR89" s="123"/>
      <c r="DT89" s="258"/>
      <c r="DV89" s="261"/>
      <c r="DW89" s="208"/>
      <c r="DX89" s="123">
        <v>30.97</v>
      </c>
      <c r="DY89" s="123">
        <v>28.2</v>
      </c>
      <c r="DZ89" s="258">
        <f>AVERAGE(DX89:DY89)</f>
        <v>29.585</v>
      </c>
      <c r="EA89" s="123">
        <f t="shared" si="131"/>
        <v>1.3</v>
      </c>
      <c r="EB89" s="256">
        <v>0.0357</v>
      </c>
      <c r="EC89" s="261">
        <f t="shared" si="111"/>
        <v>0.0844424926141123</v>
      </c>
      <c r="ED89" s="208">
        <f t="shared" si="101"/>
        <v>0.004605954142587944</v>
      </c>
      <c r="EE89" s="119">
        <v>28.75</v>
      </c>
      <c r="EF89" s="119">
        <v>27.3</v>
      </c>
      <c r="EG89" s="258">
        <f>AVERAGE(EE89:EF89)</f>
        <v>28.025</v>
      </c>
      <c r="EH89" s="258">
        <v>1.12</v>
      </c>
      <c r="EI89" s="256">
        <v>0.0433</v>
      </c>
      <c r="EJ89" s="261">
        <f t="shared" si="112"/>
        <v>0.0878864711220384</v>
      </c>
      <c r="EK89" s="208">
        <f t="shared" si="128"/>
        <v>0.007350504857479576</v>
      </c>
      <c r="EL89" s="123">
        <v>51.54</v>
      </c>
      <c r="EM89" s="123">
        <v>47.36</v>
      </c>
      <c r="EN89" s="258">
        <f>AVERAGE(EL89:EM89)</f>
        <v>49.45</v>
      </c>
      <c r="EO89" s="258">
        <f t="shared" si="141"/>
        <v>0.86</v>
      </c>
      <c r="EP89" s="256">
        <v>0.0856</v>
      </c>
      <c r="EQ89" s="261">
        <f t="shared" si="113"/>
        <v>0.10561053357189865</v>
      </c>
      <c r="ER89" s="208">
        <f t="shared" si="129"/>
        <v>0.015361532155912532</v>
      </c>
      <c r="ES89" s="260"/>
      <c r="ET89" s="285"/>
      <c r="EU89" s="285"/>
      <c r="EV89" s="285"/>
      <c r="EW89" s="285"/>
      <c r="EX89" s="285">
        <v>3.6</v>
      </c>
      <c r="EY89" s="285">
        <v>6.1</v>
      </c>
      <c r="EZ89" s="285"/>
      <c r="FA89" s="285">
        <v>1.2</v>
      </c>
      <c r="FB89" s="285">
        <v>1.6</v>
      </c>
      <c r="FC89" s="285"/>
      <c r="FD89" s="285"/>
      <c r="FE89" s="255">
        <v>2.8</v>
      </c>
      <c r="FF89" s="255">
        <v>1.7</v>
      </c>
      <c r="FG89" s="255">
        <v>1.8</v>
      </c>
      <c r="FH89" s="255"/>
      <c r="FI89" s="255"/>
      <c r="FJ89" s="255">
        <v>0.9</v>
      </c>
      <c r="FK89" s="255"/>
      <c r="FL89" s="255">
        <v>1.5</v>
      </c>
      <c r="FM89" s="255">
        <v>2.3</v>
      </c>
      <c r="FN89" s="255">
        <v>4</v>
      </c>
      <c r="FO89" s="258">
        <f>SUM(ET89:FN89)</f>
        <v>27.499999999999996</v>
      </c>
      <c r="FP89" s="261">
        <f t="shared" si="102"/>
        <v>0.09622675806351774</v>
      </c>
    </row>
    <row r="90" spans="1:172" ht="12.75">
      <c r="A90" s="263">
        <v>38322</v>
      </c>
      <c r="B90" s="123"/>
      <c r="C90" s="123"/>
      <c r="F90" s="77"/>
      <c r="G90" s="261"/>
      <c r="H90" s="277"/>
      <c r="I90" s="123"/>
      <c r="J90" s="123"/>
      <c r="N90" s="261"/>
      <c r="O90" s="208"/>
      <c r="R90" s="260"/>
      <c r="S90" s="260"/>
      <c r="T90" s="260"/>
      <c r="U90" s="261"/>
      <c r="V90" s="260"/>
      <c r="W90" s="123"/>
      <c r="X90" s="123"/>
      <c r="AA90" s="77"/>
      <c r="AB90" s="261"/>
      <c r="AC90" s="208"/>
      <c r="AD90" s="123">
        <v>61.18</v>
      </c>
      <c r="AE90" s="123">
        <v>56.54</v>
      </c>
      <c r="AF90" s="258">
        <f t="shared" si="115"/>
        <v>58.86</v>
      </c>
      <c r="AG90" s="258">
        <f t="shared" si="132"/>
        <v>1.52</v>
      </c>
      <c r="AH90" s="256">
        <v>0.0949</v>
      </c>
      <c r="AI90" s="261">
        <f t="shared" si="106"/>
        <v>0.12496759664304746</v>
      </c>
      <c r="AJ90" s="208">
        <f t="shared" si="116"/>
        <v>0.017253436161647977</v>
      </c>
      <c r="AK90" s="123">
        <v>39.87</v>
      </c>
      <c r="AL90" s="123">
        <v>37.57</v>
      </c>
      <c r="AM90" s="258">
        <f t="shared" si="85"/>
        <v>38.72</v>
      </c>
      <c r="AN90" s="258">
        <f t="shared" si="119"/>
        <v>1.78</v>
      </c>
      <c r="AO90" s="256">
        <v>0.0433</v>
      </c>
      <c r="AP90" s="261">
        <f t="shared" si="117"/>
        <v>0.09470947044314704</v>
      </c>
      <c r="AQ90" s="208">
        <f t="shared" si="114"/>
        <v>0.022156386182289434</v>
      </c>
      <c r="AT90" s="260"/>
      <c r="AU90" s="260"/>
      <c r="AV90" s="260"/>
      <c r="AW90" s="261"/>
      <c r="AX90" s="260"/>
      <c r="AY90" s="123">
        <v>44.43</v>
      </c>
      <c r="AZ90" s="123">
        <v>42.35</v>
      </c>
      <c r="BA90" s="258">
        <f t="shared" si="133"/>
        <v>43.39</v>
      </c>
      <c r="BB90" s="255">
        <v>1.36</v>
      </c>
      <c r="BC90" s="256">
        <v>0.056</v>
      </c>
      <c r="BD90" s="261">
        <f t="shared" si="134"/>
        <v>0.09127436052017601</v>
      </c>
      <c r="BE90" s="208">
        <f t="shared" si="135"/>
        <v>0.004200545834102061</v>
      </c>
      <c r="BF90" s="123">
        <v>38</v>
      </c>
      <c r="BG90" s="123">
        <v>35.89</v>
      </c>
      <c r="BH90" s="258">
        <f t="shared" si="87"/>
        <v>36.945</v>
      </c>
      <c r="BI90" s="258">
        <f t="shared" si="120"/>
        <v>1.86</v>
      </c>
      <c r="BJ90" s="256">
        <v>0.0215</v>
      </c>
      <c r="BK90" s="261">
        <f t="shared" si="139"/>
        <v>0.07671958640527343</v>
      </c>
      <c r="BL90" s="208">
        <f t="shared" si="140"/>
        <v>0.004707625627936242</v>
      </c>
      <c r="BM90" s="123">
        <v>34.06</v>
      </c>
      <c r="BN90" s="123">
        <v>32.04</v>
      </c>
      <c r="BO90" s="255">
        <f>AVERAGE(BM90:BN90)</f>
        <v>33.05</v>
      </c>
      <c r="BP90" s="255">
        <v>1.3</v>
      </c>
      <c r="BQ90" s="256">
        <v>0.055</v>
      </c>
      <c r="BR90" s="261">
        <f aca="true" t="shared" si="142" ref="BR90:BR114">+((((((BP90/4)*(1+BQ90)^0.25))/(BO90*1))+(1+BQ90)^(0.25))^4)-1</f>
        <v>0.09711386060495508</v>
      </c>
      <c r="BS90" s="208">
        <f>BR90*($FC90/$FO90)</f>
        <v>0.0032588543827166143</v>
      </c>
      <c r="BV90" s="258"/>
      <c r="BY90" s="261"/>
      <c r="BZ90" s="260"/>
      <c r="CA90" s="119">
        <v>28.99</v>
      </c>
      <c r="CB90" s="119">
        <v>26.85</v>
      </c>
      <c r="CC90" s="258">
        <f t="shared" si="82"/>
        <v>27.92</v>
      </c>
      <c r="CD90" s="258">
        <v>1</v>
      </c>
      <c r="CE90" s="256">
        <v>0.064</v>
      </c>
      <c r="CF90" s="261">
        <f t="shared" si="69"/>
        <v>0.10468533128508262</v>
      </c>
      <c r="CG90" s="208">
        <f t="shared" si="122"/>
        <v>0.011241377856116255</v>
      </c>
      <c r="CH90" s="123">
        <v>45.38</v>
      </c>
      <c r="CI90" s="123">
        <v>43.46</v>
      </c>
      <c r="CJ90" s="258">
        <f t="shared" si="89"/>
        <v>44.42</v>
      </c>
      <c r="CK90" s="258">
        <v>2.16</v>
      </c>
      <c r="CL90" s="256">
        <v>0.0426</v>
      </c>
      <c r="CM90" s="261">
        <f t="shared" si="109"/>
        <v>0.09699969840108058</v>
      </c>
      <c r="CN90" s="208">
        <f t="shared" si="100"/>
        <v>0.0063240455333398666</v>
      </c>
      <c r="CO90" s="123">
        <v>23.89</v>
      </c>
      <c r="CP90" s="123">
        <v>22.75</v>
      </c>
      <c r="CQ90" s="258">
        <f t="shared" si="124"/>
        <v>23.32</v>
      </c>
      <c r="CR90" s="258">
        <v>0.86</v>
      </c>
      <c r="CS90" s="256">
        <v>0.052</v>
      </c>
      <c r="CT90" s="261">
        <f t="shared" si="110"/>
        <v>0.09343611074544067</v>
      </c>
      <c r="CU90" s="208">
        <f t="shared" si="126"/>
        <v>0.006450047913395714</v>
      </c>
      <c r="CV90" s="260"/>
      <c r="CW90" s="260"/>
      <c r="CX90" s="260"/>
      <c r="CY90" s="260"/>
      <c r="CZ90" s="260"/>
      <c r="DA90" s="261"/>
      <c r="DB90" s="260"/>
      <c r="DE90" s="260"/>
      <c r="DF90" s="260"/>
      <c r="DG90" s="260"/>
      <c r="DH90" s="261"/>
      <c r="DI90" s="260"/>
      <c r="DJ90" s="123">
        <v>26.15</v>
      </c>
      <c r="DK90" s="123">
        <v>24.46</v>
      </c>
      <c r="DL90" s="258">
        <f t="shared" si="136"/>
        <v>25.305</v>
      </c>
      <c r="DM90" s="258">
        <f t="shared" si="137"/>
        <v>0.82</v>
      </c>
      <c r="DN90" s="256">
        <v>0.037</v>
      </c>
      <c r="DO90" s="261"/>
      <c r="DP90" s="208"/>
      <c r="DQ90" s="123"/>
      <c r="DR90" s="123"/>
      <c r="DT90" s="258"/>
      <c r="DV90" s="261"/>
      <c r="DW90" s="208"/>
      <c r="DX90" s="123">
        <v>31.43</v>
      </c>
      <c r="DY90" s="123">
        <v>29.63</v>
      </c>
      <c r="DZ90" s="258">
        <f>AVERAGE(DX90:DY90)</f>
        <v>30.53</v>
      </c>
      <c r="EA90" s="123">
        <f t="shared" si="131"/>
        <v>1.3</v>
      </c>
      <c r="EB90" s="256">
        <v>0.0388</v>
      </c>
      <c r="EC90" s="261">
        <f t="shared" si="111"/>
        <v>0.08614975656550516</v>
      </c>
      <c r="ED90" s="208">
        <f t="shared" si="101"/>
        <v>0.0049558824486388405</v>
      </c>
      <c r="EE90" s="119"/>
      <c r="EF90" s="119"/>
      <c r="EG90" s="258"/>
      <c r="EI90" s="256"/>
      <c r="EJ90" s="261"/>
      <c r="EK90" s="208"/>
      <c r="EL90" s="123">
        <v>52.12</v>
      </c>
      <c r="EM90" s="123">
        <v>47.4</v>
      </c>
      <c r="EN90" s="258">
        <f>AVERAGE(EL90:EM90)</f>
        <v>49.76</v>
      </c>
      <c r="EO90" s="258">
        <f t="shared" si="141"/>
        <v>0.86</v>
      </c>
      <c r="EP90" s="256">
        <v>0.0869</v>
      </c>
      <c r="EQ90" s="261">
        <f t="shared" si="113"/>
        <v>0.10680883226572768</v>
      </c>
      <c r="ER90" s="208">
        <f t="shared" si="129"/>
        <v>0.016384864010082868</v>
      </c>
      <c r="ES90" s="260"/>
      <c r="ET90" s="285"/>
      <c r="EU90" s="285"/>
      <c r="EV90" s="285"/>
      <c r="EW90" s="285"/>
      <c r="EX90" s="285">
        <v>3.6</v>
      </c>
      <c r="EY90" s="285">
        <v>6.1</v>
      </c>
      <c r="EZ90" s="285"/>
      <c r="FA90" s="285">
        <v>1.2</v>
      </c>
      <c r="FB90" s="285">
        <v>1.6</v>
      </c>
      <c r="FC90" s="285">
        <v>0.875</v>
      </c>
      <c r="FD90" s="285"/>
      <c r="FE90" s="255">
        <v>2.8</v>
      </c>
      <c r="FF90" s="255">
        <v>1.7</v>
      </c>
      <c r="FG90" s="255">
        <v>1.8</v>
      </c>
      <c r="FH90" s="255"/>
      <c r="FI90" s="255"/>
      <c r="FJ90" s="255">
        <v>0.9</v>
      </c>
      <c r="FK90" s="255"/>
      <c r="FL90" s="255">
        <v>1.5</v>
      </c>
      <c r="FM90" s="255"/>
      <c r="FN90" s="255">
        <v>4</v>
      </c>
      <c r="FO90" s="258">
        <f>SUM(ET90:FN90)</f>
        <v>26.074999999999996</v>
      </c>
      <c r="FP90" s="261">
        <f t="shared" si="102"/>
        <v>0.09693306595026586</v>
      </c>
    </row>
    <row r="91" spans="1:172" ht="12.75">
      <c r="A91" s="263">
        <v>38353</v>
      </c>
      <c r="B91" s="123">
        <v>34.8</v>
      </c>
      <c r="C91" s="123">
        <v>32</v>
      </c>
      <c r="D91" s="255">
        <f>AVERAGE(B91:C91)</f>
        <v>33.4</v>
      </c>
      <c r="E91" s="255">
        <f>0.29*4</f>
        <v>1.16</v>
      </c>
      <c r="F91" s="77">
        <v>0.0433</v>
      </c>
      <c r="G91" s="261">
        <f aca="true" t="shared" si="143" ref="G91:G116">+((((((E91/4)*(1+F91)^0.25))/(D91*0.95))+(1+F91)^(0.25))^4)-1</f>
        <v>0.08196753395327727</v>
      </c>
      <c r="H91" s="277">
        <f>G91*($ET91/$FO91)</f>
        <v>0.004981146560293691</v>
      </c>
      <c r="I91" s="123">
        <v>27.7</v>
      </c>
      <c r="J91" s="123">
        <v>25.9</v>
      </c>
      <c r="K91" s="258">
        <f>AVERAGE(I91:J91)</f>
        <v>26.799999999999997</v>
      </c>
      <c r="L91" s="259">
        <f>0.31*4</f>
        <v>1.24</v>
      </c>
      <c r="M91" s="256">
        <v>0.044</v>
      </c>
      <c r="N91" s="261">
        <f aca="true" t="shared" si="144" ref="N91:N116">+((((((L91/4)*(1+M91)^0.25))/(K91*0.95))+(1+M91)^(0.25))^4)-1</f>
        <v>0.09578304315034503</v>
      </c>
      <c r="O91" s="208">
        <f>N91*($EU91/$FO91)</f>
        <v>0.004203847268583679</v>
      </c>
      <c r="U91" s="261"/>
      <c r="Z91" s="258">
        <f>0.096*4</f>
        <v>0.384</v>
      </c>
      <c r="AB91" s="261"/>
      <c r="AC91" s="25"/>
      <c r="AD91" s="123">
        <v>61.18</v>
      </c>
      <c r="AE91" s="123">
        <v>55.78</v>
      </c>
      <c r="AF91" s="258">
        <f t="shared" si="115"/>
        <v>58.480000000000004</v>
      </c>
      <c r="AG91" s="258">
        <f t="shared" si="132"/>
        <v>1.52</v>
      </c>
      <c r="AH91" s="256">
        <v>0.0949</v>
      </c>
      <c r="AI91" s="261">
        <f t="shared" si="106"/>
        <v>0.1251649766472982</v>
      </c>
      <c r="AJ91" s="208">
        <f t="shared" si="116"/>
        <v>0.015212488721481216</v>
      </c>
      <c r="AK91" s="123">
        <v>39.79</v>
      </c>
      <c r="AL91" s="123">
        <v>38.04</v>
      </c>
      <c r="AM91" s="258">
        <f t="shared" si="85"/>
        <v>38.915</v>
      </c>
      <c r="AN91" s="258">
        <f>0.455*4</f>
        <v>1.82</v>
      </c>
      <c r="AO91" s="256">
        <v>0.0433</v>
      </c>
      <c r="AP91" s="261">
        <f t="shared" si="117"/>
        <v>0.09561777525577653</v>
      </c>
      <c r="AQ91" s="208">
        <f t="shared" si="114"/>
        <v>0.02033733909896665</v>
      </c>
      <c r="AW91" s="261"/>
      <c r="AY91" s="123">
        <v>44.09</v>
      </c>
      <c r="AZ91" s="123">
        <v>41.2</v>
      </c>
      <c r="BA91" s="258">
        <f t="shared" si="133"/>
        <v>42.645</v>
      </c>
      <c r="BB91" s="255">
        <f>0.34*4</f>
        <v>1.36</v>
      </c>
      <c r="BC91" s="256">
        <v>0.056</v>
      </c>
      <c r="BD91" s="261">
        <f t="shared" si="134"/>
        <v>0.09189834437349509</v>
      </c>
      <c r="BE91" s="208">
        <f t="shared" si="135"/>
        <v>0.003723092952336061</v>
      </c>
      <c r="BF91" s="123">
        <v>37.3</v>
      </c>
      <c r="BG91" s="123">
        <v>35.5</v>
      </c>
      <c r="BH91" s="258">
        <f t="shared" si="87"/>
        <v>36.4</v>
      </c>
      <c r="BI91" s="258">
        <f t="shared" si="120"/>
        <v>1.86</v>
      </c>
      <c r="BJ91" s="256">
        <v>0.0215</v>
      </c>
      <c r="BK91" s="261">
        <f t="shared" si="139"/>
        <v>0.0775630044180955</v>
      </c>
      <c r="BL91" s="208">
        <f t="shared" si="140"/>
        <v>0.004189763911848508</v>
      </c>
      <c r="BM91" s="123">
        <v>34.02</v>
      </c>
      <c r="BN91" s="123">
        <v>32.42</v>
      </c>
      <c r="BO91" s="255">
        <f>AVERAGE(BM91:BN91)</f>
        <v>33.22</v>
      </c>
      <c r="BP91" s="255">
        <v>1.3</v>
      </c>
      <c r="BQ91" s="256">
        <v>0.055</v>
      </c>
      <c r="BR91" s="261">
        <f t="shared" si="142"/>
        <v>0.09689518989748813</v>
      </c>
      <c r="BS91" s="208">
        <f>BR91*($FC91/$FO91)</f>
        <v>0.00294414824131463</v>
      </c>
      <c r="BY91" s="261"/>
      <c r="CA91" s="123">
        <v>28.55</v>
      </c>
      <c r="CB91" s="123">
        <v>26.86</v>
      </c>
      <c r="CC91" s="258">
        <f t="shared" si="82"/>
        <v>27.705</v>
      </c>
      <c r="CD91" s="258">
        <v>1</v>
      </c>
      <c r="CE91" s="256">
        <v>0.064</v>
      </c>
      <c r="CF91" s="261">
        <f t="shared" si="69"/>
        <v>0.10500555451795313</v>
      </c>
      <c r="CG91" s="208">
        <f t="shared" si="122"/>
        <v>0.010280759895410673</v>
      </c>
      <c r="CH91" s="123">
        <v>44.32</v>
      </c>
      <c r="CI91" s="123">
        <v>41.95</v>
      </c>
      <c r="CJ91" s="258">
        <f>AVERAGE(CH91:CI91)</f>
        <v>43.135000000000005</v>
      </c>
      <c r="CK91" s="258">
        <f>0.545*4</f>
        <v>2.18</v>
      </c>
      <c r="CL91" s="256">
        <v>0.0426</v>
      </c>
      <c r="CM91" s="261">
        <f t="shared" si="109"/>
        <v>0.09918158151775147</v>
      </c>
      <c r="CN91" s="208">
        <f t="shared" si="100"/>
        <v>0.005558454602277768</v>
      </c>
      <c r="CO91" s="123">
        <v>23.5</v>
      </c>
      <c r="CP91" s="123">
        <v>22.01</v>
      </c>
      <c r="CQ91" s="258">
        <f t="shared" si="124"/>
        <v>22.755000000000003</v>
      </c>
      <c r="CR91" s="258">
        <f>0.23*4</f>
        <v>0.92</v>
      </c>
      <c r="CS91" s="256">
        <v>0.052</v>
      </c>
      <c r="CT91" s="261">
        <f t="shared" si="110"/>
        <v>0.09749126614405701</v>
      </c>
      <c r="CU91" s="208">
        <f t="shared" si="126"/>
        <v>0.005891605887841394</v>
      </c>
      <c r="DA91" s="261"/>
      <c r="DH91" s="261"/>
      <c r="DJ91" s="123">
        <v>25.68</v>
      </c>
      <c r="DK91" s="123">
        <v>24</v>
      </c>
      <c r="DL91" s="258">
        <f>AVERAGE(DJ91:DK91)</f>
        <v>24.84</v>
      </c>
      <c r="DM91" s="258">
        <f t="shared" si="137"/>
        <v>0.82</v>
      </c>
      <c r="DN91" s="256">
        <v>0.037</v>
      </c>
      <c r="DO91" s="261">
        <f>+((((((DM91/4)*(1+DN91)^0.25))/(DL91*0.95))+(1+DN91)^(0.25))^4)-1</f>
        <v>0.0735066909482085</v>
      </c>
      <c r="DP91" s="208">
        <f t="shared" si="138"/>
        <v>0.002233491622329091</v>
      </c>
      <c r="DV91" s="261"/>
      <c r="DX91" s="123">
        <v>31.27</v>
      </c>
      <c r="DY91" s="123">
        <v>28.85</v>
      </c>
      <c r="DZ91" s="258">
        <f>AVERAGE(DX91:DY91)</f>
        <v>30.060000000000002</v>
      </c>
      <c r="EA91" s="123">
        <f t="shared" si="131"/>
        <v>1.3</v>
      </c>
      <c r="EB91" s="256">
        <v>0.0388</v>
      </c>
      <c r="EC91" s="261">
        <f t="shared" si="111"/>
        <v>0.08690270452341164</v>
      </c>
      <c r="ED91" s="208">
        <f t="shared" si="101"/>
        <v>0.004312862108352976</v>
      </c>
      <c r="EJ91" s="261"/>
      <c r="EK91" s="208"/>
      <c r="EL91" s="123">
        <v>51.52</v>
      </c>
      <c r="EM91" s="123">
        <v>46.73</v>
      </c>
      <c r="EN91" s="258">
        <f>AVERAGE(EL91:EM91)</f>
        <v>49.125</v>
      </c>
      <c r="EO91" s="258">
        <f t="shared" si="141"/>
        <v>0.86</v>
      </c>
      <c r="EP91" s="261">
        <v>0.0864</v>
      </c>
      <c r="EQ91" s="261">
        <f t="shared" si="113"/>
        <v>0.10655867731945379</v>
      </c>
      <c r="ER91" s="208">
        <f t="shared" si="129"/>
        <v>0.01510960313105017</v>
      </c>
      <c r="ET91" s="119">
        <v>1.8</v>
      </c>
      <c r="EU91" s="119">
        <v>1.3</v>
      </c>
      <c r="EX91" s="262">
        <v>3.6</v>
      </c>
      <c r="EY91" s="262">
        <v>6.3</v>
      </c>
      <c r="FA91" s="262">
        <v>1.2</v>
      </c>
      <c r="FB91" s="262">
        <v>1.6</v>
      </c>
      <c r="FC91" s="262">
        <v>0.9</v>
      </c>
      <c r="FE91" s="258">
        <v>2.9</v>
      </c>
      <c r="FF91" s="258">
        <v>1.66</v>
      </c>
      <c r="FG91" s="258">
        <v>1.79</v>
      </c>
      <c r="FJ91" s="258">
        <v>0.9</v>
      </c>
      <c r="FL91" s="258">
        <v>1.47</v>
      </c>
      <c r="FN91" s="258">
        <v>4.2</v>
      </c>
      <c r="FO91" s="258">
        <f>SUM(ET91:FN91)</f>
        <v>29.619999999999994</v>
      </c>
      <c r="FP91" s="261">
        <f t="shared" si="102"/>
        <v>0.09897860400208652</v>
      </c>
    </row>
    <row r="92" spans="1:188" ht="12.75">
      <c r="A92" s="263">
        <v>38384</v>
      </c>
      <c r="B92" s="123">
        <v>36.09</v>
      </c>
      <c r="C92" s="123">
        <v>33.91</v>
      </c>
      <c r="D92" s="255">
        <f>AVERAGE(B92:C92)</f>
        <v>35</v>
      </c>
      <c r="E92" s="255">
        <f>0.29*4</f>
        <v>1.16</v>
      </c>
      <c r="F92" s="256">
        <v>0.0432</v>
      </c>
      <c r="G92" s="261">
        <f t="shared" si="143"/>
        <v>0.08007325696949263</v>
      </c>
      <c r="H92" s="277">
        <f>G92*($ET92/$FO92)</f>
        <v>0.0057928696262046645</v>
      </c>
      <c r="I92" s="123">
        <v>29.15</v>
      </c>
      <c r="J92" s="123">
        <v>27.2</v>
      </c>
      <c r="K92" s="258">
        <f>AVERAGE(I92:J92)</f>
        <v>28.174999999999997</v>
      </c>
      <c r="L92" s="259">
        <f>0.31*4</f>
        <v>1.24</v>
      </c>
      <c r="M92" s="256">
        <v>0.044</v>
      </c>
      <c r="N92" s="261">
        <f t="shared" si="144"/>
        <v>0.09321212554398617</v>
      </c>
      <c r="O92" s="208">
        <f>N92*($EU92/$FO92)</f>
        <v>0.006590137123300568</v>
      </c>
      <c r="U92" s="261"/>
      <c r="Z92" s="258">
        <f>0.096*4</f>
        <v>0.384</v>
      </c>
      <c r="AB92" s="261"/>
      <c r="AD92" s="123">
        <v>60.06</v>
      </c>
      <c r="AE92" s="123">
        <v>56.96</v>
      </c>
      <c r="AF92" s="258">
        <f t="shared" si="115"/>
        <v>58.510000000000005</v>
      </c>
      <c r="AG92" s="258">
        <f t="shared" si="132"/>
        <v>1.52</v>
      </c>
      <c r="AH92" s="256">
        <v>0.095</v>
      </c>
      <c r="AI92" s="261">
        <f t="shared" si="106"/>
        <v>0.12525206259792832</v>
      </c>
      <c r="AJ92" s="208">
        <f t="shared" si="116"/>
        <v>0.01441572571827521</v>
      </c>
      <c r="AK92" s="123">
        <v>40.61</v>
      </c>
      <c r="AL92" s="123">
        <v>39.02</v>
      </c>
      <c r="AM92" s="258">
        <f t="shared" si="85"/>
        <v>39.815</v>
      </c>
      <c r="AN92" s="258">
        <v>1.82</v>
      </c>
      <c r="AO92" s="256">
        <v>0.042</v>
      </c>
      <c r="AP92" s="261">
        <f t="shared" si="117"/>
        <v>0.09305017478613986</v>
      </c>
      <c r="AQ92" s="208">
        <f t="shared" si="114"/>
        <v>0.019277083234221674</v>
      </c>
      <c r="AW92" s="261"/>
      <c r="AX92" s="261"/>
      <c r="AY92" s="123">
        <v>44.66</v>
      </c>
      <c r="AZ92" s="123">
        <v>42.98</v>
      </c>
      <c r="BA92" s="258">
        <f t="shared" si="133"/>
        <v>43.81999999999999</v>
      </c>
      <c r="BB92" s="255">
        <v>1.36</v>
      </c>
      <c r="BC92" s="256">
        <v>0.0586</v>
      </c>
      <c r="BD92" s="261">
        <f t="shared" si="134"/>
        <v>0.09360997036445995</v>
      </c>
      <c r="BE92" s="208">
        <f t="shared" si="135"/>
        <v>0.0033860890299541586</v>
      </c>
      <c r="BF92" s="123">
        <v>38.33</v>
      </c>
      <c r="BG92" s="123">
        <v>36.37</v>
      </c>
      <c r="BH92" s="258">
        <f t="shared" si="87"/>
        <v>37.349999999999994</v>
      </c>
      <c r="BI92" s="258">
        <f t="shared" si="120"/>
        <v>1.86</v>
      </c>
      <c r="BJ92" s="256">
        <v>0.0183</v>
      </c>
      <c r="BK92" s="261">
        <f t="shared" si="139"/>
        <v>0.07273800609976733</v>
      </c>
      <c r="BL92" s="208">
        <f t="shared" si="140"/>
        <v>0.003827057210116006</v>
      </c>
      <c r="BM92" s="123">
        <v>37.24</v>
      </c>
      <c r="BN92" s="123">
        <v>33.73</v>
      </c>
      <c r="BO92" s="255">
        <f>AVERAGE(BM92:BN92)</f>
        <v>35.485</v>
      </c>
      <c r="BP92" s="255">
        <v>1.3</v>
      </c>
      <c r="BQ92" s="256">
        <v>0.055</v>
      </c>
      <c r="BR92" s="261">
        <f t="shared" si="142"/>
        <v>0.09418436663510454</v>
      </c>
      <c r="BS92" s="208">
        <f>BR92*($FC92/$FO92)</f>
        <v>0.0027874360398419634</v>
      </c>
      <c r="BY92" s="261"/>
      <c r="BZ92" s="261"/>
      <c r="CA92" s="123">
        <v>29.8</v>
      </c>
      <c r="CB92" s="123">
        <v>27.79</v>
      </c>
      <c r="CC92" s="258">
        <f t="shared" si="82"/>
        <v>28.795</v>
      </c>
      <c r="CD92" s="258">
        <v>1</v>
      </c>
      <c r="CE92" s="256">
        <v>0.065</v>
      </c>
      <c r="CF92" s="261">
        <f t="shared" si="69"/>
        <v>0.10446915958809333</v>
      </c>
      <c r="CG92" s="208">
        <f t="shared" si="122"/>
        <v>0.009618995292557098</v>
      </c>
      <c r="CH92" s="123">
        <v>44</v>
      </c>
      <c r="CI92" s="123">
        <v>41.8</v>
      </c>
      <c r="CJ92" s="258">
        <f>AVERAGE(CH92:CI92)</f>
        <v>42.9</v>
      </c>
      <c r="CK92" s="258">
        <f>0.545*4</f>
        <v>2.18</v>
      </c>
      <c r="CL92" s="256">
        <v>0.0426</v>
      </c>
      <c r="CM92" s="261">
        <f t="shared" si="109"/>
        <v>0.09949773065793166</v>
      </c>
      <c r="CN92" s="208">
        <f t="shared" si="100"/>
        <v>0.005398594396106124</v>
      </c>
      <c r="CO92" s="123">
        <v>24.27</v>
      </c>
      <c r="CP92" s="123">
        <v>22.65</v>
      </c>
      <c r="CQ92" s="258">
        <f t="shared" si="124"/>
        <v>23.46</v>
      </c>
      <c r="CR92" s="258">
        <f>0.23*4</f>
        <v>0.92</v>
      </c>
      <c r="CS92" s="256">
        <v>0.0525</v>
      </c>
      <c r="CT92" s="261">
        <f t="shared" si="110"/>
        <v>0.09662404337820218</v>
      </c>
      <c r="CU92" s="208">
        <f t="shared" si="126"/>
        <v>0.005623957802677339</v>
      </c>
      <c r="DA92" s="261"/>
      <c r="DB92" s="261"/>
      <c r="DC92" s="286"/>
      <c r="DH92" s="261"/>
      <c r="DJ92" s="123">
        <v>25.9</v>
      </c>
      <c r="DK92" s="123">
        <v>24</v>
      </c>
      <c r="DL92" s="258">
        <f>AVERAGE(DJ92:DK92)</f>
        <v>24.95</v>
      </c>
      <c r="DM92" s="258">
        <f t="shared" si="137"/>
        <v>0.82</v>
      </c>
      <c r="DN92" s="256">
        <v>0.0647</v>
      </c>
      <c r="DO92" s="261">
        <f>+((((((DM92/4)*(1+DN92)^0.25))/(DL92*0.95))+(1+DN92)^(0.25))^4)-1</f>
        <v>0.10201445429490019</v>
      </c>
      <c r="DP92" s="208">
        <f t="shared" si="138"/>
        <v>0.0030191716167514036</v>
      </c>
      <c r="DV92" s="261"/>
      <c r="DW92" s="261"/>
      <c r="DX92" s="123">
        <v>31.66</v>
      </c>
      <c r="DY92" s="123">
        <v>29.93</v>
      </c>
      <c r="DZ92" s="258">
        <f>AVERAGE(DX92:DY92)</f>
        <v>30.795</v>
      </c>
      <c r="EA92" s="123">
        <f t="shared" si="131"/>
        <v>1.3</v>
      </c>
      <c r="EB92" s="256">
        <v>0.0388</v>
      </c>
      <c r="EC92" s="261">
        <f t="shared" si="111"/>
        <v>0.08573552160040698</v>
      </c>
      <c r="ED92" s="208">
        <f t="shared" si="101"/>
        <v>0.00405982081896041</v>
      </c>
      <c r="EE92" s="119"/>
      <c r="EF92" s="119"/>
      <c r="EG92" s="119"/>
      <c r="EH92" s="123"/>
      <c r="EI92" s="119"/>
      <c r="EJ92" s="261"/>
      <c r="EK92" s="208"/>
      <c r="EL92" s="123">
        <v>53.57</v>
      </c>
      <c r="EM92" s="123">
        <v>49.38</v>
      </c>
      <c r="EN92" s="258">
        <f>AVERAGE(EL92:EM92)</f>
        <v>51.475</v>
      </c>
      <c r="EO92" s="123">
        <f t="shared" si="141"/>
        <v>0.86</v>
      </c>
      <c r="EP92" s="261">
        <v>0.085</v>
      </c>
      <c r="EQ92" s="261">
        <f t="shared" si="113"/>
        <v>0.10420752086963936</v>
      </c>
      <c r="ER92" s="208">
        <f t="shared" si="129"/>
        <v>0.014049682195512048</v>
      </c>
      <c r="ES92" s="261"/>
      <c r="ET92" s="119">
        <v>2.2</v>
      </c>
      <c r="EU92" s="119">
        <v>2.15</v>
      </c>
      <c r="EV92" s="119"/>
      <c r="EX92" s="262">
        <v>3.5</v>
      </c>
      <c r="EY92" s="262">
        <v>6.3</v>
      </c>
      <c r="FA92" s="262">
        <v>1.1</v>
      </c>
      <c r="FB92" s="262">
        <v>1.6</v>
      </c>
      <c r="FC92" s="262">
        <v>0.9</v>
      </c>
      <c r="FE92" s="258">
        <v>2.8</v>
      </c>
      <c r="FF92" s="258">
        <v>1.65</v>
      </c>
      <c r="FG92" s="258">
        <v>1.77</v>
      </c>
      <c r="FJ92" s="258">
        <v>0.9</v>
      </c>
      <c r="FL92" s="258">
        <v>1.44</v>
      </c>
      <c r="FN92" s="258">
        <v>4.1</v>
      </c>
      <c r="FO92" s="258">
        <f>SUM(ET92:FN92)</f>
        <v>30.409999999999997</v>
      </c>
      <c r="FP92" s="261">
        <f t="shared" si="102"/>
        <v>0.09784662010447866</v>
      </c>
      <c r="GF92" s="258"/>
    </row>
    <row r="93" spans="1:172" ht="12.75">
      <c r="A93" s="263">
        <v>38412</v>
      </c>
      <c r="B93" s="123">
        <v>35.84</v>
      </c>
      <c r="C93" s="123">
        <v>34.07</v>
      </c>
      <c r="D93" s="255">
        <f>AVERAGE(B93:C93)</f>
        <v>34.955</v>
      </c>
      <c r="E93" s="255">
        <f>0.31*4</f>
        <v>1.24</v>
      </c>
      <c r="F93" s="256">
        <v>0.0432</v>
      </c>
      <c r="G93" s="261">
        <f t="shared" si="143"/>
        <v>0.08270326461853994</v>
      </c>
      <c r="H93" s="277">
        <f>G93*($ET93/$FO93)</f>
        <v>0.0058260384937812324</v>
      </c>
      <c r="I93" s="123">
        <v>28.45</v>
      </c>
      <c r="J93" s="123">
        <v>26.7</v>
      </c>
      <c r="K93" s="258">
        <f>AVERAGE(I93:J93)</f>
        <v>27.575</v>
      </c>
      <c r="L93" s="259">
        <f>0.31*4</f>
        <v>1.24</v>
      </c>
      <c r="M93" s="256">
        <v>0.044</v>
      </c>
      <c r="N93" s="261">
        <f t="shared" si="144"/>
        <v>0.09430189748849505</v>
      </c>
      <c r="O93" s="208">
        <f>N93*($EU93/$FO93)</f>
        <v>0.006582713305312815</v>
      </c>
      <c r="U93" s="261"/>
      <c r="W93" s="123">
        <v>34.09</v>
      </c>
      <c r="X93" s="123">
        <v>32.1</v>
      </c>
      <c r="Y93" s="258">
        <f aca="true" t="shared" si="145" ref="Y93:Y101">AVERAGE(W93:X93)</f>
        <v>33.095</v>
      </c>
      <c r="Z93" s="258">
        <f>0.1*4</f>
        <v>0.4</v>
      </c>
      <c r="AA93" s="77">
        <v>0.065</v>
      </c>
      <c r="AB93" s="261"/>
      <c r="AC93" s="208"/>
      <c r="AD93" s="123">
        <v>61.24</v>
      </c>
      <c r="AE93" s="123">
        <v>56.01</v>
      </c>
      <c r="AF93" s="258">
        <f t="shared" si="115"/>
        <v>58.625</v>
      </c>
      <c r="AG93" s="258">
        <f t="shared" si="132"/>
        <v>1.52</v>
      </c>
      <c r="AH93" s="256">
        <v>0.095</v>
      </c>
      <c r="AI93" s="261">
        <f t="shared" si="106"/>
        <v>0.12519211288809529</v>
      </c>
      <c r="AJ93" s="208">
        <f t="shared" si="116"/>
        <v>0.014431367479895712</v>
      </c>
      <c r="AK93" s="123">
        <v>40.9</v>
      </c>
      <c r="AL93" s="123">
        <v>38.21</v>
      </c>
      <c r="AM93" s="258">
        <f t="shared" si="85"/>
        <v>39.555</v>
      </c>
      <c r="AN93" s="258">
        <v>1.82</v>
      </c>
      <c r="AO93" s="256">
        <v>0.042</v>
      </c>
      <c r="AP93" s="261">
        <f t="shared" si="117"/>
        <v>0.09339181652377149</v>
      </c>
      <c r="AQ93" s="208">
        <f t="shared" si="114"/>
        <v>0.01883984771372912</v>
      </c>
      <c r="AW93" s="261"/>
      <c r="AY93" s="123">
        <v>45.5</v>
      </c>
      <c r="AZ93" s="123">
        <v>42.69</v>
      </c>
      <c r="BA93" s="258">
        <f t="shared" si="133"/>
        <v>44.095</v>
      </c>
      <c r="BB93" s="255">
        <v>1.36</v>
      </c>
      <c r="BC93" s="256">
        <v>0.0586</v>
      </c>
      <c r="BD93" s="261">
        <f t="shared" si="134"/>
        <v>0.09338897499108745</v>
      </c>
      <c r="BE93" s="208">
        <f t="shared" si="135"/>
        <v>0.003588433236929393</v>
      </c>
      <c r="BF93" s="123">
        <v>38.13</v>
      </c>
      <c r="BG93" s="123">
        <v>36.1</v>
      </c>
      <c r="BH93" s="258">
        <f t="shared" si="87"/>
        <v>37.115</v>
      </c>
      <c r="BI93" s="258">
        <f t="shared" si="120"/>
        <v>1.86</v>
      </c>
      <c r="BJ93" s="256">
        <v>0.0183</v>
      </c>
      <c r="BK93" s="261">
        <f t="shared" si="139"/>
        <v>0.07308949342739668</v>
      </c>
      <c r="BL93" s="208">
        <f t="shared" si="140"/>
        <v>0.003744578593782732</v>
      </c>
      <c r="BM93" s="123">
        <v>37.17</v>
      </c>
      <c r="BN93" s="123">
        <v>35.04</v>
      </c>
      <c r="BO93" s="255">
        <f>AVERAGE(BM93:BN93)</f>
        <v>36.105000000000004</v>
      </c>
      <c r="BP93" s="255">
        <v>1.3</v>
      </c>
      <c r="BQ93" s="256">
        <v>0.055</v>
      </c>
      <c r="BR93" s="261">
        <f t="shared" si="142"/>
        <v>0.09350241692488348</v>
      </c>
      <c r="BS93" s="208">
        <f>BR93*($FC93/$FO93)</f>
        <v>0.0028442938225628983</v>
      </c>
      <c r="BY93" s="261"/>
      <c r="CA93" s="123">
        <v>31.03</v>
      </c>
      <c r="CB93" s="123">
        <v>29.42</v>
      </c>
      <c r="CC93" s="258">
        <f t="shared" si="82"/>
        <v>30.225</v>
      </c>
      <c r="CD93" s="258">
        <v>1</v>
      </c>
      <c r="CE93" s="256">
        <v>0.065</v>
      </c>
      <c r="CF93" s="261">
        <f t="shared" si="69"/>
        <v>0.10257745853709888</v>
      </c>
      <c r="CG93" s="208">
        <f t="shared" si="122"/>
        <v>0.009853742414706906</v>
      </c>
      <c r="CH93" s="123">
        <v>45.1</v>
      </c>
      <c r="CI93" s="123">
        <v>41.11</v>
      </c>
      <c r="CJ93" s="258">
        <f>AVERAGE(CH93:CI93)</f>
        <v>43.105000000000004</v>
      </c>
      <c r="CK93" s="258">
        <f>0.545*4</f>
        <v>2.18</v>
      </c>
      <c r="CL93" s="256">
        <v>0.0426</v>
      </c>
      <c r="CM93" s="261">
        <f t="shared" si="109"/>
        <v>0.09922174525840233</v>
      </c>
      <c r="CN93" s="208">
        <f t="shared" si="100"/>
        <v>0.0051787206138711435</v>
      </c>
      <c r="CO93" s="123">
        <v>24.44</v>
      </c>
      <c r="CP93" s="123">
        <v>22.63</v>
      </c>
      <c r="CQ93" s="258">
        <f t="shared" si="124"/>
        <v>23.535</v>
      </c>
      <c r="CR93" s="258">
        <f>0.23*4</f>
        <v>0.92</v>
      </c>
      <c r="CS93" s="256">
        <v>0.0525</v>
      </c>
      <c r="CT93" s="261">
        <f t="shared" si="110"/>
        <v>0.09648126550165759</v>
      </c>
      <c r="CU93" s="208">
        <f t="shared" si="126"/>
        <v>0.005499092302047728</v>
      </c>
      <c r="DA93" s="261"/>
      <c r="DH93" s="261"/>
      <c r="DJ93" s="123">
        <v>26.13</v>
      </c>
      <c r="DK93" s="123">
        <v>23.66</v>
      </c>
      <c r="DL93" s="258">
        <f>AVERAGE(DJ93:DK93)</f>
        <v>24.895</v>
      </c>
      <c r="DM93" s="258">
        <f t="shared" si="137"/>
        <v>0.82</v>
      </c>
      <c r="DN93" s="256">
        <v>0.0647</v>
      </c>
      <c r="DO93" s="261">
        <f>+((((((DM93/4)*(1+DN93)^0.25))/(DL93*0.95))+(1+DN93)^(0.25))^4)-1</f>
        <v>0.10209796264024251</v>
      </c>
      <c r="DP93" s="208">
        <f t="shared" si="138"/>
        <v>0.0029423043988542515</v>
      </c>
      <c r="DV93" s="261"/>
      <c r="DX93" s="123">
        <v>31.97</v>
      </c>
      <c r="DY93" s="123">
        <v>30</v>
      </c>
      <c r="DZ93" s="258">
        <f>AVERAGE(DX93:DY93)</f>
        <v>30.985</v>
      </c>
      <c r="EA93" s="123">
        <f>0.325*4</f>
        <v>1.3</v>
      </c>
      <c r="EB93" s="256">
        <v>0.0388</v>
      </c>
      <c r="EC93" s="261">
        <f t="shared" si="111"/>
        <v>0.08544295565718696</v>
      </c>
      <c r="ED93" s="208">
        <f t="shared" si="101"/>
        <v>0.004076529104361466</v>
      </c>
      <c r="EJ93" s="261"/>
      <c r="EK93" s="208"/>
      <c r="EL93" s="123">
        <v>62.75</v>
      </c>
      <c r="EM93" s="123">
        <v>52.19</v>
      </c>
      <c r="EN93" s="258">
        <f>AVERAGE(EL93:EM93)</f>
        <v>57.47</v>
      </c>
      <c r="EO93" s="258">
        <f t="shared" si="141"/>
        <v>0.86</v>
      </c>
      <c r="EP93" s="261">
        <v>0.085</v>
      </c>
      <c r="EQ93" s="261">
        <f t="shared" si="113"/>
        <v>0.10219205956620225</v>
      </c>
      <c r="ER93" s="208">
        <f t="shared" si="129"/>
        <v>0.01439785661515498</v>
      </c>
      <c r="ET93" s="262">
        <v>2.2</v>
      </c>
      <c r="EU93" s="262">
        <v>2.18</v>
      </c>
      <c r="EX93" s="262">
        <v>3.6</v>
      </c>
      <c r="EY93" s="262">
        <v>6.3</v>
      </c>
      <c r="FA93" s="262">
        <v>1.2</v>
      </c>
      <c r="FB93" s="262">
        <v>1.6</v>
      </c>
      <c r="FC93" s="262">
        <v>0.95</v>
      </c>
      <c r="FE93" s="258">
        <v>3</v>
      </c>
      <c r="FF93" s="258">
        <v>1.63</v>
      </c>
      <c r="FG93" s="258">
        <v>1.78</v>
      </c>
      <c r="FJ93" s="258">
        <v>0.9</v>
      </c>
      <c r="FL93" s="258">
        <v>1.49</v>
      </c>
      <c r="FN93" s="258">
        <v>4.4</v>
      </c>
      <c r="FO93" s="258">
        <f>SUM(ET93:FN93)</f>
        <v>31.229999999999997</v>
      </c>
      <c r="FP93" s="261">
        <f t="shared" si="102"/>
        <v>0.0978055180949904</v>
      </c>
    </row>
    <row r="94" spans="1:172" ht="12.75">
      <c r="A94" s="263">
        <v>38443</v>
      </c>
      <c r="B94" s="123">
        <v>27.75</v>
      </c>
      <c r="C94" s="123">
        <v>25.5</v>
      </c>
      <c r="D94" s="255">
        <f aca="true" t="shared" si="146" ref="D94:D116">AVERAGE(B94:C94)</f>
        <v>26.625</v>
      </c>
      <c r="E94" s="255">
        <f aca="true" t="shared" si="147" ref="E94:E99">0.31*4</f>
        <v>1.24</v>
      </c>
      <c r="F94" s="256">
        <v>0.0432</v>
      </c>
      <c r="G94" s="261">
        <f t="shared" si="143"/>
        <v>0.0952896996341388</v>
      </c>
      <c r="H94" s="277">
        <f aca="true" t="shared" si="148" ref="H94:H116">G94*($ET94/$FO94)</f>
        <v>0.007928550630898258</v>
      </c>
      <c r="I94" s="123">
        <v>36.3</v>
      </c>
      <c r="J94" s="123">
        <v>33.8</v>
      </c>
      <c r="K94" s="258">
        <f aca="true" t="shared" si="149" ref="K94:K116">AVERAGE(I94:J94)</f>
        <v>35.05</v>
      </c>
      <c r="L94" s="259">
        <f aca="true" t="shared" si="150" ref="L94:L102">0.31*4</f>
        <v>1.24</v>
      </c>
      <c r="M94" s="77">
        <v>0.0554</v>
      </c>
      <c r="N94" s="261">
        <f t="shared" si="144"/>
        <v>0.09525541415224503</v>
      </c>
      <c r="O94" s="208">
        <f aca="true" t="shared" si="151" ref="O94:O116">N94*($EU94/$FO94)</f>
        <v>0.006582163821834057</v>
      </c>
      <c r="U94" s="261"/>
      <c r="W94" s="123">
        <v>33.66</v>
      </c>
      <c r="X94" s="123">
        <v>30.4</v>
      </c>
      <c r="Y94" s="258">
        <f t="shared" si="145"/>
        <v>32.03</v>
      </c>
      <c r="Z94" s="258">
        <v>0.4</v>
      </c>
      <c r="AA94" s="77">
        <v>0.065</v>
      </c>
      <c r="AB94" s="261">
        <f aca="true" t="shared" si="152" ref="AB94:AB103">+((((((Z94/4)*(1+AA94)^0.25))/(Y94*0.95))+(1+AA94)^(0.25))^4)-1</f>
        <v>0.07906919860230666</v>
      </c>
      <c r="AC94" s="208">
        <f aca="true" t="shared" si="153" ref="AC94:AC103">AB94*($EW94/$FO94)</f>
        <v>0.005688655379329971</v>
      </c>
      <c r="AD94" s="123">
        <v>29.52</v>
      </c>
      <c r="AE94" s="123">
        <v>28.16</v>
      </c>
      <c r="AF94" s="258">
        <f>AVERAGE(AD94:AE94)</f>
        <v>28.84</v>
      </c>
      <c r="AG94" s="258">
        <f>0.19*4</f>
        <v>0.76</v>
      </c>
      <c r="AH94" s="256">
        <v>0.094</v>
      </c>
      <c r="AI94" s="261">
        <f t="shared" si="106"/>
        <v>0.12466387603867757</v>
      </c>
      <c r="AJ94" s="208">
        <f t="shared" si="116"/>
        <v>0.015274050976257355</v>
      </c>
      <c r="AK94" s="123">
        <v>39.89</v>
      </c>
      <c r="AL94" s="123">
        <v>36.83</v>
      </c>
      <c r="AM94" s="258">
        <f t="shared" si="85"/>
        <v>38.36</v>
      </c>
      <c r="AN94" s="258">
        <v>1.82</v>
      </c>
      <c r="AO94" s="256">
        <v>0.043</v>
      </c>
      <c r="AP94" s="261">
        <f t="shared" si="117"/>
        <v>0.0960736018256263</v>
      </c>
      <c r="AQ94" s="208">
        <f t="shared" si="114"/>
        <v>0.01867734327691509</v>
      </c>
      <c r="AR94" s="287">
        <v>30.75</v>
      </c>
      <c r="AS94" s="287">
        <v>26.9</v>
      </c>
      <c r="AW94" s="261"/>
      <c r="AY94" s="123">
        <v>44.57</v>
      </c>
      <c r="AZ94" s="123">
        <v>42.63</v>
      </c>
      <c r="BA94" s="258">
        <f t="shared" si="133"/>
        <v>43.6</v>
      </c>
      <c r="BB94" s="255">
        <v>1.36</v>
      </c>
      <c r="BC94" s="256">
        <v>0.0586</v>
      </c>
      <c r="BD94" s="261">
        <f t="shared" si="134"/>
        <v>0.09378879838483178</v>
      </c>
      <c r="BE94" s="208">
        <f t="shared" si="135"/>
        <v>0.0035796384504153535</v>
      </c>
      <c r="BF94" s="123">
        <v>37.81</v>
      </c>
      <c r="BG94" s="123">
        <v>35.76</v>
      </c>
      <c r="BH94" s="258">
        <f t="shared" si="87"/>
        <v>36.785</v>
      </c>
      <c r="BI94" s="258">
        <f t="shared" si="120"/>
        <v>1.86</v>
      </c>
      <c r="BJ94" s="256">
        <v>0.0183</v>
      </c>
      <c r="BK94" s="261">
        <f t="shared" si="139"/>
        <v>0.07359080186567857</v>
      </c>
      <c r="BL94" s="208">
        <f t="shared" si="140"/>
        <v>0.003917982399035339</v>
      </c>
      <c r="BM94" s="123">
        <v>36.5</v>
      </c>
      <c r="BN94" s="123">
        <v>34.36</v>
      </c>
      <c r="BR94" s="261"/>
      <c r="BY94" s="261"/>
      <c r="BZ94" s="25"/>
      <c r="CA94" s="123">
        <v>31.7</v>
      </c>
      <c r="CB94" s="123">
        <v>27.98</v>
      </c>
      <c r="CC94" s="258">
        <f t="shared" si="82"/>
        <v>29.84</v>
      </c>
      <c r="CD94" s="258">
        <v>1</v>
      </c>
      <c r="CE94" s="256">
        <v>0.065</v>
      </c>
      <c r="CF94" s="261">
        <f t="shared" si="69"/>
        <v>0.1030686929426392</v>
      </c>
      <c r="CG94" s="208">
        <f t="shared" si="122"/>
        <v>0.009776848079004547</v>
      </c>
      <c r="CH94" s="287">
        <v>42.68</v>
      </c>
      <c r="CI94" s="287">
        <v>38.75</v>
      </c>
      <c r="CM94" s="261"/>
      <c r="CO94" s="123">
        <v>23.4</v>
      </c>
      <c r="CP94" s="123">
        <v>21.76</v>
      </c>
      <c r="CQ94" s="258">
        <f t="shared" si="124"/>
        <v>22.58</v>
      </c>
      <c r="CR94" s="258">
        <f aca="true" t="shared" si="154" ref="CR94:CR101">0.23*4</f>
        <v>0.92</v>
      </c>
      <c r="CS94" s="256">
        <v>0.0525</v>
      </c>
      <c r="CT94" s="261">
        <f t="shared" si="110"/>
        <v>0.09837128561010533</v>
      </c>
      <c r="CU94" s="208">
        <f t="shared" si="126"/>
        <v>0.005666047898423997</v>
      </c>
      <c r="DA94" s="261"/>
      <c r="DC94" s="287">
        <v>29.68</v>
      </c>
      <c r="DD94" s="287">
        <v>26.66</v>
      </c>
      <c r="DH94" s="261"/>
      <c r="DJ94" s="287">
        <v>25.59</v>
      </c>
      <c r="DK94" s="287">
        <v>23.53</v>
      </c>
      <c r="DO94" s="261"/>
      <c r="DQ94" s="287">
        <v>25.3</v>
      </c>
      <c r="DR94" s="287">
        <v>22.2</v>
      </c>
      <c r="DV94" s="261"/>
      <c r="DX94" s="123">
        <v>31.35</v>
      </c>
      <c r="DY94" s="123">
        <v>29.66</v>
      </c>
      <c r="DZ94" s="258">
        <f>AVERAGE(DX94:DY94)</f>
        <v>30.505000000000003</v>
      </c>
      <c r="EA94" s="123">
        <f>0.325*4</f>
        <v>1.3</v>
      </c>
      <c r="EB94" s="256">
        <v>0.0388</v>
      </c>
      <c r="EC94" s="261">
        <f t="shared" si="111"/>
        <v>0.08618921302434202</v>
      </c>
      <c r="ED94" s="208">
        <f t="shared" si="101"/>
        <v>0.004181764232513704</v>
      </c>
      <c r="EE94" s="287">
        <v>29.33</v>
      </c>
      <c r="EF94" s="287">
        <v>26.8</v>
      </c>
      <c r="EJ94" s="261"/>
      <c r="EK94" s="208"/>
      <c r="EL94" s="123">
        <v>61.5</v>
      </c>
      <c r="EM94" s="123">
        <v>54.49</v>
      </c>
      <c r="EN94" s="258">
        <f>AVERAGE(EL94:EM94)</f>
        <v>57.995000000000005</v>
      </c>
      <c r="EO94" s="258">
        <f t="shared" si="141"/>
        <v>0.86</v>
      </c>
      <c r="EP94" s="261">
        <v>0.0881</v>
      </c>
      <c r="EQ94" s="261">
        <f t="shared" si="113"/>
        <v>0.10518419091367748</v>
      </c>
      <c r="ER94" s="208">
        <f t="shared" si="129"/>
        <v>0.01750682120628083</v>
      </c>
      <c r="ET94" s="262">
        <v>2.749</v>
      </c>
      <c r="EU94" s="262">
        <v>2.283</v>
      </c>
      <c r="EW94" s="262">
        <v>2.377</v>
      </c>
      <c r="EX94" s="262">
        <v>4.048</v>
      </c>
      <c r="EY94" s="262">
        <v>6.423</v>
      </c>
      <c r="FA94" s="262">
        <v>1.261</v>
      </c>
      <c r="FB94" s="262">
        <v>1.759</v>
      </c>
      <c r="FE94" s="258">
        <v>3.134</v>
      </c>
      <c r="FG94" s="258">
        <v>1.903</v>
      </c>
      <c r="FL94" s="258">
        <v>1.603</v>
      </c>
      <c r="FN94" s="258">
        <v>5.499</v>
      </c>
      <c r="FO94" s="258">
        <f>SUM(ET94:FN94)</f>
        <v>33.039</v>
      </c>
      <c r="FP94" s="261">
        <f t="shared" si="102"/>
        <v>0.0987798663509085</v>
      </c>
    </row>
    <row r="95" spans="1:172" ht="12.75">
      <c r="A95" s="263">
        <v>38473</v>
      </c>
      <c r="B95" s="123">
        <v>28.29</v>
      </c>
      <c r="C95" s="123">
        <v>26.15</v>
      </c>
      <c r="D95" s="255">
        <f t="shared" si="146"/>
        <v>27.22</v>
      </c>
      <c r="E95" s="255">
        <f t="shared" si="147"/>
        <v>1.24</v>
      </c>
      <c r="F95" s="77">
        <v>0.0393</v>
      </c>
      <c r="G95" s="261">
        <f t="shared" si="143"/>
        <v>0.09004024191314253</v>
      </c>
      <c r="H95" s="277">
        <f t="shared" si="148"/>
        <v>0.007491771089295342</v>
      </c>
      <c r="I95" s="123">
        <v>35.29</v>
      </c>
      <c r="J95" s="123">
        <v>33.4</v>
      </c>
      <c r="K95" s="258">
        <f t="shared" si="149"/>
        <v>34.345</v>
      </c>
      <c r="L95" s="259">
        <f t="shared" si="150"/>
        <v>1.24</v>
      </c>
      <c r="M95" s="77">
        <v>0.0554</v>
      </c>
      <c r="N95" s="261">
        <f t="shared" si="144"/>
        <v>0.09608516905526598</v>
      </c>
      <c r="O95" s="208">
        <f t="shared" si="151"/>
        <v>0.006639500013716281</v>
      </c>
      <c r="U95" s="261"/>
      <c r="W95" s="123">
        <v>32.65</v>
      </c>
      <c r="X95" s="123">
        <v>28.75</v>
      </c>
      <c r="Y95" s="258">
        <f t="shared" si="145"/>
        <v>30.7</v>
      </c>
      <c r="Z95" s="258">
        <v>0.4</v>
      </c>
      <c r="AA95" s="77">
        <v>0.065</v>
      </c>
      <c r="AB95" s="261">
        <f t="shared" si="152"/>
        <v>0.0796818445013101</v>
      </c>
      <c r="AC95" s="208">
        <f t="shared" si="153"/>
        <v>0.005732732358110539</v>
      </c>
      <c r="AD95" s="123">
        <v>31.87</v>
      </c>
      <c r="AE95" s="123">
        <v>28.77</v>
      </c>
      <c r="AF95" s="258">
        <f>AVERAGE(AD95:AE95)</f>
        <v>30.32</v>
      </c>
      <c r="AG95" s="258">
        <f>0.19*4</f>
        <v>0.76</v>
      </c>
      <c r="AH95" s="256">
        <v>0.094</v>
      </c>
      <c r="AI95" s="261">
        <f t="shared" si="106"/>
        <v>0.12315230126829468</v>
      </c>
      <c r="AJ95" s="208">
        <f t="shared" si="116"/>
        <v>0.015088850011624348</v>
      </c>
      <c r="AK95" s="123">
        <v>39.98</v>
      </c>
      <c r="AL95" s="123">
        <v>37.62</v>
      </c>
      <c r="AM95" s="258">
        <f t="shared" si="85"/>
        <v>38.8</v>
      </c>
      <c r="AN95" s="258">
        <v>1.82</v>
      </c>
      <c r="AO95" s="256">
        <v>0.043</v>
      </c>
      <c r="AP95" s="261">
        <f t="shared" si="117"/>
        <v>0.0954606167510772</v>
      </c>
      <c r="AQ95" s="208">
        <f t="shared" si="114"/>
        <v>0.018558174926364867</v>
      </c>
      <c r="AR95" s="287">
        <v>30.35</v>
      </c>
      <c r="AS95" s="287">
        <v>27.26</v>
      </c>
      <c r="AW95" s="261"/>
      <c r="AY95" s="123">
        <v>46.02</v>
      </c>
      <c r="AZ95" s="123">
        <v>43.45</v>
      </c>
      <c r="BA95" s="258">
        <f t="shared" si="133"/>
        <v>44.735</v>
      </c>
      <c r="BB95" s="255">
        <v>1.36</v>
      </c>
      <c r="BC95" s="256">
        <v>0.0586</v>
      </c>
      <c r="BD95" s="261">
        <f t="shared" si="134"/>
        <v>0.09288530341472567</v>
      </c>
      <c r="BE95" s="208">
        <f t="shared" si="135"/>
        <v>0.003545154744573657</v>
      </c>
      <c r="BF95" s="123">
        <v>39.82</v>
      </c>
      <c r="BG95" s="123">
        <v>36.81</v>
      </c>
      <c r="BH95" s="258">
        <f t="shared" si="87"/>
        <v>38.315</v>
      </c>
      <c r="BI95" s="258">
        <f t="shared" si="120"/>
        <v>1.86</v>
      </c>
      <c r="BJ95" s="256">
        <v>0.0183</v>
      </c>
      <c r="BK95" s="261">
        <f t="shared" si="139"/>
        <v>0.07134072378773504</v>
      </c>
      <c r="BL95" s="208">
        <f t="shared" si="140"/>
        <v>0.0037981879942681654</v>
      </c>
      <c r="BM95" s="123">
        <v>37.71</v>
      </c>
      <c r="BN95" s="123">
        <v>35.04</v>
      </c>
      <c r="BO95" s="255"/>
      <c r="BP95" s="255"/>
      <c r="BR95" s="261"/>
      <c r="BS95" s="208"/>
      <c r="BY95" s="261"/>
      <c r="BZ95" s="25"/>
      <c r="CA95" s="123">
        <v>30.88</v>
      </c>
      <c r="CB95" s="123">
        <v>28.81</v>
      </c>
      <c r="CC95" s="258">
        <f t="shared" si="82"/>
        <v>29.845</v>
      </c>
      <c r="CD95" s="258">
        <f>0.28*4</f>
        <v>1.12</v>
      </c>
      <c r="CE95" s="256">
        <v>0.065</v>
      </c>
      <c r="CF95" s="261">
        <f t="shared" si="69"/>
        <v>0.1076973050156178</v>
      </c>
      <c r="CG95" s="208">
        <f t="shared" si="122"/>
        <v>0.010215907077058814</v>
      </c>
      <c r="CH95" s="287">
        <v>42.89</v>
      </c>
      <c r="CI95" s="287">
        <v>39.4</v>
      </c>
      <c r="CM95" s="261"/>
      <c r="CO95" s="123">
        <v>24.7</v>
      </c>
      <c r="CP95" s="123">
        <v>22.84</v>
      </c>
      <c r="CQ95" s="258">
        <f t="shared" si="124"/>
        <v>23.77</v>
      </c>
      <c r="CR95" s="258">
        <f t="shared" si="154"/>
        <v>0.92</v>
      </c>
      <c r="CS95" s="256">
        <v>0.0498</v>
      </c>
      <c r="CT95" s="261">
        <f t="shared" si="110"/>
        <v>0.09322812390244084</v>
      </c>
      <c r="CU95" s="208">
        <f t="shared" si="126"/>
        <v>0.005369809007123245</v>
      </c>
      <c r="DA95" s="261"/>
      <c r="DC95" s="287">
        <v>29</v>
      </c>
      <c r="DD95" s="287">
        <v>27.23</v>
      </c>
      <c r="DH95" s="261"/>
      <c r="DJ95" s="287">
        <v>25.38</v>
      </c>
      <c r="DK95" s="287">
        <v>24.35</v>
      </c>
      <c r="DL95" s="288"/>
      <c r="DO95" s="261"/>
      <c r="DQ95" s="287">
        <v>27.26</v>
      </c>
      <c r="DR95" s="287">
        <v>25.2</v>
      </c>
      <c r="DV95" s="261"/>
      <c r="DX95" s="123">
        <v>32.8</v>
      </c>
      <c r="DY95" s="123">
        <v>30.32</v>
      </c>
      <c r="DZ95" s="258">
        <f>AVERAGE(DX95:DY95)</f>
        <v>31.56</v>
      </c>
      <c r="EA95" s="258">
        <f>0.333*4</f>
        <v>1.332</v>
      </c>
      <c r="EB95" s="256">
        <v>0.0388</v>
      </c>
      <c r="EC95" s="261">
        <f t="shared" si="111"/>
        <v>0.08572498472537915</v>
      </c>
      <c r="ED95" s="208">
        <f t="shared" si="101"/>
        <v>0.004159240610030049</v>
      </c>
      <c r="EE95" s="287">
        <v>28.2</v>
      </c>
      <c r="EF95" s="287">
        <v>26.2</v>
      </c>
      <c r="EJ95" s="261"/>
      <c r="EK95" s="208"/>
      <c r="EL95" s="123">
        <v>63.19</v>
      </c>
      <c r="EM95" s="123">
        <v>54.85</v>
      </c>
      <c r="EN95" s="258">
        <f>AVERAGE(EL95:EM95)</f>
        <v>59.019999999999996</v>
      </c>
      <c r="EO95" s="258">
        <f t="shared" si="141"/>
        <v>0.86</v>
      </c>
      <c r="EP95" s="261">
        <v>0.0881</v>
      </c>
      <c r="EQ95" s="261">
        <f t="shared" si="113"/>
        <v>0.10488578448440289</v>
      </c>
      <c r="ER95" s="208">
        <f t="shared" si="129"/>
        <v>0.017457154540988874</v>
      </c>
      <c r="ET95" s="262">
        <v>2.749</v>
      </c>
      <c r="EU95" s="262">
        <v>2.283</v>
      </c>
      <c r="EW95" s="262">
        <v>2.377</v>
      </c>
      <c r="EX95" s="262">
        <v>4.048</v>
      </c>
      <c r="EY95" s="262">
        <v>6.423</v>
      </c>
      <c r="FA95" s="262">
        <v>1.261</v>
      </c>
      <c r="FB95" s="262">
        <v>1.759</v>
      </c>
      <c r="FE95" s="258">
        <v>3.134</v>
      </c>
      <c r="FG95" s="258">
        <v>1.903</v>
      </c>
      <c r="FL95" s="258">
        <v>1.603</v>
      </c>
      <c r="FN95" s="258">
        <v>5.499</v>
      </c>
      <c r="FO95" s="258">
        <f>SUM(ET95:FN95)</f>
        <v>33.039</v>
      </c>
      <c r="FP95" s="261">
        <f t="shared" si="102"/>
        <v>0.0980564823731542</v>
      </c>
    </row>
    <row r="96" spans="1:172" ht="12.75">
      <c r="A96" s="263">
        <v>38504</v>
      </c>
      <c r="B96" s="123">
        <v>28.99</v>
      </c>
      <c r="C96" s="123">
        <v>28.03</v>
      </c>
      <c r="D96" s="255">
        <f t="shared" si="146"/>
        <v>28.509999999999998</v>
      </c>
      <c r="E96" s="255">
        <f t="shared" si="147"/>
        <v>1.24</v>
      </c>
      <c r="F96" s="77">
        <v>0.0458</v>
      </c>
      <c r="G96" s="261">
        <f t="shared" si="143"/>
        <v>0.09450779715303481</v>
      </c>
      <c r="H96" s="277">
        <f t="shared" si="148"/>
        <v>0.007591515197405932</v>
      </c>
      <c r="I96" s="123">
        <v>38.89</v>
      </c>
      <c r="J96" s="123">
        <v>35.15</v>
      </c>
      <c r="K96" s="258">
        <f t="shared" si="149"/>
        <v>37.019999999999996</v>
      </c>
      <c r="L96" s="259">
        <f t="shared" si="150"/>
        <v>1.24</v>
      </c>
      <c r="M96" s="256">
        <v>0.0592</v>
      </c>
      <c r="N96" s="261">
        <f t="shared" si="144"/>
        <v>0.09704230385779278</v>
      </c>
      <c r="O96" s="208">
        <f t="shared" si="151"/>
        <v>0.00641410302334291</v>
      </c>
      <c r="U96" s="261"/>
      <c r="W96" s="123">
        <v>35.64</v>
      </c>
      <c r="X96" s="123">
        <v>31.7</v>
      </c>
      <c r="Y96" s="258">
        <f t="shared" si="145"/>
        <v>33.67</v>
      </c>
      <c r="Z96" s="258">
        <v>0.4</v>
      </c>
      <c r="AA96" s="77">
        <v>0.065</v>
      </c>
      <c r="AB96" s="261">
        <f t="shared" si="152"/>
        <v>0.07838070388163865</v>
      </c>
      <c r="AC96" s="208">
        <f t="shared" si="153"/>
        <v>0.0061174333342498555</v>
      </c>
      <c r="AD96" s="123">
        <v>34.42</v>
      </c>
      <c r="AE96" s="123">
        <v>31.78</v>
      </c>
      <c r="AF96" s="258">
        <f aca="true" t="shared" si="155" ref="AF96:AF116">AVERAGE(AD96:AE96)</f>
        <v>33.1</v>
      </c>
      <c r="AG96" s="258">
        <v>0.84</v>
      </c>
      <c r="AH96" s="256">
        <v>0.094</v>
      </c>
      <c r="AI96" s="261">
        <f t="shared" si="106"/>
        <v>0.12351842033687976</v>
      </c>
      <c r="AJ96" s="208">
        <f t="shared" si="116"/>
        <v>0.015717030638229906</v>
      </c>
      <c r="AK96" s="123">
        <v>40.88</v>
      </c>
      <c r="AL96" s="123">
        <v>39.45</v>
      </c>
      <c r="AM96" s="258">
        <f t="shared" si="85"/>
        <v>40.165000000000006</v>
      </c>
      <c r="AN96" s="258">
        <v>1.82</v>
      </c>
      <c r="AO96" s="256">
        <v>0.0363</v>
      </c>
      <c r="AP96" s="261">
        <f t="shared" si="117"/>
        <v>0.0866206002809371</v>
      </c>
      <c r="AQ96" s="208">
        <f t="shared" si="114"/>
        <v>0.01601534918752553</v>
      </c>
      <c r="AR96" s="287">
        <v>32</v>
      </c>
      <c r="AS96" s="287">
        <v>29.86</v>
      </c>
      <c r="AW96" s="261"/>
      <c r="AY96" s="123">
        <v>48.42</v>
      </c>
      <c r="AZ96" s="123">
        <v>45.2</v>
      </c>
      <c r="BA96" s="258">
        <f t="shared" si="133"/>
        <v>46.81</v>
      </c>
      <c r="BB96" s="255">
        <v>1.36</v>
      </c>
      <c r="BC96" s="256">
        <v>0.053</v>
      </c>
      <c r="BD96" s="261">
        <f t="shared" si="134"/>
        <v>0.08557485992759783</v>
      </c>
      <c r="BE96" s="208">
        <f t="shared" si="135"/>
        <v>0.0030730646235604094</v>
      </c>
      <c r="BF96" s="123">
        <v>41.87</v>
      </c>
      <c r="BG96" s="123">
        <v>39.38</v>
      </c>
      <c r="BH96" s="258">
        <f t="shared" si="87"/>
        <v>40.625</v>
      </c>
      <c r="BI96" s="258">
        <f t="shared" si="120"/>
        <v>1.86</v>
      </c>
      <c r="BJ96" s="256">
        <v>0.0217</v>
      </c>
      <c r="BK96" s="261">
        <f t="shared" si="139"/>
        <v>0.07183722966301787</v>
      </c>
      <c r="BL96" s="208">
        <f t="shared" si="140"/>
        <v>0.0036499654184222762</v>
      </c>
      <c r="BM96" s="123">
        <v>38.67</v>
      </c>
      <c r="BN96" s="123">
        <v>36.14</v>
      </c>
      <c r="BO96" s="255">
        <f aca="true" t="shared" si="156" ref="BO96:BO116">AVERAGE(BM96:BN96)</f>
        <v>37.405</v>
      </c>
      <c r="BP96" s="255">
        <v>1.3</v>
      </c>
      <c r="BQ96" s="289"/>
      <c r="BR96" s="261"/>
      <c r="BS96" s="208"/>
      <c r="BT96" s="256"/>
      <c r="BU96" s="256"/>
      <c r="BV96" s="256"/>
      <c r="BW96" s="256"/>
      <c r="BX96" s="49"/>
      <c r="BY96" s="261"/>
      <c r="CA96" s="123">
        <v>32.71</v>
      </c>
      <c r="CB96" s="123">
        <v>30.59</v>
      </c>
      <c r="CC96" s="258">
        <f t="shared" si="82"/>
        <v>31.65</v>
      </c>
      <c r="CD96" s="258">
        <f aca="true" t="shared" si="157" ref="CD96:CD103">0.28*4</f>
        <v>1.12</v>
      </c>
      <c r="CE96" s="256">
        <v>0.07</v>
      </c>
      <c r="CF96" s="261">
        <f t="shared" si="69"/>
        <v>0.11041719806630002</v>
      </c>
      <c r="CG96" s="208">
        <f t="shared" si="122"/>
        <v>0.01053287630673027</v>
      </c>
      <c r="CH96" s="287">
        <v>44.97</v>
      </c>
      <c r="CI96" s="287">
        <v>42.62</v>
      </c>
      <c r="CM96" s="261"/>
      <c r="CN96" s="256"/>
      <c r="CO96" s="123">
        <v>24.99</v>
      </c>
      <c r="CP96" s="123">
        <v>23.34</v>
      </c>
      <c r="CQ96" s="258">
        <f t="shared" si="124"/>
        <v>24.165</v>
      </c>
      <c r="CR96" s="258">
        <f t="shared" si="154"/>
        <v>0.92</v>
      </c>
      <c r="CS96" s="256">
        <v>0.0473</v>
      </c>
      <c r="CT96" s="261">
        <f t="shared" si="110"/>
        <v>0.0899058969963149</v>
      </c>
      <c r="CU96" s="208">
        <f t="shared" si="126"/>
        <v>0.0047079523581371185</v>
      </c>
      <c r="DA96" s="261"/>
      <c r="DC96" s="287">
        <v>31.5</v>
      </c>
      <c r="DD96" s="287">
        <v>28.42</v>
      </c>
      <c r="DH96" s="261"/>
      <c r="DI96" s="25"/>
      <c r="DJ96" s="287">
        <v>26.35</v>
      </c>
      <c r="DK96" s="287">
        <v>24.85</v>
      </c>
      <c r="DO96" s="261"/>
      <c r="DQ96" s="287">
        <v>27.95</v>
      </c>
      <c r="DR96" s="287">
        <v>24.62</v>
      </c>
      <c r="DV96" s="261"/>
      <c r="DX96" s="123">
        <v>33.96</v>
      </c>
      <c r="DY96" s="123">
        <v>32.4</v>
      </c>
      <c r="DZ96" s="258">
        <f>AVERAGE(DX96:DY96)</f>
        <v>33.18</v>
      </c>
      <c r="EA96" s="258">
        <f aca="true" t="shared" si="158" ref="EA96:EA103">0.333*4</f>
        <v>1.332</v>
      </c>
      <c r="EB96" s="256">
        <v>0.038</v>
      </c>
      <c r="EC96" s="261">
        <f t="shared" si="111"/>
        <v>0.08256332124813826</v>
      </c>
      <c r="ED96" s="208">
        <f t="shared" si="101"/>
        <v>0.003674019604154465</v>
      </c>
      <c r="EE96" s="287">
        <v>29.49</v>
      </c>
      <c r="EF96" s="287">
        <v>27.72</v>
      </c>
      <c r="EJ96" s="261"/>
      <c r="EK96" s="208"/>
      <c r="EL96" s="123">
        <v>67.19</v>
      </c>
      <c r="EM96" s="123">
        <v>62.16</v>
      </c>
      <c r="EN96" s="258">
        <f>AVERAGE(EL96:EM96)</f>
        <v>64.675</v>
      </c>
      <c r="EO96" s="258">
        <f aca="true" t="shared" si="159" ref="EO96:EO106">0.225*4</f>
        <v>0.9</v>
      </c>
      <c r="EP96" s="261">
        <v>0.093</v>
      </c>
      <c r="EQ96" s="261">
        <f t="shared" si="113"/>
        <v>0.1090985774140183</v>
      </c>
      <c r="ER96" s="208">
        <f t="shared" si="129"/>
        <v>0.02011976933520516</v>
      </c>
      <c r="ET96" s="262">
        <v>2.89</v>
      </c>
      <c r="EU96" s="262">
        <v>2.378</v>
      </c>
      <c r="EW96" s="262">
        <v>2.808</v>
      </c>
      <c r="EX96" s="262">
        <v>4.578</v>
      </c>
      <c r="EY96" s="262">
        <v>6.652</v>
      </c>
      <c r="FA96" s="262">
        <v>1.292</v>
      </c>
      <c r="FB96" s="262">
        <v>1.828</v>
      </c>
      <c r="FE96" s="258">
        <v>3.432</v>
      </c>
      <c r="FG96" s="258">
        <v>1.884</v>
      </c>
      <c r="FL96" s="258">
        <v>1.601</v>
      </c>
      <c r="FN96" s="258">
        <v>6.635</v>
      </c>
      <c r="FO96" s="258">
        <f>SUM(ET96:FN96)</f>
        <v>35.978</v>
      </c>
      <c r="FP96" s="261">
        <f t="shared" si="102"/>
        <v>0.09761307902696384</v>
      </c>
    </row>
    <row r="97" spans="1:172" ht="12.75">
      <c r="A97" s="263">
        <v>38534</v>
      </c>
      <c r="B97" s="123">
        <v>29.59</v>
      </c>
      <c r="C97" s="123">
        <v>28.53</v>
      </c>
      <c r="D97" s="255">
        <f t="shared" si="146"/>
        <v>29.060000000000002</v>
      </c>
      <c r="E97" s="255">
        <f t="shared" si="147"/>
        <v>1.24</v>
      </c>
      <c r="F97" s="77">
        <v>0.0458</v>
      </c>
      <c r="G97" s="261">
        <f t="shared" si="143"/>
        <v>0.09357044081044785</v>
      </c>
      <c r="H97" s="277">
        <f t="shared" si="148"/>
        <v>0.007310190688316239</v>
      </c>
      <c r="I97" s="123">
        <v>39.32</v>
      </c>
      <c r="J97" s="123">
        <v>37.42</v>
      </c>
      <c r="K97" s="258">
        <f t="shared" si="149"/>
        <v>38.370000000000005</v>
      </c>
      <c r="L97" s="259">
        <f t="shared" si="150"/>
        <v>1.24</v>
      </c>
      <c r="M97" s="256">
        <v>0.0592</v>
      </c>
      <c r="N97" s="261">
        <f t="shared" si="144"/>
        <v>0.09569391427813256</v>
      </c>
      <c r="O97" s="208">
        <f t="shared" si="151"/>
        <v>0.006151603810375197</v>
      </c>
      <c r="U97" s="261"/>
      <c r="W97" s="123">
        <v>37.81</v>
      </c>
      <c r="X97" s="123">
        <v>34.16</v>
      </c>
      <c r="Y97" s="258">
        <f t="shared" si="145"/>
        <v>35.985</v>
      </c>
      <c r="Z97" s="258">
        <v>0.4</v>
      </c>
      <c r="AA97" s="77">
        <v>0.065</v>
      </c>
      <c r="AB97" s="261">
        <f t="shared" si="152"/>
        <v>0.07751611702931638</v>
      </c>
      <c r="AC97" s="208">
        <f t="shared" si="153"/>
        <v>0.005884117014984872</v>
      </c>
      <c r="AD97" s="123">
        <v>36.3</v>
      </c>
      <c r="AE97" s="123">
        <v>34.01</v>
      </c>
      <c r="AF97" s="258">
        <f t="shared" si="155"/>
        <v>35.155</v>
      </c>
      <c r="AG97" s="258">
        <v>0.84</v>
      </c>
      <c r="AH97" s="256">
        <v>0.094</v>
      </c>
      <c r="AI97" s="261">
        <f t="shared" si="106"/>
        <v>0.12177665655505843</v>
      </c>
      <c r="AJ97" s="208">
        <f t="shared" si="116"/>
        <v>0.015070651322152292</v>
      </c>
      <c r="AK97" s="123">
        <v>41.03</v>
      </c>
      <c r="AL97" s="123">
        <v>39.33</v>
      </c>
      <c r="AM97" s="258">
        <f t="shared" si="85"/>
        <v>40.18</v>
      </c>
      <c r="AN97" s="258">
        <v>1.82</v>
      </c>
      <c r="AO97" s="256">
        <v>0.0363</v>
      </c>
      <c r="AP97" s="261">
        <f t="shared" si="117"/>
        <v>0.08660147938238083</v>
      </c>
      <c r="AQ97" s="208">
        <f t="shared" si="114"/>
        <v>0.015572908760045343</v>
      </c>
      <c r="AR97" s="287">
        <v>33.59</v>
      </c>
      <c r="AS97" s="287">
        <v>31.25</v>
      </c>
      <c r="AW97" s="261"/>
      <c r="AY97" s="123">
        <v>49.34</v>
      </c>
      <c r="AZ97" s="123">
        <v>46.51</v>
      </c>
      <c r="BA97" s="258">
        <f t="shared" si="133"/>
        <v>47.925</v>
      </c>
      <c r="BB97" s="255">
        <v>1.36</v>
      </c>
      <c r="BC97" s="256">
        <v>0.053</v>
      </c>
      <c r="BD97" s="261">
        <f t="shared" si="134"/>
        <v>0.08480851139171786</v>
      </c>
      <c r="BE97" s="208">
        <f t="shared" si="135"/>
        <v>0.0029620619787548517</v>
      </c>
      <c r="BF97" s="123">
        <v>42.15</v>
      </c>
      <c r="BG97" s="123">
        <v>40.01</v>
      </c>
      <c r="BH97" s="258">
        <f t="shared" si="87"/>
        <v>41.08</v>
      </c>
      <c r="BI97" s="258">
        <f t="shared" si="120"/>
        <v>1.86</v>
      </c>
      <c r="BJ97" s="256">
        <v>0.0217</v>
      </c>
      <c r="BK97" s="261">
        <f t="shared" si="139"/>
        <v>0.07127200838469983</v>
      </c>
      <c r="BL97" s="208">
        <f t="shared" si="140"/>
        <v>0.0035219839783529223</v>
      </c>
      <c r="BM97" s="123">
        <v>39.2</v>
      </c>
      <c r="BN97" s="123">
        <v>37.67</v>
      </c>
      <c r="BO97" s="255">
        <f t="shared" si="156"/>
        <v>38.435</v>
      </c>
      <c r="BP97" s="255">
        <v>1.3</v>
      </c>
      <c r="BQ97" s="256">
        <v>0.056</v>
      </c>
      <c r="BR97" s="261">
        <f t="shared" si="142"/>
        <v>0.09217303548111189</v>
      </c>
      <c r="BS97" s="208">
        <f aca="true" t="shared" si="160" ref="BS97:BS116">BR97*($FC97/$FO97)</f>
        <v>0.0025265856936053056</v>
      </c>
      <c r="BY97" s="261"/>
      <c r="CA97" s="123">
        <v>35.24</v>
      </c>
      <c r="CB97" s="123">
        <v>32.05</v>
      </c>
      <c r="CC97" s="258">
        <f t="shared" si="82"/>
        <v>33.644999999999996</v>
      </c>
      <c r="CD97" s="258">
        <f t="shared" si="157"/>
        <v>1.12</v>
      </c>
      <c r="CE97" s="256">
        <v>0.07</v>
      </c>
      <c r="CF97" s="261">
        <f t="shared" si="69"/>
        <v>0.10798920614694785</v>
      </c>
      <c r="CG97" s="208">
        <f t="shared" si="122"/>
        <v>0.010018894774446502</v>
      </c>
      <c r="CH97" s="287">
        <v>45.52</v>
      </c>
      <c r="CI97" s="287">
        <v>42.43</v>
      </c>
      <c r="CM97" s="261"/>
      <c r="CO97" s="123">
        <v>24.91</v>
      </c>
      <c r="CP97" s="123">
        <v>23.76</v>
      </c>
      <c r="CQ97" s="258">
        <f t="shared" si="124"/>
        <v>24.335</v>
      </c>
      <c r="CR97" s="258">
        <f t="shared" si="154"/>
        <v>0.92</v>
      </c>
      <c r="CS97" s="256">
        <v>0.0473</v>
      </c>
      <c r="CT97" s="261">
        <f t="shared" si="110"/>
        <v>0.08960382575604453</v>
      </c>
      <c r="CU97" s="208">
        <f t="shared" si="126"/>
        <v>0.004563516644798549</v>
      </c>
      <c r="DA97" s="261"/>
      <c r="DC97" s="287">
        <v>32.38</v>
      </c>
      <c r="DD97" s="287">
        <v>28.54</v>
      </c>
      <c r="DH97" s="261"/>
      <c r="DJ97" s="287">
        <v>26.95</v>
      </c>
      <c r="DK97" s="287">
        <v>25</v>
      </c>
      <c r="DO97" s="261"/>
      <c r="DP97" s="25"/>
      <c r="DQ97" s="287">
        <v>29.66</v>
      </c>
      <c r="DR97" s="287">
        <v>27.27</v>
      </c>
      <c r="DV97" s="261"/>
      <c r="DX97" s="123">
        <v>34.79</v>
      </c>
      <c r="DY97" s="123">
        <v>32.96</v>
      </c>
      <c r="DZ97" s="258">
        <f>AVERAGE(DX97:DY97)</f>
        <v>33.875</v>
      </c>
      <c r="EA97" s="258">
        <f t="shared" si="158"/>
        <v>1.332</v>
      </c>
      <c r="EB97" s="256">
        <v>0.038</v>
      </c>
      <c r="EC97" s="261">
        <f t="shared" si="111"/>
        <v>0.08163486950712984</v>
      </c>
      <c r="ED97" s="208">
        <f t="shared" si="101"/>
        <v>0.0035331267863569116</v>
      </c>
      <c r="EE97" s="287">
        <v>30.4</v>
      </c>
      <c r="EF97" s="287">
        <v>28.86</v>
      </c>
      <c r="EJ97" s="261"/>
      <c r="EK97" s="208"/>
      <c r="EL97" s="123">
        <v>71.47</v>
      </c>
      <c r="EM97" s="123">
        <v>65.95</v>
      </c>
      <c r="EN97" s="258">
        <f>AVERAGE(EL97:EM97)</f>
        <v>68.71000000000001</v>
      </c>
      <c r="EO97" s="258">
        <f t="shared" si="159"/>
        <v>0.9</v>
      </c>
      <c r="EP97" s="261">
        <v>0.093</v>
      </c>
      <c r="EQ97" s="261">
        <f t="shared" si="113"/>
        <v>0.1081483028100172</v>
      </c>
      <c r="ER97" s="208">
        <f t="shared" si="129"/>
        <v>0.019397815450488326</v>
      </c>
      <c r="ET97" s="262">
        <v>2.89</v>
      </c>
      <c r="EU97" s="262">
        <v>2.378</v>
      </c>
      <c r="EW97" s="262">
        <v>2.808</v>
      </c>
      <c r="EX97" s="262">
        <v>4.578</v>
      </c>
      <c r="EY97" s="262">
        <v>6.652</v>
      </c>
      <c r="FA97" s="262">
        <v>1.292</v>
      </c>
      <c r="FB97" s="262">
        <v>1.828</v>
      </c>
      <c r="FC97" s="262">
        <v>1.014</v>
      </c>
      <c r="FE97" s="258">
        <v>3.432</v>
      </c>
      <c r="FG97" s="258">
        <v>1.884</v>
      </c>
      <c r="FL97" s="258">
        <v>1.601</v>
      </c>
      <c r="FN97" s="258">
        <v>6.635</v>
      </c>
      <c r="FO97" s="258">
        <f>SUM(ET97:FN97)</f>
        <v>36.992</v>
      </c>
      <c r="FP97" s="261">
        <f t="shared" si="102"/>
        <v>0.0965134569026773</v>
      </c>
    </row>
    <row r="98" spans="1:172" ht="12.75">
      <c r="A98" s="263">
        <v>38565</v>
      </c>
      <c r="B98" s="123">
        <v>29.97</v>
      </c>
      <c r="C98" s="123">
        <v>28.26</v>
      </c>
      <c r="D98" s="255">
        <f t="shared" si="146"/>
        <v>29.115000000000002</v>
      </c>
      <c r="E98" s="255">
        <f t="shared" si="147"/>
        <v>1.24</v>
      </c>
      <c r="F98" s="77">
        <v>0.0458</v>
      </c>
      <c r="G98" s="261">
        <f t="shared" si="143"/>
        <v>0.09347868534740478</v>
      </c>
      <c r="H98" s="277">
        <f t="shared" si="148"/>
        <v>0.007303022292765999</v>
      </c>
      <c r="I98" s="123">
        <v>39.09</v>
      </c>
      <c r="J98" s="123">
        <v>35.29</v>
      </c>
      <c r="K98" s="258">
        <f t="shared" si="149"/>
        <v>37.19</v>
      </c>
      <c r="L98" s="259">
        <f t="shared" si="150"/>
        <v>1.24</v>
      </c>
      <c r="M98" s="256">
        <v>0.0592</v>
      </c>
      <c r="N98" s="261">
        <f t="shared" si="144"/>
        <v>0.09686704885914788</v>
      </c>
      <c r="O98" s="208">
        <f t="shared" si="151"/>
        <v>0.006227017792686356</v>
      </c>
      <c r="U98" s="261"/>
      <c r="W98" s="123">
        <v>38.32</v>
      </c>
      <c r="X98" s="123">
        <v>33.9</v>
      </c>
      <c r="Y98" s="258">
        <f t="shared" si="145"/>
        <v>36.11</v>
      </c>
      <c r="Z98" s="258">
        <v>0.4</v>
      </c>
      <c r="AA98" s="77">
        <v>0.065</v>
      </c>
      <c r="AB98" s="261">
        <f t="shared" si="152"/>
        <v>0.07747260132076028</v>
      </c>
      <c r="AC98" s="208">
        <f t="shared" si="153"/>
        <v>0.005880813811329337</v>
      </c>
      <c r="AD98" s="123">
        <v>37.71</v>
      </c>
      <c r="AE98" s="123">
        <v>34.02</v>
      </c>
      <c r="AF98" s="258">
        <f t="shared" si="155"/>
        <v>35.865</v>
      </c>
      <c r="AG98" s="258">
        <v>0.84</v>
      </c>
      <c r="AH98" s="256">
        <v>0.094</v>
      </c>
      <c r="AI98" s="261">
        <f t="shared" si="106"/>
        <v>0.12122169916836323</v>
      </c>
      <c r="AJ98" s="208">
        <f t="shared" si="116"/>
        <v>0.015001971745046683</v>
      </c>
      <c r="AK98" s="123">
        <v>40.79</v>
      </c>
      <c r="AL98" s="123">
        <v>36.68</v>
      </c>
      <c r="AM98" s="258">
        <f t="shared" si="85"/>
        <v>38.735</v>
      </c>
      <c r="AN98" s="258">
        <v>1.82</v>
      </c>
      <c r="AO98" s="256">
        <v>0.0363</v>
      </c>
      <c r="AP98" s="261">
        <f t="shared" si="117"/>
        <v>0.08851270732932348</v>
      </c>
      <c r="AQ98" s="208">
        <f t="shared" si="114"/>
        <v>0.0159165908616636</v>
      </c>
      <c r="AR98" s="287">
        <v>33.1</v>
      </c>
      <c r="AS98" s="287">
        <v>30.4</v>
      </c>
      <c r="AW98" s="261"/>
      <c r="AY98" s="123">
        <v>47.54</v>
      </c>
      <c r="AZ98" s="123">
        <v>44.43</v>
      </c>
      <c r="BA98" s="258">
        <f t="shared" si="133"/>
        <v>45.985</v>
      </c>
      <c r="BB98" s="255">
        <v>1.36</v>
      </c>
      <c r="BC98" s="256">
        <v>0.053</v>
      </c>
      <c r="BD98" s="261">
        <f t="shared" si="134"/>
        <v>0.0861660879684849</v>
      </c>
      <c r="BE98" s="208">
        <f t="shared" si="135"/>
        <v>0.0030094773371345833</v>
      </c>
      <c r="BF98" s="123">
        <v>41.98</v>
      </c>
      <c r="BG98" s="123">
        <v>39.1</v>
      </c>
      <c r="BH98" s="258">
        <f t="shared" si="87"/>
        <v>40.54</v>
      </c>
      <c r="BI98" s="258">
        <f t="shared" si="120"/>
        <v>1.86</v>
      </c>
      <c r="BJ98" s="256">
        <v>0.0217</v>
      </c>
      <c r="BK98" s="261">
        <f t="shared" si="139"/>
        <v>0.07194425211183675</v>
      </c>
      <c r="BL98" s="208">
        <f t="shared" si="140"/>
        <v>0.003555203634851795</v>
      </c>
      <c r="BM98" s="123">
        <v>39.63</v>
      </c>
      <c r="BN98" s="123">
        <v>35.62</v>
      </c>
      <c r="BO98" s="255">
        <f t="shared" si="156"/>
        <v>37.625</v>
      </c>
      <c r="BP98" s="255">
        <f>0.325*4</f>
        <v>1.3</v>
      </c>
      <c r="BQ98" s="256">
        <v>0.056</v>
      </c>
      <c r="BR98" s="261">
        <f t="shared" si="142"/>
        <v>0.09296185406947699</v>
      </c>
      <c r="BS98" s="208">
        <f t="shared" si="160"/>
        <v>0.0025482082619606855</v>
      </c>
      <c r="BY98" s="261"/>
      <c r="CA98" s="123">
        <v>35.85</v>
      </c>
      <c r="CB98" s="123">
        <v>32.15</v>
      </c>
      <c r="CC98" s="258">
        <f t="shared" si="82"/>
        <v>34</v>
      </c>
      <c r="CD98" s="258">
        <f t="shared" si="157"/>
        <v>1.12</v>
      </c>
      <c r="CE98" s="256">
        <v>0.07</v>
      </c>
      <c r="CF98" s="261">
        <f t="shared" si="69"/>
        <v>0.10758740437829384</v>
      </c>
      <c r="CG98" s="208">
        <f t="shared" si="122"/>
        <v>0.009981616885442919</v>
      </c>
      <c r="CH98" s="287">
        <v>43.43</v>
      </c>
      <c r="CI98" s="287">
        <v>39.8</v>
      </c>
      <c r="CM98" s="261"/>
      <c r="CO98" s="123">
        <v>24.82</v>
      </c>
      <c r="CP98" s="123">
        <v>23.22</v>
      </c>
      <c r="CQ98" s="258">
        <f t="shared" si="124"/>
        <v>24.02</v>
      </c>
      <c r="CR98" s="258">
        <f t="shared" si="154"/>
        <v>0.92</v>
      </c>
      <c r="CS98" s="256">
        <v>0.0473</v>
      </c>
      <c r="CT98" s="261">
        <f t="shared" si="110"/>
        <v>0.09016697540542551</v>
      </c>
      <c r="CU98" s="208">
        <f t="shared" si="126"/>
        <v>0.004592197817469228</v>
      </c>
      <c r="DA98" s="261"/>
      <c r="DC98" s="287">
        <v>29.85</v>
      </c>
      <c r="DD98" s="287">
        <v>27.73</v>
      </c>
      <c r="DH98" s="261"/>
      <c r="DJ98" s="287">
        <v>27.42</v>
      </c>
      <c r="DK98" s="287">
        <v>25.64</v>
      </c>
      <c r="DO98" s="261"/>
      <c r="DP98" s="25"/>
      <c r="DQ98" s="287">
        <v>29.98</v>
      </c>
      <c r="DR98" s="287">
        <v>25.5</v>
      </c>
      <c r="DV98" s="261"/>
      <c r="DX98" s="123">
        <v>34.7</v>
      </c>
      <c r="DY98" s="123">
        <v>31.5</v>
      </c>
      <c r="DZ98" s="258">
        <f>AVERAGE(DX98:DY98)</f>
        <v>33.1</v>
      </c>
      <c r="EA98" s="258">
        <f t="shared" si="158"/>
        <v>1.332</v>
      </c>
      <c r="EB98" s="256">
        <v>0.038</v>
      </c>
      <c r="EC98" s="261">
        <f t="shared" si="111"/>
        <v>0.08267273502515282</v>
      </c>
      <c r="ED98" s="208">
        <f t="shared" si="101"/>
        <v>0.0035780452199197037</v>
      </c>
      <c r="EE98" s="287">
        <v>30.4</v>
      </c>
      <c r="EF98" s="287">
        <v>27.74</v>
      </c>
      <c r="EI98" s="25"/>
      <c r="EJ98" s="261"/>
      <c r="EK98" s="208"/>
      <c r="EL98" s="123">
        <v>78.24</v>
      </c>
      <c r="EM98" s="123">
        <v>69.43</v>
      </c>
      <c r="EN98" s="258">
        <f>AVERAGE(EL98:EM98)</f>
        <v>73.83500000000001</v>
      </c>
      <c r="EO98" s="258">
        <f t="shared" si="159"/>
        <v>0.9</v>
      </c>
      <c r="EP98" s="261">
        <v>0.093</v>
      </c>
      <c r="EQ98" s="261">
        <f t="shared" si="113"/>
        <v>0.10709178050775225</v>
      </c>
      <c r="ER98" s="208">
        <f t="shared" si="129"/>
        <v>0.01920831432928569</v>
      </c>
      <c r="ET98" s="262">
        <v>2.89</v>
      </c>
      <c r="EU98" s="262">
        <v>2.378</v>
      </c>
      <c r="EW98" s="262">
        <v>2.808</v>
      </c>
      <c r="EX98" s="262">
        <v>4.578</v>
      </c>
      <c r="EY98" s="262">
        <v>6.652</v>
      </c>
      <c r="FA98" s="262">
        <v>1.292</v>
      </c>
      <c r="FB98" s="262">
        <v>1.828</v>
      </c>
      <c r="FC98" s="262">
        <v>1.014</v>
      </c>
      <c r="FE98" s="258">
        <v>3.432</v>
      </c>
      <c r="FG98" s="258">
        <v>1.884</v>
      </c>
      <c r="FL98" s="258">
        <v>1.601</v>
      </c>
      <c r="FN98" s="258">
        <v>6.635</v>
      </c>
      <c r="FO98" s="258">
        <f>SUM(ET98:FN98)</f>
        <v>36.992</v>
      </c>
      <c r="FP98" s="261">
        <f t="shared" si="102"/>
        <v>0.09680247998955657</v>
      </c>
    </row>
    <row r="99" spans="1:172" ht="12.75">
      <c r="A99" s="263">
        <v>38596</v>
      </c>
      <c r="B99" s="123">
        <v>29.74</v>
      </c>
      <c r="C99" s="123">
        <v>28.1</v>
      </c>
      <c r="D99" s="255">
        <f t="shared" si="146"/>
        <v>28.92</v>
      </c>
      <c r="E99" s="255">
        <f t="shared" si="147"/>
        <v>1.24</v>
      </c>
      <c r="F99" s="77">
        <v>0.0464</v>
      </c>
      <c r="G99" s="261">
        <f t="shared" si="143"/>
        <v>0.09443314330016594</v>
      </c>
      <c r="H99" s="277">
        <f t="shared" si="148"/>
        <v>0.0068619932076497145</v>
      </c>
      <c r="I99" s="123">
        <v>37.95</v>
      </c>
      <c r="J99" s="123">
        <v>35.93</v>
      </c>
      <c r="K99" s="258">
        <f t="shared" si="149"/>
        <v>36.94</v>
      </c>
      <c r="L99" s="259">
        <f t="shared" si="150"/>
        <v>1.24</v>
      </c>
      <c r="M99" s="256">
        <v>0.0592</v>
      </c>
      <c r="N99" s="261">
        <f t="shared" si="144"/>
        <v>0.09712534228459302</v>
      </c>
      <c r="O99" s="208">
        <f t="shared" si="151"/>
        <v>0.00545350003867257</v>
      </c>
      <c r="U99" s="261"/>
      <c r="W99" s="123">
        <v>43.56</v>
      </c>
      <c r="X99" s="123">
        <v>38.17</v>
      </c>
      <c r="Y99" s="258">
        <f t="shared" si="145"/>
        <v>40.865</v>
      </c>
      <c r="Z99" s="258">
        <v>0.4</v>
      </c>
      <c r="AA99" s="77">
        <v>0.065</v>
      </c>
      <c r="AB99" s="261">
        <f t="shared" si="152"/>
        <v>0.07601570158273963</v>
      </c>
      <c r="AC99" s="208">
        <f t="shared" si="153"/>
        <v>0.005618402905879433</v>
      </c>
      <c r="AD99" s="123">
        <v>39.9</v>
      </c>
      <c r="AE99" s="123">
        <v>37.62</v>
      </c>
      <c r="AF99" s="258">
        <f t="shared" si="155"/>
        <v>38.76</v>
      </c>
      <c r="AG99" s="258">
        <v>0.84</v>
      </c>
      <c r="AH99" s="256">
        <v>0.094</v>
      </c>
      <c r="AI99" s="261">
        <f t="shared" si="106"/>
        <v>0.11917112949641773</v>
      </c>
      <c r="AJ99" s="208">
        <f t="shared" si="116"/>
        <v>0.01482965143702937</v>
      </c>
      <c r="AK99" s="123">
        <v>38.79</v>
      </c>
      <c r="AL99" s="123">
        <v>36.35</v>
      </c>
      <c r="AM99" s="258">
        <f t="shared" si="85"/>
        <v>37.57</v>
      </c>
      <c r="AN99" s="258">
        <v>1.82</v>
      </c>
      <c r="AO99" s="256">
        <v>0.037</v>
      </c>
      <c r="AP99" s="261">
        <f t="shared" si="117"/>
        <v>0.0908990457471861</v>
      </c>
      <c r="AQ99" s="208">
        <f t="shared" si="114"/>
        <v>0.014658648903266965</v>
      </c>
      <c r="AR99" s="287">
        <v>34.31</v>
      </c>
      <c r="AS99" s="287">
        <v>31.44</v>
      </c>
      <c r="AW99" s="261"/>
      <c r="AY99" s="123">
        <v>47.26</v>
      </c>
      <c r="AZ99" s="123">
        <v>44.78</v>
      </c>
      <c r="BA99" s="258">
        <f t="shared" si="133"/>
        <v>46.019999999999996</v>
      </c>
      <c r="BB99" s="255">
        <v>1.36</v>
      </c>
      <c r="BC99" s="256">
        <v>0.053</v>
      </c>
      <c r="BD99" s="261">
        <f t="shared" si="134"/>
        <v>0.08614057000637221</v>
      </c>
      <c r="BE99" s="208">
        <f t="shared" si="135"/>
        <v>0.0026627052471416453</v>
      </c>
      <c r="BF99" s="123">
        <v>42.59</v>
      </c>
      <c r="BG99" s="123">
        <v>40.53</v>
      </c>
      <c r="BH99" s="258">
        <f t="shared" si="87"/>
        <v>41.56</v>
      </c>
      <c r="BI99" s="258">
        <f t="shared" si="120"/>
        <v>1.86</v>
      </c>
      <c r="BJ99" s="256">
        <v>0.0217</v>
      </c>
      <c r="BK99" s="261">
        <f t="shared" si="139"/>
        <v>0.07068937995100733</v>
      </c>
      <c r="BL99" s="208">
        <f t="shared" si="140"/>
        <v>0.0033319826503245154</v>
      </c>
      <c r="BM99" s="123">
        <v>37.74</v>
      </c>
      <c r="BN99" s="123">
        <v>35.6</v>
      </c>
      <c r="BO99" s="255">
        <f t="shared" si="156"/>
        <v>36.67</v>
      </c>
      <c r="BP99" s="255">
        <f>0.325*4</f>
        <v>1.3</v>
      </c>
      <c r="BQ99" s="256">
        <v>0.056</v>
      </c>
      <c r="BR99" s="261">
        <f t="shared" si="142"/>
        <v>0.09393723514930796</v>
      </c>
      <c r="BS99" s="208">
        <f t="shared" si="160"/>
        <v>0.0024106265375925906</v>
      </c>
      <c r="BY99" s="261"/>
      <c r="CA99" s="123">
        <v>35.4</v>
      </c>
      <c r="CB99" s="123">
        <v>32.41</v>
      </c>
      <c r="CC99" s="258">
        <f t="shared" si="82"/>
        <v>33.905</v>
      </c>
      <c r="CD99" s="258">
        <f t="shared" si="157"/>
        <v>1.12</v>
      </c>
      <c r="CE99" s="256">
        <v>0.07</v>
      </c>
      <c r="CF99" s="261">
        <f t="shared" si="69"/>
        <v>0.10769409358712756</v>
      </c>
      <c r="CG99" s="208">
        <f t="shared" si="122"/>
        <v>0.007748515945904516</v>
      </c>
      <c r="CH99" s="287">
        <v>43.46</v>
      </c>
      <c r="CI99" s="287">
        <v>38.71</v>
      </c>
      <c r="CM99" s="261"/>
      <c r="CO99" s="123">
        <v>25.8</v>
      </c>
      <c r="CP99" s="123">
        <v>24.33</v>
      </c>
      <c r="CQ99" s="258">
        <f t="shared" si="124"/>
        <v>25.064999999999998</v>
      </c>
      <c r="CR99" s="258">
        <f t="shared" si="154"/>
        <v>0.92</v>
      </c>
      <c r="CS99" s="256">
        <v>0.05</v>
      </c>
      <c r="CT99" s="261">
        <f t="shared" si="110"/>
        <v>0.09115977931148711</v>
      </c>
      <c r="CU99" s="208">
        <f t="shared" si="126"/>
        <v>0.004323449674935724</v>
      </c>
      <c r="DA99" s="261"/>
      <c r="DC99" s="287">
        <v>29.96</v>
      </c>
      <c r="DD99" s="287">
        <v>28.46</v>
      </c>
      <c r="DH99" s="261"/>
      <c r="DJ99" s="287">
        <v>28.07</v>
      </c>
      <c r="DK99" s="287">
        <v>26.88</v>
      </c>
      <c r="DO99" s="261"/>
      <c r="DQ99" s="287">
        <v>29.25</v>
      </c>
      <c r="DR99" s="287">
        <v>26.88</v>
      </c>
      <c r="DV99" s="261"/>
      <c r="DX99" s="123">
        <v>33.49</v>
      </c>
      <c r="DY99" s="123">
        <v>31.39</v>
      </c>
      <c r="DZ99" s="258">
        <f>AVERAGE(DX99:DY99)</f>
        <v>32.44</v>
      </c>
      <c r="EA99" s="258">
        <f t="shared" si="158"/>
        <v>1.332</v>
      </c>
      <c r="EB99" s="256">
        <v>0.04</v>
      </c>
      <c r="EC99" s="261">
        <f t="shared" si="111"/>
        <v>0.08568417413419582</v>
      </c>
      <c r="ED99" s="208">
        <f t="shared" si="101"/>
        <v>0.0034640748006322373</v>
      </c>
      <c r="EE99" s="287">
        <v>35.04</v>
      </c>
      <c r="EF99" s="287">
        <v>29.7</v>
      </c>
      <c r="EG99" s="258">
        <f>AVERAGE(EE99:EF99)</f>
        <v>32.37</v>
      </c>
      <c r="EH99" s="258">
        <f>0.29*4</f>
        <v>1.16</v>
      </c>
      <c r="EI99" s="50">
        <v>0.06</v>
      </c>
      <c r="EJ99" s="261">
        <f>+((((((EH99/4)*(1+EI99)^0.25))/(EG99*0.95))+(1+EI99)^(0.25))^4)-1</f>
        <v>0.10055422021489613</v>
      </c>
      <c r="EK99" s="208">
        <f>EJ99*($FM99/$FO99)</f>
        <v>0.006858938220432325</v>
      </c>
      <c r="EL99" s="123">
        <v>88.77</v>
      </c>
      <c r="EM99" s="123">
        <v>76</v>
      </c>
      <c r="EN99" s="258">
        <f>AVERAGE(EL99:EM99)</f>
        <v>82.38499999999999</v>
      </c>
      <c r="EO99" s="258">
        <f t="shared" si="159"/>
        <v>0.9</v>
      </c>
      <c r="EP99" s="261">
        <v>0.0971</v>
      </c>
      <c r="EQ99" s="261">
        <f t="shared" si="113"/>
        <v>0.1097703701183852</v>
      </c>
      <c r="ER99" s="208">
        <f t="shared" si="129"/>
        <v>0.019741846474990728</v>
      </c>
      <c r="ET99" s="262">
        <v>2.741</v>
      </c>
      <c r="EU99" s="262">
        <v>2.118</v>
      </c>
      <c r="EW99" s="262">
        <v>2.788</v>
      </c>
      <c r="EX99" s="262">
        <v>4.694</v>
      </c>
      <c r="EY99" s="262">
        <v>6.083</v>
      </c>
      <c r="FA99" s="262">
        <v>1.166</v>
      </c>
      <c r="FB99" s="262">
        <v>1.778</v>
      </c>
      <c r="FC99" s="262">
        <v>0.968</v>
      </c>
      <c r="FE99" s="258">
        <v>2.714</v>
      </c>
      <c r="FG99" s="258">
        <v>1.789</v>
      </c>
      <c r="FL99" s="258">
        <v>1.525</v>
      </c>
      <c r="FM99" s="258">
        <v>2.573</v>
      </c>
      <c r="FN99" s="258">
        <v>6.784</v>
      </c>
      <c r="FO99" s="258">
        <f>SUM(ET99:FN99)</f>
        <v>37.721</v>
      </c>
      <c r="FP99" s="261">
        <f t="shared" si="102"/>
        <v>0.09796433604445232</v>
      </c>
    </row>
    <row r="100" spans="1:172" ht="12.75">
      <c r="A100" s="263">
        <v>38626</v>
      </c>
      <c r="B100" s="123">
        <v>28.62</v>
      </c>
      <c r="C100" s="123">
        <v>25.55</v>
      </c>
      <c r="D100" s="255">
        <f t="shared" si="146"/>
        <v>27.085</v>
      </c>
      <c r="E100" s="255">
        <v>1.48</v>
      </c>
      <c r="F100" s="77">
        <v>0.0464</v>
      </c>
      <c r="G100" s="261">
        <f t="shared" si="143"/>
        <v>0.10789830433702186</v>
      </c>
      <c r="H100" s="277">
        <f t="shared" si="148"/>
        <v>0.007840440396272021</v>
      </c>
      <c r="I100" s="123">
        <v>37.54</v>
      </c>
      <c r="J100" s="123">
        <v>32.25</v>
      </c>
      <c r="K100" s="258">
        <f t="shared" si="149"/>
        <v>34.894999999999996</v>
      </c>
      <c r="L100" s="259">
        <f t="shared" si="150"/>
        <v>1.24</v>
      </c>
      <c r="M100" s="256">
        <v>0.0592</v>
      </c>
      <c r="N100" s="261">
        <f t="shared" si="144"/>
        <v>0.09937907420256398</v>
      </c>
      <c r="O100" s="208">
        <f t="shared" si="151"/>
        <v>0.00558004504549271</v>
      </c>
      <c r="U100" s="261"/>
      <c r="W100" s="123">
        <v>44.31</v>
      </c>
      <c r="X100" s="123">
        <v>36.12</v>
      </c>
      <c r="Y100" s="258">
        <f t="shared" si="145"/>
        <v>40.215</v>
      </c>
      <c r="Z100" s="258">
        <v>0.4</v>
      </c>
      <c r="AA100" s="77">
        <v>0.065</v>
      </c>
      <c r="AB100" s="261">
        <f t="shared" si="152"/>
        <v>0.07619444850693258</v>
      </c>
      <c r="AC100" s="208">
        <f t="shared" si="153"/>
        <v>0.005631614284810266</v>
      </c>
      <c r="AD100" s="123">
        <v>41.15</v>
      </c>
      <c r="AE100" s="123">
        <v>34.51</v>
      </c>
      <c r="AF100" s="258">
        <f t="shared" si="155"/>
        <v>37.83</v>
      </c>
      <c r="AG100" s="258">
        <v>0.84</v>
      </c>
      <c r="AH100" s="256">
        <v>0.094</v>
      </c>
      <c r="AI100" s="261">
        <f t="shared" si="106"/>
        <v>0.11979534713919349</v>
      </c>
      <c r="AJ100" s="208">
        <f t="shared" si="116"/>
        <v>0.014907329059976519</v>
      </c>
      <c r="AK100" s="123">
        <v>37.09</v>
      </c>
      <c r="AL100" s="123">
        <v>32.66</v>
      </c>
      <c r="AM100" s="258">
        <f t="shared" si="85"/>
        <v>34.875</v>
      </c>
      <c r="AN100" s="258">
        <v>1.82</v>
      </c>
      <c r="AO100" s="256">
        <v>0.037</v>
      </c>
      <c r="AP100" s="261">
        <f t="shared" si="117"/>
        <v>0.09514981835250325</v>
      </c>
      <c r="AQ100" s="208">
        <f t="shared" si="114"/>
        <v>0.015344141063022648</v>
      </c>
      <c r="AR100" s="287">
        <v>33.19</v>
      </c>
      <c r="AS100" s="287">
        <v>28.6</v>
      </c>
      <c r="AW100" s="261"/>
      <c r="AY100" s="123">
        <v>46.95</v>
      </c>
      <c r="AZ100" s="123">
        <v>40.8</v>
      </c>
      <c r="BA100" s="258">
        <f t="shared" si="133"/>
        <v>43.875</v>
      </c>
      <c r="BB100" s="255">
        <v>1.36</v>
      </c>
      <c r="BC100" s="256">
        <v>0.053</v>
      </c>
      <c r="BD100" s="261">
        <f t="shared" si="134"/>
        <v>0.0877805790332502</v>
      </c>
      <c r="BE100" s="208">
        <f t="shared" si="135"/>
        <v>0.002713399834383228</v>
      </c>
      <c r="BF100" s="123">
        <v>42.97</v>
      </c>
      <c r="BG100" s="123">
        <v>37.45</v>
      </c>
      <c r="BH100" s="258">
        <f t="shared" si="87"/>
        <v>40.21</v>
      </c>
      <c r="BI100" s="258">
        <f t="shared" si="120"/>
        <v>1.86</v>
      </c>
      <c r="BJ100" s="256">
        <v>0.0217</v>
      </c>
      <c r="BK100" s="261">
        <f t="shared" si="139"/>
        <v>0.07236411669265741</v>
      </c>
      <c r="BL100" s="208">
        <f t="shared" si="140"/>
        <v>0.0034109222841267437</v>
      </c>
      <c r="BM100" s="123">
        <v>37.77</v>
      </c>
      <c r="BN100" s="123">
        <v>33.25</v>
      </c>
      <c r="BO100" s="255">
        <f t="shared" si="156"/>
        <v>35.510000000000005</v>
      </c>
      <c r="BP100" s="255">
        <f>0.325*4</f>
        <v>1.3</v>
      </c>
      <c r="BQ100" s="256">
        <v>0.053</v>
      </c>
      <c r="BR100" s="261">
        <f t="shared" si="142"/>
        <v>0.0920821714970852</v>
      </c>
      <c r="BS100" s="208">
        <f t="shared" si="160"/>
        <v>0.0023630217122870144</v>
      </c>
      <c r="BY100" s="261"/>
      <c r="CA100" s="123">
        <v>35.29</v>
      </c>
      <c r="CB100" s="123">
        <v>27.78</v>
      </c>
      <c r="CC100" s="258">
        <f t="shared" si="82"/>
        <v>31.535</v>
      </c>
      <c r="CD100" s="258">
        <f t="shared" si="157"/>
        <v>1.12</v>
      </c>
      <c r="CE100" s="256">
        <v>0.06</v>
      </c>
      <c r="CF100" s="261">
        <f t="shared" si="69"/>
        <v>0.10018752470283498</v>
      </c>
      <c r="CG100" s="208">
        <f t="shared" si="122"/>
        <v>0.007208423478791501</v>
      </c>
      <c r="CH100" s="287">
        <v>39.9</v>
      </c>
      <c r="CI100" s="287">
        <v>34.34</v>
      </c>
      <c r="CM100" s="261"/>
      <c r="CO100" s="123">
        <v>25.45</v>
      </c>
      <c r="CP100" s="123">
        <v>22.33</v>
      </c>
      <c r="CQ100" s="258">
        <f t="shared" si="124"/>
        <v>23.89</v>
      </c>
      <c r="CR100" s="258">
        <f t="shared" si="154"/>
        <v>0.92</v>
      </c>
      <c r="CS100" s="256">
        <v>0.05</v>
      </c>
      <c r="CT100" s="261">
        <f t="shared" si="110"/>
        <v>0.09321490470186755</v>
      </c>
      <c r="CU100" s="208">
        <f t="shared" si="126"/>
        <v>0.004420918440965008</v>
      </c>
      <c r="DA100" s="261"/>
      <c r="DC100" s="287">
        <v>29.24</v>
      </c>
      <c r="DD100" s="287">
        <v>25.8</v>
      </c>
      <c r="DH100" s="261"/>
      <c r="DJ100" s="287">
        <v>27.86</v>
      </c>
      <c r="DK100" s="287">
        <v>25.14</v>
      </c>
      <c r="DO100" s="261"/>
      <c r="DQ100" s="287">
        <v>28.64</v>
      </c>
      <c r="DR100" s="287">
        <v>22.6</v>
      </c>
      <c r="DV100" s="261"/>
      <c r="DX100" s="123">
        <v>32.88</v>
      </c>
      <c r="DY100" s="123">
        <v>29.1</v>
      </c>
      <c r="DZ100" s="258">
        <f>AVERAGE(DX100:DY100)</f>
        <v>30.990000000000002</v>
      </c>
      <c r="EA100" s="258">
        <f t="shared" si="158"/>
        <v>1.332</v>
      </c>
      <c r="EB100" s="256">
        <v>0.04</v>
      </c>
      <c r="EC100" s="261">
        <f t="shared" si="111"/>
        <v>0.0878579160708799</v>
      </c>
      <c r="ED100" s="208">
        <f t="shared" si="101"/>
        <v>0.0035519557277933203</v>
      </c>
      <c r="EE100" s="287">
        <v>35.27</v>
      </c>
      <c r="EF100" s="287">
        <v>29.51</v>
      </c>
      <c r="EG100" s="258">
        <f>AVERAGE(EE100:EF100)</f>
        <v>32.39</v>
      </c>
      <c r="EH100" s="258">
        <f>0.29*4</f>
        <v>1.16</v>
      </c>
      <c r="EI100" s="50">
        <v>0.0503</v>
      </c>
      <c r="EJ100" s="261">
        <f>+((((((EH100/4)*(1+EI100)^0.25))/(EG100*0.95))+(1+EI100)^(0.25))^4)-1</f>
        <v>0.09045794858830991</v>
      </c>
      <c r="EK100" s="208">
        <f>EJ100*($FM100/$FO100)</f>
        <v>0.0061702579920394855</v>
      </c>
      <c r="EL100" s="123">
        <v>89.56</v>
      </c>
      <c r="EM100" s="123">
        <v>71.12</v>
      </c>
      <c r="EN100" s="258">
        <f>AVERAGE(EL100:EM100)</f>
        <v>80.34</v>
      </c>
      <c r="EO100" s="258">
        <f t="shared" si="159"/>
        <v>0.9</v>
      </c>
      <c r="EP100" s="261">
        <v>0.0971</v>
      </c>
      <c r="EQ100" s="261">
        <f t="shared" si="113"/>
        <v>0.11009431130909597</v>
      </c>
      <c r="ER100" s="208">
        <f t="shared" si="129"/>
        <v>0.01980010625171409</v>
      </c>
      <c r="ET100" s="262">
        <v>2.741</v>
      </c>
      <c r="EU100" s="262">
        <v>2.118</v>
      </c>
      <c r="EW100" s="262">
        <v>2.788</v>
      </c>
      <c r="EX100" s="262">
        <v>4.694</v>
      </c>
      <c r="EY100" s="262">
        <v>6.083</v>
      </c>
      <c r="FA100" s="262">
        <v>1.166</v>
      </c>
      <c r="FB100" s="262">
        <v>1.778</v>
      </c>
      <c r="FC100" s="262">
        <v>0.968</v>
      </c>
      <c r="FE100" s="258">
        <v>2.714</v>
      </c>
      <c r="FG100" s="258">
        <v>1.789</v>
      </c>
      <c r="FL100" s="258">
        <v>1.525</v>
      </c>
      <c r="FM100" s="258">
        <v>2.573</v>
      </c>
      <c r="FN100" s="258">
        <v>6.784</v>
      </c>
      <c r="FO100" s="258">
        <f>SUM(ET100:FN100)</f>
        <v>37.721</v>
      </c>
      <c r="FP100" s="261">
        <f t="shared" si="102"/>
        <v>0.09894257557167457</v>
      </c>
    </row>
    <row r="101" spans="1:172" ht="12.75">
      <c r="A101" s="263">
        <v>38657</v>
      </c>
      <c r="B101" s="123">
        <v>27.2</v>
      </c>
      <c r="C101" s="123">
        <v>25.85</v>
      </c>
      <c r="D101" s="255">
        <f t="shared" si="146"/>
        <v>26.525</v>
      </c>
      <c r="E101" s="255">
        <v>1.48</v>
      </c>
      <c r="F101" s="77">
        <v>0.0464</v>
      </c>
      <c r="G101" s="261">
        <f t="shared" si="143"/>
        <v>0.10922519830829303</v>
      </c>
      <c r="H101" s="277">
        <f t="shared" si="148"/>
        <v>0.008332023504481555</v>
      </c>
      <c r="I101" s="123">
        <v>36.68</v>
      </c>
      <c r="J101" s="123">
        <v>34.55</v>
      </c>
      <c r="K101" s="258">
        <f t="shared" si="149"/>
        <v>35.614999999999995</v>
      </c>
      <c r="L101" s="259">
        <f t="shared" si="150"/>
        <v>1.24</v>
      </c>
      <c r="M101" s="256">
        <v>0.0592</v>
      </c>
      <c r="N101" s="261">
        <f t="shared" si="144"/>
        <v>0.09855566161395934</v>
      </c>
      <c r="O101" s="208">
        <f t="shared" si="151"/>
        <v>0.005809331272914558</v>
      </c>
      <c r="U101" s="261"/>
      <c r="W101" s="123">
        <v>38.73</v>
      </c>
      <c r="X101" s="123">
        <v>34.5</v>
      </c>
      <c r="Y101" s="258">
        <f t="shared" si="145"/>
        <v>36.614999999999995</v>
      </c>
      <c r="Z101" s="258">
        <v>0.4</v>
      </c>
      <c r="AA101" s="77">
        <v>0.065</v>
      </c>
      <c r="AB101" s="261">
        <f t="shared" si="152"/>
        <v>0.0772998357494894</v>
      </c>
      <c r="AC101" s="208">
        <f t="shared" si="153"/>
        <v>0.005997771960079496</v>
      </c>
      <c r="AD101" s="123">
        <v>38.98</v>
      </c>
      <c r="AE101" s="123">
        <v>36.08</v>
      </c>
      <c r="AF101" s="258">
        <f t="shared" si="155"/>
        <v>37.53</v>
      </c>
      <c r="AG101" s="258">
        <v>0.84</v>
      </c>
      <c r="AH101" s="256">
        <v>0.094</v>
      </c>
      <c r="AI101" s="261">
        <f t="shared" si="106"/>
        <v>0.12000336499030251</v>
      </c>
      <c r="AJ101" s="208">
        <f t="shared" si="116"/>
        <v>0.015676717000569967</v>
      </c>
      <c r="AK101" s="123">
        <v>35.84</v>
      </c>
      <c r="AL101" s="123">
        <v>33.55</v>
      </c>
      <c r="AM101" s="258">
        <f t="shared" si="85"/>
        <v>34.695</v>
      </c>
      <c r="AN101" s="258">
        <v>1.82</v>
      </c>
      <c r="AO101" s="256">
        <v>0.037</v>
      </c>
      <c r="AP101" s="261">
        <f t="shared" si="117"/>
        <v>0.09545773616014497</v>
      </c>
      <c r="AQ101" s="208">
        <f t="shared" si="114"/>
        <v>0.016160230687469718</v>
      </c>
      <c r="AR101" s="287">
        <v>30.69</v>
      </c>
      <c r="AS101" s="287">
        <v>28.86</v>
      </c>
      <c r="AW101" s="261"/>
      <c r="AY101" s="123">
        <v>43.32</v>
      </c>
      <c r="AZ101" s="123">
        <v>41.37</v>
      </c>
      <c r="BA101" s="258">
        <f t="shared" si="133"/>
        <v>42.345</v>
      </c>
      <c r="BB101" s="255">
        <v>1.36</v>
      </c>
      <c r="BC101" s="256">
        <v>0.053</v>
      </c>
      <c r="BD101" s="261">
        <f t="shared" si="134"/>
        <v>0.08905317627688358</v>
      </c>
      <c r="BE101" s="208">
        <f t="shared" si="135"/>
        <v>0.00288979192749767</v>
      </c>
      <c r="BF101" s="123">
        <v>41.15</v>
      </c>
      <c r="BG101" s="123">
        <v>38.72</v>
      </c>
      <c r="BH101" s="258">
        <f t="shared" si="87"/>
        <v>39.935</v>
      </c>
      <c r="BI101" s="258">
        <f t="shared" si="120"/>
        <v>1.86</v>
      </c>
      <c r="BJ101" s="256">
        <v>0.03</v>
      </c>
      <c r="BK101" s="261">
        <f t="shared" si="139"/>
        <v>0.0814338678852442</v>
      </c>
      <c r="BL101" s="208">
        <f t="shared" si="140"/>
        <v>0.0040295396053646945</v>
      </c>
      <c r="BM101" s="123">
        <v>35.48</v>
      </c>
      <c r="BN101" s="123">
        <v>33.88</v>
      </c>
      <c r="BO101" s="255">
        <f t="shared" si="156"/>
        <v>34.68</v>
      </c>
      <c r="BP101" s="258">
        <v>1.38</v>
      </c>
      <c r="BQ101" s="256">
        <v>0.053</v>
      </c>
      <c r="BR101" s="261">
        <f t="shared" si="142"/>
        <v>0.0955307996939283</v>
      </c>
      <c r="BS101" s="208">
        <f t="shared" si="160"/>
        <v>0.0025735782618201775</v>
      </c>
      <c r="BY101" s="261"/>
      <c r="CA101" s="123">
        <v>28.7</v>
      </c>
      <c r="CB101" s="123">
        <v>26.52</v>
      </c>
      <c r="CC101" s="258">
        <f t="shared" si="82"/>
        <v>27.61</v>
      </c>
      <c r="CD101" s="258">
        <f t="shared" si="157"/>
        <v>1.12</v>
      </c>
      <c r="CE101" s="256">
        <v>0.07</v>
      </c>
      <c r="CF101" s="261">
        <f t="shared" si="69"/>
        <v>0.11642583026591025</v>
      </c>
      <c r="CG101" s="208">
        <f t="shared" si="122"/>
        <v>0.008793824539176235</v>
      </c>
      <c r="CH101" s="287">
        <v>37.25</v>
      </c>
      <c r="CI101" s="287">
        <v>35.41</v>
      </c>
      <c r="CM101" s="261"/>
      <c r="CO101" s="123">
        <v>23.62</v>
      </c>
      <c r="CP101" s="123">
        <v>21.52</v>
      </c>
      <c r="CQ101" s="258">
        <f t="shared" si="124"/>
        <v>22.57</v>
      </c>
      <c r="CR101" s="258">
        <f t="shared" si="154"/>
        <v>0.92</v>
      </c>
      <c r="CT101" s="261"/>
      <c r="CU101" s="208"/>
      <c r="DA101" s="261"/>
      <c r="DC101" s="287">
        <v>29.61</v>
      </c>
      <c r="DD101" s="287">
        <v>26.22</v>
      </c>
      <c r="DH101" s="261"/>
      <c r="DJ101" s="287">
        <v>27.56</v>
      </c>
      <c r="DK101" s="287">
        <v>26</v>
      </c>
      <c r="DO101" s="261"/>
      <c r="DQ101" s="287">
        <v>24.36</v>
      </c>
      <c r="DR101" s="287">
        <v>21.17</v>
      </c>
      <c r="DV101" s="261"/>
      <c r="DX101" s="123">
        <v>31.31</v>
      </c>
      <c r="DY101" s="123">
        <v>29.8</v>
      </c>
      <c r="DZ101" s="258">
        <f>AVERAGE(DX101:DY101)</f>
        <v>30.555</v>
      </c>
      <c r="EA101" s="258">
        <f t="shared" si="158"/>
        <v>1.332</v>
      </c>
      <c r="EB101" s="256">
        <v>0.04</v>
      </c>
      <c r="EC101" s="261">
        <f t="shared" si="111"/>
        <v>0.08855095432306315</v>
      </c>
      <c r="ED101" s="208">
        <f t="shared" si="101"/>
        <v>0.0037582156668894387</v>
      </c>
      <c r="EE101" s="287">
        <v>32.66</v>
      </c>
      <c r="EF101" s="287">
        <v>29.25</v>
      </c>
      <c r="EG101" s="258">
        <f>AVERAGE(EE101:EF101)</f>
        <v>30.955</v>
      </c>
      <c r="EH101" s="258">
        <f>0.29*4</f>
        <v>1.16</v>
      </c>
      <c r="EI101" s="50">
        <v>0.0503</v>
      </c>
      <c r="EJ101" s="261">
        <f>+((((((EH101/4)*(1+EI101)^0.25))/(EG101*0.95))+(1+EI101)^(0.25))^4)-1</f>
        <v>0.0923470771357906</v>
      </c>
      <c r="EK101" s="208">
        <f>EJ101*($FM101/$FO101)</f>
        <v>0.006612741552665848</v>
      </c>
      <c r="EL101" s="123">
        <v>81.35</v>
      </c>
      <c r="EM101" s="123">
        <v>73.75</v>
      </c>
      <c r="EN101" s="258">
        <f>AVERAGE(EL101:EM101)</f>
        <v>77.55</v>
      </c>
      <c r="EO101" s="258">
        <f t="shared" si="159"/>
        <v>0.9</v>
      </c>
      <c r="EP101" s="261">
        <v>0.1144</v>
      </c>
      <c r="EQ101" s="261">
        <f t="shared" si="113"/>
        <v>0.12807625650323584</v>
      </c>
      <c r="ER101" s="208">
        <f t="shared" si="129"/>
        <v>0.024180934101022823</v>
      </c>
      <c r="ET101" s="262">
        <v>2.741</v>
      </c>
      <c r="EU101" s="262">
        <v>2.118</v>
      </c>
      <c r="EW101" s="262">
        <v>2.788</v>
      </c>
      <c r="EX101" s="262">
        <v>4.694</v>
      </c>
      <c r="EY101" s="262">
        <v>6.083</v>
      </c>
      <c r="FA101" s="262">
        <v>1.166</v>
      </c>
      <c r="FB101" s="262">
        <v>1.778</v>
      </c>
      <c r="FC101" s="262">
        <v>0.968</v>
      </c>
      <c r="FE101" s="258">
        <v>2.714</v>
      </c>
      <c r="FL101" s="258">
        <v>1.525</v>
      </c>
      <c r="FM101" s="258">
        <v>2.573</v>
      </c>
      <c r="FN101" s="258">
        <v>6.784</v>
      </c>
      <c r="FO101" s="258">
        <f>SUM(ET101:FN101)</f>
        <v>35.931999999999995</v>
      </c>
      <c r="FP101" s="261">
        <f t="shared" si="102"/>
        <v>0.1048147000799522</v>
      </c>
    </row>
    <row r="102" spans="1:172" ht="12.75">
      <c r="A102" s="263">
        <v>38687</v>
      </c>
      <c r="B102" s="123">
        <v>35.99</v>
      </c>
      <c r="C102" s="123">
        <v>33.74</v>
      </c>
      <c r="D102" s="255">
        <f t="shared" si="146"/>
        <v>34.865</v>
      </c>
      <c r="E102" s="255">
        <v>1.48</v>
      </c>
      <c r="F102" s="77">
        <v>0.0463</v>
      </c>
      <c r="G102" s="261">
        <f t="shared" si="143"/>
        <v>0.09384173332788737</v>
      </c>
      <c r="H102" s="277">
        <f t="shared" si="148"/>
        <v>0.006904415080664951</v>
      </c>
      <c r="I102" s="123">
        <v>26.9</v>
      </c>
      <c r="J102" s="123">
        <v>25.83</v>
      </c>
      <c r="K102" s="258">
        <f t="shared" si="149"/>
        <v>26.365</v>
      </c>
      <c r="L102" s="259">
        <f t="shared" si="150"/>
        <v>1.24</v>
      </c>
      <c r="M102" s="256">
        <v>0.057</v>
      </c>
      <c r="N102" s="261">
        <f t="shared" si="144"/>
        <v>0.11030889416045953</v>
      </c>
      <c r="O102" s="208">
        <f t="shared" si="151"/>
        <v>0.0063285207652588465</v>
      </c>
      <c r="U102" s="261"/>
      <c r="W102" s="123">
        <v>38.89</v>
      </c>
      <c r="X102" s="123">
        <v>36.03</v>
      </c>
      <c r="Y102" s="258">
        <f>AVERAGE(W102:X102)</f>
        <v>37.46</v>
      </c>
      <c r="Z102" s="258">
        <v>0.4</v>
      </c>
      <c r="AA102" s="77">
        <v>0.065</v>
      </c>
      <c r="AB102" s="261">
        <f t="shared" si="152"/>
        <v>0.07702121464731437</v>
      </c>
      <c r="AC102" s="208">
        <f t="shared" si="153"/>
        <v>0.005755549305389092</v>
      </c>
      <c r="AD102" s="123">
        <v>39.51</v>
      </c>
      <c r="AE102" s="123">
        <v>36.01</v>
      </c>
      <c r="AF102" s="258">
        <f t="shared" si="155"/>
        <v>37.76</v>
      </c>
      <c r="AG102" s="258">
        <v>0.84</v>
      </c>
      <c r="AH102" s="256">
        <v>0.094</v>
      </c>
      <c r="AI102" s="261">
        <f t="shared" si="106"/>
        <v>0.11984358640996784</v>
      </c>
      <c r="AJ102" s="208">
        <f t="shared" si="116"/>
        <v>0.014206870405252777</v>
      </c>
      <c r="AK102" s="25">
        <v>36.42</v>
      </c>
      <c r="AL102" s="25">
        <v>33.27</v>
      </c>
      <c r="AM102" s="258">
        <f>AVERAGE(AK102:AL102)</f>
        <v>34.845</v>
      </c>
      <c r="AN102" s="258">
        <v>1.86</v>
      </c>
      <c r="AO102" s="256">
        <v>0.0358</v>
      </c>
      <c r="AP102" s="261">
        <f t="shared" si="117"/>
        <v>0.0952380878543948</v>
      </c>
      <c r="AQ102" s="208">
        <f t="shared" si="114"/>
        <v>0.015940186709934464</v>
      </c>
      <c r="AW102" s="261"/>
      <c r="AY102" s="25">
        <v>44.58</v>
      </c>
      <c r="AZ102" s="25">
        <v>41.51</v>
      </c>
      <c r="BA102" s="258">
        <f t="shared" si="133"/>
        <v>43.045</v>
      </c>
      <c r="BB102" s="255">
        <v>1.36</v>
      </c>
      <c r="BC102" s="256">
        <v>0.0533</v>
      </c>
      <c r="BD102" s="261">
        <f t="shared" si="134"/>
        <v>0.08876967910191413</v>
      </c>
      <c r="BE102" s="208">
        <f t="shared" si="135"/>
        <v>0.002867372857213104</v>
      </c>
      <c r="BF102" s="25">
        <v>42.09</v>
      </c>
      <c r="BG102" s="25">
        <v>39.03</v>
      </c>
      <c r="BH102" s="258">
        <f>AVERAGE(BF102:BG102)</f>
        <v>40.56</v>
      </c>
      <c r="BI102" s="258">
        <f t="shared" si="120"/>
        <v>1.86</v>
      </c>
      <c r="BJ102" s="256">
        <v>0.03</v>
      </c>
      <c r="BK102" s="261">
        <f t="shared" si="139"/>
        <v>0.08062699438235987</v>
      </c>
      <c r="BL102" s="208">
        <f t="shared" si="140"/>
        <v>0.003902211775469367</v>
      </c>
      <c r="BM102" s="123">
        <v>35.78</v>
      </c>
      <c r="BN102" s="123">
        <v>33.95</v>
      </c>
      <c r="BO102" s="255">
        <f t="shared" si="156"/>
        <v>34.865</v>
      </c>
      <c r="BP102" s="258">
        <v>1.38</v>
      </c>
      <c r="BQ102" s="256">
        <v>0.0563</v>
      </c>
      <c r="BR102" s="261">
        <f t="shared" si="142"/>
        <v>0.09873434930295488</v>
      </c>
      <c r="BS102" s="208">
        <f t="shared" si="160"/>
        <v>0.0025439908942961912</v>
      </c>
      <c r="BY102" s="261"/>
      <c r="CA102" s="25">
        <v>28.3</v>
      </c>
      <c r="CB102" s="25">
        <v>26.3</v>
      </c>
      <c r="CC102" s="258">
        <f>AVERAGE(CA102:CB102)</f>
        <v>27.3</v>
      </c>
      <c r="CD102" s="258">
        <f t="shared" si="157"/>
        <v>1.12</v>
      </c>
      <c r="CE102" s="256">
        <v>0.0688</v>
      </c>
      <c r="CF102" s="261">
        <f t="shared" si="69"/>
        <v>0.11570886546304116</v>
      </c>
      <c r="CG102" s="208">
        <f t="shared" si="122"/>
        <v>0.008141396763751047</v>
      </c>
      <c r="CH102" s="25">
        <v>37.96</v>
      </c>
      <c r="CI102" s="25">
        <v>34.88</v>
      </c>
      <c r="CJ102" s="258">
        <f>AVERAGE(CH102:CI102)</f>
        <v>36.42</v>
      </c>
      <c r="CK102" s="258">
        <f>0.545*4</f>
        <v>2.18</v>
      </c>
      <c r="CL102" s="256">
        <v>0.0447</v>
      </c>
      <c r="CM102" s="261">
        <f>+((((((CK102/4)*(1+CL102)^0.25))/(CJ102*0.95))+(1+CL102)^(0.25))^4)-1</f>
        <v>0.11209571849545519</v>
      </c>
      <c r="CN102" s="208">
        <f>CM102*($FF102/$FO102)</f>
        <v>0.004200286859201356</v>
      </c>
      <c r="CT102" s="261"/>
      <c r="DA102" s="261"/>
      <c r="DD102" s="25"/>
      <c r="DH102" s="261"/>
      <c r="DO102" s="261"/>
      <c r="DV102" s="261"/>
      <c r="DX102" s="123">
        <v>31.14</v>
      </c>
      <c r="DY102" s="123">
        <v>29.74</v>
      </c>
      <c r="DZ102" s="258">
        <f>AVERAGE(DX102:DY102)</f>
        <v>30.439999999999998</v>
      </c>
      <c r="EA102" s="258">
        <f t="shared" si="158"/>
        <v>1.332</v>
      </c>
      <c r="EB102" s="256">
        <v>0.0375</v>
      </c>
      <c r="EC102" s="261">
        <f t="shared" si="111"/>
        <v>0.08612038075535433</v>
      </c>
      <c r="ED102" s="208">
        <f t="shared" si="101"/>
        <v>0.0034299605255842056</v>
      </c>
      <c r="EE102" s="25">
        <v>34.1</v>
      </c>
      <c r="EF102" s="25">
        <v>30.58</v>
      </c>
      <c r="EG102" s="258">
        <f>AVERAGE(EE102:EF102)</f>
        <v>32.34</v>
      </c>
      <c r="EH102" s="258">
        <f>0.29*4</f>
        <v>1.16</v>
      </c>
      <c r="EI102" s="50">
        <v>0.0503</v>
      </c>
      <c r="EJ102" s="261">
        <f>+((((((EH102/4)*(1+EI102)^0.25))/(EG102*0.95))+(1+EI102)^(0.25))^4)-1</f>
        <v>0.0905209133931435</v>
      </c>
      <c r="EK102" s="208">
        <f>EJ102*($FM102/$FO102)</f>
        <v>0.006674632380847549</v>
      </c>
      <c r="EL102" s="123">
        <v>84.77</v>
      </c>
      <c r="EM102" s="123">
        <v>74.43</v>
      </c>
      <c r="EN102" s="258">
        <f>AVERAGE(EL102:EM102)</f>
        <v>79.6</v>
      </c>
      <c r="EO102" s="258">
        <f t="shared" si="159"/>
        <v>0.9</v>
      </c>
      <c r="EP102" s="261">
        <v>0.1171</v>
      </c>
      <c r="EQ102" s="261">
        <f t="shared" si="113"/>
        <v>0.13045474832713855</v>
      </c>
      <c r="ER102" s="208">
        <f t="shared" si="129"/>
        <v>0.023553553098169085</v>
      </c>
      <c r="ET102" s="262">
        <v>2.747</v>
      </c>
      <c r="EU102" s="262">
        <v>2.142</v>
      </c>
      <c r="EW102" s="262">
        <v>2.79</v>
      </c>
      <c r="EX102" s="262">
        <v>4.426</v>
      </c>
      <c r="EY102" s="262">
        <v>6.249</v>
      </c>
      <c r="FA102" s="262">
        <v>1.206</v>
      </c>
      <c r="FB102" s="262">
        <v>1.807</v>
      </c>
      <c r="FC102" s="262">
        <v>0.962</v>
      </c>
      <c r="FE102" s="258">
        <v>2.627</v>
      </c>
      <c r="FF102" s="258">
        <v>1.399</v>
      </c>
      <c r="FL102" s="258">
        <v>1.487</v>
      </c>
      <c r="FM102" s="258">
        <v>2.753</v>
      </c>
      <c r="FN102" s="258">
        <v>6.741</v>
      </c>
      <c r="FO102" s="258">
        <f>SUM(ET102:FN102)</f>
        <v>37.336</v>
      </c>
      <c r="FP102" s="261">
        <f t="shared" si="102"/>
        <v>0.10444894742103204</v>
      </c>
    </row>
    <row r="103" spans="1:172" ht="12.75">
      <c r="A103" s="263">
        <v>38718</v>
      </c>
      <c r="B103" s="123">
        <v>36.28</v>
      </c>
      <c r="C103" s="123">
        <v>34.83</v>
      </c>
      <c r="D103" s="255">
        <f t="shared" si="146"/>
        <v>35.555</v>
      </c>
      <c r="E103" s="255">
        <v>1.48</v>
      </c>
      <c r="F103" s="77">
        <v>0.0463</v>
      </c>
      <c r="G103" s="261">
        <f t="shared" si="143"/>
        <v>0.09290398326097438</v>
      </c>
      <c r="H103" s="277">
        <f t="shared" si="148"/>
        <v>0.006515375083428559</v>
      </c>
      <c r="I103" s="123">
        <v>27.08</v>
      </c>
      <c r="J103" s="123">
        <v>26.02</v>
      </c>
      <c r="K103" s="258">
        <f t="shared" si="149"/>
        <v>26.549999999999997</v>
      </c>
      <c r="L103" s="259">
        <v>1.26</v>
      </c>
      <c r="M103" s="256">
        <v>0.064</v>
      </c>
      <c r="N103" s="261">
        <f t="shared" si="144"/>
        <v>0.11815657966371984</v>
      </c>
      <c r="O103" s="208">
        <f t="shared" si="151"/>
        <v>0.0064613580199052315</v>
      </c>
      <c r="U103" s="261"/>
      <c r="W103" s="123">
        <v>39.49</v>
      </c>
      <c r="X103" s="123">
        <v>36.35</v>
      </c>
      <c r="Y103" s="258">
        <f>AVERAGE(W103:X103)</f>
        <v>37.92</v>
      </c>
      <c r="Z103" s="258">
        <v>0.4</v>
      </c>
      <c r="AA103" s="77">
        <v>0.065</v>
      </c>
      <c r="AB103" s="261">
        <f t="shared" si="152"/>
        <v>0.07687478076815002</v>
      </c>
      <c r="AC103" s="208">
        <f t="shared" si="153"/>
        <v>0.005475635392982859</v>
      </c>
      <c r="AD103" s="123">
        <v>39.02</v>
      </c>
      <c r="AE103" s="123">
        <v>35.82</v>
      </c>
      <c r="AF103" s="258">
        <f t="shared" si="155"/>
        <v>37.42</v>
      </c>
      <c r="AG103" s="258">
        <v>0.84</v>
      </c>
      <c r="AH103" s="256">
        <v>0.094</v>
      </c>
      <c r="AI103" s="261">
        <f t="shared" si="106"/>
        <v>0.12008048126784376</v>
      </c>
      <c r="AJ103" s="208">
        <f t="shared" si="116"/>
        <v>0.013568450602284314</v>
      </c>
      <c r="AK103" s="25">
        <v>36.92</v>
      </c>
      <c r="AL103" s="25">
        <v>35.38</v>
      </c>
      <c r="AM103" s="258">
        <f>AVERAGE(AK103:AL103)</f>
        <v>36.150000000000006</v>
      </c>
      <c r="AN103" s="258">
        <v>1.86</v>
      </c>
      <c r="AO103" s="256">
        <v>0.0342</v>
      </c>
      <c r="AP103" s="261">
        <f t="shared" si="117"/>
        <v>0.09136050463628642</v>
      </c>
      <c r="AQ103" s="208">
        <f t="shared" si="114"/>
        <v>0.014575230877512226</v>
      </c>
      <c r="AW103" s="261"/>
      <c r="AY103" s="25">
        <v>45.55</v>
      </c>
      <c r="AZ103" s="25">
        <v>41.49</v>
      </c>
      <c r="BA103" s="258">
        <f t="shared" si="133"/>
        <v>43.519999999999996</v>
      </c>
      <c r="BB103" s="255">
        <v>1.44</v>
      </c>
      <c r="BC103" s="256">
        <v>0.0533</v>
      </c>
      <c r="BD103" s="261">
        <f t="shared" si="134"/>
        <v>0.09046809617001128</v>
      </c>
      <c r="BE103" s="208">
        <f t="shared" si="135"/>
        <v>0.002785410364591106</v>
      </c>
      <c r="BF103" s="25">
        <v>42.83</v>
      </c>
      <c r="BG103" s="25">
        <v>39.25</v>
      </c>
      <c r="BH103" s="258">
        <f>AVERAGE(BF103:BG103)</f>
        <v>41.04</v>
      </c>
      <c r="BI103" s="258">
        <f t="shared" si="120"/>
        <v>1.86</v>
      </c>
      <c r="BJ103" s="256">
        <v>0.03</v>
      </c>
      <c r="BK103" s="261">
        <f t="shared" si="139"/>
        <v>0.08002429521595955</v>
      </c>
      <c r="BL103" s="208">
        <f t="shared" si="140"/>
        <v>0.003691700317979038</v>
      </c>
      <c r="BM103" s="123">
        <v>36.57</v>
      </c>
      <c r="BN103" s="123">
        <v>34.54</v>
      </c>
      <c r="BO103" s="255">
        <f t="shared" si="156"/>
        <v>35.555</v>
      </c>
      <c r="BP103" s="258">
        <v>1.38</v>
      </c>
      <c r="BQ103" s="256">
        <v>0.053</v>
      </c>
      <c r="BR103" s="261">
        <f t="shared" si="142"/>
        <v>0.0944689208070062</v>
      </c>
      <c r="BS103" s="208">
        <f t="shared" si="160"/>
        <v>0.002320120036158794</v>
      </c>
      <c r="BY103" s="261"/>
      <c r="CA103" s="25">
        <v>29.76</v>
      </c>
      <c r="CB103" s="25">
        <v>26.77</v>
      </c>
      <c r="CC103" s="258">
        <f>AVERAGE(CA103:CB103)</f>
        <v>28.265</v>
      </c>
      <c r="CD103" s="258">
        <f t="shared" si="157"/>
        <v>1.12</v>
      </c>
      <c r="CE103" s="256">
        <v>0.0688</v>
      </c>
      <c r="CF103" s="261">
        <f t="shared" si="69"/>
        <v>0.11408234396757866</v>
      </c>
      <c r="CG103" s="208">
        <f t="shared" si="122"/>
        <v>0.007651118652101842</v>
      </c>
      <c r="CH103" s="25">
        <v>37.56</v>
      </c>
      <c r="CI103" s="25">
        <v>35.11</v>
      </c>
      <c r="CJ103" s="258">
        <f>AVERAGE(CH103:CI103)</f>
        <v>36.335</v>
      </c>
      <c r="CK103" s="258">
        <f>0.545*4</f>
        <v>2.18</v>
      </c>
      <c r="CL103" s="256">
        <v>0.0397</v>
      </c>
      <c r="CM103" s="261">
        <f>+((((((CK103/4)*(1+CL103)^0.25))/(CJ103*0.95))+(1+CL103)^(0.25))^4)-1</f>
        <v>0.1069337715715517</v>
      </c>
      <c r="CN103" s="208">
        <f>CM103*($FF103/$FO103)</f>
        <v>0.0038192582698136543</v>
      </c>
      <c r="CO103" s="25">
        <v>24.94</v>
      </c>
      <c r="CP103" s="25">
        <v>23.83</v>
      </c>
      <c r="CT103" s="261"/>
      <c r="CU103" s="208"/>
      <c r="DA103" s="261"/>
      <c r="DH103" s="261"/>
      <c r="DO103" s="261"/>
      <c r="DV103" s="261"/>
      <c r="DX103" s="123">
        <v>31.3</v>
      </c>
      <c r="DY103" s="123">
        <v>29.77</v>
      </c>
      <c r="DZ103" s="258">
        <f>AVERAGE(DX103:DY103)</f>
        <v>30.535</v>
      </c>
      <c r="EA103" s="258">
        <f t="shared" si="158"/>
        <v>1.332</v>
      </c>
      <c r="EB103" s="256">
        <v>0.0375</v>
      </c>
      <c r="EC103" s="261">
        <f t="shared" si="111"/>
        <v>0.08596651425428048</v>
      </c>
      <c r="ED103" s="208">
        <f t="shared" si="101"/>
        <v>0.003263523275366737</v>
      </c>
      <c r="EE103" s="25">
        <v>35.43</v>
      </c>
      <c r="EF103" s="25">
        <v>31.09</v>
      </c>
      <c r="EG103" s="258">
        <f>AVERAGE(EE103:EF103)</f>
        <v>33.26</v>
      </c>
      <c r="EH103" s="258">
        <f>0.29*4</f>
        <v>1.16</v>
      </c>
      <c r="EI103" s="50">
        <v>0.0403</v>
      </c>
      <c r="EJ103" s="261">
        <f>+((((((EH103/4)*(1+EI103)^0.25))/(EG103*0.95))+(1+EI103)^(0.25))^4)-1</f>
        <v>0.07902087042270001</v>
      </c>
      <c r="EK103" s="208">
        <f>EJ103*($FM103/$FO103)</f>
        <v>0.005553853874743251</v>
      </c>
      <c r="EL103" s="123">
        <v>85.7</v>
      </c>
      <c r="EM103" s="123">
        <v>75.77</v>
      </c>
      <c r="EN103" s="258">
        <f>AVERAGE(EL103:EM103)</f>
        <v>80.735</v>
      </c>
      <c r="EO103" s="258">
        <f t="shared" si="159"/>
        <v>0.9</v>
      </c>
      <c r="EP103" s="261">
        <v>0.1171</v>
      </c>
      <c r="EQ103" s="261">
        <f t="shared" si="113"/>
        <v>0.13026617703389975</v>
      </c>
      <c r="ER103" s="208">
        <f t="shared" si="129"/>
        <v>0.022418286938614203</v>
      </c>
      <c r="ET103" s="262">
        <v>2.747</v>
      </c>
      <c r="EU103" s="262">
        <v>2.142</v>
      </c>
      <c r="EW103" s="262">
        <v>2.79</v>
      </c>
      <c r="EX103" s="262">
        <v>4.426</v>
      </c>
      <c r="EY103" s="262">
        <v>6.249</v>
      </c>
      <c r="FA103" s="262">
        <v>1.206</v>
      </c>
      <c r="FB103" s="262">
        <v>1.807</v>
      </c>
      <c r="FC103" s="262">
        <v>0.962</v>
      </c>
      <c r="FE103" s="258">
        <v>2.627</v>
      </c>
      <c r="FF103" s="258">
        <v>1.399</v>
      </c>
      <c r="FG103" s="258">
        <v>1.834</v>
      </c>
      <c r="FL103" s="258">
        <v>1.487</v>
      </c>
      <c r="FM103" s="258">
        <v>2.753</v>
      </c>
      <c r="FN103" s="258">
        <v>6.741</v>
      </c>
      <c r="FO103" s="258">
        <f>SUM(ET103:FN103)</f>
        <v>39.169999999999995</v>
      </c>
      <c r="FP103" s="261">
        <f t="shared" si="102"/>
        <v>0.0980993217054818</v>
      </c>
    </row>
    <row r="104" spans="1:172" ht="12.75">
      <c r="A104" s="263">
        <v>38749</v>
      </c>
      <c r="B104" s="123">
        <v>36.48</v>
      </c>
      <c r="C104" s="123">
        <v>34.4</v>
      </c>
      <c r="D104" s="255">
        <f t="shared" si="146"/>
        <v>35.44</v>
      </c>
      <c r="E104" s="255">
        <v>1.48</v>
      </c>
      <c r="F104" s="77">
        <v>0.0463</v>
      </c>
      <c r="G104" s="261">
        <f t="shared" si="143"/>
        <v>0.09305769782650963</v>
      </c>
      <c r="H104" s="277">
        <f t="shared" si="148"/>
        <v>0.012968875040810814</v>
      </c>
      <c r="I104" s="123">
        <v>27.01</v>
      </c>
      <c r="J104" s="123">
        <v>25.9701</v>
      </c>
      <c r="K104" s="258">
        <f t="shared" si="149"/>
        <v>26.49005</v>
      </c>
      <c r="L104" s="259">
        <v>1.26</v>
      </c>
      <c r="M104" s="256">
        <v>0.0532</v>
      </c>
      <c r="N104" s="261">
        <f t="shared" si="144"/>
        <v>0.10693046152132668</v>
      </c>
      <c r="O104" s="208">
        <f t="shared" si="151"/>
        <v>0.011620163795783156</v>
      </c>
      <c r="U104" s="261"/>
      <c r="AB104" s="261"/>
      <c r="AD104" s="123">
        <v>37.19</v>
      </c>
      <c r="AE104" s="123">
        <v>34.05</v>
      </c>
      <c r="AF104" s="258">
        <f t="shared" si="155"/>
        <v>35.62</v>
      </c>
      <c r="AG104" s="258">
        <v>0.84</v>
      </c>
      <c r="AH104" s="256">
        <v>0.095</v>
      </c>
      <c r="AI104" s="261">
        <f t="shared" si="106"/>
        <v>0.12243573096167637</v>
      </c>
      <c r="AJ104" s="208">
        <f t="shared" si="116"/>
        <v>0.02749229086481557</v>
      </c>
      <c r="AP104" s="261"/>
      <c r="AY104" s="123">
        <v>45.96</v>
      </c>
      <c r="AZ104" s="123">
        <v>42.99</v>
      </c>
      <c r="BA104" s="258">
        <f t="shared" si="133"/>
        <v>44.475</v>
      </c>
      <c r="BB104" s="255">
        <v>1.44</v>
      </c>
      <c r="BC104" s="256">
        <v>0.0525</v>
      </c>
      <c r="BD104" s="261">
        <f t="shared" si="134"/>
        <v>0.08883219545868482</v>
      </c>
      <c r="BE104" s="208">
        <f t="shared" si="135"/>
        <v>0.0054351188535931155</v>
      </c>
      <c r="BK104" s="261"/>
      <c r="BM104" s="123">
        <v>35.83</v>
      </c>
      <c r="BN104" s="123">
        <v>32.83</v>
      </c>
      <c r="BO104" s="255">
        <f t="shared" si="156"/>
        <v>34.33</v>
      </c>
      <c r="BP104" s="258">
        <v>1.38</v>
      </c>
      <c r="BQ104" s="256">
        <v>0.053</v>
      </c>
      <c r="BR104" s="261">
        <f t="shared" si="142"/>
        <v>0.09597093397353107</v>
      </c>
      <c r="BS104" s="208">
        <f t="shared" si="160"/>
        <v>0.0046838840486295415</v>
      </c>
      <c r="BY104" s="261"/>
      <c r="CB104" s="255" t="s">
        <v>243</v>
      </c>
      <c r="CF104" s="261"/>
      <c r="CM104" s="261"/>
      <c r="CT104" s="261"/>
      <c r="DA104" s="261"/>
      <c r="DH104" s="261"/>
      <c r="DO104" s="261"/>
      <c r="DV104" s="261"/>
      <c r="DX104" s="123">
        <v>31.49</v>
      </c>
      <c r="DY104" s="123">
        <v>29.61</v>
      </c>
      <c r="DZ104" s="258">
        <f>AVERAGE(DX104:DY104)</f>
        <v>30.549999999999997</v>
      </c>
      <c r="EA104" s="258">
        <f>0.3325*4</f>
        <v>1.33</v>
      </c>
      <c r="EB104" s="256">
        <v>0.0375</v>
      </c>
      <c r="EC104" s="261">
        <f t="shared" si="111"/>
        <v>0.08586832478763151</v>
      </c>
      <c r="ED104" s="208">
        <f t="shared" si="101"/>
        <v>0.006477915831728885</v>
      </c>
      <c r="EJ104" s="261"/>
      <c r="EK104" s="208"/>
      <c r="EL104" s="123">
        <v>82.35</v>
      </c>
      <c r="EM104" s="123">
        <v>71.26</v>
      </c>
      <c r="EN104" s="258">
        <f>AVERAGE(EL104:EM104)</f>
        <v>76.805</v>
      </c>
      <c r="EO104" s="258">
        <f t="shared" si="159"/>
        <v>0.9</v>
      </c>
      <c r="EP104" s="261">
        <v>0.1138</v>
      </c>
      <c r="EQ104" s="261">
        <f t="shared" si="113"/>
        <v>0.12760209285219193</v>
      </c>
      <c r="ER104" s="208">
        <f t="shared" si="129"/>
        <v>0.0436388670243329</v>
      </c>
      <c r="ET104" s="262">
        <v>2.747</v>
      </c>
      <c r="EU104" s="262">
        <v>2.142</v>
      </c>
      <c r="EX104" s="262">
        <v>4.426</v>
      </c>
      <c r="FA104" s="262">
        <v>1.206</v>
      </c>
      <c r="FC104" s="262">
        <v>0.962</v>
      </c>
      <c r="FL104" s="258">
        <v>1.487</v>
      </c>
      <c r="FN104" s="258">
        <v>6.741</v>
      </c>
      <c r="FO104" s="258">
        <f>SUM(ET104:FN104)</f>
        <v>19.711</v>
      </c>
      <c r="FP104" s="261">
        <f t="shared" si="102"/>
        <v>0.11231711545969397</v>
      </c>
    </row>
    <row r="105" spans="1:172" ht="12.75">
      <c r="A105" s="263">
        <v>38777</v>
      </c>
      <c r="B105" s="123">
        <v>36.28</v>
      </c>
      <c r="C105" s="123">
        <v>34.75</v>
      </c>
      <c r="D105" s="255">
        <f t="shared" si="146"/>
        <v>35.515</v>
      </c>
      <c r="E105" s="255">
        <v>1.48</v>
      </c>
      <c r="F105" s="77">
        <v>0.0463</v>
      </c>
      <c r="G105" s="261">
        <f t="shared" si="143"/>
        <v>0.09295733445117249</v>
      </c>
      <c r="H105" s="277">
        <f t="shared" si="148"/>
        <v>0.013036843666472935</v>
      </c>
      <c r="I105" s="123">
        <v>26.95</v>
      </c>
      <c r="J105" s="123">
        <v>25.98</v>
      </c>
      <c r="K105" s="258">
        <f t="shared" si="149"/>
        <v>26.465</v>
      </c>
      <c r="L105" s="259">
        <v>1.26</v>
      </c>
      <c r="M105" s="256">
        <v>0.0532</v>
      </c>
      <c r="N105" s="261">
        <f t="shared" si="144"/>
        <v>0.10698227295183105</v>
      </c>
      <c r="O105" s="208">
        <f t="shared" si="151"/>
        <v>0.011702292728040591</v>
      </c>
      <c r="U105" s="261"/>
      <c r="AB105" s="261"/>
      <c r="AD105" s="123">
        <v>37.87</v>
      </c>
      <c r="AE105" s="123">
        <v>35.22</v>
      </c>
      <c r="AF105" s="258">
        <f t="shared" si="155"/>
        <v>36.545</v>
      </c>
      <c r="AG105" s="258">
        <v>0.84</v>
      </c>
      <c r="AH105" s="256">
        <v>0.095</v>
      </c>
      <c r="AI105" s="261">
        <f t="shared" si="106"/>
        <v>0.12173500456635367</v>
      </c>
      <c r="AJ105" s="208">
        <f t="shared" si="116"/>
        <v>0.026545260964155746</v>
      </c>
      <c r="AO105" s="256" t="s">
        <v>244</v>
      </c>
      <c r="AP105" s="261"/>
      <c r="AY105" s="123">
        <v>45.32</v>
      </c>
      <c r="AZ105" s="123">
        <v>42.7</v>
      </c>
      <c r="BA105" s="258">
        <f t="shared" si="133"/>
        <v>44.010000000000005</v>
      </c>
      <c r="BB105" s="255">
        <v>1.44</v>
      </c>
      <c r="BC105" s="256">
        <v>0.0525</v>
      </c>
      <c r="BD105" s="261">
        <f t="shared" si="134"/>
        <v>0.08922102468957038</v>
      </c>
      <c r="BE105" s="208">
        <f t="shared" si="135"/>
        <v>0.005556720130129072</v>
      </c>
      <c r="BF105" s="255">
        <v>42.93</v>
      </c>
      <c r="BG105" s="255">
        <v>39.25</v>
      </c>
      <c r="BK105" s="261"/>
      <c r="BM105" s="123">
        <v>35.49</v>
      </c>
      <c r="BN105" s="123">
        <v>33.08</v>
      </c>
      <c r="BO105" s="255">
        <f t="shared" si="156"/>
        <v>34.285</v>
      </c>
      <c r="BP105" s="258">
        <v>1.38</v>
      </c>
      <c r="BQ105" s="256">
        <v>0.053</v>
      </c>
      <c r="BR105" s="261">
        <f t="shared" si="142"/>
        <v>0.09602818437286031</v>
      </c>
      <c r="BS105" s="208">
        <f t="shared" si="160"/>
        <v>0.004660327937431169</v>
      </c>
      <c r="BY105" s="261"/>
      <c r="CA105" s="255">
        <v>32.58</v>
      </c>
      <c r="CB105" s="255">
        <v>28.89</v>
      </c>
      <c r="CE105" s="256" t="s">
        <v>245</v>
      </c>
      <c r="CF105" s="261"/>
      <c r="CH105" s="255">
        <v>37.97</v>
      </c>
      <c r="CI105" s="255">
        <v>35.35</v>
      </c>
      <c r="CK105" s="49" t="s">
        <v>245</v>
      </c>
      <c r="CM105" s="261"/>
      <c r="CT105" s="261"/>
      <c r="DA105" s="261"/>
      <c r="DC105" s="260">
        <v>28.84</v>
      </c>
      <c r="DD105" s="260">
        <v>26.72</v>
      </c>
      <c r="DH105" s="261"/>
      <c r="DO105" s="261"/>
      <c r="DV105" s="261"/>
      <c r="DX105" s="123">
        <v>31.08</v>
      </c>
      <c r="DY105" s="123">
        <v>29.59</v>
      </c>
      <c r="DZ105" s="258">
        <f>AVERAGE(DX105:DY105)</f>
        <v>30.335</v>
      </c>
      <c r="EA105" s="258">
        <v>1.33</v>
      </c>
      <c r="EB105" s="256">
        <v>0.0375</v>
      </c>
      <c r="EC105" s="261">
        <f t="shared" si="111"/>
        <v>0.0862170581351589</v>
      </c>
      <c r="ED105" s="208">
        <f t="shared" si="101"/>
        <v>0.006296036123940411</v>
      </c>
      <c r="EJ105" s="261"/>
      <c r="EK105" s="208"/>
      <c r="EL105" s="123">
        <v>75.45</v>
      </c>
      <c r="EM105" s="123">
        <v>67.37</v>
      </c>
      <c r="EN105" s="258">
        <f>AVERAGE(EL105:EM105)</f>
        <v>71.41</v>
      </c>
      <c r="EO105" s="258">
        <f t="shared" si="159"/>
        <v>0.9</v>
      </c>
      <c r="EP105" s="261">
        <v>0.1138</v>
      </c>
      <c r="EQ105" s="261">
        <f t="shared" si="113"/>
        <v>0.1286500217880937</v>
      </c>
      <c r="ER105" s="208">
        <f t="shared" si="129"/>
        <v>0.04483129292131818</v>
      </c>
      <c r="ET105" s="262">
        <v>2.754</v>
      </c>
      <c r="EU105" s="262">
        <v>2.148</v>
      </c>
      <c r="EX105" s="262">
        <v>4.282</v>
      </c>
      <c r="FA105" s="262">
        <v>1.223</v>
      </c>
      <c r="FC105" s="262">
        <v>0.953</v>
      </c>
      <c r="FL105" s="258">
        <v>1.434</v>
      </c>
      <c r="FN105" s="258">
        <v>6.843</v>
      </c>
      <c r="FO105" s="258">
        <f>SUM(ET105:FN105)</f>
        <v>19.637</v>
      </c>
      <c r="FP105" s="261">
        <f t="shared" si="102"/>
        <v>0.11262877447148811</v>
      </c>
    </row>
    <row r="106" spans="1:172" ht="12.75">
      <c r="A106" s="263">
        <v>38808</v>
      </c>
      <c r="B106" s="123">
        <v>36.37</v>
      </c>
      <c r="C106" s="123">
        <v>34.43</v>
      </c>
      <c r="D106" s="255">
        <f t="shared" si="146"/>
        <v>35.4</v>
      </c>
      <c r="E106" s="255">
        <v>1.48</v>
      </c>
      <c r="F106" s="77">
        <v>0.0443</v>
      </c>
      <c r="G106" s="261">
        <f t="shared" si="143"/>
        <v>0.09102192180146429</v>
      </c>
      <c r="H106" s="277">
        <f t="shared" si="148"/>
        <v>0.009142693582363142</v>
      </c>
      <c r="I106" s="123">
        <v>26.8</v>
      </c>
      <c r="J106" s="123">
        <v>26.09</v>
      </c>
      <c r="K106" s="258">
        <f t="shared" si="149"/>
        <v>26.445</v>
      </c>
      <c r="L106" s="259">
        <v>1.26</v>
      </c>
      <c r="M106" s="256">
        <v>0.054</v>
      </c>
      <c r="N106" s="261">
        <f t="shared" si="144"/>
        <v>0.10786459508468615</v>
      </c>
      <c r="O106" s="208">
        <f t="shared" si="151"/>
        <v>0.008450403028736809</v>
      </c>
      <c r="U106" s="261"/>
      <c r="AB106" s="261"/>
      <c r="AD106" s="123">
        <v>37</v>
      </c>
      <c r="AE106" s="123">
        <v>34.92</v>
      </c>
      <c r="AF106" s="258">
        <f t="shared" si="155"/>
        <v>35.96</v>
      </c>
      <c r="AG106" s="258">
        <v>0.84</v>
      </c>
      <c r="AH106" s="256">
        <v>0.098</v>
      </c>
      <c r="AI106" s="261">
        <f t="shared" si="106"/>
        <v>0.12524838733433774</v>
      </c>
      <c r="AJ106" s="208">
        <f t="shared" si="116"/>
        <v>0.019560638798075503</v>
      </c>
      <c r="AP106" s="261"/>
      <c r="AY106" s="123">
        <v>46.43</v>
      </c>
      <c r="AZ106" s="123">
        <v>43.7</v>
      </c>
      <c r="BA106" s="258">
        <f t="shared" si="133"/>
        <v>45.065</v>
      </c>
      <c r="BB106" s="255">
        <v>1.44</v>
      </c>
      <c r="BC106" s="256">
        <v>0.0525</v>
      </c>
      <c r="BD106" s="261">
        <f t="shared" si="134"/>
        <v>0.08835053637865409</v>
      </c>
      <c r="BE106" s="208">
        <f t="shared" si="135"/>
        <v>0.0039409404767340415</v>
      </c>
      <c r="BF106" s="255">
        <v>40.69</v>
      </c>
      <c r="BG106" s="255">
        <v>38.72</v>
      </c>
      <c r="BH106" s="258">
        <f aca="true" t="shared" si="161" ref="BH106:BH112">AVERAGE(BF106:BG106)</f>
        <v>39.705</v>
      </c>
      <c r="BI106" s="258">
        <f>0.465*4</f>
        <v>1.86</v>
      </c>
      <c r="BJ106" s="256">
        <v>0.031</v>
      </c>
      <c r="BK106" s="261">
        <f aca="true" t="shared" si="162" ref="BK106:BK112">+((((((BI106/4)*(1+BJ106)^0.25))/(BH106*0.95))+(1+BJ106)^(0.25))^4)-1</f>
        <v>0.08278753858144183</v>
      </c>
      <c r="BL106" s="208">
        <f aca="true" t="shared" si="163" ref="BL106:BL112">BK106*($FB106/$FO106)</f>
        <v>0.0052840539980131005</v>
      </c>
      <c r="BM106" s="123">
        <v>35.79</v>
      </c>
      <c r="BN106" s="123">
        <v>33.79</v>
      </c>
      <c r="BO106" s="255">
        <f t="shared" si="156"/>
        <v>34.79</v>
      </c>
      <c r="BP106" s="258">
        <v>1.38</v>
      </c>
      <c r="BQ106" s="256">
        <v>0.0538</v>
      </c>
      <c r="BR106" s="261">
        <f t="shared" si="142"/>
        <v>0.09622653612711063</v>
      </c>
      <c r="BS106" s="208">
        <f t="shared" si="160"/>
        <v>0.003344660038264513</v>
      </c>
      <c r="BY106" s="261"/>
      <c r="CA106" s="255">
        <v>33.75</v>
      </c>
      <c r="CB106" s="255">
        <v>32.09</v>
      </c>
      <c r="CC106" s="258">
        <f aca="true" t="shared" si="164" ref="CC106:CC115">AVERAGE(CA106:CB106)</f>
        <v>32.92</v>
      </c>
      <c r="CD106" s="258">
        <v>1.2</v>
      </c>
      <c r="CE106" s="256">
        <v>0.0642</v>
      </c>
      <c r="CF106" s="261">
        <f aca="true" t="shared" si="165" ref="CF106:CF114">+((((((CD106/4)*(1+CE106)^0.25))/(CC106*0.95))+(1+CE106)^(0.25))^4)-1</f>
        <v>0.1056252432387268</v>
      </c>
      <c r="CG106" s="208">
        <f aca="true" t="shared" si="166" ref="CG106:CG116">CF106*($FE106/$FO106)</f>
        <v>0.014908807766207335</v>
      </c>
      <c r="CH106" s="255">
        <v>37.16</v>
      </c>
      <c r="CI106" s="255">
        <v>35.33</v>
      </c>
      <c r="CJ106" s="258">
        <f>AVERAGE(CH106:CI106)</f>
        <v>36.245</v>
      </c>
      <c r="CK106" s="258">
        <f>0.545*4</f>
        <v>2.18</v>
      </c>
      <c r="CL106" s="256">
        <v>0.0453</v>
      </c>
      <c r="CM106" s="261">
        <f>+((((((CK106/4)*(1+CL106)^0.25))/(CJ106*0.95))+(1+CL106)^(0.25))^4)-1</f>
        <v>0.11306772589419012</v>
      </c>
      <c r="CN106" s="208">
        <f>CM106*($FF106/$FO106)</f>
        <v>0.005732151834303167</v>
      </c>
      <c r="CT106" s="261"/>
      <c r="DA106" s="261"/>
      <c r="DC106" s="260">
        <v>27.48</v>
      </c>
      <c r="DD106" s="260">
        <v>25.8</v>
      </c>
      <c r="DE106" s="258">
        <f>AVERAGE(DC106:DD106)</f>
        <v>26.64</v>
      </c>
      <c r="DF106" s="258">
        <v>0.9</v>
      </c>
      <c r="DG106" s="261">
        <v>0.053</v>
      </c>
      <c r="DH106" s="261">
        <f>+((((((DF106/4)*(1+DG106)^0.25))/(DE106*0.95))+(1+DG106)^(0.25))^4)-1</f>
        <v>0.09094900110318127</v>
      </c>
      <c r="DI106" s="208">
        <f>DH106*($FI106/$FO106)</f>
        <v>0.00255750528304591</v>
      </c>
      <c r="DO106" s="261"/>
      <c r="DV106" s="261"/>
      <c r="DX106" s="123">
        <v>30.74</v>
      </c>
      <c r="DY106" s="123">
        <v>28.8</v>
      </c>
      <c r="DZ106" s="258">
        <f>AVERAGE(DX106:DY106)</f>
        <v>29.77</v>
      </c>
      <c r="EA106" s="258">
        <v>1.35</v>
      </c>
      <c r="EB106" s="256">
        <v>0.0375</v>
      </c>
      <c r="EC106" s="261">
        <f t="shared" si="111"/>
        <v>0.08791800465990995</v>
      </c>
      <c r="ED106" s="208">
        <f t="shared" si="101"/>
        <v>0.004598235417693153</v>
      </c>
      <c r="EJ106" s="261"/>
      <c r="EK106" s="208"/>
      <c r="EL106" s="123">
        <v>81.9</v>
      </c>
      <c r="EM106" s="123">
        <v>68.43</v>
      </c>
      <c r="EN106" s="258">
        <f>AVERAGE(EL106:EM106)</f>
        <v>75.165</v>
      </c>
      <c r="EO106" s="258">
        <f t="shared" si="159"/>
        <v>0.9</v>
      </c>
      <c r="EP106" s="261">
        <v>0.1157</v>
      </c>
      <c r="EQ106" s="261">
        <f t="shared" si="113"/>
        <v>0.12982871950573172</v>
      </c>
      <c r="ER106" s="208">
        <f t="shared" si="129"/>
        <v>0.03240272549338836</v>
      </c>
      <c r="ET106" s="262">
        <v>2.754</v>
      </c>
      <c r="EU106" s="262">
        <v>2.148</v>
      </c>
      <c r="EX106" s="262">
        <v>4.282</v>
      </c>
      <c r="FA106" s="262">
        <v>1.223</v>
      </c>
      <c r="FB106" s="262">
        <v>1.75</v>
      </c>
      <c r="FC106" s="262">
        <v>0.953</v>
      </c>
      <c r="FE106" s="258">
        <v>3.87</v>
      </c>
      <c r="FF106" s="258">
        <v>1.39</v>
      </c>
      <c r="FI106" s="258">
        <v>0.771</v>
      </c>
      <c r="FL106" s="258">
        <v>1.434</v>
      </c>
      <c r="FN106" s="258">
        <v>6.843</v>
      </c>
      <c r="FO106" s="258">
        <f>SUM(ET106:FN106)</f>
        <v>27.418000000000003</v>
      </c>
      <c r="FP106" s="261">
        <f t="shared" si="102"/>
        <v>0.10992281571682502</v>
      </c>
    </row>
    <row r="107" spans="1:172" ht="12.75">
      <c r="A107" s="263">
        <v>38838</v>
      </c>
      <c r="B107" s="123">
        <v>36.67</v>
      </c>
      <c r="C107" s="123">
        <v>34.63</v>
      </c>
      <c r="D107" s="255">
        <f t="shared" si="146"/>
        <v>35.650000000000006</v>
      </c>
      <c r="E107" s="255">
        <v>1.48</v>
      </c>
      <c r="F107" s="77">
        <v>0.0425</v>
      </c>
      <c r="G107" s="261">
        <f t="shared" si="143"/>
        <v>0.08880896173351993</v>
      </c>
      <c r="H107" s="277">
        <f t="shared" si="148"/>
        <v>0.0074603514629914495</v>
      </c>
      <c r="I107" s="123">
        <v>27.73</v>
      </c>
      <c r="J107" s="123">
        <v>25.55</v>
      </c>
      <c r="K107" s="258">
        <f t="shared" si="149"/>
        <v>26.64</v>
      </c>
      <c r="L107" s="259">
        <v>1.26</v>
      </c>
      <c r="M107" s="256">
        <v>0.0617</v>
      </c>
      <c r="N107" s="261">
        <f t="shared" si="144"/>
        <v>0.11555354476842883</v>
      </c>
      <c r="O107" s="208">
        <f t="shared" si="151"/>
        <v>0.007367671279521138</v>
      </c>
      <c r="U107" s="261"/>
      <c r="W107" s="255">
        <v>35.76</v>
      </c>
      <c r="X107" s="255">
        <v>32.16</v>
      </c>
      <c r="Y107" s="258">
        <f aca="true" t="shared" si="167" ref="Y107:Y116">AVERAGE(W107:X107)</f>
        <v>33.959999999999994</v>
      </c>
      <c r="Z107" s="258">
        <v>0.44</v>
      </c>
      <c r="AA107" s="256">
        <v>0.0733</v>
      </c>
      <c r="AB107" s="261">
        <f aca="true" t="shared" si="168" ref="AB107:AB114">+((((((Z107/4)*(1+AA107)^0.25))/(Y107*0.95))+(1+AA107)^(0.25))^4)-1</f>
        <v>0.08801306084712857</v>
      </c>
      <c r="AC107" s="208">
        <f aca="true" t="shared" si="169" ref="AC107:AC116">AB107*($EW107/$FO107)</f>
        <v>0.006490998037692324</v>
      </c>
      <c r="AD107" s="123">
        <v>35.85</v>
      </c>
      <c r="AE107" s="258">
        <v>32.2</v>
      </c>
      <c r="AF107" s="258">
        <f t="shared" si="155"/>
        <v>34.025000000000006</v>
      </c>
      <c r="AG107" s="258">
        <v>0.88</v>
      </c>
      <c r="AH107" s="256">
        <v>0.098</v>
      </c>
      <c r="AI107" s="261">
        <f t="shared" si="106"/>
        <v>0.12819913792011417</v>
      </c>
      <c r="AJ107" s="208">
        <f t="shared" si="116"/>
        <v>0.015001165565961129</v>
      </c>
      <c r="AP107" s="261"/>
      <c r="AY107" s="25">
        <v>45.72</v>
      </c>
      <c r="AZ107" s="25">
        <v>42.85</v>
      </c>
      <c r="BA107" s="258">
        <f t="shared" si="133"/>
        <v>44.285</v>
      </c>
      <c r="BB107" s="255">
        <v>1.44</v>
      </c>
      <c r="BC107" s="256">
        <v>0.0567</v>
      </c>
      <c r="BD107" s="261">
        <f t="shared" si="134"/>
        <v>0.09333568636746303</v>
      </c>
      <c r="BE107" s="208">
        <f t="shared" si="135"/>
        <v>0.0034457347245206538</v>
      </c>
      <c r="BF107" s="255">
        <v>42.29</v>
      </c>
      <c r="BG107" s="255">
        <v>39.26</v>
      </c>
      <c r="BH107" s="258">
        <f t="shared" si="161"/>
        <v>40.775</v>
      </c>
      <c r="BI107" s="258">
        <f>0.465*4</f>
        <v>1.86</v>
      </c>
      <c r="BJ107" s="256">
        <v>0.031</v>
      </c>
      <c r="BK107" s="261">
        <f t="shared" si="162"/>
        <v>0.0814041382698667</v>
      </c>
      <c r="BL107" s="208">
        <f t="shared" si="163"/>
        <v>0.004330406628975926</v>
      </c>
      <c r="BM107" s="123">
        <v>36</v>
      </c>
      <c r="BN107" s="123">
        <v>33.3</v>
      </c>
      <c r="BO107" s="255">
        <f t="shared" si="156"/>
        <v>34.65</v>
      </c>
      <c r="BP107" s="258">
        <v>1.38</v>
      </c>
      <c r="BQ107" s="256">
        <v>0.0538</v>
      </c>
      <c r="BR107" s="261">
        <f t="shared" si="142"/>
        <v>0.09640051242340109</v>
      </c>
      <c r="BS107" s="208">
        <f t="shared" si="160"/>
        <v>0.002742707442966814</v>
      </c>
      <c r="BY107" s="261"/>
      <c r="CA107" s="25">
        <v>33.71</v>
      </c>
      <c r="CB107" s="25">
        <v>30.04</v>
      </c>
      <c r="CC107" s="258">
        <f t="shared" si="164"/>
        <v>31.875</v>
      </c>
      <c r="CD107" s="258">
        <v>1.2</v>
      </c>
      <c r="CE107" s="256">
        <v>0.0688</v>
      </c>
      <c r="CF107" s="261">
        <f t="shared" si="165"/>
        <v>0.11178851307520055</v>
      </c>
      <c r="CG107" s="208">
        <f t="shared" si="166"/>
        <v>0.013085417810979428</v>
      </c>
      <c r="CH107" s="255">
        <v>37.59</v>
      </c>
      <c r="CI107" s="255">
        <v>35.34</v>
      </c>
      <c r="CJ107" s="258">
        <f>AVERAGE(CH107:CI107)</f>
        <v>36.465</v>
      </c>
      <c r="CK107" s="258">
        <f>0.545*4</f>
        <v>2.18</v>
      </c>
      <c r="CL107" s="256">
        <v>0.0453</v>
      </c>
      <c r="CM107" s="261">
        <f>+((((((CK107/4)*(1+CL107)^0.25))/(CJ107*0.95))+(1+CL107)^(0.25))^4)-1</f>
        <v>0.11264924904397833</v>
      </c>
      <c r="CN107" s="208">
        <f>CM107*($FF107/$FO107)</f>
        <v>0.004681539698675927</v>
      </c>
      <c r="CO107" s="25">
        <v>24.88</v>
      </c>
      <c r="CP107" s="25">
        <v>23.31</v>
      </c>
      <c r="CQ107" s="258">
        <f>AVERAGE(CO107:CP107)</f>
        <v>24.095</v>
      </c>
      <c r="CR107" s="258">
        <v>0.96</v>
      </c>
      <c r="CS107" s="256">
        <v>0.044</v>
      </c>
      <c r="CT107" s="261">
        <f>+((((((CR107/4)*(1+CS107)^0.25))/(CQ107*0.95))+(1+CS107)^(0.25))^4)-1</f>
        <v>0.0884780164233101</v>
      </c>
      <c r="CU107" s="208">
        <f>CT107*($FG107/$FO107)</f>
        <v>0.0049667036734261285</v>
      </c>
      <c r="DA107" s="261"/>
      <c r="DC107" s="260">
        <v>27.89</v>
      </c>
      <c r="DD107" s="260">
        <v>25.63</v>
      </c>
      <c r="DE107" s="258">
        <f>AVERAGE(DC107:DD107)</f>
        <v>26.759999999999998</v>
      </c>
      <c r="DF107" s="258">
        <v>0.9</v>
      </c>
      <c r="DG107" s="261">
        <v>0.053</v>
      </c>
      <c r="DH107" s="261">
        <f>+((((((DF107/4)*(1+DG107)^0.25))/(DE107*0.95))+(1+DG107)^(0.25))^4)-1</f>
        <v>0.09077657043643561</v>
      </c>
      <c r="DI107" s="208">
        <f>DH107*($FI107/$FO107)</f>
        <v>0.0020635108444185903</v>
      </c>
      <c r="DO107" s="261"/>
      <c r="DV107" s="261"/>
      <c r="DX107" s="123">
        <v>29.93</v>
      </c>
      <c r="DY107" s="123">
        <v>27.04</v>
      </c>
      <c r="DZ107" s="258">
        <f>AVERAGE(DX107:DY107)</f>
        <v>28.485</v>
      </c>
      <c r="EA107" s="258">
        <v>1.35</v>
      </c>
      <c r="EB107" s="256">
        <v>0.0375</v>
      </c>
      <c r="EC107" s="261">
        <f t="shared" si="111"/>
        <v>0.09023491340754375</v>
      </c>
      <c r="ED107" s="208">
        <f t="shared" si="101"/>
        <v>0.003671512816127311</v>
      </c>
      <c r="EE107" s="258">
        <v>35.98</v>
      </c>
      <c r="EF107" s="258">
        <v>33.3</v>
      </c>
      <c r="EG107" s="258">
        <f>AVERAGE(EE107:EF107)</f>
        <v>34.64</v>
      </c>
      <c r="EH107" s="258">
        <v>1.2</v>
      </c>
      <c r="EI107" s="50">
        <v>0.05</v>
      </c>
      <c r="EJ107" s="261">
        <f aca="true" t="shared" si="170" ref="EJ107:EJ114">+((((((EH107/4)*(1+EI107)^0.25))/(EG107*0.95))+(1+EI107)^(0.25))^4)-1</f>
        <v>0.08881532778845647</v>
      </c>
      <c r="EK107" s="208">
        <f aca="true" t="shared" si="171" ref="EK107:EK116">EJ107*($FM107/$FO107)</f>
        <v>0.007623929607097986</v>
      </c>
      <c r="EL107" s="123">
        <v>82.08</v>
      </c>
      <c r="EM107" s="123">
        <v>67.48</v>
      </c>
      <c r="EN107" s="258">
        <f>AVERAGE(EL107:EM107)</f>
        <v>74.78</v>
      </c>
      <c r="EO107" s="258">
        <v>0.94</v>
      </c>
      <c r="EP107" s="261">
        <v>0.1116</v>
      </c>
      <c r="EQ107" s="261">
        <f t="shared" si="113"/>
        <v>0.1263816074794779</v>
      </c>
      <c r="ER107" s="208">
        <f t="shared" si="129"/>
        <v>0.02260923796075026</v>
      </c>
      <c r="ET107" s="262">
        <v>2.87877</v>
      </c>
      <c r="EU107" s="262">
        <v>2.185</v>
      </c>
      <c r="EW107" s="262">
        <v>2.52737</v>
      </c>
      <c r="EX107" s="262">
        <v>4.01</v>
      </c>
      <c r="FA107" s="262">
        <v>1.26514</v>
      </c>
      <c r="FB107" s="262">
        <v>1.823</v>
      </c>
      <c r="FC107" s="262">
        <v>0.975</v>
      </c>
      <c r="FE107" s="258">
        <v>4.01139</v>
      </c>
      <c r="FF107" s="258">
        <v>1.42418</v>
      </c>
      <c r="FG107" s="258">
        <v>1.9237</v>
      </c>
      <c r="FI107" s="258">
        <v>0.779</v>
      </c>
      <c r="FL107" s="258">
        <v>1.39436</v>
      </c>
      <c r="FM107" s="258">
        <v>2.94168</v>
      </c>
      <c r="FN107" s="258">
        <v>6.13065</v>
      </c>
      <c r="FO107" s="258">
        <f>SUM(ET107:FN107)</f>
        <v>34.26924</v>
      </c>
      <c r="FP107" s="261">
        <f t="shared" si="102"/>
        <v>0.10554088755410505</v>
      </c>
    </row>
    <row r="108" spans="1:172" ht="12.75">
      <c r="A108" s="263">
        <v>38869</v>
      </c>
      <c r="B108" s="119">
        <v>38.13</v>
      </c>
      <c r="C108" s="119">
        <v>35.36</v>
      </c>
      <c r="D108" s="255">
        <f t="shared" si="146"/>
        <v>36.745000000000005</v>
      </c>
      <c r="E108" s="255">
        <v>1.48</v>
      </c>
      <c r="F108" s="77">
        <v>0.0425</v>
      </c>
      <c r="G108" s="261">
        <f t="shared" si="143"/>
        <v>0.08740706047476787</v>
      </c>
      <c r="H108" s="277">
        <f t="shared" si="148"/>
        <v>0.0076609267188025385</v>
      </c>
      <c r="I108" s="119">
        <v>28.03</v>
      </c>
      <c r="J108" s="119">
        <v>26.01</v>
      </c>
      <c r="K108" s="258">
        <f t="shared" si="149"/>
        <v>27.020000000000003</v>
      </c>
      <c r="L108" s="259">
        <v>1.26</v>
      </c>
      <c r="M108" s="256">
        <v>0.0617</v>
      </c>
      <c r="N108" s="261">
        <f t="shared" si="144"/>
        <v>0.1147822567065897</v>
      </c>
      <c r="O108" s="208">
        <f t="shared" si="151"/>
        <v>0.007635790867100251</v>
      </c>
      <c r="U108" s="261"/>
      <c r="W108" s="255">
        <v>38.42</v>
      </c>
      <c r="X108" s="255">
        <v>32.9</v>
      </c>
      <c r="Y108" s="258">
        <f t="shared" si="167"/>
        <v>35.66</v>
      </c>
      <c r="Z108" s="258">
        <v>0.44</v>
      </c>
      <c r="AA108" s="256">
        <v>0.0733</v>
      </c>
      <c r="AB108" s="261">
        <f t="shared" si="168"/>
        <v>0.0873082390815898</v>
      </c>
      <c r="AC108" s="208">
        <f t="shared" si="169"/>
        <v>0.006717200254989232</v>
      </c>
      <c r="AD108" s="119">
        <v>34.78</v>
      </c>
      <c r="AE108" s="119">
        <v>31.59</v>
      </c>
      <c r="AF108" s="258">
        <f t="shared" si="155"/>
        <v>33.185</v>
      </c>
      <c r="AG108" s="258">
        <v>0.88</v>
      </c>
      <c r="AH108" s="256">
        <v>0.098</v>
      </c>
      <c r="AI108" s="261">
        <f t="shared" si="106"/>
        <v>0.12897155127804738</v>
      </c>
      <c r="AJ108" s="208">
        <f t="shared" si="116"/>
        <v>0.015745850404563284</v>
      </c>
      <c r="AP108" s="261"/>
      <c r="AY108" s="25">
        <v>47.38</v>
      </c>
      <c r="AZ108" s="25">
        <v>43.95</v>
      </c>
      <c r="BA108" s="258">
        <f t="shared" si="133"/>
        <v>45.665000000000006</v>
      </c>
      <c r="BB108" s="255">
        <v>1.44</v>
      </c>
      <c r="BC108" s="256">
        <v>0.0567</v>
      </c>
      <c r="BD108" s="261">
        <f t="shared" si="134"/>
        <v>0.09221479403379806</v>
      </c>
      <c r="BE108" s="208">
        <f t="shared" si="135"/>
        <v>0.0035515583227256372</v>
      </c>
      <c r="BF108" s="255">
        <v>41.87</v>
      </c>
      <c r="BG108" s="255">
        <v>39.58</v>
      </c>
      <c r="BH108" s="258">
        <f t="shared" si="161"/>
        <v>40.724999999999994</v>
      </c>
      <c r="BI108" s="258">
        <f>0.465*4</f>
        <v>1.86</v>
      </c>
      <c r="BJ108" s="256">
        <v>0.031</v>
      </c>
      <c r="BK108" s="261">
        <f t="shared" si="162"/>
        <v>0.08146713520984128</v>
      </c>
      <c r="BL108" s="208">
        <f t="shared" si="163"/>
        <v>0.004521649953556124</v>
      </c>
      <c r="BM108" s="119">
        <v>37.04</v>
      </c>
      <c r="BN108" s="119">
        <v>34.23</v>
      </c>
      <c r="BO108" s="255">
        <f t="shared" si="156"/>
        <v>35.635</v>
      </c>
      <c r="BP108" s="258">
        <v>1.38</v>
      </c>
      <c r="BQ108" s="256">
        <v>0.0596</v>
      </c>
      <c r="BR108" s="261">
        <f t="shared" si="142"/>
        <v>0.10123380119607761</v>
      </c>
      <c r="BS108" s="208">
        <f t="shared" si="160"/>
        <v>0.003005093470714328</v>
      </c>
      <c r="BY108" s="261"/>
      <c r="CA108" s="119">
        <v>35.15</v>
      </c>
      <c r="CB108" s="119">
        <v>32.1</v>
      </c>
      <c r="CC108" s="258">
        <f t="shared" si="164"/>
        <v>33.625</v>
      </c>
      <c r="CD108" s="258">
        <v>1.2</v>
      </c>
      <c r="CE108" s="256">
        <v>0.0688</v>
      </c>
      <c r="CF108" s="261">
        <f t="shared" si="165"/>
        <v>0.10951973853030639</v>
      </c>
      <c r="CG108" s="208">
        <f t="shared" si="166"/>
        <v>0.013375656608270114</v>
      </c>
      <c r="CJ108" s="258"/>
      <c r="CK108" s="258"/>
      <c r="CM108" s="261"/>
      <c r="CN108" s="208"/>
      <c r="CO108" s="25">
        <v>25.4</v>
      </c>
      <c r="CP108" s="25">
        <v>23.46</v>
      </c>
      <c r="CQ108" s="258">
        <f>AVERAGE(CO108:CP108)</f>
        <v>24.43</v>
      </c>
      <c r="CR108" s="258">
        <v>0.96</v>
      </c>
      <c r="CS108" s="256">
        <v>0.044</v>
      </c>
      <c r="CT108" s="261">
        <f>+((((((CR108/4)*(1+CS108)^0.25))/(CQ108*0.95))+(1+CS108)^(0.25))^4)-1</f>
        <v>0.08785866203583304</v>
      </c>
      <c r="CU108" s="208">
        <f>CT108*($FG108/$FO108)</f>
        <v>0.005145762706364337</v>
      </c>
      <c r="DA108" s="261"/>
      <c r="DC108" s="260">
        <v>27.52</v>
      </c>
      <c r="DD108" s="260">
        <v>25.8</v>
      </c>
      <c r="DE108" s="258">
        <f>AVERAGE(DC108:DD108)</f>
        <v>26.66</v>
      </c>
      <c r="DF108" s="258">
        <v>0.9</v>
      </c>
      <c r="DG108" s="261">
        <v>0.053</v>
      </c>
      <c r="DH108" s="261">
        <f>+((((((DF108/4)*(1+DG108)^0.25))/(DE108*0.95))+(1+DG108)^(0.25))^4)-1</f>
        <v>0.09092015343876692</v>
      </c>
      <c r="DI108" s="208">
        <f>DH108*($FI108/$FO108)</f>
        <v>0.002156380731467149</v>
      </c>
      <c r="DO108" s="261"/>
      <c r="DV108" s="261"/>
      <c r="DX108" s="123">
        <v>29.39</v>
      </c>
      <c r="DY108" s="123">
        <v>27.82</v>
      </c>
      <c r="DZ108" s="258">
        <f>AVERAGE(DX108:DY108)</f>
        <v>28.605</v>
      </c>
      <c r="EA108" s="258">
        <v>1.35</v>
      </c>
      <c r="EB108" s="256">
        <v>0.0375</v>
      </c>
      <c r="EC108" s="261">
        <f t="shared" si="111"/>
        <v>0.09000957425339084</v>
      </c>
      <c r="ED108" s="208">
        <f t="shared" si="101"/>
        <v>0.0038211267866666157</v>
      </c>
      <c r="EE108" s="258">
        <v>36.75</v>
      </c>
      <c r="EF108" s="258">
        <v>33.18</v>
      </c>
      <c r="EG108" s="258">
        <f>AVERAGE(EE108:EF108)</f>
        <v>34.965</v>
      </c>
      <c r="EH108" s="258">
        <v>1.2</v>
      </c>
      <c r="EI108" s="50">
        <v>0.05</v>
      </c>
      <c r="EJ108" s="261">
        <f t="shared" si="170"/>
        <v>0.08844965901282387</v>
      </c>
      <c r="EK108" s="208">
        <f t="shared" si="171"/>
        <v>0.00792258041857317</v>
      </c>
      <c r="EL108" s="123">
        <v>81</v>
      </c>
      <c r="EM108" s="123">
        <v>67.68</v>
      </c>
      <c r="EN108" s="258">
        <f>AVERAGE(EL108:EM108)</f>
        <v>74.34</v>
      </c>
      <c r="EO108" s="258">
        <v>0.94</v>
      </c>
      <c r="EP108" s="261">
        <v>0.1116</v>
      </c>
      <c r="EQ108" s="261">
        <f t="shared" si="113"/>
        <v>0.12646953258879412</v>
      </c>
      <c r="ER108" s="208">
        <f t="shared" si="129"/>
        <v>0.02360723125927903</v>
      </c>
      <c r="ET108" s="262">
        <v>2.87877</v>
      </c>
      <c r="EU108" s="262">
        <v>2.185</v>
      </c>
      <c r="EW108" s="262">
        <v>2.527</v>
      </c>
      <c r="EX108" s="262">
        <v>4.01</v>
      </c>
      <c r="FA108" s="262">
        <v>1.265</v>
      </c>
      <c r="FB108" s="262">
        <v>1.823</v>
      </c>
      <c r="FC108" s="262">
        <v>0.975</v>
      </c>
      <c r="FE108" s="258">
        <v>4.01139</v>
      </c>
      <c r="FG108" s="258">
        <v>1.9237</v>
      </c>
      <c r="FI108" s="258">
        <v>0.779</v>
      </c>
      <c r="FL108" s="258">
        <v>1.39436</v>
      </c>
      <c r="FM108" s="258">
        <v>2.942</v>
      </c>
      <c r="FN108" s="258">
        <v>6.131</v>
      </c>
      <c r="FO108" s="258">
        <f>SUM(ET108:FN108)</f>
        <v>32.84522</v>
      </c>
      <c r="FP108" s="261">
        <f t="shared" si="102"/>
        <v>0.10486680850307183</v>
      </c>
    </row>
    <row r="109" spans="1:172" ht="12.75">
      <c r="A109" s="263">
        <v>38899</v>
      </c>
      <c r="B109" s="119">
        <v>39.4</v>
      </c>
      <c r="C109" s="119">
        <v>37.16</v>
      </c>
      <c r="D109" s="255">
        <f t="shared" si="146"/>
        <v>38.28</v>
      </c>
      <c r="E109" s="255">
        <v>1.48</v>
      </c>
      <c r="F109" s="77">
        <v>0.0425</v>
      </c>
      <c r="G109" s="261">
        <f t="shared" si="143"/>
        <v>0.08557889522043971</v>
      </c>
      <c r="H109" s="277">
        <f t="shared" si="148"/>
        <v>0.0068622924044224485</v>
      </c>
      <c r="I109" s="119">
        <v>29.25</v>
      </c>
      <c r="J109" s="119">
        <v>27.75</v>
      </c>
      <c r="K109" s="258">
        <f t="shared" si="149"/>
        <v>28.5</v>
      </c>
      <c r="L109" s="259">
        <v>1.26</v>
      </c>
      <c r="M109" s="256">
        <v>0.0617</v>
      </c>
      <c r="N109" s="261">
        <f t="shared" si="144"/>
        <v>0.11197771881315854</v>
      </c>
      <c r="O109" s="208">
        <f t="shared" si="151"/>
        <v>0.007393089156614147</v>
      </c>
      <c r="U109" s="261"/>
      <c r="W109" s="119">
        <v>43.14</v>
      </c>
      <c r="X109" s="119">
        <v>36.95</v>
      </c>
      <c r="Y109" s="258">
        <f t="shared" si="167"/>
        <v>40.045</v>
      </c>
      <c r="Z109" s="258">
        <v>0.44</v>
      </c>
      <c r="AA109" s="256">
        <v>0.0733</v>
      </c>
      <c r="AB109" s="261">
        <f t="shared" si="168"/>
        <v>0.08576766374144418</v>
      </c>
      <c r="AC109" s="208">
        <f t="shared" si="169"/>
        <v>0.007395293258413001</v>
      </c>
      <c r="AD109" s="119">
        <v>36.29</v>
      </c>
      <c r="AE109" s="119">
        <v>32.55</v>
      </c>
      <c r="AF109" s="258">
        <f t="shared" si="155"/>
        <v>34.42</v>
      </c>
      <c r="AG109" s="258">
        <v>0.88</v>
      </c>
      <c r="AH109" s="256">
        <v>0.098</v>
      </c>
      <c r="AI109" s="261">
        <f t="shared" si="106"/>
        <v>0.12784908272114848</v>
      </c>
      <c r="AJ109" s="208">
        <f t="shared" si="116"/>
        <v>0.015402951989793651</v>
      </c>
      <c r="AP109" s="261"/>
      <c r="AY109" s="119">
        <v>50.9</v>
      </c>
      <c r="AZ109" s="119">
        <v>46.34</v>
      </c>
      <c r="BA109" s="258">
        <f t="shared" si="133"/>
        <v>48.620000000000005</v>
      </c>
      <c r="BB109" s="255">
        <v>1.44</v>
      </c>
      <c r="BC109" s="256">
        <v>0.06</v>
      </c>
      <c r="BD109" s="261">
        <f t="shared" si="134"/>
        <v>0.09343519438364822</v>
      </c>
      <c r="BE109" s="208">
        <f t="shared" si="135"/>
        <v>0.0035985008955035833</v>
      </c>
      <c r="BF109" s="255">
        <v>44.4</v>
      </c>
      <c r="BG109" s="255">
        <v>41.01</v>
      </c>
      <c r="BH109" s="258">
        <f t="shared" si="161"/>
        <v>42.705</v>
      </c>
      <c r="BI109" s="258">
        <v>1.86</v>
      </c>
      <c r="BJ109" s="256">
        <v>0.0267</v>
      </c>
      <c r="BK109" s="261">
        <f t="shared" si="162"/>
        <v>0.0745865576759448</v>
      </c>
      <c r="BL109" s="208">
        <f t="shared" si="163"/>
        <v>0.003983727726259167</v>
      </c>
      <c r="BM109" s="119">
        <v>38.43</v>
      </c>
      <c r="BN109" s="119">
        <v>35.81</v>
      </c>
      <c r="BO109" s="255">
        <f t="shared" si="156"/>
        <v>37.120000000000005</v>
      </c>
      <c r="BP109" s="258">
        <v>1.38</v>
      </c>
      <c r="BQ109" s="256">
        <v>0.0596</v>
      </c>
      <c r="BR109" s="261">
        <f t="shared" si="142"/>
        <v>0.09954504853315305</v>
      </c>
      <c r="BS109" s="208">
        <f t="shared" si="160"/>
        <v>0.0028985302037994156</v>
      </c>
      <c r="BY109" s="261"/>
      <c r="CA109" s="119">
        <v>37.82</v>
      </c>
      <c r="CB109" s="119">
        <v>32.99</v>
      </c>
      <c r="CC109" s="258">
        <f t="shared" si="164"/>
        <v>35.405</v>
      </c>
      <c r="CD109" s="258">
        <v>1.2</v>
      </c>
      <c r="CE109" s="256">
        <v>0.0688</v>
      </c>
      <c r="CF109" s="261">
        <f t="shared" si="165"/>
        <v>0.10744520049697615</v>
      </c>
      <c r="CG109" s="208">
        <f t="shared" si="166"/>
        <v>0.013372190308130987</v>
      </c>
      <c r="CJ109" s="258"/>
      <c r="CK109" s="258"/>
      <c r="CM109" s="261"/>
      <c r="CN109" s="208"/>
      <c r="CO109" s="25">
        <v>26.17</v>
      </c>
      <c r="CP109" s="25">
        <v>24.3</v>
      </c>
      <c r="CQ109" s="258">
        <f>AVERAGE(CO109:CP109)</f>
        <v>25.235</v>
      </c>
      <c r="CR109" s="258">
        <v>0.96</v>
      </c>
      <c r="CS109" s="256">
        <v>0.044</v>
      </c>
      <c r="CT109" s="261">
        <f>+((((((CR109/4)*(1+CS109)^0.25))/(CQ109*0.95))+(1+CS109)^(0.25))^4)-1</f>
        <v>0.0864385961055254</v>
      </c>
      <c r="CU109" s="208">
        <f>CT109*($FG109/$FO109)</f>
        <v>0.004643045450919964</v>
      </c>
      <c r="DA109" s="261"/>
      <c r="DE109" s="258"/>
      <c r="DF109" s="258"/>
      <c r="DH109" s="261"/>
      <c r="DI109" s="208"/>
      <c r="DO109" s="261"/>
      <c r="DV109" s="261"/>
      <c r="DX109" s="123">
        <v>30.32</v>
      </c>
      <c r="DY109" s="123">
        <v>28.44</v>
      </c>
      <c r="DZ109" s="258">
        <f>AVERAGE(DX109:DY109)</f>
        <v>29.380000000000003</v>
      </c>
      <c r="EA109" s="258">
        <v>1.35</v>
      </c>
      <c r="EB109" s="256">
        <v>0.0375</v>
      </c>
      <c r="EC109" s="261">
        <f t="shared" si="111"/>
        <v>0.08859938605420536</v>
      </c>
      <c r="ED109" s="208">
        <f t="shared" si="101"/>
        <v>0.0035622471452094527</v>
      </c>
      <c r="EE109" s="258">
        <v>37.43</v>
      </c>
      <c r="EF109" s="258">
        <v>34.95</v>
      </c>
      <c r="EG109" s="258">
        <f>AVERAGE(EE109:EF109)</f>
        <v>36.19</v>
      </c>
      <c r="EH109" s="258">
        <v>1.2</v>
      </c>
      <c r="EI109" s="50">
        <v>0.05</v>
      </c>
      <c r="EJ109" s="261">
        <f t="shared" si="170"/>
        <v>0.0871311660271461</v>
      </c>
      <c r="EK109" s="208">
        <f t="shared" si="171"/>
        <v>0.008006998641746558</v>
      </c>
      <c r="EL109" s="123">
        <v>89</v>
      </c>
      <c r="EM109" s="123">
        <v>75.68</v>
      </c>
      <c r="EN109" s="258">
        <f>AVERAGE(EL109:EM109)</f>
        <v>82.34</v>
      </c>
      <c r="EO109" s="258">
        <v>0.94</v>
      </c>
      <c r="EP109" s="261">
        <v>0.1326</v>
      </c>
      <c r="EQ109" s="261">
        <f t="shared" si="113"/>
        <v>0.146271826337663</v>
      </c>
      <c r="ER109" s="208">
        <f t="shared" si="129"/>
        <v>0.031561531730304355</v>
      </c>
      <c r="ET109" s="262">
        <v>2.842</v>
      </c>
      <c r="EU109" s="262">
        <v>2.34</v>
      </c>
      <c r="EW109" s="262">
        <v>3.056</v>
      </c>
      <c r="EX109" s="262">
        <v>4.27</v>
      </c>
      <c r="FA109" s="262">
        <v>1.365</v>
      </c>
      <c r="FB109" s="262">
        <v>1.893</v>
      </c>
      <c r="FC109" s="262">
        <v>1.032</v>
      </c>
      <c r="FE109" s="258">
        <v>4.411</v>
      </c>
      <c r="FG109" s="258">
        <v>1.90378</v>
      </c>
      <c r="FL109" s="258">
        <v>1.425</v>
      </c>
      <c r="FM109" s="258">
        <v>3.257</v>
      </c>
      <c r="FN109" s="258">
        <v>7.64749</v>
      </c>
      <c r="FO109" s="258">
        <f>SUM(ET109:FN109)</f>
        <v>35.44227000000001</v>
      </c>
      <c r="FP109" s="261">
        <f t="shared" si="102"/>
        <v>0.10868039891111672</v>
      </c>
    </row>
    <row r="110" spans="1:174" ht="12.75">
      <c r="A110" s="263">
        <v>38930</v>
      </c>
      <c r="B110" s="119">
        <v>40</v>
      </c>
      <c r="C110" s="119">
        <v>34.97</v>
      </c>
      <c r="D110" s="255">
        <f t="shared" si="146"/>
        <v>37.485</v>
      </c>
      <c r="E110" s="255">
        <v>1.48</v>
      </c>
      <c r="F110" s="77">
        <v>0.042800000000000005</v>
      </c>
      <c r="G110" s="261">
        <f t="shared" si="143"/>
        <v>0.08681941380477465</v>
      </c>
      <c r="H110" s="277">
        <f t="shared" si="148"/>
        <v>0.006978795943214081</v>
      </c>
      <c r="I110" s="119">
        <v>29.15</v>
      </c>
      <c r="J110" s="119">
        <v>27.63</v>
      </c>
      <c r="K110" s="258">
        <f t="shared" si="149"/>
        <v>28.39</v>
      </c>
      <c r="L110" s="259">
        <v>1.26</v>
      </c>
      <c r="M110" s="256">
        <v>0.0617</v>
      </c>
      <c r="N110" s="261">
        <f t="shared" si="144"/>
        <v>0.11217593125823466</v>
      </c>
      <c r="O110" s="208">
        <f t="shared" si="151"/>
        <v>0.007424293259666993</v>
      </c>
      <c r="U110" s="261"/>
      <c r="W110" s="119">
        <v>44.48</v>
      </c>
      <c r="X110" s="119">
        <v>41.04</v>
      </c>
      <c r="Y110" s="258">
        <f t="shared" si="167"/>
        <v>42.76</v>
      </c>
      <c r="Z110" s="258">
        <v>0.44</v>
      </c>
      <c r="AA110" s="256">
        <v>0.0733</v>
      </c>
      <c r="AB110" s="261">
        <f t="shared" si="168"/>
        <v>0.08497282941586781</v>
      </c>
      <c r="AC110" s="208">
        <f t="shared" si="169"/>
        <v>0.007344682162149781</v>
      </c>
      <c r="AD110" s="119">
        <v>36.91</v>
      </c>
      <c r="AE110" s="119">
        <v>34.85</v>
      </c>
      <c r="AF110" s="258">
        <f t="shared" si="155"/>
        <v>35.879999999999995</v>
      </c>
      <c r="AG110" s="258">
        <v>0.88</v>
      </c>
      <c r="AH110" s="256">
        <v>0.098</v>
      </c>
      <c r="AI110" s="261">
        <f t="shared" si="106"/>
        <v>0.12662274442155952</v>
      </c>
      <c r="AJ110" s="208">
        <f t="shared" si="116"/>
        <v>0.015292524127032667</v>
      </c>
      <c r="AP110" s="261"/>
      <c r="AY110" s="119">
        <v>51.39</v>
      </c>
      <c r="AZ110" s="119">
        <v>47.41</v>
      </c>
      <c r="BA110" s="258">
        <f t="shared" si="133"/>
        <v>49.4</v>
      </c>
      <c r="BB110" s="255">
        <v>1.44</v>
      </c>
      <c r="BC110" s="256">
        <v>0.06</v>
      </c>
      <c r="BD110" s="261">
        <f t="shared" si="134"/>
        <v>0.0929012041811812</v>
      </c>
      <c r="BE110" s="208">
        <f t="shared" si="135"/>
        <v>0.00358668776950508</v>
      </c>
      <c r="BF110" s="119">
        <v>44.39</v>
      </c>
      <c r="BG110" s="119">
        <v>42.29</v>
      </c>
      <c r="BH110" s="258">
        <f t="shared" si="161"/>
        <v>43.34</v>
      </c>
      <c r="BI110" s="258">
        <v>1.86</v>
      </c>
      <c r="BJ110" s="256">
        <v>0.0267</v>
      </c>
      <c r="BK110" s="261">
        <f t="shared" si="162"/>
        <v>0.07387308193035347</v>
      </c>
      <c r="BL110" s="208">
        <f t="shared" si="163"/>
        <v>0.003955272492762403</v>
      </c>
      <c r="BM110" s="119">
        <v>38.53</v>
      </c>
      <c r="BN110" s="119">
        <v>36.7</v>
      </c>
      <c r="BO110" s="255">
        <f t="shared" si="156"/>
        <v>37.615</v>
      </c>
      <c r="BP110" s="258">
        <v>1.38</v>
      </c>
      <c r="BQ110" s="256">
        <v>0.0596</v>
      </c>
      <c r="BR110" s="261">
        <f t="shared" si="142"/>
        <v>0.0990121659011336</v>
      </c>
      <c r="BS110" s="208">
        <f t="shared" si="160"/>
        <v>0.0028900664957743787</v>
      </c>
      <c r="BY110" s="261"/>
      <c r="CA110" s="119">
        <v>39.25</v>
      </c>
      <c r="CB110" s="119">
        <v>37.14</v>
      </c>
      <c r="CC110" s="258">
        <f t="shared" si="164"/>
        <v>38.195</v>
      </c>
      <c r="CD110" s="258">
        <v>1.2</v>
      </c>
      <c r="CE110" s="256">
        <v>0.0688</v>
      </c>
      <c r="CF110" s="261">
        <f t="shared" si="165"/>
        <v>0.10458737421740749</v>
      </c>
      <c r="CG110" s="208">
        <f t="shared" si="166"/>
        <v>0.013048358929515468</v>
      </c>
      <c r="CJ110" s="258"/>
      <c r="CK110" s="258"/>
      <c r="CM110" s="261"/>
      <c r="CN110" s="208"/>
      <c r="CO110" s="25">
        <v>26.18</v>
      </c>
      <c r="CP110" s="25">
        <v>25.04</v>
      </c>
      <c r="CQ110" s="258">
        <f>AVERAGE(CO110:CP110)</f>
        <v>25.61</v>
      </c>
      <c r="CR110" s="258">
        <v>0.96</v>
      </c>
      <c r="CS110" s="256">
        <v>0.043</v>
      </c>
      <c r="CT110" s="261">
        <f>+((((((CR110/4)*(1+CS110)^0.25))/(CQ110*0.95))+(1+CS110)^(0.25))^4)-1</f>
        <v>0.0847679552012135</v>
      </c>
      <c r="CU110" s="208">
        <f>CT110*($FG110/$FO110)</f>
        <v>0.004564445693263342</v>
      </c>
      <c r="DA110" s="261"/>
      <c r="DE110" s="258"/>
      <c r="DF110" s="258"/>
      <c r="DH110" s="261"/>
      <c r="DI110" s="208"/>
      <c r="DO110" s="261"/>
      <c r="DV110" s="261"/>
      <c r="DX110" s="123">
        <v>31.18</v>
      </c>
      <c r="DY110" s="123">
        <v>29.01</v>
      </c>
      <c r="DZ110" s="258">
        <f>AVERAGE(DX110:DY110)</f>
        <v>30.095</v>
      </c>
      <c r="EA110" s="258">
        <v>1.35</v>
      </c>
      <c r="EB110" s="256">
        <v>0.0375</v>
      </c>
      <c r="EC110" s="261">
        <f t="shared" si="111"/>
        <v>0.08736391310929092</v>
      </c>
      <c r="ED110" s="208">
        <f t="shared" si="101"/>
        <v>0.0035211661623853175</v>
      </c>
      <c r="EE110" s="258">
        <v>39.16</v>
      </c>
      <c r="EF110" s="258">
        <v>36.76</v>
      </c>
      <c r="EG110" s="258">
        <f>AVERAGE(EE110:EF110)</f>
        <v>37.959999999999994</v>
      </c>
      <c r="EH110" s="258">
        <v>1.2</v>
      </c>
      <c r="EI110" s="50">
        <v>0.05</v>
      </c>
      <c r="EJ110" s="261">
        <f t="shared" si="170"/>
        <v>0.08537824586478693</v>
      </c>
      <c r="EK110" s="208">
        <f t="shared" si="171"/>
        <v>0.007652600540718088</v>
      </c>
      <c r="EL110" s="123">
        <v>91.02</v>
      </c>
      <c r="EM110" s="123">
        <v>84.85</v>
      </c>
      <c r="EN110" s="258">
        <f>AVERAGE(EL110:EM110)</f>
        <v>87.935</v>
      </c>
      <c r="EO110" s="258">
        <v>0.94</v>
      </c>
      <c r="EP110" s="261">
        <v>0.1159</v>
      </c>
      <c r="EQ110" s="261">
        <f t="shared" si="113"/>
        <v>0.12850955866636915</v>
      </c>
      <c r="ER110" s="208">
        <f t="shared" si="129"/>
        <v>0.027802232456448635</v>
      </c>
      <c r="ET110" s="262">
        <v>2.842</v>
      </c>
      <c r="EU110" s="262">
        <v>2.34</v>
      </c>
      <c r="EW110" s="262">
        <v>3.056</v>
      </c>
      <c r="EX110" s="262">
        <v>4.27</v>
      </c>
      <c r="FA110" s="262">
        <v>1.365</v>
      </c>
      <c r="FB110" s="262">
        <v>1.893</v>
      </c>
      <c r="FC110" s="262">
        <v>1.032</v>
      </c>
      <c r="FE110" s="258">
        <v>4.411</v>
      </c>
      <c r="FG110" s="258">
        <v>1.90378</v>
      </c>
      <c r="FL110" s="258">
        <v>1.425</v>
      </c>
      <c r="FM110" s="258">
        <v>3.169</v>
      </c>
      <c r="FN110" s="258">
        <v>7.649</v>
      </c>
      <c r="FO110" s="258">
        <f>SUM(ET110:FN110)</f>
        <v>35.35578</v>
      </c>
      <c r="FP110" s="261">
        <f t="shared" si="102"/>
        <v>0.10406112603243624</v>
      </c>
      <c r="FR110" s="290"/>
    </row>
    <row r="111" spans="1:172" ht="12.75">
      <c r="A111" s="263">
        <v>38961</v>
      </c>
      <c r="B111" s="119">
        <v>36.85</v>
      </c>
      <c r="C111" s="119">
        <v>34.76</v>
      </c>
      <c r="D111" s="255">
        <f t="shared" si="146"/>
        <v>35.805</v>
      </c>
      <c r="E111" s="255">
        <v>1.48</v>
      </c>
      <c r="F111" s="77">
        <v>0.042800000000000005</v>
      </c>
      <c r="G111" s="261">
        <f t="shared" si="143"/>
        <v>0.08891849289635245</v>
      </c>
      <c r="H111" s="277">
        <f t="shared" si="148"/>
        <v>0.0074388848374034805</v>
      </c>
      <c r="I111" s="119">
        <v>28.97</v>
      </c>
      <c r="J111" s="119">
        <v>27.8</v>
      </c>
      <c r="K111" s="258">
        <f t="shared" si="149"/>
        <v>28.384999999999998</v>
      </c>
      <c r="L111" s="259">
        <v>1.26</v>
      </c>
      <c r="M111" s="256">
        <v>0.0617</v>
      </c>
      <c r="N111" s="261">
        <f t="shared" si="144"/>
        <v>0.11218497804910954</v>
      </c>
      <c r="O111" s="208">
        <f t="shared" si="151"/>
        <v>0.007691231164121637</v>
      </c>
      <c r="W111" s="119">
        <v>44.02</v>
      </c>
      <c r="X111" s="119">
        <v>39.784</v>
      </c>
      <c r="Y111" s="258">
        <f t="shared" si="167"/>
        <v>41.902</v>
      </c>
      <c r="Z111" s="258">
        <v>0.44</v>
      </c>
      <c r="AA111" s="256">
        <v>0.0733</v>
      </c>
      <c r="AB111" s="261">
        <f t="shared" si="168"/>
        <v>0.08521283666675128</v>
      </c>
      <c r="AC111" s="208">
        <f t="shared" si="169"/>
        <v>0.007665668624815045</v>
      </c>
      <c r="AD111" s="119">
        <v>37.48</v>
      </c>
      <c r="AE111" s="119">
        <v>34.12</v>
      </c>
      <c r="AF111" s="258">
        <f t="shared" si="155"/>
        <v>35.8</v>
      </c>
      <c r="AG111" s="258">
        <v>0.88</v>
      </c>
      <c r="AH111" s="256">
        <v>0.098</v>
      </c>
      <c r="AI111" s="261">
        <f t="shared" si="106"/>
        <v>0.12668732581320152</v>
      </c>
      <c r="AJ111" s="208">
        <f t="shared" si="116"/>
        <v>0.01591656137796191</v>
      </c>
      <c r="AY111" s="119"/>
      <c r="AZ111" s="119"/>
      <c r="BF111" s="119">
        <v>43.89</v>
      </c>
      <c r="BG111" s="119">
        <v>42.15</v>
      </c>
      <c r="BH111" s="258">
        <f t="shared" si="161"/>
        <v>43.019999999999996</v>
      </c>
      <c r="BI111" s="258">
        <v>1.86</v>
      </c>
      <c r="BJ111" s="256">
        <v>0.0267</v>
      </c>
      <c r="BK111" s="261">
        <f t="shared" si="162"/>
        <v>0.07422995167217716</v>
      </c>
      <c r="BL111" s="208">
        <f t="shared" si="163"/>
        <v>0.00412983452534264</v>
      </c>
      <c r="BM111" s="119">
        <v>40.08</v>
      </c>
      <c r="BN111" s="119">
        <v>37.67</v>
      </c>
      <c r="BO111" s="255">
        <f t="shared" si="156"/>
        <v>38.875</v>
      </c>
      <c r="BP111" s="258">
        <v>1.38</v>
      </c>
      <c r="BQ111" s="256">
        <v>0.0596</v>
      </c>
      <c r="BR111" s="261">
        <f t="shared" si="142"/>
        <v>0.09771778044694446</v>
      </c>
      <c r="BS111" s="208">
        <f t="shared" si="160"/>
        <v>0.0029685540437798907</v>
      </c>
      <c r="CA111" s="119">
        <v>39.33</v>
      </c>
      <c r="CB111" s="119">
        <v>36.63</v>
      </c>
      <c r="CC111" s="258">
        <f t="shared" si="164"/>
        <v>37.980000000000004</v>
      </c>
      <c r="CD111" s="258">
        <v>1.28</v>
      </c>
      <c r="CE111" s="256">
        <v>0.0688</v>
      </c>
      <c r="CF111" s="261">
        <f t="shared" si="165"/>
        <v>0.10722387271152845</v>
      </c>
      <c r="CG111" s="208">
        <f t="shared" si="166"/>
        <v>0.01392259581791975</v>
      </c>
      <c r="CO111" s="119">
        <v>26.46</v>
      </c>
      <c r="CP111" s="119">
        <v>24.72</v>
      </c>
      <c r="CQ111" s="258">
        <f>AVERAGE(CO111:CP111)</f>
        <v>25.59</v>
      </c>
      <c r="CR111" s="258">
        <v>0.96</v>
      </c>
      <c r="CS111" s="256">
        <v>0.043</v>
      </c>
      <c r="CT111" s="261">
        <f>+((((((CR111/4)*(1+CS111)^0.25))/(CQ111*0.95))+(1+CS111)^(0.25))^4)-1</f>
        <v>0.0848010817692808</v>
      </c>
      <c r="CU111" s="208">
        <f>CT111*($FG111/$FO111)</f>
        <v>0.004742929421024801</v>
      </c>
      <c r="DX111" s="119">
        <v>31.82</v>
      </c>
      <c r="DY111" s="119">
        <v>30.05</v>
      </c>
      <c r="DZ111" s="258">
        <f>AVERAGE(DX111:DY111)</f>
        <v>30.935000000000002</v>
      </c>
      <c r="EA111" s="258">
        <v>1.35</v>
      </c>
      <c r="EB111" s="256">
        <v>0.0375</v>
      </c>
      <c r="EC111" s="261">
        <f t="shared" si="111"/>
        <v>0.0859866503300899</v>
      </c>
      <c r="ED111" s="208">
        <f t="shared" si="101"/>
        <v>0.003606928754537049</v>
      </c>
      <c r="EE111" s="119">
        <v>38.71</v>
      </c>
      <c r="EF111" s="119">
        <v>35.42</v>
      </c>
      <c r="EG111" s="258">
        <f>AVERAGE(EE111:EF111)</f>
        <v>37.065</v>
      </c>
      <c r="EH111" s="258">
        <v>1.2</v>
      </c>
      <c r="EI111" s="50">
        <v>0.05</v>
      </c>
      <c r="EJ111" s="261">
        <f t="shared" si="170"/>
        <v>0.0862434197562667</v>
      </c>
      <c r="EK111" s="208">
        <f t="shared" si="171"/>
        <v>0.008045256165776962</v>
      </c>
      <c r="EL111" s="119">
        <v>87</v>
      </c>
      <c r="EM111" s="119">
        <v>78.06</v>
      </c>
      <c r="EN111" s="258">
        <f>AVERAGE(EL111:EM111)</f>
        <v>82.53</v>
      </c>
      <c r="EO111" s="258">
        <v>0.94</v>
      </c>
      <c r="EP111" s="261">
        <v>0.1159</v>
      </c>
      <c r="EQ111" s="261">
        <f>+((((((EO111/4)*(1+EP111)^0.25))/(EN111*0.95))+(1+EP111)^(0.25))^4)-1</f>
        <v>0.12933908707295383</v>
      </c>
      <c r="ER111" s="208">
        <f t="shared" si="129"/>
        <v>0.029122330135145383</v>
      </c>
      <c r="ET111" s="262">
        <v>2.842</v>
      </c>
      <c r="EU111" s="262">
        <v>2.329</v>
      </c>
      <c r="EW111" s="262">
        <v>3.056</v>
      </c>
      <c r="EX111" s="262">
        <v>4.268</v>
      </c>
      <c r="FB111" s="262">
        <v>1.89</v>
      </c>
      <c r="FC111" s="262">
        <v>1.032</v>
      </c>
      <c r="FE111" s="258">
        <v>4.411</v>
      </c>
      <c r="FG111" s="258">
        <v>1.9</v>
      </c>
      <c r="FL111" s="258">
        <v>1.425</v>
      </c>
      <c r="FM111" s="258">
        <v>3.169</v>
      </c>
      <c r="FN111" s="258">
        <v>7.649</v>
      </c>
      <c r="FO111" s="258">
        <f>SUM(ET111:FN111)</f>
        <v>33.971000000000004</v>
      </c>
      <c r="FP111" s="261">
        <f t="shared" si="102"/>
        <v>0.10525077486782855</v>
      </c>
    </row>
    <row r="112" spans="1:172" ht="12.75">
      <c r="A112" s="263">
        <v>38991</v>
      </c>
      <c r="B112" s="119">
        <v>38.66</v>
      </c>
      <c r="C112" s="119">
        <v>36.04</v>
      </c>
      <c r="D112" s="255">
        <f t="shared" si="146"/>
        <v>37.349999999999994</v>
      </c>
      <c r="E112" s="255">
        <v>1.48</v>
      </c>
      <c r="F112" s="77">
        <v>0.0421</v>
      </c>
      <c r="G112" s="261">
        <f t="shared" si="143"/>
        <v>0.08625134710138749</v>
      </c>
      <c r="H112" s="277">
        <f t="shared" si="148"/>
        <v>0.00715437686659831</v>
      </c>
      <c r="I112" s="119">
        <v>30.96</v>
      </c>
      <c r="J112" s="119">
        <v>28.4</v>
      </c>
      <c r="K112" s="258">
        <f t="shared" si="149"/>
        <v>29.68</v>
      </c>
      <c r="L112" s="259">
        <v>1.26</v>
      </c>
      <c r="M112" s="256">
        <v>0.0617</v>
      </c>
      <c r="N112" s="261">
        <f t="shared" si="144"/>
        <v>0.10994538596141434</v>
      </c>
      <c r="O112" s="208">
        <f t="shared" si="151"/>
        <v>0.00795950824015005</v>
      </c>
      <c r="W112" s="119">
        <v>42.9</v>
      </c>
      <c r="X112" s="119">
        <v>38.5</v>
      </c>
      <c r="Y112" s="258">
        <f t="shared" si="167"/>
        <v>40.7</v>
      </c>
      <c r="Z112" s="258">
        <v>0.44</v>
      </c>
      <c r="AA112" s="256">
        <v>0.06</v>
      </c>
      <c r="AB112" s="261">
        <f t="shared" si="168"/>
        <v>0.07211416280292937</v>
      </c>
      <c r="AC112" s="208">
        <f t="shared" si="169"/>
        <v>0.006437924323872194</v>
      </c>
      <c r="AD112" s="119">
        <v>42.35</v>
      </c>
      <c r="AE112" s="119">
        <v>34.83</v>
      </c>
      <c r="AF112" s="258">
        <f t="shared" si="155"/>
        <v>38.59</v>
      </c>
      <c r="AG112" s="258">
        <v>0.88</v>
      </c>
      <c r="AH112" s="256">
        <v>0.0975</v>
      </c>
      <c r="AI112" s="261">
        <f t="shared" si="106"/>
        <v>0.12408252055463875</v>
      </c>
      <c r="AJ112" s="208">
        <f t="shared" si="116"/>
        <v>0.017321780478550323</v>
      </c>
      <c r="AY112" s="119">
        <v>52.11</v>
      </c>
      <c r="AZ112" s="119">
        <v>48.49</v>
      </c>
      <c r="BA112" s="258">
        <f>AVERAGE(AY112:AZ112)</f>
        <v>50.3</v>
      </c>
      <c r="BB112" s="255">
        <v>1.44</v>
      </c>
      <c r="BC112" s="256">
        <v>0.0525</v>
      </c>
      <c r="BD112" s="261">
        <f>+((((((BB112/4)*(1+BC112)^0.25))/(BA112*0.95))+(1+BC112)^(0.25))^4)-1</f>
        <v>0.08457729201740238</v>
      </c>
      <c r="BE112" s="208">
        <f t="shared" si="135"/>
        <v>0.0034453771903489214</v>
      </c>
      <c r="BF112" s="119">
        <v>46.54</v>
      </c>
      <c r="BG112" s="119">
        <v>42.38</v>
      </c>
      <c r="BH112" s="258">
        <f t="shared" si="161"/>
        <v>44.46</v>
      </c>
      <c r="BI112" s="258">
        <v>1.86</v>
      </c>
      <c r="BJ112" s="256">
        <v>0.0267</v>
      </c>
      <c r="BK112" s="261">
        <f t="shared" si="162"/>
        <v>0.07266515314306621</v>
      </c>
      <c r="BL112" s="208">
        <f t="shared" si="163"/>
        <v>0.003895978537925027</v>
      </c>
      <c r="BM112" s="119">
        <v>41.94</v>
      </c>
      <c r="BN112" s="119">
        <v>38.85</v>
      </c>
      <c r="BO112" s="255">
        <f t="shared" si="156"/>
        <v>40.394999999999996</v>
      </c>
      <c r="BP112" s="258">
        <v>1.42</v>
      </c>
      <c r="BQ112" s="256">
        <v>0.0588</v>
      </c>
      <c r="BR112" s="261">
        <f t="shared" si="142"/>
        <v>0.09651337904369894</v>
      </c>
      <c r="BS112" s="208">
        <f t="shared" si="160"/>
        <v>0.0029432323188555323</v>
      </c>
      <c r="CA112" s="119">
        <v>41.99</v>
      </c>
      <c r="CB112" s="119">
        <v>37.67</v>
      </c>
      <c r="CC112" s="258">
        <f t="shared" si="164"/>
        <v>39.83</v>
      </c>
      <c r="CD112" s="258">
        <v>1.28</v>
      </c>
      <c r="CE112" s="256">
        <v>0.0746</v>
      </c>
      <c r="CF112" s="261">
        <f t="shared" si="165"/>
        <v>0.11141528935765521</v>
      </c>
      <c r="CG112" s="208">
        <f t="shared" si="166"/>
        <v>0.014469353909941439</v>
      </c>
      <c r="DC112" s="291">
        <v>31.33</v>
      </c>
      <c r="DD112" s="291">
        <v>29.1</v>
      </c>
      <c r="DE112" s="258">
        <f>AVERAGE(DC112:DD112)</f>
        <v>30.215</v>
      </c>
      <c r="DF112" s="258">
        <f>0.225*4</f>
        <v>0.9</v>
      </c>
      <c r="DG112" s="261">
        <v>0.06</v>
      </c>
      <c r="DH112" s="261">
        <f>+((((((DF112/4)*(1+DG112)^0.25))/(DE112*0.95))+(1+DG112)^(0.25))^4)-1</f>
        <v>0.0936283202516226</v>
      </c>
      <c r="DI112" s="208">
        <f>DH112*($FI112/$FO112)</f>
        <v>0.0024090348208056995</v>
      </c>
      <c r="DX112" s="119">
        <v>33.02</v>
      </c>
      <c r="DY112" s="119">
        <v>31.16</v>
      </c>
      <c r="DZ112" s="258">
        <f>AVERAGE(DX112:DY112)</f>
        <v>32.09</v>
      </c>
      <c r="EA112" s="258">
        <v>1.35</v>
      </c>
      <c r="EB112" s="256">
        <v>0.035</v>
      </c>
      <c r="EC112" s="261">
        <f t="shared" si="111"/>
        <v>0.08160001693042607</v>
      </c>
      <c r="ED112" s="208">
        <f t="shared" si="101"/>
        <v>0.003669003059054362</v>
      </c>
      <c r="EE112" s="119">
        <v>37.96</v>
      </c>
      <c r="EF112" s="119">
        <v>35.02</v>
      </c>
      <c r="EG112" s="258">
        <f>AVERAGE(EE112:EF112)</f>
        <v>36.49</v>
      </c>
      <c r="EH112" s="258">
        <v>1.2</v>
      </c>
      <c r="EI112" s="50">
        <v>0.054</v>
      </c>
      <c r="EJ112" s="261">
        <f t="shared" si="170"/>
        <v>0.09096221201097299</v>
      </c>
      <c r="EK112" s="208">
        <f t="shared" si="171"/>
        <v>0.008213461201978014</v>
      </c>
      <c r="EL112" s="119">
        <v>86.88</v>
      </c>
      <c r="EM112" s="119">
        <v>77.48</v>
      </c>
      <c r="EN112" s="258">
        <f>AVERAGE(EL112:EM112)</f>
        <v>82.18</v>
      </c>
      <c r="EO112" s="258">
        <v>0.94</v>
      </c>
      <c r="EP112" s="261">
        <v>0.1116</v>
      </c>
      <c r="EQ112" s="261">
        <f>+((((((EO112/4)*(1+EP112)^0.25))/(EN112*0.95))+(1+EP112)^(0.25))^4)-1</f>
        <v>0.1250445740723729</v>
      </c>
      <c r="ER112" s="208">
        <f t="shared" si="129"/>
        <v>0.02501884715135588</v>
      </c>
      <c r="ET112" s="262">
        <v>2.924</v>
      </c>
      <c r="EU112" s="262">
        <v>2.552</v>
      </c>
      <c r="EW112" s="262">
        <v>3.147</v>
      </c>
      <c r="EX112" s="262">
        <v>4.921</v>
      </c>
      <c r="FA112" s="262">
        <v>1.436</v>
      </c>
      <c r="FB112" s="262">
        <v>1.89</v>
      </c>
      <c r="FC112" s="262">
        <v>1.075</v>
      </c>
      <c r="FE112" s="258">
        <v>4.578</v>
      </c>
      <c r="FI112" s="258">
        <v>0.907</v>
      </c>
      <c r="FL112" s="258">
        <v>1.585</v>
      </c>
      <c r="FM112" s="258">
        <v>3.183</v>
      </c>
      <c r="FN112" s="258">
        <v>7.053</v>
      </c>
      <c r="FO112" s="258">
        <f>SUM(ET112:FN112)</f>
        <v>35.251</v>
      </c>
      <c r="FP112" s="261">
        <f t="shared" si="102"/>
        <v>0.10293787809943575</v>
      </c>
    </row>
    <row r="113" spans="1:172" ht="12.75">
      <c r="A113" s="263">
        <v>39022</v>
      </c>
      <c r="B113" s="119">
        <v>38.83</v>
      </c>
      <c r="C113" s="119">
        <v>37.18</v>
      </c>
      <c r="D113" s="255">
        <f t="shared" si="146"/>
        <v>38.004999999999995</v>
      </c>
      <c r="E113" s="255">
        <v>1.48</v>
      </c>
      <c r="F113" s="77">
        <v>0.0421</v>
      </c>
      <c r="G113" s="261">
        <f t="shared" si="143"/>
        <v>0.08547874249396803</v>
      </c>
      <c r="H113" s="277">
        <f t="shared" si="148"/>
        <v>0.007488970871308867</v>
      </c>
      <c r="I113" s="119">
        <v>33.09</v>
      </c>
      <c r="J113" s="119">
        <v>30.73</v>
      </c>
      <c r="K113" s="258">
        <f t="shared" si="149"/>
        <v>31.910000000000004</v>
      </c>
      <c r="L113" s="259">
        <v>1.26</v>
      </c>
      <c r="M113" s="256">
        <v>0.0617</v>
      </c>
      <c r="N113" s="261">
        <f t="shared" si="144"/>
        <v>0.10652137812050544</v>
      </c>
      <c r="O113" s="208">
        <f t="shared" si="151"/>
        <v>0.007981954885721808</v>
      </c>
      <c r="P113" s="255"/>
      <c r="Q113" s="255"/>
      <c r="R113" s="258"/>
      <c r="T113" s="256"/>
      <c r="V113" s="208">
        <f>MIN(V12:V106)</f>
        <v>0.0007846051651257208</v>
      </c>
      <c r="W113" s="119">
        <v>45.37</v>
      </c>
      <c r="X113" s="119">
        <v>42.4</v>
      </c>
      <c r="Y113" s="258">
        <f t="shared" si="167"/>
        <v>43.885</v>
      </c>
      <c r="Z113" s="258">
        <v>0.44</v>
      </c>
      <c r="AA113" s="256">
        <v>0.0567</v>
      </c>
      <c r="AB113" s="261">
        <f t="shared" si="168"/>
        <v>0.0678965212757845</v>
      </c>
      <c r="AC113" s="208">
        <f t="shared" si="169"/>
        <v>0.00645848741703233</v>
      </c>
      <c r="AD113" s="119">
        <v>44.48</v>
      </c>
      <c r="AE113" s="119">
        <v>40.06</v>
      </c>
      <c r="AF113" s="258">
        <f t="shared" si="155"/>
        <v>42.269999999999996</v>
      </c>
      <c r="AG113" s="258">
        <v>0.88</v>
      </c>
      <c r="AH113" s="256">
        <v>0.0975</v>
      </c>
      <c r="AI113" s="261">
        <f t="shared" si="106"/>
        <v>0.12174927035866778</v>
      </c>
      <c r="AJ113" s="208">
        <f t="shared" si="116"/>
        <v>0.018235619482300888</v>
      </c>
      <c r="AN113" s="49"/>
      <c r="AQ113" s="208"/>
      <c r="AX113" s="208"/>
      <c r="AY113" s="119">
        <v>53.16</v>
      </c>
      <c r="AZ113" s="119">
        <v>50.53</v>
      </c>
      <c r="BA113" s="258">
        <f>AVERAGE(AY113:AZ113)</f>
        <v>51.845</v>
      </c>
      <c r="BB113" s="255">
        <v>1.44</v>
      </c>
      <c r="BC113" s="256">
        <v>0.0567</v>
      </c>
      <c r="BD113" s="261">
        <f>+((((((BB113/4)*(1+BC113)^0.25))/(BA113*0.95))+(1+BC113)^(0.25))^4)-1</f>
        <v>0.08793505936713353</v>
      </c>
      <c r="BE113" s="208">
        <f t="shared" si="135"/>
        <v>0.003605995352424574</v>
      </c>
      <c r="BI113" s="49"/>
      <c r="BL113" s="208"/>
      <c r="BM113" s="119">
        <v>41.51</v>
      </c>
      <c r="BN113" s="119">
        <v>38.53</v>
      </c>
      <c r="BO113" s="255">
        <f t="shared" si="156"/>
        <v>40.019999999999996</v>
      </c>
      <c r="BP113" s="258">
        <v>1.42</v>
      </c>
      <c r="BQ113" s="256">
        <v>0.0488</v>
      </c>
      <c r="BR113" s="261">
        <f t="shared" si="142"/>
        <v>0.08651188887610206</v>
      </c>
      <c r="BS113" s="208">
        <f t="shared" si="160"/>
        <v>0.0028114263961678035</v>
      </c>
      <c r="BT113" s="49"/>
      <c r="BU113" s="49"/>
      <c r="BW113" s="258"/>
      <c r="BX113" s="49"/>
      <c r="BZ113" s="208">
        <f>MIN(BZ12:BZ106)</f>
        <v>0.0013289513038468447</v>
      </c>
      <c r="CA113" s="119">
        <v>43.68</v>
      </c>
      <c r="CB113" s="119">
        <v>38.81</v>
      </c>
      <c r="CC113" s="258">
        <f t="shared" si="164"/>
        <v>41.245000000000005</v>
      </c>
      <c r="CD113" s="258">
        <v>1.28</v>
      </c>
      <c r="CE113" s="256">
        <v>0.0746</v>
      </c>
      <c r="CF113" s="261">
        <f t="shared" si="165"/>
        <v>0.11013681286182098</v>
      </c>
      <c r="CG113" s="208">
        <f t="shared" si="166"/>
        <v>0.015096713168563043</v>
      </c>
      <c r="CH113" s="49"/>
      <c r="CI113" s="49"/>
      <c r="CJ113" s="49" t="s">
        <v>246</v>
      </c>
      <c r="CK113" s="258"/>
      <c r="CL113" s="49"/>
      <c r="CN113" s="208"/>
      <c r="CO113" s="119"/>
      <c r="CP113" s="119"/>
      <c r="CQ113" s="119"/>
      <c r="CR113" s="119"/>
      <c r="CS113" s="119"/>
      <c r="CT113" s="119"/>
      <c r="CU113" s="208"/>
      <c r="DB113" s="208">
        <f>MIN(DB12:DB106)</f>
        <v>0.0012792096334201986</v>
      </c>
      <c r="DC113" s="119">
        <v>33.35</v>
      </c>
      <c r="DD113" s="119">
        <v>30.35</v>
      </c>
      <c r="DE113" s="258">
        <f>AVERAGE(DC113:DD113)</f>
        <v>31.85</v>
      </c>
      <c r="DF113" s="258">
        <f>0.225*4</f>
        <v>0.9</v>
      </c>
      <c r="DG113" s="261">
        <v>0.0633</v>
      </c>
      <c r="DH113" s="261">
        <f>+((((((DF113/4)*(1+DG113)^0.25))/(DE113*0.95))+(1+DG113)^(0.25))^4)-1</f>
        <v>0.0952820641865495</v>
      </c>
      <c r="DI113" s="208">
        <f>DH113*($FI113/$FO113)</f>
        <v>0.002650200768681798</v>
      </c>
      <c r="DP113" s="208"/>
      <c r="DW113" s="208"/>
      <c r="DX113" s="119">
        <v>33.41</v>
      </c>
      <c r="DY113" s="119">
        <v>31.84</v>
      </c>
      <c r="DZ113" s="258">
        <f>AVERAGE(DX113:DY113)</f>
        <v>32.625</v>
      </c>
      <c r="EA113" s="258">
        <v>1.35</v>
      </c>
      <c r="EB113" s="256">
        <v>0.0333</v>
      </c>
      <c r="EC113" s="261">
        <f t="shared" si="111"/>
        <v>0.0790481256165847</v>
      </c>
      <c r="ED113" s="208">
        <f t="shared" si="101"/>
        <v>0.003659175613241298</v>
      </c>
      <c r="EE113" s="119">
        <v>39.1</v>
      </c>
      <c r="EF113" s="119">
        <v>36.5</v>
      </c>
      <c r="EG113" s="258">
        <f>AVERAGE(EE113:EF113)</f>
        <v>37.8</v>
      </c>
      <c r="EH113" s="258">
        <v>1.2</v>
      </c>
      <c r="EI113" s="50">
        <v>0.0467</v>
      </c>
      <c r="EJ113" s="261">
        <f t="shared" si="170"/>
        <v>0.08211820371702805</v>
      </c>
      <c r="EK113" s="208">
        <f t="shared" si="171"/>
        <v>0.007708108276254246</v>
      </c>
      <c r="EL113" s="119">
        <v>87.3</v>
      </c>
      <c r="EM113" s="119">
        <v>79.78</v>
      </c>
      <c r="EN113" s="258">
        <f>AVERAGE(EL113:EM113)</f>
        <v>83.53999999999999</v>
      </c>
      <c r="EO113" s="258">
        <v>0.94</v>
      </c>
      <c r="EP113" s="261">
        <v>0.1152</v>
      </c>
      <c r="EQ113" s="261">
        <f>+((((((EO113/4)*(1+EP113)^0.25))/(EN113*0.95))+(1+EP113)^(0.25))^4)-1</f>
        <v>0.12846755908060947</v>
      </c>
      <c r="ER113" s="208">
        <f t="shared" si="129"/>
        <v>0.027492600598266245</v>
      </c>
      <c r="ES113" s="255"/>
      <c r="ET113" s="255">
        <v>3.068</v>
      </c>
      <c r="EU113" s="258">
        <v>2.624</v>
      </c>
      <c r="EV113" s="258"/>
      <c r="EW113" s="262">
        <v>3.331</v>
      </c>
      <c r="EX113" s="262">
        <v>5.245</v>
      </c>
      <c r="EY113" s="256"/>
      <c r="EZ113" s="256"/>
      <c r="FA113" s="262">
        <v>1.436</v>
      </c>
      <c r="FC113" s="262">
        <v>1.138</v>
      </c>
      <c r="FD113" s="256"/>
      <c r="FE113" s="258">
        <v>4.8</v>
      </c>
      <c r="FI113" s="258">
        <v>0.974</v>
      </c>
      <c r="FL113" s="258">
        <v>1.621</v>
      </c>
      <c r="FM113" s="258">
        <v>3.287</v>
      </c>
      <c r="FN113" s="258">
        <v>7.494</v>
      </c>
      <c r="FO113" s="258">
        <f>SUM(ET113:FN113)</f>
        <v>35.018</v>
      </c>
      <c r="FP113" s="261">
        <f t="shared" si="102"/>
        <v>0.10658201893235567</v>
      </c>
    </row>
    <row r="114" spans="1:172" ht="12.75">
      <c r="A114" s="263">
        <v>39052</v>
      </c>
      <c r="B114" s="119">
        <v>40.09</v>
      </c>
      <c r="C114" s="119">
        <v>38.11</v>
      </c>
      <c r="D114" s="255">
        <f t="shared" si="146"/>
        <v>39.1</v>
      </c>
      <c r="E114" s="255">
        <v>1.48</v>
      </c>
      <c r="F114" s="77">
        <v>0.0425</v>
      </c>
      <c r="G114" s="261">
        <f t="shared" si="143"/>
        <v>0.08466197672757714</v>
      </c>
      <c r="H114" s="277">
        <f t="shared" si="148"/>
        <v>0.0073849432842655145</v>
      </c>
      <c r="I114" s="119">
        <v>32.87</v>
      </c>
      <c r="J114" s="119">
        <v>31.5</v>
      </c>
      <c r="K114" s="258">
        <f t="shared" si="149"/>
        <v>32.185</v>
      </c>
      <c r="L114" s="259">
        <v>1.26</v>
      </c>
      <c r="M114" s="256">
        <v>0.0617</v>
      </c>
      <c r="N114" s="261">
        <f t="shared" si="144"/>
        <v>0.1061325010080929</v>
      </c>
      <c r="O114" s="208">
        <f t="shared" si="151"/>
        <v>0.007899290432173772</v>
      </c>
      <c r="W114" s="119">
        <v>47.6</v>
      </c>
      <c r="X114" s="119">
        <v>44.99</v>
      </c>
      <c r="Y114" s="258">
        <f t="shared" si="167"/>
        <v>46.295</v>
      </c>
      <c r="Z114" s="258">
        <v>0.44</v>
      </c>
      <c r="AA114" s="256">
        <v>0.0567</v>
      </c>
      <c r="AB114" s="261">
        <f t="shared" si="168"/>
        <v>0.06731147329367149</v>
      </c>
      <c r="AC114" s="208">
        <f t="shared" si="169"/>
        <v>0.006408052257557525</v>
      </c>
      <c r="AD114" s="119">
        <v>44.1</v>
      </c>
      <c r="AE114" s="119">
        <v>41.58</v>
      </c>
      <c r="AF114" s="258">
        <f t="shared" si="155"/>
        <v>42.84</v>
      </c>
      <c r="AG114" s="258">
        <v>0.88</v>
      </c>
      <c r="AH114" s="256">
        <v>0.0975</v>
      </c>
      <c r="AI114" s="261">
        <f t="shared" si="106"/>
        <v>0.12142401237621914</v>
      </c>
      <c r="AJ114" s="208">
        <f t="shared" si="116"/>
        <v>0.01830380255134092</v>
      </c>
      <c r="AY114" s="119">
        <v>52.54</v>
      </c>
      <c r="AZ114" s="119">
        <v>48.46</v>
      </c>
      <c r="BA114" s="258">
        <f>AVERAGE(AY114:AZ114)</f>
        <v>50.5</v>
      </c>
      <c r="BB114" s="255">
        <f>0.38*4</f>
        <v>1.52</v>
      </c>
      <c r="BC114" s="256">
        <v>0.0525</v>
      </c>
      <c r="BD114" s="261">
        <f>+((((((BB114/4)*(1+BC114)^0.25))/(BA114*0.95))+(1+BC114)^(0.25))^4)-1</f>
        <v>0.08624482737409389</v>
      </c>
      <c r="BE114" s="208">
        <f t="shared" si="135"/>
        <v>0.0035237172327129787</v>
      </c>
      <c r="BM114" s="119">
        <v>43.69</v>
      </c>
      <c r="BN114" s="119">
        <v>40.8</v>
      </c>
      <c r="BO114" s="255">
        <f t="shared" si="156"/>
        <v>42.245</v>
      </c>
      <c r="BP114" s="258">
        <v>1.42</v>
      </c>
      <c r="BQ114" s="256">
        <v>0.0488</v>
      </c>
      <c r="BR114" s="261">
        <f t="shared" si="142"/>
        <v>0.08450065163788412</v>
      </c>
      <c r="BS114" s="208">
        <f t="shared" si="160"/>
        <v>0.00274989263473</v>
      </c>
      <c r="CA114" s="119">
        <v>44.48</v>
      </c>
      <c r="CB114" s="119">
        <v>42.71</v>
      </c>
      <c r="CC114" s="258">
        <f t="shared" si="164"/>
        <v>43.595</v>
      </c>
      <c r="CD114" s="258">
        <v>1.28</v>
      </c>
      <c r="CE114" s="256">
        <v>0.0746</v>
      </c>
      <c r="CF114" s="261">
        <f t="shared" si="165"/>
        <v>0.10819902670830817</v>
      </c>
      <c r="CG114" s="208">
        <f t="shared" si="166"/>
        <v>0.014869637670484636</v>
      </c>
      <c r="DC114" s="119">
        <v>34.26</v>
      </c>
      <c r="DD114" s="119">
        <v>32.42</v>
      </c>
      <c r="DE114" s="258">
        <f>AVERAGE(DC114:DD114)</f>
        <v>33.34</v>
      </c>
      <c r="DF114" s="258">
        <f>0.225*4</f>
        <v>0.9</v>
      </c>
      <c r="DG114" s="261">
        <v>0.0633</v>
      </c>
      <c r="DH114" s="261">
        <f>+((((((DF114/4)*(1+DG114)^0.25))/(DE114*0.95))+(1+DG114)^(0.25))^4)-1</f>
        <v>0.09383754380480869</v>
      </c>
      <c r="DI114" s="208">
        <f>DH114*($FI114/$FO114)</f>
        <v>0.0025952783543729944</v>
      </c>
      <c r="DX114" s="119">
        <v>33.55</v>
      </c>
      <c r="DY114" s="119">
        <v>32.325</v>
      </c>
      <c r="DZ114" s="258">
        <f>AVERAGE(DX114:DY114)</f>
        <v>32.9375</v>
      </c>
      <c r="EA114" s="258">
        <v>1.35</v>
      </c>
      <c r="EB114" s="256">
        <v>0.0333</v>
      </c>
      <c r="EC114" s="261">
        <f t="shared" si="111"/>
        <v>0.07860707374256015</v>
      </c>
      <c r="ED114" s="208">
        <f t="shared" si="101"/>
        <v>0.0036069417265871886</v>
      </c>
      <c r="EE114" s="119">
        <v>40.21</v>
      </c>
      <c r="EF114" s="119">
        <v>37.67</v>
      </c>
      <c r="EG114" s="258">
        <f>AVERAGE(EE114:EF114)</f>
        <v>38.94</v>
      </c>
      <c r="EH114" s="258">
        <v>1.2</v>
      </c>
      <c r="EI114" s="50">
        <v>0.0553</v>
      </c>
      <c r="EJ114" s="261">
        <f t="shared" si="170"/>
        <v>0.0899510973081068</v>
      </c>
      <c r="EK114" s="208">
        <f t="shared" si="171"/>
        <v>0.008370592112357253</v>
      </c>
      <c r="EL114" s="119">
        <v>89.56</v>
      </c>
      <c r="EM114" s="119">
        <v>82.45</v>
      </c>
      <c r="EN114" s="258">
        <f>AVERAGE(EL114:EM114)</f>
        <v>86.005</v>
      </c>
      <c r="EO114" s="258">
        <v>0.94</v>
      </c>
      <c r="EP114" s="261">
        <v>0.1159</v>
      </c>
      <c r="EQ114" s="261">
        <f>+((((((EO114/4)*(1+EP114)^0.25))/(EN114*0.95))+(1+EP114)^(0.25))^4)-1</f>
        <v>0.1287937444497187</v>
      </c>
      <c r="ER114" s="208">
        <f t="shared" si="129"/>
        <v>0.027686975235419527</v>
      </c>
      <c r="ET114" s="262">
        <v>3.053</v>
      </c>
      <c r="EU114" s="262">
        <v>2.605</v>
      </c>
      <c r="EW114" s="262">
        <v>3.332</v>
      </c>
      <c r="EX114" s="262">
        <v>5.276</v>
      </c>
      <c r="FA114" s="262">
        <v>1.43</v>
      </c>
      <c r="FC114" s="262">
        <v>1.139</v>
      </c>
      <c r="FE114" s="258">
        <v>4.81</v>
      </c>
      <c r="FI114" s="258">
        <v>0.968</v>
      </c>
      <c r="FL114" s="258">
        <v>1.606</v>
      </c>
      <c r="FM114" s="258">
        <v>3.257</v>
      </c>
      <c r="FN114" s="258">
        <v>7.524</v>
      </c>
      <c r="FO114" s="258">
        <f>SUM(ET114:FN114)</f>
        <v>35</v>
      </c>
      <c r="FP114" s="261">
        <f t="shared" si="102"/>
        <v>0.10339912349200231</v>
      </c>
    </row>
    <row r="115" spans="1:172" ht="13.5">
      <c r="A115" s="263">
        <v>39083</v>
      </c>
      <c r="B115" s="108">
        <v>40.21</v>
      </c>
      <c r="C115" s="108">
        <v>38.2</v>
      </c>
      <c r="D115" s="255">
        <f t="shared" si="146"/>
        <v>39.205</v>
      </c>
      <c r="E115" s="255">
        <v>1.48</v>
      </c>
      <c r="F115" s="77">
        <v>0.045</v>
      </c>
      <c r="G115" s="261">
        <f t="shared" si="143"/>
        <v>0.08714821050690147</v>
      </c>
      <c r="H115" s="277">
        <f t="shared" si="148"/>
        <v>0.00714086937706455</v>
      </c>
      <c r="I115" s="108">
        <v>32.3</v>
      </c>
      <c r="J115" s="108">
        <v>30.36</v>
      </c>
      <c r="K115" s="258">
        <f t="shared" si="149"/>
        <v>31.33</v>
      </c>
      <c r="L115" s="259">
        <f>0.32*4</f>
        <v>1.28</v>
      </c>
      <c r="M115" s="256">
        <v>0.0615</v>
      </c>
      <c r="N115" s="261">
        <f t="shared" si="144"/>
        <v>0.10789204873375535</v>
      </c>
      <c r="O115" s="208">
        <f t="shared" si="151"/>
        <v>0.007194098982684649</v>
      </c>
      <c r="W115" s="119">
        <v>46.95</v>
      </c>
      <c r="X115" s="119">
        <v>43.78</v>
      </c>
      <c r="Y115" s="258">
        <f t="shared" si="167"/>
        <v>45.365</v>
      </c>
      <c r="Z115" s="258">
        <f>0.1115*4</f>
        <v>0.446</v>
      </c>
      <c r="AA115" s="256">
        <v>0.05</v>
      </c>
      <c r="AB115" s="261">
        <f>+((((((Z115/4)*(1+AA115)^0.25))/(Y115*0.95))+(1+AA115)^(0.25))^4)-1</f>
        <v>0.060908491167616985</v>
      </c>
      <c r="AC115" s="208">
        <f t="shared" si="169"/>
        <v>0.005329375417414631</v>
      </c>
      <c r="AD115" s="108">
        <v>43.69</v>
      </c>
      <c r="AE115" s="108">
        <v>39.26</v>
      </c>
      <c r="AF115" s="258">
        <f t="shared" si="155"/>
        <v>41.474999999999994</v>
      </c>
      <c r="AG115" s="258">
        <v>0.88</v>
      </c>
      <c r="AH115" s="256">
        <v>0.098</v>
      </c>
      <c r="AI115" s="261">
        <f t="shared" si="106"/>
        <v>0.1227292352969418</v>
      </c>
      <c r="AJ115" s="208">
        <f t="shared" si="116"/>
        <v>0.016711111841991845</v>
      </c>
      <c r="AY115" s="108">
        <v>48.7</v>
      </c>
      <c r="AZ115" s="108">
        <v>46.3</v>
      </c>
      <c r="BA115" s="258">
        <f>AVERAGE(AY115:AZ115)</f>
        <v>47.5</v>
      </c>
      <c r="BB115" s="255">
        <f>0.38*4</f>
        <v>1.52</v>
      </c>
      <c r="BC115" s="256">
        <v>0.0533</v>
      </c>
      <c r="BD115" s="261">
        <f>+((((((BB115/4)*(1+BC115)^0.25))/(BA115*0.95))+(1+BC115)^(0.25))^4)-1</f>
        <v>0.08923026335009365</v>
      </c>
      <c r="BE115" s="208">
        <f t="shared" si="135"/>
        <v>0.002998989241217312</v>
      </c>
      <c r="BF115" s="108">
        <v>47.38</v>
      </c>
      <c r="BG115" s="108">
        <v>44.46</v>
      </c>
      <c r="BH115" s="258">
        <f>AVERAGE(BF115:BG115)</f>
        <v>45.92</v>
      </c>
      <c r="BI115" s="258">
        <v>1.86</v>
      </c>
      <c r="BJ115" s="256">
        <v>0.0337</v>
      </c>
      <c r="BK115" s="261">
        <f>+((((((BI115/4)*(1+BJ115)^0.25))/(BH115*0.95))+(1+BJ115)^(0.25))^4)-1</f>
        <v>0.0784836653575196</v>
      </c>
      <c r="BL115" s="208">
        <f>BK115*($FB115/$FO115)</f>
        <v>0.004162716411082605</v>
      </c>
      <c r="BM115" s="108">
        <v>42.98</v>
      </c>
      <c r="BN115" s="108">
        <v>39.89</v>
      </c>
      <c r="BO115" s="255">
        <f t="shared" si="156"/>
        <v>41.435</v>
      </c>
      <c r="BP115" s="258">
        <v>1.42</v>
      </c>
      <c r="BQ115" s="256">
        <v>0.0488</v>
      </c>
      <c r="BR115" s="261">
        <f>+((((((BP115/4)*(1+BQ115)^0.25))/(BO115*1))+(1+BQ115)^(0.25))^4)-1</f>
        <v>0.08520750993553006</v>
      </c>
      <c r="BS115" s="208">
        <f t="shared" si="160"/>
        <v>0.0024690837456226985</v>
      </c>
      <c r="BT115" s="255"/>
      <c r="BU115" s="255"/>
      <c r="BV115" s="258"/>
      <c r="BW115" s="258"/>
      <c r="CA115" s="108">
        <v>43.65</v>
      </c>
      <c r="CB115" s="108">
        <v>41</v>
      </c>
      <c r="CC115" s="258">
        <f t="shared" si="164"/>
        <v>42.325</v>
      </c>
      <c r="CD115" s="258">
        <v>1.28</v>
      </c>
      <c r="CE115" s="256">
        <v>0.0782</v>
      </c>
      <c r="CF115" s="261">
        <f>+((((((CD115/4)*(1+CE115)^0.25))/(CC115*0.95))+(1+CE115)^(0.25))^4)-1</f>
        <v>0.11293519464089385</v>
      </c>
      <c r="CG115" s="208">
        <f t="shared" si="166"/>
        <v>0.013866226095828516</v>
      </c>
      <c r="CO115" s="108">
        <v>27.25</v>
      </c>
      <c r="CP115" s="108">
        <v>25.78</v>
      </c>
      <c r="CQ115" s="258">
        <f>AVERAGE(CO115:CP115)</f>
        <v>26.515</v>
      </c>
      <c r="CR115" s="258">
        <v>0.96</v>
      </c>
      <c r="CS115" s="256">
        <v>0.0415</v>
      </c>
      <c r="CT115" s="261">
        <f>+((((((CR115/4)*(1+CS115)^0.25))/(CQ115*0.95))+(1+CS115)^(0.25))^4)-1</f>
        <v>0.08176402161082419</v>
      </c>
      <c r="CU115" s="208">
        <f>CT115*($FG115/$FO115)</f>
        <v>0.004141015866233517</v>
      </c>
      <c r="DC115" s="108">
        <v>33.95</v>
      </c>
      <c r="DD115" s="108">
        <v>31.81</v>
      </c>
      <c r="DE115" s="258">
        <f>AVERAGE(DC115:DD115)</f>
        <v>32.88</v>
      </c>
      <c r="DF115" s="258">
        <f>0.245*4</f>
        <v>0.98</v>
      </c>
      <c r="DG115" s="261">
        <v>0.07</v>
      </c>
      <c r="DH115" s="261">
        <f>+((((((DF115/4)*(1+DG115)^0.25))/(DE115*0.95))+(1+DG115)^(0.25))^4)-1</f>
        <v>0.10396727174152987</v>
      </c>
      <c r="DI115" s="208">
        <f>DH115*($FI115/$FO115)</f>
        <v>0.002667542589075744</v>
      </c>
      <c r="DX115" s="108">
        <v>32.98</v>
      </c>
      <c r="DY115" s="108">
        <v>30.99</v>
      </c>
      <c r="DZ115" s="258">
        <f>AVERAGE(DX115:DY115)</f>
        <v>31.985</v>
      </c>
      <c r="EA115" s="258">
        <v>1.35</v>
      </c>
      <c r="EB115" s="256">
        <v>0.0325</v>
      </c>
      <c r="EC115" s="261">
        <f t="shared" si="111"/>
        <v>0.07914260287291475</v>
      </c>
      <c r="ED115" s="208">
        <f t="shared" si="101"/>
        <v>0.0031569055137428033</v>
      </c>
      <c r="EE115" s="108">
        <v>40.94</v>
      </c>
      <c r="EF115" s="108">
        <v>36.94</v>
      </c>
      <c r="EG115" s="258">
        <f>AVERAGE(EE115:EF115)</f>
        <v>38.94</v>
      </c>
      <c r="EH115" s="258">
        <v>1.2</v>
      </c>
      <c r="EI115" s="50">
        <v>0.0467</v>
      </c>
      <c r="EJ115" s="261">
        <f>+((((((EH115/4)*(1+EI115)^0.25))/(EG115*0.95))+(1+EI115)^(0.25))^4)-1</f>
        <v>0.0810687136855841</v>
      </c>
      <c r="EK115" s="208">
        <f t="shared" si="171"/>
        <v>0.007420902120017053</v>
      </c>
      <c r="EL115" s="108">
        <v>82.81</v>
      </c>
      <c r="EM115" s="108">
        <v>75.96</v>
      </c>
      <c r="EN115" s="258">
        <f>AVERAGE(EL115:EM115)</f>
        <v>79.38499999999999</v>
      </c>
      <c r="EO115" s="258">
        <v>0.94</v>
      </c>
      <c r="EP115" s="261">
        <v>0.1182</v>
      </c>
      <c r="EQ115" s="261">
        <f>+((((((EO115/4)*(1+EP115)^0.25))/(EN115*0.95))+(1+EP115)^(0.25))^4)-1</f>
        <v>0.13220279367879328</v>
      </c>
      <c r="ER115" s="208">
        <f t="shared" si="129"/>
        <v>0.02400594246223597</v>
      </c>
      <c r="ET115" s="262">
        <v>3.184</v>
      </c>
      <c r="EU115" s="262">
        <v>2.591</v>
      </c>
      <c r="EW115" s="262">
        <v>3.4</v>
      </c>
      <c r="EX115" s="262">
        <v>5.291</v>
      </c>
      <c r="FA115" s="262">
        <v>1.306</v>
      </c>
      <c r="FB115" s="262">
        <v>2.061</v>
      </c>
      <c r="FC115" s="262">
        <v>1.126</v>
      </c>
      <c r="FE115" s="258">
        <v>4.771</v>
      </c>
      <c r="FG115" s="258">
        <v>1.968</v>
      </c>
      <c r="FI115" s="258">
        <v>0.997</v>
      </c>
      <c r="FL115" s="258">
        <v>1.55</v>
      </c>
      <c r="FM115" s="258">
        <v>3.557</v>
      </c>
      <c r="FN115" s="258">
        <v>7.056</v>
      </c>
      <c r="FO115" s="258">
        <f>SUM(ET115:FN115)</f>
        <v>38.858000000000004</v>
      </c>
      <c r="FP115" s="261">
        <f>SUM(H115,O115,V115,AC115,AJ115,AQ115,AX115,BE115,BL115,BS115,BZ115,CG115,CN115,CU115,DB115,DI115,DP115,DW115,ED115,EK115,ER115)</f>
        <v>0.10126477966421189</v>
      </c>
    </row>
    <row r="116" spans="1:172" ht="13.5">
      <c r="A116" s="263">
        <v>39114</v>
      </c>
      <c r="B116" s="108">
        <v>42.9</v>
      </c>
      <c r="C116" s="108">
        <v>39.53</v>
      </c>
      <c r="D116" s="255">
        <f t="shared" si="146"/>
        <v>41.215</v>
      </c>
      <c r="E116" s="255">
        <f>0.41*4</f>
        <v>1.64</v>
      </c>
      <c r="F116" s="77">
        <v>0.041</v>
      </c>
      <c r="G116" s="261">
        <f t="shared" si="143"/>
        <v>0.08529259891515828</v>
      </c>
      <c r="H116" s="277">
        <f t="shared" si="148"/>
        <v>0.007421142508410173</v>
      </c>
      <c r="I116" s="108">
        <v>33.07</v>
      </c>
      <c r="J116" s="108">
        <v>31.23</v>
      </c>
      <c r="K116" s="258">
        <f t="shared" si="149"/>
        <v>32.15</v>
      </c>
      <c r="L116" s="259">
        <f>0.32*4</f>
        <v>1.28</v>
      </c>
      <c r="M116" s="256">
        <v>0.0615</v>
      </c>
      <c r="N116" s="261">
        <f t="shared" si="144"/>
        <v>0.10669024046903175</v>
      </c>
      <c r="O116" s="208">
        <f t="shared" si="151"/>
        <v>0.00752453768493695</v>
      </c>
      <c r="W116" s="108">
        <v>49.35</v>
      </c>
      <c r="X116" s="108">
        <v>45.75</v>
      </c>
      <c r="Y116" s="258">
        <f t="shared" si="167"/>
        <v>47.55</v>
      </c>
      <c r="Z116" s="258">
        <f>0.115*4</f>
        <v>0.46</v>
      </c>
      <c r="AA116" s="256">
        <v>0.05</v>
      </c>
      <c r="AB116" s="261">
        <f>+((((((Z116/4)*(1+AA116)^0.25))/(Y116*0.95))+(1+AA116)^(0.25))^4)-1</f>
        <v>0.06073324615729714</v>
      </c>
      <c r="AC116" s="208">
        <f t="shared" si="169"/>
        <v>0.005691021853566593</v>
      </c>
      <c r="AD116" s="108">
        <v>44.55</v>
      </c>
      <c r="AE116" s="108">
        <v>42</v>
      </c>
      <c r="AF116" s="258">
        <f t="shared" si="155"/>
        <v>43.275</v>
      </c>
      <c r="AG116" s="258">
        <v>0.88</v>
      </c>
      <c r="AH116" s="256">
        <v>0.098</v>
      </c>
      <c r="AI116" s="261">
        <f t="shared" si="106"/>
        <v>0.1216923887111252</v>
      </c>
      <c r="AJ116" s="208">
        <f t="shared" si="116"/>
        <v>0.017145063694500938</v>
      </c>
      <c r="AY116" s="108">
        <v>51.1</v>
      </c>
      <c r="AZ116" s="108">
        <v>46.73</v>
      </c>
      <c r="BA116" s="258">
        <f>AVERAGE(AY116:AZ116)</f>
        <v>48.915</v>
      </c>
      <c r="BB116" s="255">
        <f>0.38*4</f>
        <v>1.52</v>
      </c>
      <c r="BC116" s="256">
        <v>0.0533</v>
      </c>
      <c r="BD116" s="261">
        <f>+((((((BB116/4)*(1+BC116)^0.25))/(BA116*0.95))+(1+BC116)^(0.25))^4)-1</f>
        <v>0.08817815327335565</v>
      </c>
      <c r="BE116" s="208">
        <f t="shared" si="135"/>
        <v>0.0033051011038409133</v>
      </c>
      <c r="BF116" s="108"/>
      <c r="BG116" s="108"/>
      <c r="BK116" s="261"/>
      <c r="BL116" s="208"/>
      <c r="BM116" s="108">
        <v>46.3</v>
      </c>
      <c r="BN116" s="108">
        <v>39.79</v>
      </c>
      <c r="BO116" s="255">
        <f t="shared" si="156"/>
        <v>43.045</v>
      </c>
      <c r="BP116" s="258">
        <v>1.42</v>
      </c>
      <c r="BQ116" s="256">
        <v>0.0488</v>
      </c>
      <c r="BR116" s="261">
        <f>+((((((BP116/4)*(1+BQ116)^0.25))/(BO116*1))+(1+BQ116)^(0.25))^4)-1</f>
        <v>0.08382895226475573</v>
      </c>
      <c r="BS116" s="208">
        <f t="shared" si="160"/>
        <v>0.0027354613460883804</v>
      </c>
      <c r="BT116" s="255"/>
      <c r="BU116" s="255"/>
      <c r="BV116" s="258"/>
      <c r="BW116" s="258"/>
      <c r="CA116" s="108">
        <v>43.85</v>
      </c>
      <c r="CB116" s="108">
        <v>41</v>
      </c>
      <c r="CC116" s="258">
        <f>AVERAGE(CA116:CB116)</f>
        <v>42.425</v>
      </c>
      <c r="CD116" s="258">
        <f>0.34*4</f>
        <v>1.36</v>
      </c>
      <c r="CE116" s="256">
        <v>0.0765</v>
      </c>
      <c r="CF116" s="261">
        <f>+((((((CD116/4)*(1+CE116)^0.25))/(CC116*0.95))+(1+CE116)^(0.25))^4)-1</f>
        <v>0.11328740161233664</v>
      </c>
      <c r="CG116" s="208">
        <f t="shared" si="166"/>
        <v>0.014362309762340108</v>
      </c>
      <c r="CO116" s="108">
        <v>26.96</v>
      </c>
      <c r="CP116" s="108">
        <v>24.55</v>
      </c>
      <c r="CQ116" s="258">
        <f>AVERAGE(CO116:CP116)</f>
        <v>25.755000000000003</v>
      </c>
      <c r="CR116" s="258">
        <v>0.96</v>
      </c>
      <c r="CS116" s="256">
        <v>0.0433</v>
      </c>
      <c r="CT116" s="261">
        <f>+((((((CR116/4)*(1+CS116)^0.25))/(CQ116*0.95))+(1+CS116)^(0.25))^4)-1</f>
        <v>0.08484129380143357</v>
      </c>
      <c r="CU116" s="208">
        <f>CT116*($FG116/$FO116)</f>
        <v>0.004395921958623501</v>
      </c>
      <c r="DC116" s="108">
        <v>35.3</v>
      </c>
      <c r="DD116" s="108">
        <v>33.05</v>
      </c>
      <c r="DE116" s="258">
        <f>AVERAGE(DC116:DD116)</f>
        <v>34.175</v>
      </c>
      <c r="DF116" s="258">
        <f>0.245*4</f>
        <v>0.98</v>
      </c>
      <c r="DG116" s="261">
        <v>0.0667</v>
      </c>
      <c r="DH116" s="261">
        <f>+((((((DF116/4)*(1+DG116)^0.25))/(DE116*0.95))+(1+DG116)^(0.25))^4)-1</f>
        <v>0.0992648514232104</v>
      </c>
      <c r="DI116" s="208">
        <f>DH116*($FI116/$FO116)</f>
        <v>0.0027220958870602567</v>
      </c>
      <c r="DX116" s="108">
        <v>33</v>
      </c>
      <c r="DY116" s="108">
        <v>31.225</v>
      </c>
      <c r="DZ116" s="258">
        <f>AVERAGE(DX116:DY116)</f>
        <v>32.1125</v>
      </c>
      <c r="EA116" s="258">
        <f>0.338*4</f>
        <v>1.352</v>
      </c>
      <c r="EB116" s="256">
        <v>0.035</v>
      </c>
      <c r="EC116" s="261">
        <f t="shared" si="111"/>
        <v>0.08163695754907274</v>
      </c>
      <c r="ED116" s="208">
        <f t="shared" si="101"/>
        <v>0.003440163931554741</v>
      </c>
      <c r="EE116" s="108">
        <v>43.79</v>
      </c>
      <c r="EF116" s="108">
        <v>40.6</v>
      </c>
      <c r="EG116" s="258">
        <f>AVERAGE(EE116:EF116)</f>
        <v>42.195</v>
      </c>
      <c r="EH116" s="258">
        <v>1.2</v>
      </c>
      <c r="EI116" s="50">
        <v>0.0457</v>
      </c>
      <c r="EJ116" s="261">
        <f>+((((((EH116/4)*(1+EI116)^0.25))/(EG116*0.95))+(1+EI116)^(0.25))^4)-1</f>
        <v>0.07735746362020302</v>
      </c>
      <c r="EK116" s="208">
        <f t="shared" si="171"/>
        <v>0.007306361697344167</v>
      </c>
      <c r="EL116" s="108">
        <v>86.32</v>
      </c>
      <c r="EM116" s="108">
        <v>79.33</v>
      </c>
      <c r="EN116" s="258">
        <f>AVERAGE(EL116:EM116)</f>
        <v>82.82499999999999</v>
      </c>
      <c r="EO116" s="258">
        <v>0.94</v>
      </c>
      <c r="EP116" s="261">
        <v>0.1182</v>
      </c>
      <c r="EQ116" s="261">
        <v>0.1182</v>
      </c>
      <c r="ER116" s="208">
        <f t="shared" si="129"/>
        <v>0.02306730790431044</v>
      </c>
      <c r="ET116" s="262">
        <v>3.157</v>
      </c>
      <c r="EU116" s="262">
        <v>2.559</v>
      </c>
      <c r="EW116" s="262">
        <v>3.4</v>
      </c>
      <c r="EX116" s="262">
        <v>5.112</v>
      </c>
      <c r="FA116" s="262">
        <v>1.36</v>
      </c>
      <c r="FC116" s="262">
        <v>1.184</v>
      </c>
      <c r="FE116" s="258">
        <v>4.6</v>
      </c>
      <c r="FG116" s="258">
        <v>1.88</v>
      </c>
      <c r="FI116" s="258">
        <v>0.995</v>
      </c>
      <c r="FL116" s="258">
        <v>1.529</v>
      </c>
      <c r="FM116" s="258">
        <v>3.427</v>
      </c>
      <c r="FN116" s="258">
        <v>7.081</v>
      </c>
      <c r="FO116" s="258">
        <f>SUM(ET116:FN116)</f>
        <v>36.284</v>
      </c>
      <c r="FP116" s="261">
        <f>SUM(H116,O116,V116,AC116,AJ116,AQ116,AX116,BE116,BL116,BS116,BZ116,CG116,CN116,CU116,DB116,DI116,DP116,DW116,ED116,EK116,ER116)</f>
        <v>0.09911648933257716</v>
      </c>
    </row>
    <row r="117" spans="2:148" ht="13.5">
      <c r="B117" s="108"/>
      <c r="C117" s="108"/>
      <c r="F117" s="77"/>
      <c r="G117" s="261"/>
      <c r="H117" s="277"/>
      <c r="I117" s="108"/>
      <c r="J117" s="108"/>
      <c r="N117" s="261"/>
      <c r="O117" s="208"/>
      <c r="W117" s="108"/>
      <c r="X117" s="108"/>
      <c r="AB117" s="261"/>
      <c r="AC117" s="208"/>
      <c r="AD117" s="108"/>
      <c r="AE117" s="108"/>
      <c r="AF117" s="258"/>
      <c r="AI117" s="261"/>
      <c r="AJ117" s="208"/>
      <c r="AY117" s="108"/>
      <c r="AZ117" s="108"/>
      <c r="BD117" s="261"/>
      <c r="BE117" s="208"/>
      <c r="BF117" s="108"/>
      <c r="BG117" s="108"/>
      <c r="BK117" s="261"/>
      <c r="BL117" s="208"/>
      <c r="BM117" s="108"/>
      <c r="BN117" s="108"/>
      <c r="BO117" s="255"/>
      <c r="BR117" s="261"/>
      <c r="BS117" s="208"/>
      <c r="BT117" s="255"/>
      <c r="BU117" s="255"/>
      <c r="BV117" s="258"/>
      <c r="BW117" s="258"/>
      <c r="CA117" s="108"/>
      <c r="CB117" s="108"/>
      <c r="CF117" s="261"/>
      <c r="CG117" s="208"/>
      <c r="CO117" s="108"/>
      <c r="CP117" s="108"/>
      <c r="CT117" s="261"/>
      <c r="CU117" s="208"/>
      <c r="DC117" s="108"/>
      <c r="DD117" s="108"/>
      <c r="DE117" s="258"/>
      <c r="DF117" s="258"/>
      <c r="DH117" s="261"/>
      <c r="DI117" s="208"/>
      <c r="DX117" s="108"/>
      <c r="DY117" s="108"/>
      <c r="EC117" s="261"/>
      <c r="ED117" s="208"/>
      <c r="EE117" s="108"/>
      <c r="EF117" s="108"/>
      <c r="EG117" s="258"/>
      <c r="EI117" s="50"/>
      <c r="EJ117" s="261"/>
      <c r="EK117" s="208"/>
      <c r="EL117" s="108"/>
      <c r="EM117" s="108"/>
      <c r="EN117" s="258"/>
      <c r="EP117" s="261"/>
      <c r="EQ117" s="261"/>
      <c r="ER117" s="208"/>
    </row>
    <row r="118" spans="2:173" ht="13.5">
      <c r="B118" s="108"/>
      <c r="C118" s="108"/>
      <c r="F118" s="77"/>
      <c r="G118" s="261">
        <f>MIN(G12:G116)</f>
        <v>0.08007325696949263</v>
      </c>
      <c r="H118" s="277"/>
      <c r="I118" s="108"/>
      <c r="J118" s="108"/>
      <c r="N118" s="261">
        <f>MIN(N12:N116)</f>
        <v>0.09235636256053747</v>
      </c>
      <c r="O118" s="208"/>
      <c r="W118" s="108"/>
      <c r="X118" s="108"/>
      <c r="AB118" s="261">
        <f>MIN(AB12:AB116)</f>
        <v>0.06073324615729714</v>
      </c>
      <c r="AC118" s="208"/>
      <c r="AD118" s="108"/>
      <c r="AE118" s="108"/>
      <c r="AF118" s="258"/>
      <c r="AI118" s="261">
        <f>MIN(AI12:AI116)</f>
        <v>0.10783176236214764</v>
      </c>
      <c r="AJ118" s="277"/>
      <c r="AK118" s="108"/>
      <c r="AL118" s="108"/>
      <c r="AN118" s="259"/>
      <c r="AP118" s="261">
        <f>MIN(AP12:AP116)</f>
        <v>0.08660147938238083</v>
      </c>
      <c r="AQ118" s="208"/>
      <c r="AW118" s="261">
        <f>MIN(AW12:AW116)</f>
        <v>0.09423885183838432</v>
      </c>
      <c r="AY118" s="108"/>
      <c r="AZ118" s="108"/>
      <c r="BB118" s="258"/>
      <c r="BD118" s="261">
        <f>MIN(BD12:BD116)</f>
        <v>0.08457729201740238</v>
      </c>
      <c r="BE118" s="208"/>
      <c r="BF118" s="108"/>
      <c r="BG118" s="108"/>
      <c r="BK118" s="261">
        <f>MIN(BK12:BK116)</f>
        <v>0.07068937995100733</v>
      </c>
      <c r="BL118" s="208"/>
      <c r="BM118" s="260"/>
      <c r="BN118" s="260"/>
      <c r="BO118" s="49"/>
      <c r="BP118" s="49"/>
      <c r="BQ118" s="261"/>
      <c r="BR118" s="261">
        <f>MIN(BR12:BR116)</f>
        <v>0.08382895226475573</v>
      </c>
      <c r="BT118" s="108"/>
      <c r="BU118" s="108"/>
      <c r="BV118" s="258"/>
      <c r="BW118" s="258"/>
      <c r="BY118" s="261">
        <f>MIN(BY12:BY116)</f>
        <v>0.113856013823316</v>
      </c>
      <c r="CA118" s="108"/>
      <c r="CB118" s="108"/>
      <c r="CF118" s="261">
        <f>MIN(CF12:CF116)</f>
        <v>0.10018752470283498</v>
      </c>
      <c r="CG118" s="208"/>
      <c r="CO118" s="108"/>
      <c r="CP118" s="108"/>
      <c r="CT118" s="261">
        <f>MIN(CT12:CT116)</f>
        <v>0.08176402161082419</v>
      </c>
      <c r="CV118" s="108"/>
      <c r="CW118" s="108"/>
      <c r="CX118" s="258"/>
      <c r="CY118" s="258"/>
      <c r="CZ118" s="256"/>
      <c r="DA118" s="261">
        <f>MIN(DA12:DA116)</f>
        <v>0.1293750596435601</v>
      </c>
      <c r="DC118" s="108"/>
      <c r="DD118" s="108"/>
      <c r="DE118" s="258"/>
      <c r="DF118" s="258"/>
      <c r="DG118" s="256"/>
      <c r="DH118" s="261">
        <f>MIN(DH12:DH116)</f>
        <v>0.09077657043643561</v>
      </c>
      <c r="DI118" s="208"/>
      <c r="DO118" s="261">
        <f>MIN(DO12:DO116)</f>
        <v>0.0735066909482085</v>
      </c>
      <c r="DQ118" s="108"/>
      <c r="DR118" s="108"/>
      <c r="DT118" s="258"/>
      <c r="DV118" s="261">
        <f>MIN(DV12:DV116)</f>
        <v>0.09922486915304751</v>
      </c>
      <c r="DX118" s="108"/>
      <c r="DY118" s="108"/>
      <c r="EC118" s="261">
        <f>MIN(EC12:EC116)</f>
        <v>0.07860707374256015</v>
      </c>
      <c r="ED118" s="208"/>
      <c r="EE118" s="108"/>
      <c r="EF118" s="108"/>
      <c r="EG118" s="258"/>
      <c r="EI118" s="50"/>
      <c r="EJ118" s="261">
        <f>MIN(EJ12:EJ116)</f>
        <v>0.07735746362020302</v>
      </c>
      <c r="EK118" s="208"/>
      <c r="EL118" s="108"/>
      <c r="EM118" s="108"/>
      <c r="EN118" s="258"/>
      <c r="EP118" s="261"/>
      <c r="EQ118" s="261">
        <f>MIN(EQ12:EQ116)</f>
        <v>0.10219205956620225</v>
      </c>
      <c r="ER118" s="208"/>
      <c r="FQ118" s="290">
        <f>AVERAGE(FP12:FP116)</f>
        <v>0.11545099039066829</v>
      </c>
    </row>
    <row r="119" spans="2:148" ht="13.5">
      <c r="B119" s="108"/>
      <c r="C119" s="108"/>
      <c r="F119" s="77"/>
      <c r="G119" s="261"/>
      <c r="H119" s="277"/>
      <c r="I119" s="108"/>
      <c r="J119" s="108"/>
      <c r="N119" s="261"/>
      <c r="O119" s="208"/>
      <c r="W119" s="292"/>
      <c r="X119" s="292"/>
      <c r="AB119" s="261"/>
      <c r="AC119" s="208"/>
      <c r="AD119" s="108"/>
      <c r="AE119" s="108"/>
      <c r="AF119" s="258"/>
      <c r="AI119" s="261"/>
      <c r="AJ119" s="208"/>
      <c r="AY119" s="108"/>
      <c r="AZ119" s="108"/>
      <c r="BD119" s="261"/>
      <c r="BE119" s="208"/>
      <c r="BF119" s="108"/>
      <c r="BG119" s="108"/>
      <c r="BK119" s="261"/>
      <c r="BL119" s="208"/>
      <c r="BM119" s="108"/>
      <c r="BN119" s="108"/>
      <c r="BO119" s="255"/>
      <c r="BR119" s="261"/>
      <c r="BS119" s="208"/>
      <c r="BT119" s="255"/>
      <c r="BU119" s="255"/>
      <c r="BV119" s="258"/>
      <c r="BW119" s="258"/>
      <c r="CA119" s="108"/>
      <c r="CB119" s="108"/>
      <c r="CD119" s="258">
        <f>CD115/4</f>
        <v>0.32</v>
      </c>
      <c r="CF119" s="261"/>
      <c r="CG119" s="208"/>
      <c r="CO119" s="108"/>
      <c r="CP119" s="108"/>
      <c r="CT119" s="261"/>
      <c r="CU119" s="208"/>
      <c r="DC119" s="108"/>
      <c r="DD119" s="108"/>
      <c r="DE119" s="258"/>
      <c r="DF119" s="258"/>
      <c r="DH119" s="261"/>
      <c r="DI119" s="208"/>
      <c r="DX119" s="108"/>
      <c r="DY119" s="108"/>
      <c r="EC119" s="261"/>
      <c r="ED119" s="208"/>
      <c r="EE119" s="108"/>
      <c r="EF119" s="108"/>
      <c r="EG119" s="258"/>
      <c r="EI119" s="50"/>
      <c r="EJ119" s="261"/>
      <c r="EK119" s="208"/>
      <c r="EL119" s="108"/>
      <c r="EM119" s="108"/>
      <c r="EN119" s="258"/>
      <c r="EP119" s="261"/>
      <c r="EQ119" s="261"/>
      <c r="ER119" s="208"/>
    </row>
    <row r="120" spans="2:148" ht="13.5">
      <c r="B120" s="108"/>
      <c r="C120" s="108"/>
      <c r="F120" s="77"/>
      <c r="G120" s="261"/>
      <c r="H120" s="277"/>
      <c r="I120" s="108"/>
      <c r="J120" s="108"/>
      <c r="N120" s="261"/>
      <c r="O120" s="208"/>
      <c r="W120" s="292"/>
      <c r="X120" s="292"/>
      <c r="AB120" s="261"/>
      <c r="AC120" s="208"/>
      <c r="AD120" s="108"/>
      <c r="AE120" s="108"/>
      <c r="AF120" s="258"/>
      <c r="AI120" s="261"/>
      <c r="AJ120" s="208"/>
      <c r="AY120" s="108"/>
      <c r="AZ120" s="108"/>
      <c r="BD120" s="261"/>
      <c r="BE120" s="208"/>
      <c r="BF120" s="108"/>
      <c r="BG120" s="108"/>
      <c r="BK120" s="261"/>
      <c r="BL120" s="208"/>
      <c r="BM120" s="108"/>
      <c r="BN120" s="108"/>
      <c r="BO120" s="255"/>
      <c r="BR120" s="261"/>
      <c r="BS120" s="208"/>
      <c r="BT120" s="255"/>
      <c r="BU120" s="255"/>
      <c r="BV120" s="258"/>
      <c r="BW120" s="258"/>
      <c r="CA120" s="108"/>
      <c r="CB120" s="108"/>
      <c r="CF120" s="261"/>
      <c r="CG120" s="208"/>
      <c r="CO120" s="108"/>
      <c r="CP120" s="108"/>
      <c r="CT120" s="261"/>
      <c r="CU120" s="208"/>
      <c r="DC120" s="108"/>
      <c r="DD120" s="108"/>
      <c r="DE120" s="258"/>
      <c r="DF120" s="258"/>
      <c r="DH120" s="261"/>
      <c r="DI120" s="208"/>
      <c r="DX120" s="108"/>
      <c r="DY120" s="108"/>
      <c r="EC120" s="261"/>
      <c r="ED120" s="208"/>
      <c r="EE120" s="108"/>
      <c r="EF120" s="108"/>
      <c r="EG120" s="258"/>
      <c r="EI120" s="50"/>
      <c r="EJ120" s="261"/>
      <c r="EK120" s="208"/>
      <c r="EL120" s="108"/>
      <c r="EM120" s="108"/>
      <c r="EN120" s="258"/>
      <c r="EP120" s="261"/>
      <c r="EQ120" s="261"/>
      <c r="ER120" s="208"/>
    </row>
    <row r="121" spans="128:133" ht="12.75">
      <c r="DX121" s="119"/>
      <c r="DY121" s="119"/>
      <c r="DZ121" s="119"/>
      <c r="EA121" s="119"/>
      <c r="EB121" s="119"/>
      <c r="EC121" s="119"/>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0:K127"/>
  <sheetViews>
    <sheetView workbookViewId="0" topLeftCell="A1">
      <selection activeCell="A1" sqref="A1"/>
    </sheetView>
  </sheetViews>
  <sheetFormatPr defaultColWidth="9.140625" defaultRowHeight="12.75"/>
  <cols>
    <col min="1" max="1" width="9.140625" style="8" customWidth="1"/>
    <col min="2" max="5" width="9.140625" style="7" customWidth="1"/>
    <col min="6" max="16384" width="9.140625" style="8" customWidth="1"/>
  </cols>
  <sheetData>
    <row r="10" spans="1:8" ht="12.75">
      <c r="A10" s="6"/>
      <c r="C10" s="7" t="s">
        <v>295</v>
      </c>
      <c r="D10" s="7" t="s">
        <v>311</v>
      </c>
      <c r="F10" s="8" t="s">
        <v>295</v>
      </c>
      <c r="G10" s="8" t="s">
        <v>295</v>
      </c>
      <c r="H10" s="8" t="s">
        <v>295</v>
      </c>
    </row>
    <row r="11" spans="1:10" s="11" customFormat="1" ht="12.75">
      <c r="A11" s="7" t="str">
        <f>'Schedule 3 Ex Ante Risk Premium'!B11</f>
        <v>DATE</v>
      </c>
      <c r="B11" s="7" t="str">
        <f>'Schedule 3 Ex Ante Risk Premium'!C11</f>
        <v>DCF</v>
      </c>
      <c r="C11" s="7" t="str">
        <f>'Schedule 3 Ex Ante Risk Premium'!D11</f>
        <v>YIELD</v>
      </c>
      <c r="D11" s="7" t="str">
        <f>'Schedule 3 Ex Ante Risk Premium'!E11</f>
        <v>RSKPREM</v>
      </c>
      <c r="E11" s="9"/>
      <c r="F11" s="10" t="s">
        <v>253</v>
      </c>
      <c r="G11" s="10" t="s">
        <v>312</v>
      </c>
      <c r="H11" s="10" t="s">
        <v>313</v>
      </c>
      <c r="I11" s="9" t="s">
        <v>287</v>
      </c>
      <c r="J11" s="9" t="s">
        <v>314</v>
      </c>
    </row>
    <row r="12" spans="1:11" ht="12.75">
      <c r="A12" s="6">
        <f>'Schedule 3 Ex Ante Risk Premium'!B12</f>
        <v>35976</v>
      </c>
      <c r="B12" s="7">
        <f>'Schedule 3 Ex Ante Risk Premium'!C12</f>
        <v>0.11526259498557849</v>
      </c>
      <c r="C12" s="7">
        <f>'Schedule 3 Ex Ante Risk Premium'!D12</f>
        <v>0.0703</v>
      </c>
      <c r="D12" s="7">
        <f>'Schedule 3 Ex Ante Risk Premium'!E12</f>
        <v>0.04496259498557849</v>
      </c>
      <c r="E12" s="9" t="s">
        <v>315</v>
      </c>
      <c r="F12" s="10" t="s">
        <v>316</v>
      </c>
      <c r="G12" s="10" t="s">
        <v>317</v>
      </c>
      <c r="H12" s="10" t="s">
        <v>318</v>
      </c>
      <c r="I12" s="9" t="s">
        <v>319</v>
      </c>
      <c r="J12" s="9" t="s">
        <v>320</v>
      </c>
      <c r="K12" s="11"/>
    </row>
    <row r="13" spans="1:10" ht="12.75">
      <c r="A13" s="6">
        <f>'Schedule 3 Ex Ante Risk Premium'!B13</f>
        <v>36007</v>
      </c>
      <c r="B13" s="7">
        <f>'Schedule 3 Ex Ante Risk Premium'!C13</f>
        <v>0.1185410125754307</v>
      </c>
      <c r="C13" s="7">
        <f>'Schedule 3 Ex Ante Risk Premium'!D13</f>
        <v>0.0703</v>
      </c>
      <c r="D13" s="7">
        <f>'Schedule 3 Ex Ante Risk Premium'!E13</f>
        <v>0.0482410125754307</v>
      </c>
      <c r="E13" s="7">
        <f>D13</f>
        <v>0.0482410125754307</v>
      </c>
      <c r="F13" s="7">
        <f>D12</f>
        <v>0.04496259498557849</v>
      </c>
      <c r="G13" s="7">
        <f>C13</f>
        <v>0.0703</v>
      </c>
      <c r="H13" s="7">
        <f>C12</f>
        <v>0.0703</v>
      </c>
      <c r="I13" s="7">
        <f>'Schedule 3 Ex Ante Risk Premium'!I13</f>
        <v>0.012443503026522564</v>
      </c>
      <c r="J13" s="7">
        <f>'Schedule 3 Ex Ante Risk Premium'!J13</f>
        <v>0.014329811399999996</v>
      </c>
    </row>
    <row r="14" spans="1:10" ht="12.75">
      <c r="A14" s="6">
        <f>'Schedule 3 Ex Ante Risk Premium'!B14</f>
        <v>36038</v>
      </c>
      <c r="B14" s="7">
        <f>'Schedule 3 Ex Ante Risk Premium'!C14</f>
        <v>0.1232784307356454</v>
      </c>
      <c r="C14" s="7">
        <f>'Schedule 3 Ex Ante Risk Premium'!D14</f>
        <v>0.07</v>
      </c>
      <c r="D14" s="7">
        <f>'Schedule 3 Ex Ante Risk Premium'!E14</f>
        <v>0.05327843073564539</v>
      </c>
      <c r="E14" s="7">
        <f aca="true" t="shared" si="0" ref="E14:E77">D14</f>
        <v>0.05327843073564539</v>
      </c>
      <c r="F14" s="7">
        <f aca="true" t="shared" si="1" ref="F14:F77">D13</f>
        <v>0.0482410125754307</v>
      </c>
      <c r="G14" s="7">
        <f aca="true" t="shared" si="2" ref="G14:G77">C14</f>
        <v>0.07</v>
      </c>
      <c r="H14" s="7">
        <f aca="true" t="shared" si="3" ref="H14:H77">C13</f>
        <v>0.0703</v>
      </c>
      <c r="I14" s="7">
        <f>'Schedule 3 Ex Ante Risk Premium'!I14</f>
        <v>0.014870769681565331</v>
      </c>
      <c r="J14" s="7">
        <f>'Schedule 3 Ex Ante Risk Premium'!J14</f>
        <v>0.014029811400000002</v>
      </c>
    </row>
    <row r="15" spans="1:10" ht="12.75">
      <c r="A15" s="6">
        <f>'Schedule 3 Ex Ante Risk Premium'!B15</f>
        <v>36068</v>
      </c>
      <c r="B15" s="7">
        <f>'Schedule 3 Ex Ante Risk Premium'!C15</f>
        <v>0.1272665934623729</v>
      </c>
      <c r="C15" s="7">
        <f>'Schedule 3 Ex Ante Risk Premium'!D15</f>
        <v>0.0693</v>
      </c>
      <c r="D15" s="7">
        <f>'Schedule 3 Ex Ante Risk Premium'!E15</f>
        <v>0.0579665934623729</v>
      </c>
      <c r="E15" s="7">
        <f t="shared" si="0"/>
        <v>0.0579665934623729</v>
      </c>
      <c r="F15" s="7">
        <f t="shared" si="1"/>
        <v>0.05327843073564539</v>
      </c>
      <c r="G15" s="7">
        <f t="shared" si="2"/>
        <v>0.0693</v>
      </c>
      <c r="H15" s="7">
        <f t="shared" si="3"/>
        <v>0.07</v>
      </c>
      <c r="I15" s="7">
        <f>'Schedule 3 Ex Ante Risk Premium'!I15</f>
        <v>0.015548331491019994</v>
      </c>
      <c r="J15" s="7">
        <f>'Schedule 3 Ex Ante Risk Premium'!J15</f>
        <v>0.01356865999999999</v>
      </c>
    </row>
    <row r="16" spans="1:10" ht="12.75">
      <c r="A16" s="6">
        <f>'Schedule 3 Ex Ante Risk Premium'!B16</f>
        <v>36098</v>
      </c>
      <c r="B16" s="7">
        <f>'Schedule 3 Ex Ante Risk Premium'!C16</f>
        <v>0.12589820648611363</v>
      </c>
      <c r="C16" s="7">
        <f>'Schedule 3 Ex Ante Risk Premium'!D16</f>
        <v>0.0696</v>
      </c>
      <c r="D16" s="7">
        <f>'Schedule 3 Ex Ante Risk Premium'!E16</f>
        <v>0.05629820648611364</v>
      </c>
      <c r="E16" s="7">
        <f t="shared" si="0"/>
        <v>0.05629820648611364</v>
      </c>
      <c r="F16" s="7">
        <f t="shared" si="1"/>
        <v>0.0579665934623729</v>
      </c>
      <c r="G16" s="7">
        <f t="shared" si="2"/>
        <v>0.0696</v>
      </c>
      <c r="H16" s="7">
        <f t="shared" si="3"/>
        <v>0.0693</v>
      </c>
      <c r="I16" s="7">
        <f>'Schedule 3 Ex Ante Risk Premium'!I16</f>
        <v>0.010147407501923902</v>
      </c>
      <c r="J16" s="7">
        <f>'Schedule 3 Ex Ante Risk Premium'!J16</f>
        <v>0.014425973399999993</v>
      </c>
    </row>
    <row r="17" spans="1:10" ht="12.75">
      <c r="A17" s="6">
        <f>'Schedule 3 Ex Ante Risk Premium'!B17</f>
        <v>36129</v>
      </c>
      <c r="B17" s="7">
        <f>'Schedule 3 Ex Ante Risk Premium'!C17</f>
        <v>0.12104978495068178</v>
      </c>
      <c r="C17" s="7">
        <f>'Schedule 3 Ex Ante Risk Premium'!D17</f>
        <v>0.0703</v>
      </c>
      <c r="D17" s="7">
        <f>'Schedule 3 Ex Ante Risk Premium'!E17</f>
        <v>0.050749784950681776</v>
      </c>
      <c r="E17" s="7">
        <f t="shared" si="0"/>
        <v>0.050749784950681776</v>
      </c>
      <c r="F17" s="7">
        <f t="shared" si="1"/>
        <v>0.05629820648611364</v>
      </c>
      <c r="G17" s="7">
        <f t="shared" si="2"/>
        <v>0.0703</v>
      </c>
      <c r="H17" s="7">
        <f t="shared" si="3"/>
        <v>0.0696</v>
      </c>
      <c r="I17" s="7">
        <f>'Schedule 3 Ex Ante Risk Premium'!I17</f>
        <v>0.00592729227828457</v>
      </c>
      <c r="J17" s="7">
        <f>'Schedule 3 Ex Ante Risk Premium'!J17</f>
        <v>0.014887124800000005</v>
      </c>
    </row>
    <row r="18" spans="1:10" ht="12.75">
      <c r="A18" s="6">
        <f>'Schedule 3 Ex Ante Risk Premium'!B18</f>
        <v>36160</v>
      </c>
      <c r="B18" s="7">
        <f>'Schedule 3 Ex Ante Risk Premium'!C18</f>
        <v>0.11839853356591429</v>
      </c>
      <c r="C18" s="7">
        <f>'Schedule 3 Ex Ante Risk Premium'!D18</f>
        <v>0.0691</v>
      </c>
      <c r="D18" s="7">
        <f>'Schedule 3 Ex Ante Risk Premium'!E18</f>
        <v>0.04929853356591429</v>
      </c>
      <c r="E18" s="7">
        <f t="shared" si="0"/>
        <v>0.04929853356591429</v>
      </c>
      <c r="F18" s="7">
        <f t="shared" si="1"/>
        <v>0.050749784950681776</v>
      </c>
      <c r="G18" s="7">
        <f t="shared" si="2"/>
        <v>0.0691</v>
      </c>
      <c r="H18" s="7">
        <f t="shared" si="3"/>
        <v>0.0703</v>
      </c>
      <c r="I18" s="7">
        <f>'Schedule 3 Ex Ante Risk Premium'!I18</f>
        <v>0.008893483280009586</v>
      </c>
      <c r="J18" s="7">
        <f>'Schedule 3 Ex Ante Risk Premium'!J18</f>
        <v>0.01312981139999999</v>
      </c>
    </row>
    <row r="19" spans="1:10" ht="12.75">
      <c r="A19" s="6">
        <f>'Schedule 3 Ex Ante Risk Premium'!B19</f>
        <v>36189</v>
      </c>
      <c r="B19" s="7">
        <f>'Schedule 3 Ex Ante Risk Premium'!C19</f>
        <v>0.11946391903300778</v>
      </c>
      <c r="C19" s="7">
        <f>'Schedule 3 Ex Ante Risk Premium'!D19</f>
        <v>0.0697</v>
      </c>
      <c r="D19" s="7">
        <f>'Schedule 3 Ex Ante Risk Premium'!E19</f>
        <v>0.04976391903300778</v>
      </c>
      <c r="E19" s="7">
        <f t="shared" si="0"/>
        <v>0.04976391903300778</v>
      </c>
      <c r="F19" s="7">
        <f t="shared" si="1"/>
        <v>0.04929853356591429</v>
      </c>
      <c r="G19" s="7">
        <f t="shared" si="2"/>
        <v>0.0697</v>
      </c>
      <c r="H19" s="7">
        <f t="shared" si="3"/>
        <v>0.0691</v>
      </c>
      <c r="I19" s="7">
        <f>'Schedule 3 Ex Ante Risk Premium'!I19</f>
        <v>0.010514299952102325</v>
      </c>
      <c r="J19" s="7">
        <f>'Schedule 3 Ex Ante Risk Premium'!J19</f>
        <v>0.014685205799999997</v>
      </c>
    </row>
    <row r="20" spans="1:10" ht="12.75">
      <c r="A20" s="6">
        <f>'Schedule 3 Ex Ante Risk Premium'!B20</f>
        <v>36217</v>
      </c>
      <c r="B20" s="7">
        <f>'Schedule 3 Ex Ante Risk Premium'!C20</f>
        <v>0.124239443572371</v>
      </c>
      <c r="C20" s="7">
        <f>'Schedule 3 Ex Ante Risk Premium'!D20</f>
        <v>0.0709</v>
      </c>
      <c r="D20" s="7">
        <f>'Schedule 3 Ex Ante Risk Premium'!E20</f>
        <v>0.053339443572371</v>
      </c>
      <c r="E20" s="7">
        <f t="shared" si="0"/>
        <v>0.053339443572371</v>
      </c>
      <c r="F20" s="7">
        <f t="shared" si="1"/>
        <v>0.04976391903300778</v>
      </c>
      <c r="G20" s="7">
        <f t="shared" si="2"/>
        <v>0.0709</v>
      </c>
      <c r="H20" s="7">
        <f t="shared" si="3"/>
        <v>0.0697</v>
      </c>
      <c r="I20" s="7">
        <f>'Schedule 3 Ex Ante Risk Premium'!I20</f>
        <v>0.013719302267213455</v>
      </c>
      <c r="J20" s="7">
        <f>'Schedule 3 Ex Ante Risk Premium'!J20</f>
        <v>0.015407508600000001</v>
      </c>
    </row>
    <row r="21" spans="1:10" ht="12.75">
      <c r="A21" s="6">
        <f>'Schedule 3 Ex Ante Risk Premium'!B21</f>
        <v>36250</v>
      </c>
      <c r="B21" s="7">
        <f>'Schedule 3 Ex Ante Risk Premium'!C21</f>
        <v>0.12560663671222952</v>
      </c>
      <c r="C21" s="7">
        <f>'Schedule 3 Ex Ante Risk Premium'!D21</f>
        <v>0.0726</v>
      </c>
      <c r="D21" s="7">
        <f>'Schedule 3 Ex Ante Risk Premium'!E21</f>
        <v>0.05300663671222952</v>
      </c>
      <c r="E21" s="7">
        <f t="shared" si="0"/>
        <v>0.05300663671222952</v>
      </c>
      <c r="F21" s="7">
        <f t="shared" si="1"/>
        <v>0.053339443572371</v>
      </c>
      <c r="G21" s="7">
        <f t="shared" si="2"/>
        <v>0.0726</v>
      </c>
      <c r="H21" s="7">
        <f t="shared" si="3"/>
        <v>0.0709</v>
      </c>
      <c r="I21" s="7">
        <f>'Schedule 3 Ex Ante Risk Premium'!I21</f>
        <v>0.010539798638763483</v>
      </c>
      <c r="J21" s="7">
        <f>'Schedule 3 Ex Ante Risk Premium'!J21</f>
        <v>0.01615211419999999</v>
      </c>
    </row>
    <row r="22" spans="1:10" ht="12.75">
      <c r="A22" s="6">
        <f>'Schedule 3 Ex Ante Risk Premium'!B22</f>
        <v>36280</v>
      </c>
      <c r="B22" s="7">
        <f>'Schedule 3 Ex Ante Risk Premium'!C22</f>
        <v>0.12592929461290636</v>
      </c>
      <c r="C22" s="7">
        <f>'Schedule 3 Ex Ante Risk Premium'!D22</f>
        <v>0.0722</v>
      </c>
      <c r="D22" s="7">
        <f>'Schedule 3 Ex Ante Risk Premium'!E22</f>
        <v>0.05372929461290636</v>
      </c>
      <c r="E22" s="7">
        <f t="shared" si="0"/>
        <v>0.05372929461290636</v>
      </c>
      <c r="F22" s="7">
        <f t="shared" si="1"/>
        <v>0.05300663671222952</v>
      </c>
      <c r="G22" s="7">
        <f t="shared" si="2"/>
        <v>0.0722</v>
      </c>
      <c r="H22" s="7">
        <f t="shared" si="3"/>
        <v>0.0726</v>
      </c>
      <c r="I22" s="7">
        <f>'Schedule 3 Ex Ante Risk Premium'!I22</f>
        <v>0.011527424714824278</v>
      </c>
      <c r="J22" s="7">
        <f>'Schedule 3 Ex Ante Risk Premium'!J22</f>
        <v>0.014398638800000002</v>
      </c>
    </row>
    <row r="23" spans="1:10" ht="12.75">
      <c r="A23" s="6">
        <f>'Schedule 3 Ex Ante Risk Premium'!B23</f>
        <v>36311</v>
      </c>
      <c r="B23" s="7">
        <f>'Schedule 3 Ex Ante Risk Premium'!C23</f>
        <v>0.12201644486378685</v>
      </c>
      <c r="C23" s="7">
        <f>'Schedule 3 Ex Ante Risk Premium'!D23</f>
        <v>0.0747</v>
      </c>
      <c r="D23" s="7">
        <f>'Schedule 3 Ex Ante Risk Premium'!E23</f>
        <v>0.04731644486378685</v>
      </c>
      <c r="E23" s="7">
        <f t="shared" si="0"/>
        <v>0.04731644486378685</v>
      </c>
      <c r="F23" s="7">
        <f t="shared" si="1"/>
        <v>0.05372929461290636</v>
      </c>
      <c r="G23" s="7">
        <f t="shared" si="2"/>
        <v>0.0747</v>
      </c>
      <c r="H23" s="7">
        <f t="shared" si="3"/>
        <v>0.0722</v>
      </c>
      <c r="I23" s="7">
        <f>'Schedule 3 Ex Ante Risk Premium'!I23</f>
        <v>0.0045392222061860915</v>
      </c>
      <c r="J23" s="7">
        <f>'Schedule 3 Ex Ante Risk Premium'!J23</f>
        <v>0.0172171036</v>
      </c>
    </row>
    <row r="24" spans="1:10" ht="12.75">
      <c r="A24" s="6">
        <f>'Schedule 3 Ex Ante Risk Premium'!B24</f>
        <v>36341</v>
      </c>
      <c r="B24" s="7">
        <f>'Schedule 3 Ex Ante Risk Premium'!C24</f>
        <v>0.12066292034888176</v>
      </c>
      <c r="C24" s="7">
        <f>'Schedule 3 Ex Ante Risk Premium'!D24</f>
        <v>0.0774</v>
      </c>
      <c r="D24" s="7">
        <f>'Schedule 3 Ex Ante Risk Premium'!E24</f>
        <v>0.04326292034888177</v>
      </c>
      <c r="E24" s="7">
        <f t="shared" si="0"/>
        <v>0.04326292034888177</v>
      </c>
      <c r="F24" s="7">
        <f t="shared" si="1"/>
        <v>0.04731644486378685</v>
      </c>
      <c r="G24" s="7">
        <f t="shared" si="2"/>
        <v>0.0774</v>
      </c>
      <c r="H24" s="7">
        <f t="shared" si="3"/>
        <v>0.0747</v>
      </c>
      <c r="I24" s="7">
        <f>'Schedule 3 Ex Ante Risk Premium'!I24</f>
        <v>0.005591364973239504</v>
      </c>
      <c r="J24" s="7">
        <f>'Schedule 3 Ex Ante Risk Premium'!J24</f>
        <v>0.017926698599999992</v>
      </c>
    </row>
    <row r="25" spans="1:10" ht="12.75">
      <c r="A25" s="6">
        <f>'Schedule 3 Ex Ante Risk Premium'!B25</f>
        <v>36371</v>
      </c>
      <c r="B25" s="7">
        <f>'Schedule 3 Ex Ante Risk Premium'!C25</f>
        <v>0.12212225267269107</v>
      </c>
      <c r="C25" s="7">
        <f>'Schedule 3 Ex Ante Risk Premium'!D25</f>
        <v>0.0771</v>
      </c>
      <c r="D25" s="7">
        <f>'Schedule 3 Ex Ante Risk Premium'!E25</f>
        <v>0.04502225267269107</v>
      </c>
      <c r="E25" s="7">
        <f t="shared" si="0"/>
        <v>0.04502225267269107</v>
      </c>
      <c r="F25" s="7">
        <f t="shared" si="1"/>
        <v>0.04326292034888177</v>
      </c>
      <c r="G25" s="7">
        <f t="shared" si="2"/>
        <v>0.0771</v>
      </c>
      <c r="H25" s="7">
        <f t="shared" si="3"/>
        <v>0.0774</v>
      </c>
      <c r="I25" s="7">
        <f>'Schedule 3 Ex Ante Risk Premium'!I25</f>
        <v>0.010577959481884662</v>
      </c>
      <c r="J25" s="7">
        <f>'Schedule 3 Ex Ante Risk Premium'!J25</f>
        <v>0.015477061200000003</v>
      </c>
    </row>
    <row r="26" spans="1:10" ht="12.75">
      <c r="A26" s="6">
        <f>'Schedule 3 Ex Ante Risk Premium'!B26</f>
        <v>36403</v>
      </c>
      <c r="B26" s="7">
        <f>'Schedule 3 Ex Ante Risk Premium'!C26</f>
        <v>0.12193531045788884</v>
      </c>
      <c r="C26" s="7">
        <f>'Schedule 3 Ex Ante Risk Premium'!D26</f>
        <v>0.0791</v>
      </c>
      <c r="D26" s="7">
        <f>'Schedule 3 Ex Ante Risk Premium'!E26</f>
        <v>0.04283531045788884</v>
      </c>
      <c r="E26" s="7">
        <f t="shared" si="0"/>
        <v>0.04283531045788884</v>
      </c>
      <c r="F26" s="7">
        <f t="shared" si="1"/>
        <v>0.04502225267269107</v>
      </c>
      <c r="G26" s="7">
        <f t="shared" si="2"/>
        <v>0.0791</v>
      </c>
      <c r="H26" s="7">
        <f t="shared" si="3"/>
        <v>0.0771</v>
      </c>
      <c r="I26" s="7">
        <f>'Schedule 3 Ex Ante Risk Premium'!I26</f>
        <v>0.0069903037254937725</v>
      </c>
      <c r="J26" s="7">
        <f>'Schedule 3 Ex Ante Risk Premium'!J26</f>
        <v>0.0177159098</v>
      </c>
    </row>
    <row r="27" spans="1:10" ht="12.75">
      <c r="A27" s="6">
        <f>'Schedule 3 Ex Ante Risk Premium'!B27</f>
        <v>36433</v>
      </c>
      <c r="B27" s="7">
        <f>'Schedule 3 Ex Ante Risk Premium'!C27</f>
        <v>0.12248626416798246</v>
      </c>
      <c r="C27" s="7">
        <f>'Schedule 3 Ex Ante Risk Premium'!D27</f>
        <v>0.0793</v>
      </c>
      <c r="D27" s="7">
        <f>'Schedule 3 Ex Ante Risk Premium'!E27</f>
        <v>0.04318626416798246</v>
      </c>
      <c r="E27" s="7">
        <f t="shared" si="0"/>
        <v>0.04318626416798246</v>
      </c>
      <c r="F27" s="7">
        <f t="shared" si="1"/>
        <v>0.04283531045788884</v>
      </c>
      <c r="G27" s="7">
        <f t="shared" si="2"/>
        <v>0.0793</v>
      </c>
      <c r="H27" s="7">
        <f t="shared" si="3"/>
        <v>0.0791</v>
      </c>
      <c r="I27" s="7">
        <f>'Schedule 3 Ex Ante Risk Premium'!I27</f>
        <v>0.009082417723208766</v>
      </c>
      <c r="J27" s="7">
        <f>'Schedule 3 Ex Ante Risk Premium'!J27</f>
        <v>0.016323585799999984</v>
      </c>
    </row>
    <row r="28" spans="1:10" ht="12.75">
      <c r="A28" s="6">
        <f>'Schedule 3 Ex Ante Risk Premium'!B28</f>
        <v>36462</v>
      </c>
      <c r="B28" s="7">
        <f>'Schedule 3 Ex Ante Risk Premium'!C28</f>
        <v>0.12323121466099496</v>
      </c>
      <c r="C28" s="7">
        <f>'Schedule 3 Ex Ante Risk Premium'!D28</f>
        <v>0.0806</v>
      </c>
      <c r="D28" s="7">
        <f>'Schedule 3 Ex Ante Risk Premium'!E28</f>
        <v>0.042631214660994954</v>
      </c>
      <c r="E28" s="7">
        <f t="shared" si="0"/>
        <v>0.042631214660994954</v>
      </c>
      <c r="F28" s="7">
        <f t="shared" si="1"/>
        <v>0.04318626416798246</v>
      </c>
      <c r="G28" s="7">
        <f t="shared" si="2"/>
        <v>0.0806</v>
      </c>
      <c r="H28" s="7">
        <f t="shared" si="3"/>
        <v>0.0793</v>
      </c>
      <c r="I28" s="7">
        <f>'Schedule 3 Ex Ante Risk Premium'!I28</f>
        <v>0.008247952208485697</v>
      </c>
      <c r="J28" s="7">
        <f>'Schedule 3 Ex Ante Risk Premium'!J28</f>
        <v>0.017464353400000007</v>
      </c>
    </row>
    <row r="29" spans="1:10" ht="12.75">
      <c r="A29" s="6">
        <f>'Schedule 3 Ex Ante Risk Premium'!B29</f>
        <v>36494</v>
      </c>
      <c r="B29" s="7">
        <f>'Schedule 3 Ex Ante Risk Premium'!C29</f>
        <v>0.12394533442996662</v>
      </c>
      <c r="C29" s="7">
        <f>'Schedule 3 Ex Ante Risk Premium'!D29</f>
        <v>0.0794</v>
      </c>
      <c r="D29" s="7">
        <f>'Schedule 3 Ex Ante Risk Premium'!E29</f>
        <v>0.044545334429966624</v>
      </c>
      <c r="E29" s="7">
        <f t="shared" si="0"/>
        <v>0.044545334429966624</v>
      </c>
      <c r="F29" s="7">
        <f t="shared" si="1"/>
        <v>0.042631214660994954</v>
      </c>
      <c r="G29" s="7">
        <f t="shared" si="2"/>
        <v>0.0794</v>
      </c>
      <c r="H29" s="7">
        <f t="shared" si="3"/>
        <v>0.0806</v>
      </c>
      <c r="I29" s="7">
        <f>'Schedule 3 Ex Ante Risk Premium'!I29</f>
        <v>0.010603981303039557</v>
      </c>
      <c r="J29" s="7">
        <f>'Schedule 3 Ex Ante Risk Premium'!J29</f>
        <v>0.01522934279999999</v>
      </c>
    </row>
    <row r="30" spans="1:10" ht="12.75">
      <c r="A30" s="6">
        <f>'Schedule 3 Ex Ante Risk Premium'!B30</f>
        <v>36525</v>
      </c>
      <c r="B30" s="7">
        <f>'Schedule 3 Ex Ante Risk Premium'!C30</f>
        <v>0.12791294982794965</v>
      </c>
      <c r="C30" s="7">
        <f>'Schedule 3 Ex Ante Risk Premium'!D30</f>
        <v>0.0814</v>
      </c>
      <c r="D30" s="7">
        <f>'Schedule 3 Ex Ante Risk Premium'!E30</f>
        <v>0.04651294982794965</v>
      </c>
      <c r="E30" s="7">
        <f t="shared" si="0"/>
        <v>0.04651294982794965</v>
      </c>
      <c r="F30" s="7">
        <f t="shared" si="1"/>
        <v>0.044545334429966624</v>
      </c>
      <c r="G30" s="7">
        <f t="shared" si="2"/>
        <v>0.0814</v>
      </c>
      <c r="H30" s="7">
        <f t="shared" si="3"/>
        <v>0.0794</v>
      </c>
      <c r="I30" s="7">
        <f>'Schedule 3 Ex Ante Risk Premium'!I30</f>
        <v>0.011047647277518564</v>
      </c>
      <c r="J30" s="7">
        <f>'Schedule 3 Ex Ante Risk Premium'!J30</f>
        <v>0.018184737199999995</v>
      </c>
    </row>
    <row r="31" spans="1:10" ht="12.75">
      <c r="A31" s="6">
        <f>'Schedule 3 Ex Ante Risk Premium'!B31</f>
        <v>36556</v>
      </c>
      <c r="B31" s="7">
        <f>'Schedule 3 Ex Ante Risk Premium'!C31</f>
        <v>0.12993622843838062</v>
      </c>
      <c r="C31" s="7">
        <f>'Schedule 3 Ex Ante Risk Premium'!D31</f>
        <v>0.0835</v>
      </c>
      <c r="D31" s="7">
        <f>'Schedule 3 Ex Ante Risk Premium'!E31</f>
        <v>0.04643622843838062</v>
      </c>
      <c r="E31" s="7">
        <f t="shared" si="0"/>
        <v>0.04643622843838062</v>
      </c>
      <c r="F31" s="7">
        <f t="shared" si="1"/>
        <v>0.04651294982794965</v>
      </c>
      <c r="G31" s="7">
        <f t="shared" si="2"/>
        <v>0.0835</v>
      </c>
      <c r="H31" s="7">
        <f t="shared" si="3"/>
        <v>0.0814</v>
      </c>
      <c r="I31" s="7">
        <f>'Schedule 3 Ex Ante Risk Premium'!I31</f>
        <v>0.00940438527746057</v>
      </c>
      <c r="J31" s="7">
        <f>'Schedule 3 Ex Ante Risk Premium'!J31</f>
        <v>0.018692413200000008</v>
      </c>
    </row>
    <row r="32" spans="1:10" ht="12.75">
      <c r="A32" s="6">
        <f>'Schedule 3 Ex Ante Risk Premium'!B32</f>
        <v>36585</v>
      </c>
      <c r="B32" s="7">
        <f>'Schedule 3 Ex Ante Risk Premium'!C32</f>
        <v>0.13424883665411452</v>
      </c>
      <c r="C32" s="7">
        <f>'Schedule 3 Ex Ante Risk Premium'!D32</f>
        <v>0.0825</v>
      </c>
      <c r="D32" s="7">
        <f>'Schedule 3 Ex Ante Risk Premium'!E32</f>
        <v>0.05174883665411452</v>
      </c>
      <c r="E32" s="7">
        <f t="shared" si="0"/>
        <v>0.05174883665411452</v>
      </c>
      <c r="F32" s="7">
        <f t="shared" si="1"/>
        <v>0.04643622843838062</v>
      </c>
      <c r="G32" s="7">
        <f t="shared" si="2"/>
        <v>0.0825</v>
      </c>
      <c r="H32" s="7">
        <f t="shared" si="3"/>
        <v>0.0835</v>
      </c>
      <c r="I32" s="7">
        <f>'Schedule 3 Ex Ante Risk Premium'!I32</f>
        <v>0.01477807614815653</v>
      </c>
      <c r="J32" s="7">
        <f>'Schedule 3 Ex Ante Risk Premium'!J32</f>
        <v>0.016020472999999993</v>
      </c>
    </row>
    <row r="33" spans="1:10" ht="12.75">
      <c r="A33" s="6">
        <f>'Schedule 3 Ex Ante Risk Premium'!B33</f>
        <v>36616</v>
      </c>
      <c r="B33" s="7">
        <f>'Schedule 3 Ex Ante Risk Premium'!C33</f>
        <v>0.13432279077045403</v>
      </c>
      <c r="C33" s="7">
        <f>'Schedule 3 Ex Ante Risk Premium'!D33</f>
        <v>0.0828</v>
      </c>
      <c r="D33" s="7">
        <f>'Schedule 3 Ex Ante Risk Premium'!E33</f>
        <v>0.05152279077045403</v>
      </c>
      <c r="E33" s="7">
        <f t="shared" si="0"/>
        <v>0.05152279077045403</v>
      </c>
      <c r="F33" s="7">
        <f t="shared" si="1"/>
        <v>0.05174883665411452</v>
      </c>
      <c r="G33" s="7">
        <f t="shared" si="2"/>
        <v>0.0828</v>
      </c>
      <c r="H33" s="7">
        <f t="shared" si="3"/>
        <v>0.0825</v>
      </c>
      <c r="I33" s="7">
        <f>'Schedule 3 Ex Ante Risk Premium'!I33</f>
        <v>0.01032233348224091</v>
      </c>
      <c r="J33" s="7">
        <f>'Schedule 3 Ex Ante Risk Premium'!J33</f>
        <v>0.01711663499999999</v>
      </c>
    </row>
    <row r="34" spans="1:10" ht="12.75">
      <c r="A34" s="6">
        <f>'Schedule 3 Ex Ante Risk Premium'!B34</f>
        <v>36644</v>
      </c>
      <c r="B34" s="7">
        <f>'Schedule 3 Ex Ante Risk Premium'!C34</f>
        <v>0.13152430377294985</v>
      </c>
      <c r="C34" s="7">
        <f>'Schedule 3 Ex Ante Risk Premium'!D34</f>
        <v>0.0829</v>
      </c>
      <c r="D34" s="7">
        <f>'Schedule 3 Ex Ante Risk Premium'!E34</f>
        <v>0.04862430377294985</v>
      </c>
      <c r="E34" s="7">
        <f t="shared" si="0"/>
        <v>0.04862430377294985</v>
      </c>
      <c r="F34" s="7">
        <f t="shared" si="1"/>
        <v>0.05152279077045403</v>
      </c>
      <c r="G34" s="7">
        <f t="shared" si="2"/>
        <v>0.0829</v>
      </c>
      <c r="H34" s="7">
        <f t="shared" si="3"/>
        <v>0.0828</v>
      </c>
      <c r="I34" s="7">
        <f>'Schedule 3 Ex Ante Risk Premium'!I34</f>
        <v>0.007603815627563626</v>
      </c>
      <c r="J34" s="7">
        <f>'Schedule 3 Ex Ante Risk Premium'!J34</f>
        <v>0.0169777864</v>
      </c>
    </row>
    <row r="35" spans="1:10" ht="12.75">
      <c r="A35" s="6">
        <f>'Schedule 3 Ex Ante Risk Premium'!B35</f>
        <v>36677</v>
      </c>
      <c r="B35" s="7">
        <f>'Schedule 3 Ex Ante Risk Premium'!C35</f>
        <v>0.12906841835292088</v>
      </c>
      <c r="C35" s="7">
        <f>'Schedule 3 Ex Ante Risk Premium'!D35</f>
        <v>0.087</v>
      </c>
      <c r="D35" s="7">
        <f>'Schedule 3 Ex Ante Risk Premium'!E35</f>
        <v>0.04206841835292088</v>
      </c>
      <c r="E35" s="7">
        <f t="shared" si="0"/>
        <v>0.04206841835292088</v>
      </c>
      <c r="F35" s="7">
        <f t="shared" si="1"/>
        <v>0.04862430377294985</v>
      </c>
      <c r="G35" s="7">
        <f t="shared" si="2"/>
        <v>0.087</v>
      </c>
      <c r="H35" s="7">
        <f t="shared" si="3"/>
        <v>0.0829</v>
      </c>
      <c r="I35" s="7">
        <f>'Schedule 3 Ex Ante Risk Premium'!I35</f>
        <v>0.0033555954124415838</v>
      </c>
      <c r="J35" s="7">
        <f>'Schedule 3 Ex Ante Risk Premium'!J35</f>
        <v>0.020998170199999985</v>
      </c>
    </row>
    <row r="36" spans="1:10" ht="12.75">
      <c r="A36" s="6">
        <f>'Schedule 3 Ex Ante Risk Premium'!B36</f>
        <v>36707</v>
      </c>
      <c r="B36" s="7">
        <f>'Schedule 3 Ex Ante Risk Premium'!C36</f>
        <v>0.12943243244225416</v>
      </c>
      <c r="C36" s="7">
        <f>'Schedule 3 Ex Ante Risk Premium'!D36</f>
        <v>0.0836</v>
      </c>
      <c r="D36" s="7">
        <f>'Schedule 3 Ex Ante Risk Premium'!E36</f>
        <v>0.04583243244225417</v>
      </c>
      <c r="E36" s="7">
        <f t="shared" si="0"/>
        <v>0.04583243244225417</v>
      </c>
      <c r="F36" s="7">
        <f t="shared" si="1"/>
        <v>0.04206841835292088</v>
      </c>
      <c r="G36" s="7">
        <f t="shared" si="2"/>
        <v>0.0836</v>
      </c>
      <c r="H36" s="7">
        <f t="shared" si="3"/>
        <v>0.087</v>
      </c>
      <c r="I36" s="7">
        <f>'Schedule 3 Ex Ante Risk Premium'!I36</f>
        <v>0.012339156349555971</v>
      </c>
      <c r="J36" s="7">
        <f>'Schedule 3 Ex Ante Risk Premium'!J36</f>
        <v>0.014333905999999993</v>
      </c>
    </row>
    <row r="37" spans="1:10" ht="12.75">
      <c r="A37" s="6">
        <f>'Schedule 3 Ex Ante Risk Premium'!B37</f>
        <v>36738</v>
      </c>
      <c r="B37" s="7">
        <f>'Schedule 3 Ex Ante Risk Premium'!C37</f>
        <v>0.13157566962632683</v>
      </c>
      <c r="C37" s="7">
        <f>'Schedule 3 Ex Ante Risk Premium'!D37</f>
        <v>0.0825</v>
      </c>
      <c r="D37" s="7">
        <f>'Schedule 3 Ex Ante Risk Premium'!E37</f>
        <v>0.049075669626326826</v>
      </c>
      <c r="E37" s="7">
        <f t="shared" si="0"/>
        <v>0.049075669626326826</v>
      </c>
      <c r="F37" s="7">
        <f t="shared" si="1"/>
        <v>0.04583243244225417</v>
      </c>
      <c r="G37" s="7">
        <f t="shared" si="2"/>
        <v>0.0825</v>
      </c>
      <c r="H37" s="7">
        <f t="shared" si="3"/>
        <v>0.0836</v>
      </c>
      <c r="I37" s="7">
        <f>'Schedule 3 Ex Ante Risk Premium'!I37</f>
        <v>0.01258562854823686</v>
      </c>
      <c r="J37" s="7">
        <f>'Schedule 3 Ex Ante Risk Premium'!J37</f>
        <v>0.0159408568</v>
      </c>
    </row>
    <row r="38" spans="1:10" ht="12.75">
      <c r="A38" s="6">
        <f>'Schedule 3 Ex Ante Risk Premium'!B38</f>
        <v>36769</v>
      </c>
      <c r="B38" s="7">
        <f>'Schedule 3 Ex Ante Risk Premium'!C38</f>
        <v>0.128943195632856</v>
      </c>
      <c r="C38" s="7">
        <f>'Schedule 3 Ex Ante Risk Premium'!D38</f>
        <v>0.0813</v>
      </c>
      <c r="D38" s="7">
        <f>'Schedule 3 Ex Ante Risk Premium'!E38</f>
        <v>0.047643195632856</v>
      </c>
      <c r="E38" s="7">
        <f t="shared" si="0"/>
        <v>0.047643195632856</v>
      </c>
      <c r="F38" s="7">
        <f t="shared" si="1"/>
        <v>0.049075669626326826</v>
      </c>
      <c r="G38" s="7">
        <f t="shared" si="2"/>
        <v>0.0813</v>
      </c>
      <c r="H38" s="7">
        <f t="shared" si="3"/>
        <v>0.0825</v>
      </c>
      <c r="I38" s="7">
        <f>'Schedule 3 Ex Ante Risk Premium'!I38</f>
        <v>0.008571012351820381</v>
      </c>
      <c r="J38" s="7">
        <f>'Schedule 3 Ex Ante Risk Premium'!J38</f>
        <v>0.01561663499999999</v>
      </c>
    </row>
    <row r="39" spans="1:10" ht="12.75">
      <c r="A39" s="6">
        <f>'Schedule 3 Ex Ante Risk Premium'!B39</f>
        <v>36798</v>
      </c>
      <c r="B39" s="7">
        <f>'Schedule 3 Ex Ante Risk Premium'!C39</f>
        <v>0.12563622834380556</v>
      </c>
      <c r="C39" s="7">
        <f>'Schedule 3 Ex Ante Risk Premium'!D39</f>
        <v>0.0823</v>
      </c>
      <c r="D39" s="7">
        <f>'Schedule 3 Ex Ante Risk Premium'!E39</f>
        <v>0.04333622834380556</v>
      </c>
      <c r="E39" s="7">
        <f t="shared" si="0"/>
        <v>0.04333622834380556</v>
      </c>
      <c r="F39" s="7">
        <f t="shared" si="1"/>
        <v>0.047643195632856</v>
      </c>
      <c r="G39" s="7">
        <f t="shared" si="2"/>
        <v>0.0823</v>
      </c>
      <c r="H39" s="7">
        <f t="shared" si="3"/>
        <v>0.0813</v>
      </c>
      <c r="I39" s="7">
        <f>'Schedule 3 Ex Ante Risk Premium'!I39</f>
        <v>0.005404526422359654</v>
      </c>
      <c r="J39" s="7">
        <f>'Schedule 3 Ex Ante Risk Premium'!J39</f>
        <v>0.017572029399999994</v>
      </c>
    </row>
    <row r="40" spans="1:10" ht="12.75">
      <c r="A40" s="6">
        <f>'Schedule 3 Ex Ante Risk Premium'!B40</f>
        <v>36830</v>
      </c>
      <c r="B40" s="7">
        <f>'Schedule 3 Ex Ante Risk Premium'!C40</f>
        <v>0.12585512234350152</v>
      </c>
      <c r="C40" s="7">
        <f>'Schedule 3 Ex Ante Risk Premium'!D40</f>
        <v>0.0814</v>
      </c>
      <c r="D40" s="7">
        <f>'Schedule 3 Ex Ante Risk Premium'!E40</f>
        <v>0.04445512234350152</v>
      </c>
      <c r="E40" s="7">
        <f t="shared" si="0"/>
        <v>0.04445512234350152</v>
      </c>
      <c r="F40" s="7">
        <f t="shared" si="1"/>
        <v>0.04333622834380556</v>
      </c>
      <c r="G40" s="7">
        <f t="shared" si="2"/>
        <v>0.0814</v>
      </c>
      <c r="H40" s="7">
        <f t="shared" si="3"/>
        <v>0.0823</v>
      </c>
      <c r="I40" s="7">
        <f>'Schedule 3 Ex Ante Risk Premium'!I40</f>
        <v>0.009952464112840599</v>
      </c>
      <c r="J40" s="7">
        <f>'Schedule 3 Ex Ante Risk Premium'!J40</f>
        <v>0.015875867399999993</v>
      </c>
    </row>
    <row r="41" spans="1:10" ht="12.75">
      <c r="A41" s="6">
        <f>'Schedule 3 Ex Ante Risk Premium'!B41</f>
        <v>36860</v>
      </c>
      <c r="B41" s="7">
        <f>'Schedule 3 Ex Ante Risk Premium'!C41</f>
        <v>0.1250157815605667</v>
      </c>
      <c r="C41" s="7">
        <f>'Schedule 3 Ex Ante Risk Premium'!D41</f>
        <v>0.0811</v>
      </c>
      <c r="D41" s="7">
        <f>'Schedule 3 Ex Ante Risk Premium'!E41</f>
        <v>0.04391578156056669</v>
      </c>
      <c r="E41" s="7">
        <f t="shared" si="0"/>
        <v>0.04391578156056669</v>
      </c>
      <c r="F41" s="7">
        <f t="shared" si="1"/>
        <v>0.04445512234350152</v>
      </c>
      <c r="G41" s="7">
        <f t="shared" si="2"/>
        <v>0.0811</v>
      </c>
      <c r="H41" s="7">
        <f t="shared" si="3"/>
        <v>0.0814</v>
      </c>
      <c r="I41" s="7">
        <f>'Schedule 3 Ex Ante Risk Premium'!I41</f>
        <v>0.008522302445319832</v>
      </c>
      <c r="J41" s="7">
        <f>'Schedule 3 Ex Ante Risk Premium'!J41</f>
        <v>0.016292413200000008</v>
      </c>
    </row>
    <row r="42" spans="1:10" ht="12.75">
      <c r="A42" s="6">
        <f>'Schedule 3 Ex Ante Risk Premium'!B42</f>
        <v>36889</v>
      </c>
      <c r="B42" s="7">
        <f>'Schedule 3 Ex Ante Risk Premium'!C42</f>
        <v>0.12377254527919132</v>
      </c>
      <c r="C42" s="7">
        <f>'Schedule 3 Ex Ante Risk Premium'!D42</f>
        <v>0.0784</v>
      </c>
      <c r="D42" s="7">
        <f>'Schedule 3 Ex Ante Risk Premium'!E42</f>
        <v>0.04537254527919132</v>
      </c>
      <c r="E42" s="7">
        <f t="shared" si="0"/>
        <v>0.04537254527919132</v>
      </c>
      <c r="F42" s="7">
        <f t="shared" si="1"/>
        <v>0.04391578156056669</v>
      </c>
      <c r="G42" s="7">
        <f t="shared" si="2"/>
        <v>0.0784</v>
      </c>
      <c r="H42" s="7">
        <f t="shared" si="3"/>
        <v>0.0811</v>
      </c>
      <c r="I42" s="7">
        <f>'Schedule 3 Ex Ante Risk Premium'!I42</f>
        <v>0.010408468800367422</v>
      </c>
      <c r="J42" s="7">
        <f>'Schedule 3 Ex Ante Risk Premium'!J42</f>
        <v>0.013831261799999994</v>
      </c>
    </row>
    <row r="43" spans="1:10" ht="12.75">
      <c r="A43" s="6">
        <f>'Schedule 3 Ex Ante Risk Premium'!B43</f>
        <v>36922</v>
      </c>
      <c r="B43" s="7">
        <f>'Schedule 3 Ex Ante Risk Premium'!C43</f>
        <v>0.12603224254336853</v>
      </c>
      <c r="C43" s="7">
        <f>'Schedule 3 Ex Ante Risk Premium'!D43</f>
        <v>0.078</v>
      </c>
      <c r="D43" s="7">
        <f>'Schedule 3 Ex Ante Risk Premium'!E43</f>
        <v>0.048032242543368533</v>
      </c>
      <c r="E43" s="7">
        <f t="shared" si="0"/>
        <v>0.048032242543368533</v>
      </c>
      <c r="F43" s="7">
        <f t="shared" si="1"/>
        <v>0.04537254527919132</v>
      </c>
      <c r="G43" s="7">
        <f t="shared" si="2"/>
        <v>0.078</v>
      </c>
      <c r="H43" s="7">
        <f t="shared" si="3"/>
        <v>0.0784</v>
      </c>
      <c r="I43" s="7">
        <f>'Schedule 3 Ex Ante Risk Premium'!I43</f>
        <v>0.01190834614879701</v>
      </c>
      <c r="J43" s="7">
        <f>'Schedule 3 Ex Ante Risk Premium'!J43</f>
        <v>0.015580899199999998</v>
      </c>
    </row>
    <row r="44" spans="1:10" ht="12.75">
      <c r="A44" s="6">
        <f>'Schedule 3 Ex Ante Risk Premium'!B44</f>
        <v>36950</v>
      </c>
      <c r="B44" s="7">
        <f>'Schedule 3 Ex Ante Risk Premium'!C44</f>
        <v>0.12598141577012964</v>
      </c>
      <c r="C44" s="7">
        <f>'Schedule 3 Ex Ante Risk Premium'!D44</f>
        <v>0.0774</v>
      </c>
      <c r="D44" s="7">
        <f>'Schedule 3 Ex Ante Risk Premium'!E44</f>
        <v>0.04858141577012964</v>
      </c>
      <c r="E44" s="7">
        <f t="shared" si="0"/>
        <v>0.04858141577012964</v>
      </c>
      <c r="F44" s="7">
        <f t="shared" si="1"/>
        <v>0.048032242543368533</v>
      </c>
      <c r="G44" s="7">
        <f t="shared" si="2"/>
        <v>0.0774</v>
      </c>
      <c r="H44" s="7">
        <f t="shared" si="3"/>
        <v>0.078</v>
      </c>
      <c r="I44" s="7">
        <f>'Schedule 3 Ex Ante Risk Premium'!I44</f>
        <v>0.01033996948231626</v>
      </c>
      <c r="J44" s="7">
        <f>'Schedule 3 Ex Ante Risk Premium'!J44</f>
        <v>0.015299363999999996</v>
      </c>
    </row>
    <row r="45" spans="1:10" ht="12.75">
      <c r="A45" s="6">
        <f>'Schedule 3 Ex Ante Risk Premium'!B45</f>
        <v>36980</v>
      </c>
      <c r="B45" s="7">
        <f>'Schedule 3 Ex Ante Risk Premium'!C45</f>
        <v>0.1274452382320009</v>
      </c>
      <c r="C45" s="7">
        <f>'Schedule 3 Ex Ante Risk Premium'!D45</f>
        <v>0.0768</v>
      </c>
      <c r="D45" s="7">
        <f>'Schedule 3 Ex Ante Risk Premium'!E45</f>
        <v>0.050645238232000914</v>
      </c>
      <c r="E45" s="7">
        <f t="shared" si="0"/>
        <v>0.050645238232000914</v>
      </c>
      <c r="F45" s="7">
        <f t="shared" si="1"/>
        <v>0.04858141577012964</v>
      </c>
      <c r="G45" s="7">
        <f t="shared" si="2"/>
        <v>0.0768</v>
      </c>
      <c r="H45" s="7">
        <f t="shared" si="3"/>
        <v>0.0774</v>
      </c>
      <c r="I45" s="7">
        <f>'Schedule 3 Ex Ante Risk Premium'!I45</f>
        <v>0.011966561089622955</v>
      </c>
      <c r="J45" s="7">
        <f>'Schedule 3 Ex Ante Risk Premium'!J45</f>
        <v>0.015177061199999994</v>
      </c>
    </row>
    <row r="46" spans="1:10" ht="12.75">
      <c r="A46" s="6">
        <f>'Schedule 3 Ex Ante Risk Premium'!B46</f>
        <v>37011</v>
      </c>
      <c r="B46" s="7">
        <f>'Schedule 3 Ex Ante Risk Premium'!C46</f>
        <v>0.12262641772256129</v>
      </c>
      <c r="C46" s="7">
        <f>'Schedule 3 Ex Ante Risk Premium'!D46</f>
        <v>0.0794</v>
      </c>
      <c r="D46" s="7">
        <f>'Schedule 3 Ex Ante Risk Premium'!E46</f>
        <v>0.04322641772256129</v>
      </c>
      <c r="E46" s="7">
        <f t="shared" si="0"/>
        <v>0.04322641772256129</v>
      </c>
      <c r="F46" s="7">
        <f t="shared" si="1"/>
        <v>0.050645238232000914</v>
      </c>
      <c r="G46" s="7">
        <f t="shared" si="2"/>
        <v>0.0794</v>
      </c>
      <c r="H46" s="7">
        <f t="shared" si="3"/>
        <v>0.0768</v>
      </c>
      <c r="I46" s="7">
        <f>'Schedule 3 Ex Ante Risk Premium'!I46</f>
        <v>0.0029046035612949814</v>
      </c>
      <c r="J46" s="7">
        <f>'Schedule 3 Ex Ante Risk Premium'!J46</f>
        <v>0.0182547584</v>
      </c>
    </row>
    <row r="47" spans="1:10" ht="12.75">
      <c r="A47" s="6">
        <f>'Schedule 3 Ex Ante Risk Premium'!B47</f>
        <v>37042</v>
      </c>
      <c r="B47" s="7">
        <f>'Schedule 3 Ex Ante Risk Premium'!C47</f>
        <v>0.13017213668663152</v>
      </c>
      <c r="C47" s="7">
        <f>'Schedule 3 Ex Ante Risk Premium'!D47</f>
        <v>0.0799</v>
      </c>
      <c r="D47" s="7">
        <f>'Schedule 3 Ex Ante Risk Premium'!E47</f>
        <v>0.050272136686631524</v>
      </c>
      <c r="E47" s="7">
        <f t="shared" si="0"/>
        <v>0.050272136686631524</v>
      </c>
      <c r="F47" s="7">
        <f t="shared" si="1"/>
        <v>0.04322641772256129</v>
      </c>
      <c r="G47" s="7">
        <f t="shared" si="2"/>
        <v>0.0799</v>
      </c>
      <c r="H47" s="7">
        <f t="shared" si="3"/>
        <v>0.0794</v>
      </c>
      <c r="I47" s="7">
        <f>'Schedule 3 Ex Ante Risk Premium'!I47</f>
        <v>0.015856905499801677</v>
      </c>
      <c r="J47" s="7">
        <f>'Schedule 3 Ex Ante Risk Premium'!J47</f>
        <v>0.016684737199999994</v>
      </c>
    </row>
    <row r="48" spans="1:10" ht="12.75">
      <c r="A48" s="6">
        <f>'Schedule 3 Ex Ante Risk Premium'!B48</f>
        <v>37071</v>
      </c>
      <c r="B48" s="7">
        <f>'Schedule 3 Ex Ante Risk Premium'!C48</f>
        <v>0.13035311069734867</v>
      </c>
      <c r="C48" s="7">
        <f>'Schedule 3 Ex Ante Risk Premium'!D48</f>
        <v>0.0785</v>
      </c>
      <c r="D48" s="7">
        <f>'Schedule 3 Ex Ante Risk Premium'!E48</f>
        <v>0.05185311069734867</v>
      </c>
      <c r="E48" s="7">
        <f t="shared" si="0"/>
        <v>0.05185311069734867</v>
      </c>
      <c r="F48" s="7">
        <f t="shared" si="1"/>
        <v>0.050272136686631524</v>
      </c>
      <c r="G48" s="7">
        <f t="shared" si="2"/>
        <v>0.0785</v>
      </c>
      <c r="H48" s="7">
        <f t="shared" si="3"/>
        <v>0.0799</v>
      </c>
      <c r="I48" s="7">
        <f>'Schedule 3 Ex Ante Risk Premium'!I48</f>
        <v>0.011828345808646744</v>
      </c>
      <c r="J48" s="7">
        <f>'Schedule 3 Ex Ante Risk Premium'!J48</f>
        <v>0.0148866562</v>
      </c>
    </row>
    <row r="49" spans="1:10" ht="12.75">
      <c r="A49" s="6">
        <f>'Schedule 3 Ex Ante Risk Premium'!B49</f>
        <v>37073</v>
      </c>
      <c r="B49" s="7">
        <f>'Schedule 3 Ex Ante Risk Premium'!C49</f>
        <v>0.13374993175524588</v>
      </c>
      <c r="C49" s="7">
        <f>'Schedule 3 Ex Ante Risk Premium'!D49</f>
        <v>0.0778</v>
      </c>
      <c r="D49" s="7">
        <f>'Schedule 3 Ex Ante Risk Premium'!E49</f>
        <v>0.05594993175524589</v>
      </c>
      <c r="E49" s="7">
        <f t="shared" si="0"/>
        <v>0.05594993175524589</v>
      </c>
      <c r="F49" s="7">
        <f t="shared" si="1"/>
        <v>0.05185311069734867</v>
      </c>
      <c r="G49" s="7">
        <f t="shared" si="2"/>
        <v>0.0778</v>
      </c>
      <c r="H49" s="7">
        <f t="shared" si="3"/>
        <v>0.0785</v>
      </c>
      <c r="I49" s="7">
        <f>'Schedule 3 Ex Ante Risk Premium'!I49</f>
        <v>0.014666455436223372</v>
      </c>
      <c r="J49" s="7">
        <f>'Schedule 3 Ex Ante Risk Premium'!J49</f>
        <v>0.015301282999999992</v>
      </c>
    </row>
    <row r="50" spans="1:10" ht="12.75">
      <c r="A50" s="6">
        <f>'Schedule 3 Ex Ante Risk Premium'!B50</f>
        <v>37104</v>
      </c>
      <c r="B50" s="7">
        <f>'Schedule 3 Ex Ante Risk Premium'!C50</f>
        <v>0.13264230596175655</v>
      </c>
      <c r="C50" s="7">
        <f>'Schedule 3 Ex Ante Risk Premium'!D50</f>
        <v>0.0759</v>
      </c>
      <c r="D50" s="7">
        <f>'Schedule 3 Ex Ante Risk Premium'!E50</f>
        <v>0.056742305961756556</v>
      </c>
      <c r="E50" s="7">
        <f t="shared" si="0"/>
        <v>0.056742305961756556</v>
      </c>
      <c r="F50" s="7">
        <f t="shared" si="1"/>
        <v>0.05594993175524589</v>
      </c>
      <c r="G50" s="7">
        <f t="shared" si="2"/>
        <v>0.0759</v>
      </c>
      <c r="H50" s="7">
        <f t="shared" si="3"/>
        <v>0.0778</v>
      </c>
      <c r="I50" s="7">
        <f>'Schedule 3 Ex Ante Risk Premium'!I50</f>
        <v>0.01219709639563648</v>
      </c>
      <c r="J50" s="7">
        <f>'Schedule 3 Ex Ante Risk Premium'!J50</f>
        <v>0.013958596399999995</v>
      </c>
    </row>
    <row r="51" spans="1:10" ht="12.75">
      <c r="A51" s="6">
        <f>'Schedule 3 Ex Ante Risk Premium'!B51</f>
        <v>37135</v>
      </c>
      <c r="B51" s="7">
        <f>'Schedule 3 Ex Ante Risk Premium'!C51</f>
        <v>0.1267256715990455</v>
      </c>
      <c r="C51" s="7">
        <f>'Schedule 3 Ex Ante Risk Premium'!D51</f>
        <v>0.0775</v>
      </c>
      <c r="D51" s="7">
        <f>'Schedule 3 Ex Ante Risk Premium'!E51</f>
        <v>0.04922567159904549</v>
      </c>
      <c r="E51" s="7">
        <f t="shared" si="0"/>
        <v>0.04922567159904549</v>
      </c>
      <c r="F51" s="7">
        <f t="shared" si="1"/>
        <v>0.056742305961756556</v>
      </c>
      <c r="G51" s="7">
        <f t="shared" si="2"/>
        <v>0.0775</v>
      </c>
      <c r="H51" s="7">
        <f t="shared" si="3"/>
        <v>0.0759</v>
      </c>
      <c r="I51" s="7">
        <f>'Schedule 3 Ex Ante Risk Premium'!I51</f>
        <v>0.004049603799921468</v>
      </c>
      <c r="J51" s="7">
        <f>'Schedule 3 Ex Ante Risk Premium'!J51</f>
        <v>0.017071304199999998</v>
      </c>
    </row>
    <row r="52" spans="1:10" ht="12.75">
      <c r="A52" s="6">
        <f>'Schedule 3 Ex Ante Risk Premium'!B52</f>
        <v>37165</v>
      </c>
      <c r="B52" s="7">
        <f>'Schedule 3 Ex Ante Risk Premium'!C52</f>
        <v>0.12680240771860815</v>
      </c>
      <c r="C52" s="7">
        <f>'Schedule 3 Ex Ante Risk Premium'!D52</f>
        <v>0.0763</v>
      </c>
      <c r="D52" s="7">
        <f>'Schedule 3 Ex Ante Risk Premium'!E52</f>
        <v>0.050502407718608144</v>
      </c>
      <c r="E52" s="7">
        <f t="shared" si="0"/>
        <v>0.050502407718608144</v>
      </c>
      <c r="F52" s="7">
        <f t="shared" si="1"/>
        <v>0.04922567159904549</v>
      </c>
      <c r="G52" s="7">
        <f t="shared" si="2"/>
        <v>0.0763</v>
      </c>
      <c r="H52" s="7">
        <f t="shared" si="3"/>
        <v>0.0775</v>
      </c>
      <c r="I52" s="7">
        <f>'Schedule 3 Ex Ante Risk Premium'!I52</f>
        <v>0.011310798566968885</v>
      </c>
      <c r="J52" s="7">
        <f>'Schedule 3 Ex Ante Risk Premium'!J52</f>
        <v>0.014597445000000007</v>
      </c>
    </row>
    <row r="53" spans="1:10" ht="12.75">
      <c r="A53" s="6">
        <f>'Schedule 3 Ex Ante Risk Premium'!B53</f>
        <v>37196</v>
      </c>
      <c r="B53" s="7">
        <f>'Schedule 3 Ex Ante Risk Premium'!C53</f>
        <v>0.1267917765933246</v>
      </c>
      <c r="C53" s="7">
        <f>'Schedule 3 Ex Ante Risk Premium'!D53</f>
        <v>0.0757</v>
      </c>
      <c r="D53" s="7">
        <f>'Schedule 3 Ex Ante Risk Premium'!E53</f>
        <v>0.0510917765933246</v>
      </c>
      <c r="E53" s="7">
        <f t="shared" si="0"/>
        <v>0.0510917765933246</v>
      </c>
      <c r="F53" s="7">
        <f t="shared" si="1"/>
        <v>0.050502407718608144</v>
      </c>
      <c r="G53" s="7">
        <f t="shared" si="2"/>
        <v>0.0757</v>
      </c>
      <c r="H53" s="7">
        <f t="shared" si="3"/>
        <v>0.0763</v>
      </c>
      <c r="I53" s="7">
        <f>'Schedule 3 Ex Ante Risk Premium'!I53</f>
        <v>0.010883678659262104</v>
      </c>
      <c r="J53" s="7">
        <f>'Schedule 3 Ex Ante Risk Premium'!J53</f>
        <v>0.014952839399999994</v>
      </c>
    </row>
    <row r="54" spans="1:10" ht="12.75">
      <c r="A54" s="6">
        <f>'Schedule 3 Ex Ante Risk Premium'!B54</f>
        <v>37226</v>
      </c>
      <c r="B54" s="7">
        <f>'Schedule 3 Ex Ante Risk Premium'!C54</f>
        <v>0.12539119288796985</v>
      </c>
      <c r="C54" s="7">
        <f>'Schedule 3 Ex Ante Risk Premium'!D54</f>
        <v>0.0783</v>
      </c>
      <c r="D54" s="7">
        <f>'Schedule 3 Ex Ante Risk Premium'!E54</f>
        <v>0.047091192887969854</v>
      </c>
      <c r="E54" s="7">
        <f t="shared" si="0"/>
        <v>0.047091192887969854</v>
      </c>
      <c r="F54" s="7">
        <f t="shared" si="1"/>
        <v>0.0510917765933246</v>
      </c>
      <c r="G54" s="7">
        <f t="shared" si="2"/>
        <v>0.0783</v>
      </c>
      <c r="H54" s="7">
        <f t="shared" si="3"/>
        <v>0.0757</v>
      </c>
      <c r="I54" s="7">
        <f>'Schedule 3 Ex Ante Risk Premium'!I54</f>
        <v>0.006413861851875348</v>
      </c>
      <c r="J54" s="7">
        <f>'Schedule 3 Ex Ante Risk Premium'!J54</f>
        <v>0.018030536599999987</v>
      </c>
    </row>
    <row r="55" spans="1:10" ht="12.75">
      <c r="A55" s="6">
        <f>'Schedule 3 Ex Ante Risk Premium'!B55</f>
        <v>37257</v>
      </c>
      <c r="B55" s="7">
        <f>'Schedule 3 Ex Ante Risk Premium'!C55</f>
        <v>0.12360501925873875</v>
      </c>
      <c r="C55" s="7">
        <f>'Schedule 3 Ex Ante Risk Premium'!D55</f>
        <v>0.0766</v>
      </c>
      <c r="D55" s="7">
        <f>'Schedule 3 Ex Ante Risk Premium'!E55</f>
        <v>0.04700501925873875</v>
      </c>
      <c r="E55" s="7">
        <f t="shared" si="0"/>
        <v>0.04700501925873875</v>
      </c>
      <c r="F55" s="7">
        <f t="shared" si="1"/>
        <v>0.047091192887969854</v>
      </c>
      <c r="G55" s="7">
        <f t="shared" si="2"/>
        <v>0.0766</v>
      </c>
      <c r="H55" s="7">
        <f t="shared" si="3"/>
        <v>0.0783</v>
      </c>
      <c r="I55" s="7">
        <f>'Schedule 3 Ex Ante Risk Premium'!I55</f>
        <v>0.009512800946666893</v>
      </c>
      <c r="J55" s="7">
        <f>'Schedule 3 Ex Ante Risk Premium'!J55</f>
        <v>0.0142605154</v>
      </c>
    </row>
    <row r="56" spans="1:10" ht="12.75">
      <c r="A56" s="6">
        <f>'Schedule 3 Ex Ante Risk Premium'!B56</f>
        <v>37288</v>
      </c>
      <c r="B56" s="7">
        <f>'Schedule 3 Ex Ante Risk Premium'!C56</f>
        <v>0.12413826408449108</v>
      </c>
      <c r="C56" s="7">
        <f>'Schedule 3 Ex Ante Risk Premium'!D56</f>
        <v>0.0754</v>
      </c>
      <c r="D56" s="7">
        <f>'Schedule 3 Ex Ante Risk Premium'!E56</f>
        <v>0.048738264084491084</v>
      </c>
      <c r="E56" s="7">
        <f t="shared" si="0"/>
        <v>0.048738264084491084</v>
      </c>
      <c r="F56" s="7">
        <f t="shared" si="1"/>
        <v>0.04700501925873875</v>
      </c>
      <c r="G56" s="7">
        <f t="shared" si="2"/>
        <v>0.0754</v>
      </c>
      <c r="H56" s="7">
        <f t="shared" si="3"/>
        <v>0.0766</v>
      </c>
      <c r="I56" s="7">
        <f>'Schedule 3 Ex Ante Risk Premium'!I56</f>
        <v>0.01131465394141512</v>
      </c>
      <c r="J56" s="7">
        <f>'Schedule 3 Ex Ante Risk Premium'!J56</f>
        <v>0.014413990799999991</v>
      </c>
    </row>
    <row r="57" spans="1:10" ht="12.75">
      <c r="A57" s="6">
        <f>'Schedule 3 Ex Ante Risk Premium'!B57</f>
        <v>37316</v>
      </c>
      <c r="B57" s="7">
        <f>'Schedule 3 Ex Ante Risk Premium'!C57</f>
        <v>0.11892179213487042</v>
      </c>
      <c r="C57" s="7">
        <f>'Schedule 3 Ex Ante Risk Premium'!D57</f>
        <v>0.0776</v>
      </c>
      <c r="D57" s="7">
        <f>'Schedule 3 Ex Ante Risk Premium'!E57</f>
        <v>0.041321792134870416</v>
      </c>
      <c r="E57" s="7">
        <f t="shared" si="0"/>
        <v>0.041321792134870416</v>
      </c>
      <c r="F57" s="7">
        <f t="shared" si="1"/>
        <v>0.048738264084491084</v>
      </c>
      <c r="G57" s="7">
        <f t="shared" si="2"/>
        <v>0.0776</v>
      </c>
      <c r="H57" s="7">
        <f t="shared" si="3"/>
        <v>0.0754</v>
      </c>
      <c r="I57" s="7">
        <f>'Schedule 3 Ex Ante Risk Premium'!I57</f>
        <v>0.0025182383248338255</v>
      </c>
      <c r="J57" s="7">
        <f>'Schedule 3 Ex Ante Risk Premium'!J57</f>
        <v>0.017569385200000003</v>
      </c>
    </row>
    <row r="58" spans="1:10" ht="12.75">
      <c r="A58" s="6">
        <f>'Schedule 3 Ex Ante Risk Premium'!B58</f>
        <v>37347</v>
      </c>
      <c r="B58" s="7">
        <f>'Schedule 3 Ex Ante Risk Premium'!C58</f>
        <v>0.11588930886625307</v>
      </c>
      <c r="C58" s="7">
        <f>'Schedule 3 Ex Ante Risk Premium'!D58</f>
        <v>0.0757</v>
      </c>
      <c r="D58" s="7">
        <f>'Schedule 3 Ex Ante Risk Premium'!E58</f>
        <v>0.04018930886625306</v>
      </c>
      <c r="E58" s="7">
        <f t="shared" si="0"/>
        <v>0.04018930886625306</v>
      </c>
      <c r="F58" s="7">
        <f t="shared" si="1"/>
        <v>0.041321792134870416</v>
      </c>
      <c r="G58" s="7">
        <f t="shared" si="2"/>
        <v>0.0757</v>
      </c>
      <c r="H58" s="7">
        <f t="shared" si="3"/>
        <v>0.0776</v>
      </c>
      <c r="I58" s="7">
        <f>'Schedule 3 Ex Ante Risk Premium'!I58</f>
        <v>0.0072904681965703586</v>
      </c>
      <c r="J58" s="7">
        <f>'Schedule 3 Ex Ante Risk Premium'!J58</f>
        <v>0.013917828799999997</v>
      </c>
    </row>
    <row r="59" spans="1:10" ht="12.75">
      <c r="A59" s="6">
        <f>'Schedule 3 Ex Ante Risk Premium'!B59</f>
        <v>37377</v>
      </c>
      <c r="B59" s="7">
        <f>'Schedule 3 Ex Ante Risk Premium'!C59</f>
        <v>0.11620905358566577</v>
      </c>
      <c r="C59" s="7">
        <f>'Schedule 3 Ex Ante Risk Premium'!D59</f>
        <v>0.0752</v>
      </c>
      <c r="D59" s="7">
        <f>'Schedule 3 Ex Ante Risk Premium'!E59</f>
        <v>0.04100905358566577</v>
      </c>
      <c r="E59" s="7">
        <f t="shared" si="0"/>
        <v>0.04100905358566577</v>
      </c>
      <c r="F59" s="7">
        <f t="shared" si="1"/>
        <v>0.04018930886625306</v>
      </c>
      <c r="G59" s="7">
        <f t="shared" si="2"/>
        <v>0.0752</v>
      </c>
      <c r="H59" s="7">
        <f t="shared" si="3"/>
        <v>0.0757</v>
      </c>
      <c r="I59" s="7">
        <f>'Schedule 3 Ex Ante Risk Premium'!I59</f>
        <v>0.009011853060091994</v>
      </c>
      <c r="J59" s="7">
        <f>'Schedule 3 Ex Ante Risk Premium'!J59</f>
        <v>0.014930536599999995</v>
      </c>
    </row>
    <row r="60" spans="1:10" ht="12.75">
      <c r="A60" s="6">
        <f>'Schedule 3 Ex Ante Risk Premium'!B60</f>
        <v>37408</v>
      </c>
      <c r="B60" s="7">
        <f>'Schedule 3 Ex Ante Risk Premium'!C60</f>
        <v>0.11698655176508355</v>
      </c>
      <c r="C60" s="7">
        <f>'Schedule 3 Ex Ante Risk Premium'!D60</f>
        <v>0.0741</v>
      </c>
      <c r="D60" s="7">
        <f>'Schedule 3 Ex Ante Risk Premium'!E60</f>
        <v>0.04288655176508355</v>
      </c>
      <c r="E60" s="7">
        <f t="shared" si="0"/>
        <v>0.04288655176508355</v>
      </c>
      <c r="F60" s="7">
        <f t="shared" si="1"/>
        <v>0.04100905358566577</v>
      </c>
      <c r="G60" s="7">
        <f t="shared" si="2"/>
        <v>0.0741</v>
      </c>
      <c r="H60" s="7">
        <f t="shared" si="3"/>
        <v>0.0752</v>
      </c>
      <c r="I60" s="7">
        <f>'Schedule 3 Ex Ante Risk Premium'!I60</f>
        <v>0.010236701644212712</v>
      </c>
      <c r="J60" s="7">
        <f>'Schedule 3 Ex Ante Risk Premium'!J60</f>
        <v>0.014228617599999993</v>
      </c>
    </row>
    <row r="61" spans="1:10" ht="12.75">
      <c r="A61" s="6">
        <f>'Schedule 3 Ex Ante Risk Premium'!B61</f>
        <v>37438</v>
      </c>
      <c r="B61" s="7">
        <f>'Schedule 3 Ex Ante Risk Premium'!C61</f>
        <v>0.12415241522564156</v>
      </c>
      <c r="C61" s="7">
        <f>'Schedule 3 Ex Ante Risk Premium'!D61</f>
        <v>0.0731</v>
      </c>
      <c r="D61" s="7">
        <f>'Schedule 3 Ex Ante Risk Premium'!E61</f>
        <v>0.051052415225641565</v>
      </c>
      <c r="E61" s="7">
        <f t="shared" si="0"/>
        <v>0.051052415225641565</v>
      </c>
      <c r="F61" s="7">
        <f t="shared" si="1"/>
        <v>0.04288655176508355</v>
      </c>
      <c r="G61" s="7">
        <f t="shared" si="2"/>
        <v>0.0731</v>
      </c>
      <c r="H61" s="7">
        <f t="shared" si="3"/>
        <v>0.0741</v>
      </c>
      <c r="I61" s="7">
        <f>'Schedule 3 Ex Ante Risk Premium'!I61</f>
        <v>0.016907772399249114</v>
      </c>
      <c r="J61" s="7">
        <f>'Schedule 3 Ex Ante Risk Premium'!J61</f>
        <v>0.014104395799999996</v>
      </c>
    </row>
    <row r="62" spans="1:10" ht="12.75">
      <c r="A62" s="6">
        <f>'Schedule 3 Ex Ante Risk Premium'!B62</f>
        <v>37469</v>
      </c>
      <c r="B62" s="7">
        <f>'Schedule 3 Ex Ante Risk Premium'!C62</f>
        <v>0.12336567463116091</v>
      </c>
      <c r="C62" s="7">
        <f>'Schedule 3 Ex Ante Risk Premium'!D62</f>
        <v>0.0717</v>
      </c>
      <c r="D62" s="7">
        <f>'Schedule 3 Ex Ante Risk Premium'!E62</f>
        <v>0.05166567463116091</v>
      </c>
      <c r="E62" s="7">
        <f t="shared" si="0"/>
        <v>0.05166567463116091</v>
      </c>
      <c r="F62" s="7">
        <f t="shared" si="1"/>
        <v>0.051052415225641565</v>
      </c>
      <c r="G62" s="7">
        <f t="shared" si="2"/>
        <v>0.0717</v>
      </c>
      <c r="H62" s="7">
        <f t="shared" si="3"/>
        <v>0.0731</v>
      </c>
      <c r="I62" s="7">
        <f>'Schedule 3 Ex Ante Risk Premium'!I62</f>
        <v>0.011019681620283668</v>
      </c>
      <c r="J62" s="7">
        <f>'Schedule 3 Ex Ante Risk Premium'!J62</f>
        <v>0.0135005578</v>
      </c>
    </row>
    <row r="63" spans="1:10" ht="12.75">
      <c r="A63" s="6">
        <f>'Schedule 3 Ex Ante Risk Premium'!B63</f>
        <v>37500</v>
      </c>
      <c r="B63" s="7">
        <f>'Schedule 3 Ex Ante Risk Premium'!C63</f>
        <v>0.12593361517516927</v>
      </c>
      <c r="C63" s="7">
        <f>'Schedule 3 Ex Ante Risk Premium'!D63</f>
        <v>0.0708</v>
      </c>
      <c r="D63" s="7">
        <f>'Schedule 3 Ex Ante Risk Premium'!E63</f>
        <v>0.055133615175169265</v>
      </c>
      <c r="E63" s="7">
        <f t="shared" si="0"/>
        <v>0.055133615175169265</v>
      </c>
      <c r="F63" s="7">
        <f t="shared" si="1"/>
        <v>0.05166567463116091</v>
      </c>
      <c r="G63" s="7">
        <f t="shared" si="2"/>
        <v>0.0708</v>
      </c>
      <c r="H63" s="7">
        <f t="shared" si="3"/>
        <v>0.0717</v>
      </c>
      <c r="I63" s="7">
        <f>'Schedule 3 Ex Ante Risk Premium'!I63</f>
        <v>0.013999368329474932</v>
      </c>
      <c r="J63" s="7">
        <f>'Schedule 3 Ex Ante Risk Premium'!J63</f>
        <v>0.0137151846</v>
      </c>
    </row>
    <row r="64" spans="1:10" ht="12.75">
      <c r="A64" s="6">
        <f>'Schedule 3 Ex Ante Risk Premium'!B64</f>
        <v>37530</v>
      </c>
      <c r="B64" s="7">
        <f>'Schedule 3 Ex Ante Risk Premium'!C64</f>
        <v>0.12496316817597165</v>
      </c>
      <c r="C64" s="7">
        <f>'Schedule 3 Ex Ante Risk Premium'!D64</f>
        <v>0.0723</v>
      </c>
      <c r="D64" s="7">
        <f>'Schedule 3 Ex Ante Risk Premium'!E64</f>
        <v>0.05266316817597165</v>
      </c>
      <c r="E64" s="7">
        <f t="shared" si="0"/>
        <v>0.05266316817597165</v>
      </c>
      <c r="F64" s="7">
        <f t="shared" si="1"/>
        <v>0.055133615175169265</v>
      </c>
      <c r="G64" s="7">
        <f t="shared" si="2"/>
        <v>0.0723</v>
      </c>
      <c r="H64" s="7">
        <f t="shared" si="3"/>
        <v>0.0708</v>
      </c>
      <c r="I64" s="7">
        <f>'Schedule 3 Ex Ante Risk Premium'!I64</f>
        <v>0.008767878850878534</v>
      </c>
      <c r="J64" s="7">
        <f>'Schedule 3 Ex Ante Risk Premium'!J64</f>
        <v>0.015931730399999997</v>
      </c>
    </row>
    <row r="65" spans="1:10" ht="12.75">
      <c r="A65" s="6">
        <f>'Schedule 3 Ex Ante Risk Premium'!B65</f>
        <v>37561</v>
      </c>
      <c r="B65" s="7">
        <f>'Schedule 3 Ex Ante Risk Premium'!C65</f>
        <v>0.12202089753356486</v>
      </c>
      <c r="C65" s="7">
        <f>'Schedule 3 Ex Ante Risk Premium'!D65</f>
        <v>0.0714</v>
      </c>
      <c r="D65" s="7">
        <f>'Schedule 3 Ex Ante Risk Premium'!E65</f>
        <v>0.05062089753356486</v>
      </c>
      <c r="E65" s="7">
        <f t="shared" si="0"/>
        <v>0.05062089753356486</v>
      </c>
      <c r="F65" s="7">
        <f t="shared" si="1"/>
        <v>0.05266316817597165</v>
      </c>
      <c r="G65" s="7">
        <f t="shared" si="2"/>
        <v>0.0714</v>
      </c>
      <c r="H65" s="7">
        <f t="shared" si="3"/>
        <v>0.0723</v>
      </c>
      <c r="I65" s="7">
        <f>'Schedule 3 Ex Ante Risk Premium'!I65</f>
        <v>0.008692484232246916</v>
      </c>
      <c r="J65" s="7">
        <f>'Schedule 3 Ex Ante Risk Premium'!J65</f>
        <v>0.013837487400000001</v>
      </c>
    </row>
    <row r="66" spans="1:10" ht="12.75">
      <c r="A66" s="6">
        <f>'Schedule 3 Ex Ante Risk Premium'!B66</f>
        <v>37591</v>
      </c>
      <c r="B66" s="7">
        <f>'Schedule 3 Ex Ante Risk Premium'!C66</f>
        <v>0.12151796136883472</v>
      </c>
      <c r="C66" s="7">
        <f>'Schedule 3 Ex Ante Risk Premium'!D66</f>
        <v>0.0707</v>
      </c>
      <c r="D66" s="7">
        <f>'Schedule 3 Ex Ante Risk Premium'!E66</f>
        <v>0.05081796136883472</v>
      </c>
      <c r="E66" s="7">
        <f t="shared" si="0"/>
        <v>0.05081796136883472</v>
      </c>
      <c r="F66" s="7">
        <f t="shared" si="1"/>
        <v>0.05062089753356486</v>
      </c>
      <c r="G66" s="7">
        <f t="shared" si="2"/>
        <v>0.0707</v>
      </c>
      <c r="H66" s="7">
        <f t="shared" si="3"/>
        <v>0.0714</v>
      </c>
      <c r="I66" s="7">
        <f>'Schedule 3 Ex Ante Risk Premium'!I66</f>
        <v>0.010515526346716653</v>
      </c>
      <c r="J66" s="7">
        <f>'Schedule 3 Ex Ante Risk Premium'!J66</f>
        <v>0.01385403319999999</v>
      </c>
    </row>
    <row r="67" spans="1:10" ht="12.75">
      <c r="A67" s="6">
        <f>'Schedule 3 Ex Ante Risk Premium'!B67</f>
        <v>37622</v>
      </c>
      <c r="B67" s="7">
        <f>'Schedule 3 Ex Ante Risk Premium'!C67</f>
        <v>0.12183137690922172</v>
      </c>
      <c r="C67" s="7">
        <f>'Schedule 3 Ex Ante Risk Premium'!D67</f>
        <v>0.0706</v>
      </c>
      <c r="D67" s="7">
        <f>'Schedule 3 Ex Ante Risk Premium'!E67</f>
        <v>0.05123137690922172</v>
      </c>
      <c r="E67" s="7">
        <f t="shared" si="0"/>
        <v>0.05123137690922172</v>
      </c>
      <c r="F67" s="7">
        <f t="shared" si="1"/>
        <v>0.05081796136883472</v>
      </c>
      <c r="G67" s="7">
        <f t="shared" si="2"/>
        <v>0.0706</v>
      </c>
      <c r="H67" s="7">
        <f t="shared" si="3"/>
        <v>0.0707</v>
      </c>
      <c r="I67" s="7">
        <f>'Schedule 3 Ex Ante Risk Premium'!I67</f>
        <v>0.010772047149887533</v>
      </c>
      <c r="J67" s="7">
        <f>'Schedule 3 Ex Ante Risk Premium'!J67</f>
        <v>0.014311346599999997</v>
      </c>
    </row>
    <row r="68" spans="1:10" ht="12.75">
      <c r="A68" s="6">
        <f>'Schedule 3 Ex Ante Risk Premium'!B68</f>
        <v>37653</v>
      </c>
      <c r="B68" s="7">
        <f>'Schedule 3 Ex Ante Risk Premium'!C68</f>
        <v>0.12315667529927271</v>
      </c>
      <c r="C68" s="7">
        <f>'Schedule 3 Ex Ante Risk Premium'!D68</f>
        <v>0.0693</v>
      </c>
      <c r="D68" s="7">
        <f>'Schedule 3 Ex Ante Risk Premium'!E68</f>
        <v>0.05385667529927271</v>
      </c>
      <c r="E68" s="7">
        <f t="shared" si="0"/>
        <v>0.05385667529927271</v>
      </c>
      <c r="F68" s="7">
        <f t="shared" si="1"/>
        <v>0.05123137690922172</v>
      </c>
      <c r="G68" s="7">
        <f t="shared" si="2"/>
        <v>0.0693</v>
      </c>
      <c r="H68" s="7">
        <f t="shared" si="3"/>
        <v>0.0706</v>
      </c>
      <c r="I68" s="7">
        <f>'Schedule 3 Ex Ante Risk Premium'!I68</f>
        <v>0.013068199796472925</v>
      </c>
      <c r="J68" s="7">
        <f>'Schedule 3 Ex Ante Risk Premium'!J68</f>
        <v>0.013090962800000001</v>
      </c>
    </row>
    <row r="69" spans="1:10" ht="12.75">
      <c r="A69" s="6">
        <f>'Schedule 3 Ex Ante Risk Premium'!B69</f>
        <v>37681</v>
      </c>
      <c r="B69" s="7">
        <f>'Schedule 3 Ex Ante Risk Premium'!C69</f>
        <v>0.11947059857291485</v>
      </c>
      <c r="C69" s="7">
        <f>'Schedule 3 Ex Ante Risk Premium'!D69</f>
        <v>0.0679</v>
      </c>
      <c r="D69" s="7">
        <f>'Schedule 3 Ex Ante Risk Premium'!E69</f>
        <v>0.05157059857291485</v>
      </c>
      <c r="E69" s="7">
        <f t="shared" si="0"/>
        <v>0.05157059857291485</v>
      </c>
      <c r="F69" s="7">
        <f t="shared" si="1"/>
        <v>0.05385667529927271</v>
      </c>
      <c r="G69" s="7">
        <f t="shared" si="2"/>
        <v>0.0679</v>
      </c>
      <c r="H69" s="7">
        <f t="shared" si="3"/>
        <v>0.0693</v>
      </c>
      <c r="I69" s="7">
        <f>'Schedule 3 Ex Ante Risk Premium'!I69</f>
        <v>0.008691960253295286</v>
      </c>
      <c r="J69" s="7">
        <f>'Schedule 3 Ex Ante Risk Premium'!J69</f>
        <v>0.0127259734</v>
      </c>
    </row>
    <row r="70" spans="1:10" ht="12.75">
      <c r="A70" s="6">
        <f>'Schedule 3 Ex Ante Risk Premium'!B70</f>
        <v>37712</v>
      </c>
      <c r="B70" s="7">
        <f>'Schedule 3 Ex Ante Risk Premium'!C70</f>
        <v>0.11616212919494028</v>
      </c>
      <c r="C70" s="7">
        <f>'Schedule 3 Ex Ante Risk Premium'!D70</f>
        <v>0.0664</v>
      </c>
      <c r="D70" s="7">
        <f>'Schedule 3 Ex Ante Risk Premium'!E70</f>
        <v>0.049762129194940274</v>
      </c>
      <c r="E70" s="7">
        <f t="shared" si="0"/>
        <v>0.049762129194940274</v>
      </c>
      <c r="F70" s="7">
        <f t="shared" si="1"/>
        <v>0.05157059857291485</v>
      </c>
      <c r="G70" s="7">
        <f t="shared" si="2"/>
        <v>0.0664</v>
      </c>
      <c r="H70" s="7">
        <f t="shared" si="3"/>
        <v>0.0679</v>
      </c>
      <c r="I70" s="7">
        <f>'Schedule 3 Ex Ante Risk Premium'!I70</f>
        <v>0.008703578293931237</v>
      </c>
      <c r="J70" s="7">
        <f>'Schedule 3 Ex Ante Risk Premium'!J70</f>
        <v>0.012340600199999996</v>
      </c>
    </row>
    <row r="71" spans="1:10" ht="12.75">
      <c r="A71" s="6">
        <f>'Schedule 3 Ex Ante Risk Premium'!B71</f>
        <v>37742</v>
      </c>
      <c r="B71" s="7">
        <f>'Schedule 3 Ex Ante Risk Premium'!C71</f>
        <v>0.1126264311587063</v>
      </c>
      <c r="C71" s="7">
        <f>'Schedule 3 Ex Ante Risk Premium'!D71</f>
        <v>0.0636</v>
      </c>
      <c r="D71" s="7">
        <f>'Schedule 3 Ex Ante Risk Premium'!E71</f>
        <v>0.04902643115870629</v>
      </c>
      <c r="E71" s="7">
        <f t="shared" si="0"/>
        <v>0.04902643115870629</v>
      </c>
      <c r="F71" s="7">
        <f t="shared" si="1"/>
        <v>0.049762129194940274</v>
      </c>
      <c r="G71" s="7">
        <f t="shared" si="2"/>
        <v>0.0636</v>
      </c>
      <c r="H71" s="7">
        <f t="shared" si="3"/>
        <v>0.0664</v>
      </c>
      <c r="I71" s="7">
        <f>'Schedule 3 Ex Ante Risk Premium'!I71</f>
        <v>0.009407714854604253</v>
      </c>
      <c r="J71" s="7">
        <f>'Schedule 3 Ex Ante Risk Premium'!J71</f>
        <v>0.010734843200000004</v>
      </c>
    </row>
    <row r="72" spans="1:10" ht="12.75">
      <c r="A72" s="6">
        <f>'Schedule 3 Ex Ante Risk Premium'!B72</f>
        <v>37773</v>
      </c>
      <c r="B72" s="7">
        <f>'Schedule 3 Ex Ante Risk Premium'!C72</f>
        <v>0.11140312132254174</v>
      </c>
      <c r="C72" s="7">
        <f>'Schedule 3 Ex Ante Risk Premium'!D72</f>
        <v>0.0621</v>
      </c>
      <c r="D72" s="7">
        <f>'Schedule 3 Ex Ante Risk Premium'!E72</f>
        <v>0.049303121322541735</v>
      </c>
      <c r="E72" s="7">
        <f t="shared" si="0"/>
        <v>0.049303121322541735</v>
      </c>
      <c r="F72" s="7">
        <f t="shared" si="1"/>
        <v>0.04902643115870629</v>
      </c>
      <c r="G72" s="7">
        <f t="shared" si="2"/>
        <v>0.0621</v>
      </c>
      <c r="H72" s="7">
        <f t="shared" si="3"/>
        <v>0.0636</v>
      </c>
      <c r="I72" s="7">
        <f>'Schedule 3 Ex Ante Risk Premium'!I72</f>
        <v>0.010270139838363813</v>
      </c>
      <c r="J72" s="7">
        <f>'Schedule 3 Ex Ante Risk Premium'!J72</f>
        <v>0.011464096799999997</v>
      </c>
    </row>
    <row r="73" spans="1:10" ht="12.75">
      <c r="A73" s="6">
        <f>'Schedule 3 Ex Ante Risk Premium'!B73</f>
        <v>37803</v>
      </c>
      <c r="B73" s="7">
        <f>'Schedule 3 Ex Ante Risk Premium'!C73</f>
        <v>0.1126726263045835</v>
      </c>
      <c r="C73" s="7">
        <f>'Schedule 3 Ex Ante Risk Premium'!D73</f>
        <v>0.0657</v>
      </c>
      <c r="D73" s="7">
        <f>'Schedule 3 Ex Ante Risk Premium'!E73</f>
        <v>0.0469726263045835</v>
      </c>
      <c r="E73" s="7">
        <f t="shared" si="0"/>
        <v>0.0469726263045835</v>
      </c>
      <c r="F73" s="7">
        <f t="shared" si="1"/>
        <v>0.049303121322541735</v>
      </c>
      <c r="G73" s="7">
        <f t="shared" si="2"/>
        <v>0.0657</v>
      </c>
      <c r="H73" s="7">
        <f t="shared" si="3"/>
        <v>0.0621</v>
      </c>
      <c r="I73" s="7">
        <f>'Schedule 3 Ex Ante Risk Premium'!I73</f>
        <v>0.007719354626186024</v>
      </c>
      <c r="J73" s="7">
        <f>'Schedule 3 Ex Ante Risk Premium'!J73</f>
        <v>0.016258339799999993</v>
      </c>
    </row>
    <row r="74" spans="1:10" ht="12.75">
      <c r="A74" s="6">
        <f>'Schedule 3 Ex Ante Risk Premium'!B74</f>
        <v>37834</v>
      </c>
      <c r="B74" s="7">
        <f>'Schedule 3 Ex Ante Risk Premium'!C74</f>
        <v>0.1138710890760737</v>
      </c>
      <c r="C74" s="7">
        <f>'Schedule 3 Ex Ante Risk Premium'!D74</f>
        <v>0.0678</v>
      </c>
      <c r="D74" s="7">
        <f>'Schedule 3 Ex Ante Risk Premium'!E74</f>
        <v>0.0460710890760737</v>
      </c>
      <c r="E74" s="7">
        <f t="shared" si="0"/>
        <v>0.0460710890760737</v>
      </c>
      <c r="F74" s="7">
        <f t="shared" si="1"/>
        <v>0.0469726263045835</v>
      </c>
      <c r="G74" s="7">
        <f t="shared" si="2"/>
        <v>0.0678</v>
      </c>
      <c r="H74" s="7">
        <f t="shared" si="3"/>
        <v>0.0657</v>
      </c>
      <c r="I74" s="7">
        <f>'Schedule 3 Ex Ante Risk Premium'!I74</f>
        <v>0.008673268972163889</v>
      </c>
      <c r="J74" s="7">
        <f>'Schedule 3 Ex Ante Risk Premium'!J74</f>
        <v>0.015492156600000001</v>
      </c>
    </row>
    <row r="75" spans="1:10" ht="12.75">
      <c r="A75" s="6">
        <f>'Schedule 3 Ex Ante Risk Premium'!B75</f>
        <v>37865</v>
      </c>
      <c r="B75" s="7">
        <f>'Schedule 3 Ex Ante Risk Premium'!C75</f>
        <v>0.11273627164061842</v>
      </c>
      <c r="C75" s="7">
        <f>'Schedule 3 Ex Ante Risk Premium'!D75</f>
        <v>0.0656</v>
      </c>
      <c r="D75" s="7">
        <f>'Schedule 3 Ex Ante Risk Premium'!E75</f>
        <v>0.04713627164061841</v>
      </c>
      <c r="E75" s="7">
        <f t="shared" si="0"/>
        <v>0.04713627164061841</v>
      </c>
      <c r="F75" s="7">
        <f t="shared" si="1"/>
        <v>0.0460710890760737</v>
      </c>
      <c r="G75" s="7">
        <f t="shared" si="2"/>
        <v>0.0656</v>
      </c>
      <c r="H75" s="7">
        <f t="shared" si="3"/>
        <v>0.0678</v>
      </c>
      <c r="I75" s="7">
        <f>'Schedule 3 Ex Ante Risk Premium'!I75</f>
        <v>0.010456221219633424</v>
      </c>
      <c r="J75" s="7">
        <f>'Schedule 3 Ex Ante Risk Premium'!J75</f>
        <v>0.011620216400000001</v>
      </c>
    </row>
    <row r="76" spans="1:10" ht="12.75">
      <c r="A76" s="6">
        <f>'Schedule 3 Ex Ante Risk Premium'!B76</f>
        <v>37895</v>
      </c>
      <c r="B76" s="7">
        <f>'Schedule 3 Ex Ante Risk Premium'!C76</f>
        <v>0.1123074009120149</v>
      </c>
      <c r="C76" s="7">
        <f>'Schedule 3 Ex Ante Risk Premium'!D76</f>
        <v>0.0643</v>
      </c>
      <c r="D76" s="7">
        <f>'Schedule 3 Ex Ante Risk Premium'!E76</f>
        <v>0.0480074009120149</v>
      </c>
      <c r="E76" s="7">
        <f t="shared" si="0"/>
        <v>0.0480074009120149</v>
      </c>
      <c r="F76" s="7">
        <f t="shared" si="1"/>
        <v>0.04713627164061841</v>
      </c>
      <c r="G76" s="7">
        <f t="shared" si="2"/>
        <v>0.0643</v>
      </c>
      <c r="H76" s="7">
        <f t="shared" si="3"/>
        <v>0.0656</v>
      </c>
      <c r="I76" s="7">
        <f>'Schedule 3 Ex Ante Risk Premium'!I76</f>
        <v>0.010479292610076858</v>
      </c>
      <c r="J76" s="7">
        <f>'Schedule 3 Ex Ante Risk Premium'!J76</f>
        <v>0.012071772799999991</v>
      </c>
    </row>
    <row r="77" spans="1:10" ht="12.75">
      <c r="A77" s="6">
        <f>'Schedule 3 Ex Ante Risk Premium'!B77</f>
        <v>37926</v>
      </c>
      <c r="B77" s="7">
        <f>'Schedule 3 Ex Ante Risk Premium'!C77</f>
        <v>0.10891583923239033</v>
      </c>
      <c r="C77" s="7">
        <f>'Schedule 3 Ex Ante Risk Premium'!D77</f>
        <v>0.0637</v>
      </c>
      <c r="D77" s="7">
        <f>'Schedule 3 Ex Ante Risk Premium'!E77</f>
        <v>0.04521583923239032</v>
      </c>
      <c r="E77" s="7">
        <f t="shared" si="0"/>
        <v>0.04521583923239032</v>
      </c>
      <c r="F77" s="7">
        <f t="shared" si="1"/>
        <v>0.0480074009120149</v>
      </c>
      <c r="G77" s="7">
        <f t="shared" si="2"/>
        <v>0.0637</v>
      </c>
      <c r="H77" s="7">
        <f t="shared" si="3"/>
        <v>0.0643</v>
      </c>
      <c r="I77" s="7">
        <f>'Schedule 3 Ex Ante Risk Premium'!I77</f>
        <v>0.006994170907478711</v>
      </c>
      <c r="J77" s="7">
        <f>'Schedule 3 Ex Ante Risk Premium'!J77</f>
        <v>0.012506783400000006</v>
      </c>
    </row>
    <row r="78" spans="1:10" ht="12.75">
      <c r="A78" s="6">
        <f>'Schedule 3 Ex Ante Risk Premium'!B78</f>
        <v>37956</v>
      </c>
      <c r="B78" s="7">
        <f>'Schedule 3 Ex Ante Risk Premium'!C78</f>
        <v>0.1070625117225779</v>
      </c>
      <c r="C78" s="7">
        <f>'Schedule 3 Ex Ante Risk Premium'!D78</f>
        <v>0.0627</v>
      </c>
      <c r="D78" s="7">
        <f>'Schedule 3 Ex Ante Risk Premium'!E78</f>
        <v>0.044362511722577894</v>
      </c>
      <c r="E78" s="7">
        <f aca="true" t="shared" si="4" ref="E78:E116">D78</f>
        <v>0.044362511722577894</v>
      </c>
      <c r="F78" s="7">
        <f aca="true" t="shared" si="5" ref="F78:F114">D77</f>
        <v>0.04521583923239032</v>
      </c>
      <c r="G78" s="7">
        <f aca="true" t="shared" si="6" ref="G78:G114">C78</f>
        <v>0.0627</v>
      </c>
      <c r="H78" s="7">
        <f aca="true" t="shared" si="7" ref="H78:H114">C77</f>
        <v>0.0637</v>
      </c>
      <c r="I78" s="7">
        <f>'Schedule 3 Ex Ante Risk Premium'!I78</f>
        <v>0.00836337872763955</v>
      </c>
      <c r="J78" s="7">
        <f>'Schedule 3 Ex Ante Risk Premium'!J78</f>
        <v>0.0119844806</v>
      </c>
    </row>
    <row r="79" spans="1:10" ht="12.75">
      <c r="A79" s="6">
        <f>'Schedule 3 Ex Ante Risk Premium'!B79</f>
        <v>37987</v>
      </c>
      <c r="B79" s="7">
        <f>'Schedule 3 Ex Ante Risk Premium'!C79</f>
        <v>0.10592930275665292</v>
      </c>
      <c r="C79" s="7">
        <f>'Schedule 3 Ex Ante Risk Premium'!D79</f>
        <v>0.0615</v>
      </c>
      <c r="D79" s="7">
        <f>'Schedule 3 Ex Ante Risk Premium'!E79</f>
        <v>0.044429302756652925</v>
      </c>
      <c r="E79" s="7">
        <f t="shared" si="4"/>
        <v>0.044429302756652925</v>
      </c>
      <c r="F79" s="7">
        <f t="shared" si="5"/>
        <v>0.044362511722577894</v>
      </c>
      <c r="G79" s="7">
        <f t="shared" si="6"/>
        <v>0.0615</v>
      </c>
      <c r="H79" s="7">
        <f t="shared" si="7"/>
        <v>0.0627</v>
      </c>
      <c r="I79" s="7">
        <f>'Schedule 3 Ex Ante Risk Premium'!I79</f>
        <v>0.009109556698581864</v>
      </c>
      <c r="J79" s="7">
        <f>'Schedule 3 Ex Ante Risk Premium'!J79</f>
        <v>0.01158064259999999</v>
      </c>
    </row>
    <row r="80" spans="1:10" ht="12.75">
      <c r="A80" s="6">
        <f>'Schedule 3 Ex Ante Risk Premium'!B80</f>
        <v>38018</v>
      </c>
      <c r="B80" s="7">
        <f>'Schedule 3 Ex Ante Risk Premium'!C80</f>
        <v>0.10392806426682738</v>
      </c>
      <c r="C80" s="7">
        <f>'Schedule 3 Ex Ante Risk Premium'!D80</f>
        <v>0.0615</v>
      </c>
      <c r="D80" s="7">
        <f>'Schedule 3 Ex Ante Risk Premium'!E80</f>
        <v>0.04242806426682738</v>
      </c>
      <c r="E80" s="7">
        <f t="shared" si="4"/>
        <v>0.04242806426682738</v>
      </c>
      <c r="F80" s="7">
        <f t="shared" si="5"/>
        <v>0.044429302756652925</v>
      </c>
      <c r="G80" s="7">
        <f t="shared" si="6"/>
        <v>0.0615</v>
      </c>
      <c r="H80" s="7">
        <f t="shared" si="7"/>
        <v>0.0615</v>
      </c>
      <c r="I80" s="7">
        <f>'Schedule 3 Ex Ante Risk Premium'!I80</f>
        <v>0.007055141725485076</v>
      </c>
      <c r="J80" s="7">
        <f>'Schedule 3 Ex Ante Risk Premium'!J80</f>
        <v>0.012536037</v>
      </c>
    </row>
    <row r="81" spans="1:10" ht="12.75">
      <c r="A81" s="6">
        <f>'Schedule 3 Ex Ante Risk Premium'!B81</f>
        <v>38047</v>
      </c>
      <c r="B81" s="7">
        <f>'Schedule 3 Ex Ante Risk Premium'!C81</f>
        <v>0.10371740538815788</v>
      </c>
      <c r="C81" s="7">
        <f>'Schedule 3 Ex Ante Risk Premium'!D81</f>
        <v>0.0597</v>
      </c>
      <c r="D81" s="7">
        <f>'Schedule 3 Ex Ante Risk Premium'!E81</f>
        <v>0.044017405388157876</v>
      </c>
      <c r="E81" s="7">
        <f t="shared" si="4"/>
        <v>0.044017405388157876</v>
      </c>
      <c r="F81" s="7">
        <f t="shared" si="5"/>
        <v>0.04242806426682738</v>
      </c>
      <c r="G81" s="7">
        <f t="shared" si="6"/>
        <v>0.0597</v>
      </c>
      <c r="H81" s="7">
        <f t="shared" si="7"/>
        <v>0.0615</v>
      </c>
      <c r="I81" s="7">
        <f>'Schedule 3 Ex Ante Risk Premium'!I81</f>
        <v>0.010237792885352051</v>
      </c>
      <c r="J81" s="7">
        <f>'Schedule 3 Ex Ante Risk Premium'!J81</f>
        <v>0.010736037000000004</v>
      </c>
    </row>
    <row r="82" spans="1:10" ht="12.75">
      <c r="A82" s="6">
        <f>'Schedule 3 Ex Ante Risk Premium'!B82</f>
        <v>38078</v>
      </c>
      <c r="B82" s="7">
        <f>'Schedule 3 Ex Ante Risk Premium'!C82</f>
        <v>0.1040948004523386</v>
      </c>
      <c r="C82" s="7">
        <f>'Schedule 3 Ex Ante Risk Premium'!D82</f>
        <v>0.0635</v>
      </c>
      <c r="D82" s="7">
        <f>'Schedule 3 Ex Ante Risk Premium'!E82</f>
        <v>0.0405948004523386</v>
      </c>
      <c r="E82" s="7">
        <f t="shared" si="4"/>
        <v>0.0405948004523386</v>
      </c>
      <c r="F82" s="7">
        <f t="shared" si="5"/>
        <v>0.044017405388157876</v>
      </c>
      <c r="G82" s="7">
        <f t="shared" si="6"/>
        <v>0.0635</v>
      </c>
      <c r="H82" s="7">
        <f t="shared" si="7"/>
        <v>0.0597</v>
      </c>
      <c r="I82" s="7">
        <f>'Schedule 3 Ex Ante Risk Premium'!I82</f>
        <v>0.005549814943692041</v>
      </c>
      <c r="J82" s="7">
        <f>'Schedule 3 Ex Ante Risk Premium'!J82</f>
        <v>0.015969128599999993</v>
      </c>
    </row>
    <row r="83" spans="1:10" ht="12.75">
      <c r="A83" s="6">
        <f>'Schedule 3 Ex Ante Risk Premium'!B83</f>
        <v>38108</v>
      </c>
      <c r="B83" s="7">
        <f>'Schedule 3 Ex Ante Risk Premium'!C83</f>
        <v>0.10449073340372624</v>
      </c>
      <c r="C83" s="7">
        <f>'Schedule 3 Ex Ante Risk Premium'!D83</f>
        <v>0.0662</v>
      </c>
      <c r="D83" s="7">
        <f>'Schedule 3 Ex Ante Risk Premium'!E83</f>
        <v>0.03829073340372624</v>
      </c>
      <c r="E83" s="7">
        <f t="shared" si="4"/>
        <v>0.03829073340372624</v>
      </c>
      <c r="F83" s="7">
        <f t="shared" si="5"/>
        <v>0.0405948004523386</v>
      </c>
      <c r="G83" s="7">
        <f t="shared" si="6"/>
        <v>0.0662</v>
      </c>
      <c r="H83" s="7">
        <f t="shared" si="7"/>
        <v>0.0635</v>
      </c>
      <c r="I83" s="7">
        <f>'Schedule 3 Ex Ante Risk Premium'!I83</f>
        <v>0.005970695885991438</v>
      </c>
      <c r="J83" s="7">
        <f>'Schedule 3 Ex Ante Risk Premium'!J83</f>
        <v>0.01564371299999999</v>
      </c>
    </row>
    <row r="84" spans="1:10" ht="12.75">
      <c r="A84" s="6">
        <f>'Schedule 3 Ex Ante Risk Premium'!B84</f>
        <v>38139</v>
      </c>
      <c r="B84" s="7">
        <f>'Schedule 3 Ex Ante Risk Premium'!C84</f>
        <v>0.10364646173422923</v>
      </c>
      <c r="C84" s="7">
        <f>'Schedule 3 Ex Ante Risk Premium'!D84</f>
        <v>0.0646</v>
      </c>
      <c r="D84" s="7">
        <f>'Schedule 3 Ex Ante Risk Premium'!E84</f>
        <v>0.039046461734229224</v>
      </c>
      <c r="E84" s="7">
        <f t="shared" si="4"/>
        <v>0.039046461734229224</v>
      </c>
      <c r="F84" s="7">
        <f t="shared" si="5"/>
        <v>0.03829073340372624</v>
      </c>
      <c r="G84" s="7">
        <f t="shared" si="6"/>
        <v>0.0646</v>
      </c>
      <c r="H84" s="7">
        <f t="shared" si="7"/>
        <v>0.0662</v>
      </c>
      <c r="I84" s="7">
        <f>'Schedule 3 Ex Ante Risk Premium'!I84</f>
        <v>0.008560834846051732</v>
      </c>
      <c r="J84" s="7">
        <f>'Schedule 3 Ex Ante Risk Premium'!J84</f>
        <v>0.011894075600000005</v>
      </c>
    </row>
    <row r="85" spans="1:10" ht="12.75">
      <c r="A85" s="6">
        <f>'Schedule 3 Ex Ante Risk Premium'!B85</f>
        <v>38169</v>
      </c>
      <c r="B85" s="7">
        <f>'Schedule 3 Ex Ante Risk Premium'!C85</f>
        <v>0.10106587330201013</v>
      </c>
      <c r="C85" s="7">
        <f>'Schedule 3 Ex Ante Risk Premium'!D85</f>
        <v>0.0627</v>
      </c>
      <c r="D85" s="7">
        <f>'Schedule 3 Ex Ante Risk Premium'!E85</f>
        <v>0.03836587330201012</v>
      </c>
      <c r="E85" s="7">
        <f t="shared" si="4"/>
        <v>0.03836587330201012</v>
      </c>
      <c r="F85" s="7">
        <f t="shared" si="5"/>
        <v>0.039046461734229224</v>
      </c>
      <c r="G85" s="7">
        <f t="shared" si="6"/>
        <v>0.0627</v>
      </c>
      <c r="H85" s="7">
        <f t="shared" si="7"/>
        <v>0.0646</v>
      </c>
      <c r="I85" s="7">
        <f>'Schedule 3 Ex Ante Risk Premium'!I85</f>
        <v>0.0072785642347627105</v>
      </c>
      <c r="J85" s="7">
        <f>'Schedule 3 Ex Ante Risk Premium'!J85</f>
        <v>0.011267934799999997</v>
      </c>
    </row>
    <row r="86" spans="1:10" ht="12.75">
      <c r="A86" s="6">
        <f>'Schedule 3 Ex Ante Risk Premium'!B86</f>
        <v>38200</v>
      </c>
      <c r="B86" s="7">
        <f>'Schedule 3 Ex Ante Risk Premium'!C86</f>
        <v>0.10084231708808544</v>
      </c>
      <c r="C86" s="7">
        <f>'Schedule 3 Ex Ante Risk Premium'!D86</f>
        <v>0.0614</v>
      </c>
      <c r="D86" s="7">
        <f>'Schedule 3 Ex Ante Risk Premium'!E86</f>
        <v>0.03944231708808544</v>
      </c>
      <c r="E86" s="7">
        <f t="shared" si="4"/>
        <v>0.03944231708808544</v>
      </c>
      <c r="F86" s="7">
        <f t="shared" si="5"/>
        <v>0.03836587330201012</v>
      </c>
      <c r="G86" s="7">
        <f t="shared" si="6"/>
        <v>0.0614</v>
      </c>
      <c r="H86" s="7">
        <f t="shared" si="7"/>
        <v>0.0627</v>
      </c>
      <c r="I86" s="7">
        <f>'Schedule 3 Ex Ante Risk Premium'!I86</f>
        <v>0.008896866668210456</v>
      </c>
      <c r="J86" s="7">
        <f>'Schedule 3 Ex Ante Risk Premium'!J86</f>
        <v>0.011480642599999993</v>
      </c>
    </row>
    <row r="87" spans="1:10" ht="12.75">
      <c r="A87" s="6">
        <f>'Schedule 3 Ex Ante Risk Premium'!B87</f>
        <v>38231</v>
      </c>
      <c r="B87" s="7">
        <f>'Schedule 3 Ex Ante Risk Premium'!C87</f>
        <v>0.09762979304213368</v>
      </c>
      <c r="C87" s="7">
        <f>'Schedule 3 Ex Ante Risk Premium'!D87</f>
        <v>0.0598</v>
      </c>
      <c r="D87" s="7">
        <f>'Schedule 3 Ex Ante Risk Premium'!E87</f>
        <v>0.03782979304213368</v>
      </c>
      <c r="E87" s="7">
        <f t="shared" si="4"/>
        <v>0.03782979304213368</v>
      </c>
      <c r="F87" s="7">
        <f t="shared" si="5"/>
        <v>0.03944231708808544</v>
      </c>
      <c r="G87" s="7">
        <f t="shared" si="6"/>
        <v>0.0598</v>
      </c>
      <c r="H87" s="7">
        <f t="shared" si="7"/>
        <v>0.0614</v>
      </c>
      <c r="I87" s="7">
        <f>'Schedule 3 Ex Ante Risk Premium'!I87</f>
        <v>0.006427318984649398</v>
      </c>
      <c r="J87" s="7">
        <f>'Schedule 3 Ex Ante Risk Premium'!J87</f>
        <v>0.010915653199999993</v>
      </c>
    </row>
    <row r="88" spans="1:10" ht="12.75">
      <c r="A88" s="6">
        <f>'Schedule 3 Ex Ante Risk Premium'!B88</f>
        <v>38261</v>
      </c>
      <c r="B88" s="7">
        <f>'Schedule 3 Ex Ante Risk Premium'!C88</f>
        <v>0.09740210020865922</v>
      </c>
      <c r="C88" s="7">
        <f>'Schedule 3 Ex Ante Risk Premium'!D88</f>
        <v>0.0594</v>
      </c>
      <c r="D88" s="7">
        <f>'Schedule 3 Ex Ante Risk Premium'!E88</f>
        <v>0.03800210020865922</v>
      </c>
      <c r="E88" s="7">
        <f t="shared" si="4"/>
        <v>0.03800210020865922</v>
      </c>
      <c r="F88" s="7">
        <f t="shared" si="5"/>
        <v>0.03782979304213368</v>
      </c>
      <c r="G88" s="7">
        <f t="shared" si="6"/>
        <v>0.0594</v>
      </c>
      <c r="H88" s="7">
        <f t="shared" si="7"/>
        <v>0.0598</v>
      </c>
      <c r="I88" s="7">
        <f>'Schedule 3 Ex Ante Risk Premium'!I88</f>
        <v>0.007883456520647984</v>
      </c>
      <c r="J88" s="7">
        <f>'Schedule 3 Ex Ante Risk Premium'!J88</f>
        <v>0.0117895124</v>
      </c>
    </row>
    <row r="89" spans="1:10" ht="12.75">
      <c r="A89" s="6">
        <f>'Schedule 3 Ex Ante Risk Premium'!B89</f>
        <v>38292</v>
      </c>
      <c r="B89" s="7">
        <f>'Schedule 3 Ex Ante Risk Premium'!C89</f>
        <v>0.09622675806351774</v>
      </c>
      <c r="C89" s="7">
        <f>'Schedule 3 Ex Ante Risk Premium'!D89</f>
        <v>0.0597</v>
      </c>
      <c r="D89" s="7">
        <f>'Schedule 3 Ex Ante Risk Premium'!E89</f>
        <v>0.03652675806351774</v>
      </c>
      <c r="E89" s="7">
        <f t="shared" si="4"/>
        <v>0.03652675806351774</v>
      </c>
      <c r="F89" s="7">
        <f t="shared" si="5"/>
        <v>0.03800210020865922</v>
      </c>
      <c r="G89" s="7">
        <f t="shared" si="6"/>
        <v>0.0597</v>
      </c>
      <c r="H89" s="7">
        <f t="shared" si="7"/>
        <v>0.0594</v>
      </c>
      <c r="I89" s="7">
        <f>'Schedule 3 Ex Ante Risk Premium'!I89</f>
        <v>0.006270929957191196</v>
      </c>
      <c r="J89" s="7">
        <f>'Schedule 3 Ex Ante Risk Premium'!J89</f>
        <v>0.012407977199999996</v>
      </c>
    </row>
    <row r="90" spans="1:10" ht="12.75">
      <c r="A90" s="6">
        <f>'Schedule 3 Ex Ante Risk Premium'!B90</f>
        <v>38322</v>
      </c>
      <c r="B90" s="7">
        <f>'Schedule 3 Ex Ante Risk Premium'!C90</f>
        <v>0.09693306595026586</v>
      </c>
      <c r="C90" s="7">
        <f>'Schedule 3 Ex Ante Risk Premium'!D90</f>
        <v>0.0592</v>
      </c>
      <c r="D90" s="7">
        <f>'Schedule 3 Ex Ante Risk Premium'!E90</f>
        <v>0.03773306595026586</v>
      </c>
      <c r="E90" s="7">
        <f t="shared" si="4"/>
        <v>0.03773306595026586</v>
      </c>
      <c r="F90" s="7">
        <f t="shared" si="5"/>
        <v>0.03652675806351774</v>
      </c>
      <c r="G90" s="7">
        <f t="shared" si="6"/>
        <v>0.0592</v>
      </c>
      <c r="H90" s="7">
        <f t="shared" si="7"/>
        <v>0.0597</v>
      </c>
      <c r="I90" s="7">
        <f>'Schedule 3 Ex Ante Risk Premium'!I90</f>
        <v>0.008651849196899451</v>
      </c>
      <c r="J90" s="7">
        <f>'Schedule 3 Ex Ante Risk Premium'!J90</f>
        <v>0.011669128599999995</v>
      </c>
    </row>
    <row r="91" spans="1:10" ht="12.75">
      <c r="A91" s="6">
        <f>'Schedule 3 Ex Ante Risk Premium'!B91</f>
        <v>38353</v>
      </c>
      <c r="B91" s="7">
        <f>'Schedule 3 Ex Ante Risk Premium'!C91</f>
        <v>0.09897860400208652</v>
      </c>
      <c r="C91" s="7">
        <f>'Schedule 3 Ex Ante Risk Premium'!D91</f>
        <v>0.0578</v>
      </c>
      <c r="D91" s="7">
        <f>'Schedule 3 Ex Ante Risk Premium'!E91</f>
        <v>0.041178604002086526</v>
      </c>
      <c r="E91" s="7">
        <f t="shared" si="4"/>
        <v>0.041178604002086526</v>
      </c>
      <c r="F91" s="7">
        <f t="shared" si="5"/>
        <v>0.03773306595026586</v>
      </c>
      <c r="G91" s="7">
        <f t="shared" si="6"/>
        <v>0.0578</v>
      </c>
      <c r="H91" s="7">
        <f t="shared" si="7"/>
        <v>0.0592</v>
      </c>
      <c r="I91" s="7">
        <f>'Schedule 3 Ex Ante Risk Premium'!I91</f>
        <v>0.011136970748990956</v>
      </c>
      <c r="J91" s="7">
        <f>'Schedule 3 Ex Ante Risk Premium'!J91</f>
        <v>0.010667209599999991</v>
      </c>
    </row>
    <row r="92" spans="1:10" ht="12.75">
      <c r="A92" s="6">
        <f>'Schedule 3 Ex Ante Risk Premium'!B92</f>
        <v>38384</v>
      </c>
      <c r="B92" s="7">
        <f>'Schedule 3 Ex Ante Risk Premium'!C92</f>
        <v>0.09784662010447866</v>
      </c>
      <c r="C92" s="7">
        <f>'Schedule 3 Ex Ante Risk Premium'!D92</f>
        <v>0.0561</v>
      </c>
      <c r="D92" s="7">
        <f>'Schedule 3 Ex Ante Risk Premium'!E92</f>
        <v>0.04174662010447866</v>
      </c>
      <c r="E92" s="7">
        <f t="shared" si="4"/>
        <v>0.04174662010447866</v>
      </c>
      <c r="F92" s="7">
        <f t="shared" si="5"/>
        <v>0.041178604002086526</v>
      </c>
      <c r="G92" s="7">
        <f t="shared" si="6"/>
        <v>0.0561</v>
      </c>
      <c r="H92" s="7">
        <f t="shared" si="7"/>
        <v>0.0578</v>
      </c>
      <c r="I92" s="7">
        <f>'Schedule 3 Ex Ante Risk Premium'!I92</f>
        <v>0.008961780384969448</v>
      </c>
      <c r="J92" s="7">
        <f>'Schedule 3 Ex Ante Risk Premium'!J92</f>
        <v>0.010081836399999995</v>
      </c>
    </row>
    <row r="93" spans="1:10" ht="12.75">
      <c r="A93" s="6">
        <f>'Schedule 3 Ex Ante Risk Premium'!B93</f>
        <v>38412</v>
      </c>
      <c r="B93" s="7">
        <f>'Schedule 3 Ex Ante Risk Premium'!C93</f>
        <v>0.0978055180949904</v>
      </c>
      <c r="C93" s="7">
        <f>'Schedule 3 Ex Ante Risk Premium'!D93</f>
        <v>0.0583</v>
      </c>
      <c r="D93" s="7">
        <f>'Schedule 3 Ex Ante Risk Premium'!E93</f>
        <v>0.0395055180949904</v>
      </c>
      <c r="E93" s="7">
        <f t="shared" si="4"/>
        <v>0.0395055180949904</v>
      </c>
      <c r="F93" s="7">
        <f t="shared" si="5"/>
        <v>0.04174662010447866</v>
      </c>
      <c r="G93" s="7">
        <f t="shared" si="6"/>
        <v>0.0583</v>
      </c>
      <c r="H93" s="7">
        <f t="shared" si="7"/>
        <v>0.0561</v>
      </c>
      <c r="I93" s="7">
        <f>'Schedule 3 Ex Ante Risk Premium'!I93</f>
        <v>0.006268445539368457</v>
      </c>
      <c r="J93" s="7">
        <f>'Schedule 3 Ex Ante Risk Premium'!J93</f>
        <v>0.013635311800000001</v>
      </c>
    </row>
    <row r="94" spans="1:10" ht="12.75">
      <c r="A94" s="6">
        <f>'Schedule 3 Ex Ante Risk Premium'!B94</f>
        <v>38443</v>
      </c>
      <c r="B94" s="7">
        <f>'Schedule 3 Ex Ante Risk Premium'!C94</f>
        <v>0.0987798663509085</v>
      </c>
      <c r="C94" s="7">
        <f>'Schedule 3 Ex Ante Risk Premium'!D94</f>
        <v>0.0564</v>
      </c>
      <c r="D94" s="7">
        <f>'Schedule 3 Ex Ante Risk Premium'!E94</f>
        <v>0.042379866350908506</v>
      </c>
      <c r="E94" s="7">
        <f t="shared" si="4"/>
        <v>0.042379866350908506</v>
      </c>
      <c r="F94" s="7">
        <f t="shared" si="5"/>
        <v>0.0395055180949904</v>
      </c>
      <c r="G94" s="7">
        <f t="shared" si="6"/>
        <v>0.0564</v>
      </c>
      <c r="H94" s="7">
        <f t="shared" si="7"/>
        <v>0.0583</v>
      </c>
      <c r="I94" s="7">
        <f>'Schedule 3 Ex Ante Risk Premium'!I94</f>
        <v>0.010927074053364759</v>
      </c>
      <c r="J94" s="7">
        <f>'Schedule 3 Ex Ante Risk Premium'!J94</f>
        <v>0.009983755399999995</v>
      </c>
    </row>
    <row r="95" spans="1:10" ht="12.75">
      <c r="A95" s="6">
        <f>'Schedule 3 Ex Ante Risk Premium'!B95</f>
        <v>38473</v>
      </c>
      <c r="B95" s="7">
        <f>'Schedule 3 Ex Ante Risk Premium'!C95</f>
        <v>0.0980564823731542</v>
      </c>
      <c r="C95" s="7">
        <f>'Schedule 3 Ex Ante Risk Premium'!D95</f>
        <v>0.0553333333</v>
      </c>
      <c r="D95" s="7">
        <f>'Schedule 3 Ex Ante Risk Premium'!E95</f>
        <v>0.0427231490731542</v>
      </c>
      <c r="E95" s="7">
        <f t="shared" si="4"/>
        <v>0.0427231490731542</v>
      </c>
      <c r="F95" s="7">
        <f t="shared" si="5"/>
        <v>0.042379866350908506</v>
      </c>
      <c r="G95" s="7">
        <f t="shared" si="6"/>
        <v>0.0553333333</v>
      </c>
      <c r="H95" s="7">
        <f t="shared" si="7"/>
        <v>0.0564</v>
      </c>
      <c r="I95" s="7">
        <f>'Schedule 3 Ex Ante Risk Premium'!I95</f>
        <v>0.008981909919482181</v>
      </c>
      <c r="J95" s="7">
        <f>'Schedule 3 Ex Ante Risk Premium'!J95</f>
        <v>0.010429796500000005</v>
      </c>
    </row>
    <row r="96" spans="1:10" ht="12.75">
      <c r="A96" s="6">
        <f>'Schedule 3 Ex Ante Risk Premium'!B96</f>
        <v>38504</v>
      </c>
      <c r="B96" s="7">
        <f>'Schedule 3 Ex Ante Risk Premium'!C96</f>
        <v>0.09761307902696384</v>
      </c>
      <c r="C96" s="7">
        <f>'Schedule 3 Ex Ante Risk Premium'!D96</f>
        <v>0.054</v>
      </c>
      <c r="D96" s="7">
        <f>'Schedule 3 Ex Ante Risk Premium'!E96</f>
        <v>0.04361307902696384</v>
      </c>
      <c r="E96" s="7">
        <f t="shared" si="4"/>
        <v>0.04361307902696384</v>
      </c>
      <c r="F96" s="7">
        <f t="shared" si="5"/>
        <v>0.0427231490731542</v>
      </c>
      <c r="G96" s="7">
        <f t="shared" si="6"/>
        <v>0.054</v>
      </c>
      <c r="H96" s="7">
        <f t="shared" si="7"/>
        <v>0.0553333333</v>
      </c>
      <c r="I96" s="7">
        <f>'Schedule 3 Ex Ante Risk Premium'!I96</f>
        <v>0.009598531214583247</v>
      </c>
      <c r="J96" s="7">
        <f>'Schedule 3 Ex Ante Risk Premium'!J96</f>
        <v>0.009945702693205397</v>
      </c>
    </row>
    <row r="97" spans="1:10" ht="12.75">
      <c r="A97" s="6">
        <f>'Schedule 3 Ex Ante Risk Premium'!B97</f>
        <v>38534</v>
      </c>
      <c r="B97" s="7">
        <f>'Schedule 3 Ex Ante Risk Premium'!C97</f>
        <v>0.0965134569026773</v>
      </c>
      <c r="C97" s="7">
        <f>'Schedule 3 Ex Ante Risk Premium'!D97</f>
        <v>0.0551</v>
      </c>
      <c r="D97" s="7">
        <f>'Schedule 3 Ex Ante Risk Premium'!E97</f>
        <v>0.0414134569026773</v>
      </c>
      <c r="E97" s="7">
        <f t="shared" si="4"/>
        <v>0.0414134569026773</v>
      </c>
      <c r="F97" s="7">
        <f t="shared" si="5"/>
        <v>0.04361307902696384</v>
      </c>
      <c r="G97" s="7">
        <f t="shared" si="6"/>
        <v>0.0551</v>
      </c>
      <c r="H97" s="7">
        <f t="shared" si="7"/>
        <v>0.054</v>
      </c>
      <c r="I97" s="7">
        <f>'Schedule 3 Ex Ante Risk Premium'!I97</f>
        <v>0.006690380678411718</v>
      </c>
      <c r="J97" s="7">
        <f>'Schedule 3 Ex Ante Risk Premium'!J97</f>
        <v>0.012107251999999999</v>
      </c>
    </row>
    <row r="98" spans="1:10" ht="12.75">
      <c r="A98" s="6">
        <f>'Schedule 3 Ex Ante Risk Premium'!B98</f>
        <v>38565</v>
      </c>
      <c r="B98" s="7">
        <f>'Schedule 3 Ex Ante Risk Premium'!C98</f>
        <v>0.09680247998955657</v>
      </c>
      <c r="C98" s="7">
        <f>'Schedule 3 Ex Ante Risk Premium'!D98</f>
        <v>0.055</v>
      </c>
      <c r="D98" s="7">
        <f>'Schedule 3 Ex Ante Risk Premium'!E98</f>
        <v>0.04180247998955657</v>
      </c>
      <c r="E98" s="7">
        <f t="shared" si="4"/>
        <v>0.04180247998955657</v>
      </c>
      <c r="F98" s="7">
        <f t="shared" si="5"/>
        <v>0.0414134569026773</v>
      </c>
      <c r="G98" s="7">
        <f t="shared" si="6"/>
        <v>0.055</v>
      </c>
      <c r="H98" s="7">
        <f t="shared" si="7"/>
        <v>0.0551</v>
      </c>
      <c r="I98" s="7">
        <f>'Schedule 3 Ex Ante Risk Premium'!I98</f>
        <v>0.008830659315007205</v>
      </c>
      <c r="J98" s="7">
        <f>'Schedule 3 Ex Ante Risk Premium'!J98</f>
        <v>0.011131473799999993</v>
      </c>
    </row>
    <row r="99" spans="1:10" ht="12.75">
      <c r="A99" s="6">
        <f>'Schedule 3 Ex Ante Risk Premium'!B99</f>
        <v>38596</v>
      </c>
      <c r="B99" s="7">
        <f>'Schedule 3 Ex Ante Risk Premium'!C99</f>
        <v>0.09796433604445232</v>
      </c>
      <c r="C99" s="7">
        <f>'Schedule 3 Ex Ante Risk Premium'!D99</f>
        <v>0.0552</v>
      </c>
      <c r="D99" s="7">
        <f>'Schedule 3 Ex Ante Risk Premium'!E99</f>
        <v>0.04276433604445232</v>
      </c>
      <c r="E99" s="7">
        <f t="shared" si="4"/>
        <v>0.04276433604445232</v>
      </c>
      <c r="F99" s="7">
        <f t="shared" si="5"/>
        <v>0.04180247998955657</v>
      </c>
      <c r="G99" s="7">
        <f t="shared" si="6"/>
        <v>0.0552</v>
      </c>
      <c r="H99" s="7">
        <f t="shared" si="7"/>
        <v>0.055</v>
      </c>
      <c r="I99" s="7">
        <f>'Schedule 3 Ex Ante Risk Premium'!I99</f>
        <v>0.009482789971006975</v>
      </c>
      <c r="J99" s="7">
        <f>'Schedule 3 Ex Ante Risk Premium'!J99</f>
        <v>0.011411089999999999</v>
      </c>
    </row>
    <row r="100" spans="1:10" ht="12.75">
      <c r="A100" s="6">
        <f>'Schedule 3 Ex Ante Risk Premium'!B100</f>
        <v>38626</v>
      </c>
      <c r="B100" s="7">
        <f>'Schedule 3 Ex Ante Risk Premium'!C100</f>
        <v>0.09894257557167457</v>
      </c>
      <c r="C100" s="7">
        <f>'Schedule 3 Ex Ante Risk Premium'!D100</f>
        <v>0.0579</v>
      </c>
      <c r="D100" s="7">
        <f>'Schedule 3 Ex Ante Risk Premium'!E100</f>
        <v>0.041042575571674574</v>
      </c>
      <c r="E100" s="7">
        <f t="shared" si="4"/>
        <v>0.041042575571674574</v>
      </c>
      <c r="F100" s="7">
        <f t="shared" si="5"/>
        <v>0.04276433604445232</v>
      </c>
      <c r="G100" s="7">
        <f t="shared" si="6"/>
        <v>0.0579</v>
      </c>
      <c r="H100" s="7">
        <f t="shared" si="7"/>
        <v>0.0552</v>
      </c>
      <c r="I100" s="7">
        <f>'Schedule 3 Ex Ante Risk Premium'!I100</f>
        <v>0.0069952362578513255</v>
      </c>
      <c r="J100" s="7">
        <f>'Schedule 3 Ex Ante Risk Premium'!J100</f>
        <v>0.0139518576</v>
      </c>
    </row>
    <row r="101" spans="1:10" ht="12.75">
      <c r="A101" s="6">
        <f>'Schedule 3 Ex Ante Risk Premium'!B101</f>
        <v>38657</v>
      </c>
      <c r="B101" s="7">
        <f>'Schedule 3 Ex Ante Risk Premium'!C101</f>
        <v>0.1048147000799522</v>
      </c>
      <c r="C101" s="7">
        <f>'Schedule 3 Ex Ante Risk Premium'!D101</f>
        <v>0.0588</v>
      </c>
      <c r="D101" s="7">
        <f>'Schedule 3 Ex Ante Risk Premium'!E101</f>
        <v>0.046014700079952196</v>
      </c>
      <c r="E101" s="7">
        <f t="shared" si="4"/>
        <v>0.046014700079952196</v>
      </c>
      <c r="F101" s="7">
        <f t="shared" si="5"/>
        <v>0.041042575571674574</v>
      </c>
      <c r="G101" s="7">
        <f t="shared" si="6"/>
        <v>0.0588</v>
      </c>
      <c r="H101" s="7">
        <f t="shared" si="7"/>
        <v>0.0579</v>
      </c>
      <c r="I101" s="7">
        <f>'Schedule 3 Ex Ante Risk Premium'!I101</f>
        <v>0.013338161027656621</v>
      </c>
      <c r="J101" s="7">
        <f>'Schedule 3 Ex Ante Risk Premium'!J101</f>
        <v>0.012702220199999996</v>
      </c>
    </row>
    <row r="102" spans="1:10" ht="12.75">
      <c r="A102" s="6">
        <f>'Schedule 3 Ex Ante Risk Premium'!B102</f>
        <v>38687</v>
      </c>
      <c r="B102" s="7">
        <f>'Schedule 3 Ex Ante Risk Premium'!C102</f>
        <v>0.10444894742103204</v>
      </c>
      <c r="C102" s="7">
        <f>'Schedule 3 Ex Ante Risk Premium'!D102</f>
        <v>0.058</v>
      </c>
      <c r="D102" s="7">
        <f>'Schedule 3 Ex Ante Risk Premium'!E102</f>
        <v>0.04644894742103204</v>
      </c>
      <c r="E102" s="7">
        <f t="shared" si="4"/>
        <v>0.04644894742103204</v>
      </c>
      <c r="F102" s="7">
        <f t="shared" si="5"/>
        <v>0.046014700079952196</v>
      </c>
      <c r="G102" s="7">
        <f t="shared" si="6"/>
        <v>0.058</v>
      </c>
      <c r="H102" s="7">
        <f t="shared" si="7"/>
        <v>0.0588</v>
      </c>
      <c r="I102" s="7">
        <f>'Schedule 3 Ex Ante Risk Premium'!I102</f>
        <v>0.009813791775977139</v>
      </c>
      <c r="J102" s="7">
        <f>'Schedule 3 Ex Ante Risk Premium'!J102</f>
        <v>0.011185674400000005</v>
      </c>
    </row>
    <row r="103" spans="1:10" ht="12.75">
      <c r="A103" s="6">
        <f>'Schedule 3 Ex Ante Risk Premium'!B103</f>
        <v>38718</v>
      </c>
      <c r="B103" s="7">
        <f>'Schedule 3 Ex Ante Risk Premium'!C103</f>
        <v>0.0980993217054818</v>
      </c>
      <c r="C103" s="7">
        <f>'Schedule 3 Ex Ante Risk Premium'!D103</f>
        <v>0.0575</v>
      </c>
      <c r="D103" s="7">
        <f>'Schedule 3 Ex Ante Risk Premium'!E103</f>
        <v>0.0405993217054818</v>
      </c>
      <c r="E103" s="7">
        <f t="shared" si="4"/>
        <v>0.0405993217054818</v>
      </c>
      <c r="F103" s="7">
        <f t="shared" si="5"/>
        <v>0.04644894742103204</v>
      </c>
      <c r="G103" s="7">
        <f t="shared" si="6"/>
        <v>0.0575</v>
      </c>
      <c r="H103" s="7">
        <f t="shared" si="7"/>
        <v>0.058</v>
      </c>
      <c r="I103" s="7">
        <f>'Schedule 3 Ex Ante Risk Premium'!I103</f>
        <v>0.003618434828858083</v>
      </c>
      <c r="J103" s="7">
        <f>'Schedule 3 Ex Ante Risk Premium'!J103</f>
        <v>0.011322604</v>
      </c>
    </row>
    <row r="104" spans="1:10" ht="12.75">
      <c r="A104" s="6">
        <f>'Schedule 3 Ex Ante Risk Premium'!B104</f>
        <v>38749</v>
      </c>
      <c r="B104" s="7">
        <f>'Schedule 3 Ex Ante Risk Premium'!C104</f>
        <v>0.11231711545969397</v>
      </c>
      <c r="C104" s="7">
        <f>'Schedule 3 Ex Ante Risk Premium'!D104</f>
        <v>0.0582</v>
      </c>
      <c r="D104" s="7">
        <f>'Schedule 3 Ex Ante Risk Premium'!E104</f>
        <v>0.05411711545969397</v>
      </c>
      <c r="E104" s="7">
        <f t="shared" si="4"/>
        <v>0.05411711545969397</v>
      </c>
      <c r="F104" s="7">
        <f t="shared" si="5"/>
        <v>0.0405993217054818</v>
      </c>
      <c r="G104" s="7">
        <f t="shared" si="6"/>
        <v>0.0582</v>
      </c>
      <c r="H104" s="7">
        <f t="shared" si="7"/>
        <v>0.0575</v>
      </c>
      <c r="I104" s="7">
        <f>'Schedule 3 Ex Ante Risk Premium'!I104</f>
        <v>0.021793478292014168</v>
      </c>
      <c r="J104" s="7">
        <f>'Schedule 3 Ex Ante Risk Premium'!J104</f>
        <v>0.012420685</v>
      </c>
    </row>
    <row r="105" spans="1:10" ht="12.75">
      <c r="A105" s="6">
        <f>'Schedule 3 Ex Ante Risk Premium'!B105</f>
        <v>38777</v>
      </c>
      <c r="B105" s="7">
        <f>'Schedule 3 Ex Ante Risk Premium'!C105</f>
        <v>0.11262877447148811</v>
      </c>
      <c r="C105" s="7">
        <f>'Schedule 3 Ex Ante Risk Premium'!D105</f>
        <v>0.0598</v>
      </c>
      <c r="D105" s="7">
        <f>'Schedule 3 Ex Ante Risk Premium'!E105</f>
        <v>0.052828774471488114</v>
      </c>
      <c r="E105" s="7">
        <f t="shared" si="4"/>
        <v>0.052828774471488114</v>
      </c>
      <c r="F105" s="7">
        <f t="shared" si="5"/>
        <v>0.05411711545969397</v>
      </c>
      <c r="G105" s="7">
        <f t="shared" si="6"/>
        <v>0.0598</v>
      </c>
      <c r="H105" s="7">
        <f t="shared" si="7"/>
        <v>0.0582</v>
      </c>
      <c r="I105" s="7">
        <f>'Schedule 3 Ex Ante Risk Premium'!I105</f>
        <v>0.00974278359286724</v>
      </c>
      <c r="J105" s="7">
        <f>'Schedule 3 Ex Ante Risk Premium'!J105</f>
        <v>0.013463371599999996</v>
      </c>
    </row>
    <row r="106" spans="1:10" ht="12.75">
      <c r="A106" s="6">
        <f>'Schedule 3 Ex Ante Risk Premium'!B106</f>
        <v>38808</v>
      </c>
      <c r="B106" s="7">
        <f>'Schedule 3 Ex Ante Risk Premium'!C106</f>
        <v>0.10992281571682502</v>
      </c>
      <c r="C106" s="7">
        <f>'Schedule 3 Ex Ante Risk Premium'!D106</f>
        <v>0.0629</v>
      </c>
      <c r="D106" s="7">
        <f>'Schedule 3 Ex Ante Risk Premium'!E106</f>
        <v>0.047022815716825025</v>
      </c>
      <c r="E106" s="7">
        <f t="shared" si="4"/>
        <v>0.047022815716825025</v>
      </c>
      <c r="F106" s="7">
        <f t="shared" si="5"/>
        <v>0.052828774471488114</v>
      </c>
      <c r="G106" s="7">
        <f t="shared" si="6"/>
        <v>0.0629</v>
      </c>
      <c r="H106" s="7">
        <f t="shared" si="7"/>
        <v>0.0598</v>
      </c>
      <c r="I106" s="7">
        <f>'Schedule 3 Ex Ante Risk Premium'!I106</f>
        <v>0.004962552976056106</v>
      </c>
      <c r="J106" s="7">
        <f>'Schedule 3 Ex Ante Risk Premium'!J106</f>
        <v>0.015289512399999997</v>
      </c>
    </row>
    <row r="107" spans="1:10" ht="12.75">
      <c r="A107" s="6">
        <f>'Schedule 3 Ex Ante Risk Premium'!B107</f>
        <v>38838</v>
      </c>
      <c r="B107" s="7">
        <f>'Schedule 3 Ex Ante Risk Premium'!C107</f>
        <v>0.10554088755410505</v>
      </c>
      <c r="C107" s="7">
        <f>'Schedule 3 Ex Ante Risk Premium'!D107</f>
        <v>0.0642</v>
      </c>
      <c r="D107" s="7">
        <f>'Schedule 3 Ex Ante Risk Premium'!E107</f>
        <v>0.04134088755410506</v>
      </c>
      <c r="E107" s="7">
        <f t="shared" si="4"/>
        <v>0.04134088755410506</v>
      </c>
      <c r="F107" s="7">
        <f t="shared" si="5"/>
        <v>0.047022815716825025</v>
      </c>
      <c r="G107" s="7">
        <f t="shared" si="6"/>
        <v>0.0642</v>
      </c>
      <c r="H107" s="7">
        <f t="shared" si="7"/>
        <v>0.0629</v>
      </c>
      <c r="I107" s="7">
        <f>'Schedule 3 Ex Ante Risk Premium'!I107</f>
        <v>0.0039031085473662103</v>
      </c>
      <c r="J107" s="7">
        <f>'Schedule 3 Ex Ante Risk Premium'!J107</f>
        <v>0.01412141019999999</v>
      </c>
    </row>
    <row r="108" spans="1:10" ht="12.75">
      <c r="A108" s="6">
        <f>'Schedule 3 Ex Ante Risk Premium'!B108</f>
        <v>38869</v>
      </c>
      <c r="B108" s="7">
        <f>'Schedule 3 Ex Ante Risk Premium'!C108</f>
        <v>0.10486680850307183</v>
      </c>
      <c r="C108" s="7">
        <f>'Schedule 3 Ex Ante Risk Premium'!D108</f>
        <v>0.064</v>
      </c>
      <c r="D108" s="7">
        <f>'Schedule 3 Ex Ante Risk Premium'!E108</f>
        <v>0.040866808503071825</v>
      </c>
      <c r="E108" s="7">
        <f t="shared" si="4"/>
        <v>0.040866808503071825</v>
      </c>
      <c r="F108" s="7">
        <f t="shared" si="5"/>
        <v>0.04134088755410506</v>
      </c>
      <c r="G108" s="7">
        <f t="shared" si="6"/>
        <v>0.064</v>
      </c>
      <c r="H108" s="7">
        <f t="shared" si="7"/>
        <v>0.0642</v>
      </c>
      <c r="I108" s="7">
        <f>'Schedule 3 Ex Ante Risk Premium'!I108</f>
        <v>0.00795276478622043</v>
      </c>
      <c r="J108" s="7">
        <f>'Schedule 3 Ex Ante Risk Premium'!J108</f>
        <v>0.012886399600000008</v>
      </c>
    </row>
    <row r="109" spans="1:10" ht="12.75">
      <c r="A109" s="6">
        <f>'Schedule 3 Ex Ante Risk Premium'!B109</f>
        <v>38899</v>
      </c>
      <c r="B109" s="7">
        <f>'Schedule 3 Ex Ante Risk Premium'!C109</f>
        <v>0.10868039891111672</v>
      </c>
      <c r="C109" s="7">
        <f>'Schedule 3 Ex Ante Risk Premium'!D109</f>
        <v>0.0637</v>
      </c>
      <c r="D109" s="7">
        <f>'Schedule 3 Ex Ante Risk Premium'!E109</f>
        <v>0.044980398911116715</v>
      </c>
      <c r="E109" s="7">
        <f t="shared" si="4"/>
        <v>0.044980398911116715</v>
      </c>
      <c r="F109" s="7">
        <f t="shared" si="5"/>
        <v>0.040866808503071825</v>
      </c>
      <c r="G109" s="7">
        <f t="shared" si="6"/>
        <v>0.0637</v>
      </c>
      <c r="H109" s="7">
        <f t="shared" si="7"/>
        <v>0.064</v>
      </c>
      <c r="I109" s="7">
        <f>'Schedule 3 Ex Ante Risk Premium'!I109</f>
        <v>0.012443798919694042</v>
      </c>
      <c r="J109" s="7">
        <f>'Schedule 3 Ex Ante Risk Premium'!J109</f>
        <v>0.012745632</v>
      </c>
    </row>
    <row r="110" spans="1:10" ht="12.75">
      <c r="A110" s="6">
        <f>'Schedule 3 Ex Ante Risk Premium'!B110</f>
        <v>38930</v>
      </c>
      <c r="B110" s="7">
        <f>'Schedule 3 Ex Ante Risk Premium'!C110</f>
        <v>0.10406112603243624</v>
      </c>
      <c r="C110" s="7">
        <f>'Schedule 3 Ex Ante Risk Premium'!D110</f>
        <v>0.062</v>
      </c>
      <c r="D110" s="7">
        <f>'Schedule 3 Ex Ante Risk Premium'!E110</f>
        <v>0.04206112603243624</v>
      </c>
      <c r="E110" s="7">
        <f t="shared" si="4"/>
        <v>0.04206112603243624</v>
      </c>
      <c r="F110" s="7">
        <f t="shared" si="5"/>
        <v>0.044980398911116715</v>
      </c>
      <c r="G110" s="7">
        <f t="shared" si="6"/>
        <v>0.062</v>
      </c>
      <c r="H110" s="7">
        <f t="shared" si="7"/>
        <v>0.0637</v>
      </c>
      <c r="I110" s="7">
        <f>'Schedule 3 Ex Ante Risk Premium'!I110</f>
        <v>0.006249441674563733</v>
      </c>
      <c r="J110" s="7">
        <f>'Schedule 3 Ex Ante Risk Premium'!J110</f>
        <v>0.011284480599999994</v>
      </c>
    </row>
    <row r="111" spans="1:10" ht="12.75">
      <c r="A111" s="6">
        <f>'Schedule 3 Ex Ante Risk Premium'!B111</f>
        <v>38961</v>
      </c>
      <c r="B111" s="7">
        <f>'Schedule 3 Ex Ante Risk Premium'!C111</f>
        <v>0.10525077486782855</v>
      </c>
      <c r="C111" s="7">
        <f>'Schedule 3 Ex Ante Risk Premium'!D111</f>
        <v>0.06</v>
      </c>
      <c r="D111" s="7">
        <f>'Schedule 3 Ex Ante Risk Premium'!E111</f>
        <v>0.04525077486782855</v>
      </c>
      <c r="E111" s="7">
        <f t="shared" si="4"/>
        <v>0.04525077486782855</v>
      </c>
      <c r="F111" s="7">
        <f t="shared" si="5"/>
        <v>0.04206112603243624</v>
      </c>
      <c r="G111" s="7">
        <f t="shared" si="6"/>
        <v>0.06</v>
      </c>
      <c r="H111" s="7">
        <f t="shared" si="7"/>
        <v>0.062</v>
      </c>
      <c r="I111" s="7">
        <f>'Schedule 3 Ex Ante Risk Premium'!I111</f>
        <v>0.01176330464359205</v>
      </c>
      <c r="J111" s="7">
        <f>'Schedule 3 Ex Ante Risk Premium'!J111</f>
        <v>0.010637955999999997</v>
      </c>
    </row>
    <row r="112" spans="1:10" ht="12.75">
      <c r="A112" s="6">
        <f>'Schedule 3 Ex Ante Risk Premium'!B112</f>
        <v>38991</v>
      </c>
      <c r="B112" s="7">
        <f>'Schedule 3 Ex Ante Risk Premium'!C112</f>
        <v>0.10293787809943575</v>
      </c>
      <c r="C112" s="7">
        <f>'Schedule 3 Ex Ante Risk Premium'!D112</f>
        <v>0.0598</v>
      </c>
      <c r="D112" s="7">
        <f>'Schedule 3 Ex Ante Risk Premium'!E112</f>
        <v>0.04313787809943575</v>
      </c>
      <c r="E112" s="7">
        <f t="shared" si="4"/>
        <v>0.04313787809943575</v>
      </c>
      <c r="F112" s="7">
        <f t="shared" si="5"/>
        <v>0.04525077486782855</v>
      </c>
      <c r="G112" s="7">
        <f t="shared" si="6"/>
        <v>0.0598</v>
      </c>
      <c r="H112" s="7">
        <f t="shared" si="7"/>
        <v>0.06</v>
      </c>
      <c r="I112" s="7">
        <f>'Schedule 3 Ex Ante Risk Premium'!I112</f>
        <v>0.007110930679115633</v>
      </c>
      <c r="J112" s="7">
        <f>'Schedule 3 Ex Ante Risk Premium'!J112</f>
        <v>0.012030279999999997</v>
      </c>
    </row>
    <row r="113" spans="1:10" ht="12.75">
      <c r="A113" s="6">
        <f>'Schedule 3 Ex Ante Risk Premium'!B113</f>
        <v>39022</v>
      </c>
      <c r="B113" s="7">
        <f>'Schedule 3 Ex Ante Risk Premium'!C113</f>
        <v>0.10658201893235567</v>
      </c>
      <c r="C113" s="7">
        <f>'Schedule 3 Ex Ante Risk Premium'!D113</f>
        <v>0.058</v>
      </c>
      <c r="D113" s="7">
        <f>'Schedule 3 Ex Ante Risk Premium'!E113</f>
        <v>0.04858201893235566</v>
      </c>
      <c r="E113" s="7">
        <f t="shared" si="4"/>
        <v>0.04858201893235566</v>
      </c>
      <c r="F113" s="7">
        <f t="shared" si="5"/>
        <v>0.04313787809943575</v>
      </c>
      <c r="G113" s="7">
        <f t="shared" si="6"/>
        <v>0.058</v>
      </c>
      <c r="H113" s="7">
        <f t="shared" si="7"/>
        <v>0.0598</v>
      </c>
      <c r="I113" s="7">
        <f>'Schedule 3 Ex Ante Risk Premium'!I113</f>
        <v>0.014237279628952694</v>
      </c>
      <c r="J113" s="7">
        <f>'Schedule 3 Ex Ante Risk Premium'!J113</f>
        <v>0.010389512400000002</v>
      </c>
    </row>
    <row r="114" spans="1:10" ht="12.75">
      <c r="A114" s="6">
        <f>'Schedule 3 Ex Ante Risk Premium'!B114</f>
        <v>39052</v>
      </c>
      <c r="B114" s="7">
        <f>'Schedule 3 Ex Ante Risk Premium'!C114</f>
        <v>0.10339912349200231</v>
      </c>
      <c r="C114" s="7">
        <f>'Schedule 3 Ex Ante Risk Premium'!D114</f>
        <v>0.0581</v>
      </c>
      <c r="D114" s="7">
        <f>'Schedule 3 Ex Ante Risk Premium'!E114</f>
        <v>0.04529912349200231</v>
      </c>
      <c r="E114" s="7">
        <f t="shared" si="4"/>
        <v>0.04529912349200231</v>
      </c>
      <c r="F114" s="7">
        <f t="shared" si="5"/>
        <v>0.04858201893235566</v>
      </c>
      <c r="G114" s="7">
        <f t="shared" si="6"/>
        <v>0.0581</v>
      </c>
      <c r="H114" s="7">
        <f t="shared" si="7"/>
        <v>0.058</v>
      </c>
      <c r="I114" s="7">
        <f>'Schedule 3 Ex Ante Risk Premium'!I114</f>
        <v>0.006619966134780157</v>
      </c>
      <c r="J114" s="7">
        <f>'Schedule 3 Ex Ante Risk Premium'!J114</f>
        <v>0.011922603999999996</v>
      </c>
    </row>
    <row r="115" spans="1:10" ht="12.75">
      <c r="A115" s="6">
        <f>'Schedule 3 Ex Ante Risk Premium'!B115</f>
        <v>39083</v>
      </c>
      <c r="B115" s="7">
        <f>'Schedule 3 Ex Ante Risk Premium'!C115</f>
        <v>0.10126477966421189</v>
      </c>
      <c r="C115" s="7">
        <f>'Schedule 3 Ex Ante Risk Premium'!D115</f>
        <v>0.0596</v>
      </c>
      <c r="D115" s="7">
        <f>'Schedule 3 Ex Ante Risk Premium'!E115</f>
        <v>0.04166477966421189</v>
      </c>
      <c r="E115" s="7">
        <f t="shared" si="4"/>
        <v>0.04166477966421189</v>
      </c>
      <c r="F115" s="7">
        <f>D114</f>
        <v>0.04529912349200231</v>
      </c>
      <c r="G115" s="7">
        <f>C115</f>
        <v>0.0596</v>
      </c>
      <c r="H115" s="7">
        <f>C114</f>
        <v>0.0581</v>
      </c>
      <c r="I115" s="7">
        <f>'Schedule 3 Ex Ante Risk Premium'!I115</f>
        <v>0.005599338906572347</v>
      </c>
      <c r="J115" s="7">
        <f>'Schedule 3 Ex Ante Risk Premium'!J115</f>
        <v>0.013342987799999997</v>
      </c>
    </row>
    <row r="116" spans="1:10" ht="12.75">
      <c r="A116" s="6">
        <f>'Schedule 3 Ex Ante Risk Premium'!B116</f>
        <v>39114</v>
      </c>
      <c r="B116" s="7">
        <f>'Schedule 3 Ex Ante Risk Premium'!C116</f>
        <v>0.09911648933257716</v>
      </c>
      <c r="C116" s="7">
        <f>'Schedule 3 Ex Ante Risk Premium'!D116</f>
        <v>0.059</v>
      </c>
      <c r="D116" s="7">
        <f>'Schedule 3 Ex Ante Risk Premium'!E116</f>
        <v>0.040116489332577165</v>
      </c>
      <c r="E116" s="7">
        <f t="shared" si="4"/>
        <v>0.040116489332577165</v>
      </c>
      <c r="F116" s="7">
        <f>D115</f>
        <v>0.04166477966421189</v>
      </c>
      <c r="G116" s="7">
        <f>C116</f>
        <v>0.059</v>
      </c>
      <c r="H116" s="7">
        <f>C115</f>
        <v>0.0596</v>
      </c>
      <c r="I116" s="7">
        <f>'Schedule 3 Ex Ante Risk Premium'!I116</f>
        <v>0.006944575025558897</v>
      </c>
      <c r="J116" s="7">
        <f>'Schedule 3 Ex Ante Risk Premium'!J116</f>
        <v>0.011548744799999996</v>
      </c>
    </row>
    <row r="117" ht="12.75">
      <c r="A117" s="6"/>
    </row>
    <row r="118" ht="12.75">
      <c r="A118" s="6"/>
    </row>
    <row r="119" ht="12.75">
      <c r="A119" s="6"/>
    </row>
    <row r="120" ht="12.75">
      <c r="A120" s="6"/>
    </row>
    <row r="121" ht="12.75">
      <c r="A121" s="6"/>
    </row>
    <row r="122" ht="12.75">
      <c r="A122" s="6"/>
    </row>
    <row r="123" ht="12.75">
      <c r="A123" s="6"/>
    </row>
    <row r="124" ht="12.75">
      <c r="A124" s="6"/>
    </row>
    <row r="125" ht="12.75">
      <c r="A125" s="6"/>
    </row>
    <row r="126" ht="12.75">
      <c r="A126" s="6"/>
    </row>
    <row r="127" ht="12.75">
      <c r="A127" s="6"/>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A30"/>
  <sheetViews>
    <sheetView workbookViewId="0" topLeftCell="A1">
      <selection activeCell="A1" sqref="A1"/>
    </sheetView>
  </sheetViews>
  <sheetFormatPr defaultColWidth="9.140625" defaultRowHeight="12.75"/>
  <sheetData>
    <row r="1" ht="13.5">
      <c r="A1" s="1" t="s">
        <v>261</v>
      </c>
    </row>
    <row r="2" ht="13.5">
      <c r="A2" s="1" t="s">
        <v>250</v>
      </c>
    </row>
    <row r="3" ht="13.5">
      <c r="A3" s="1" t="s">
        <v>740</v>
      </c>
    </row>
    <row r="4" ht="13.5">
      <c r="A4" s="1" t="s">
        <v>741</v>
      </c>
    </row>
    <row r="5" ht="13.5">
      <c r="A5" s="1" t="s">
        <v>250</v>
      </c>
    </row>
    <row r="6" ht="13.5">
      <c r="A6" s="1" t="s">
        <v>264</v>
      </c>
    </row>
    <row r="7" ht="13.5">
      <c r="A7" s="1" t="s">
        <v>265</v>
      </c>
    </row>
    <row r="8" ht="13.5">
      <c r="A8" s="1" t="s">
        <v>250</v>
      </c>
    </row>
    <row r="9" ht="13.5">
      <c r="A9" s="1" t="s">
        <v>742</v>
      </c>
    </row>
    <row r="10" ht="13.5">
      <c r="A10" s="1" t="s">
        <v>743</v>
      </c>
    </row>
    <row r="11" ht="13.5">
      <c r="A11" s="1" t="s">
        <v>250</v>
      </c>
    </row>
    <row r="12" ht="13.5">
      <c r="A12" s="1"/>
    </row>
    <row r="13" ht="13.5">
      <c r="A13" s="1"/>
    </row>
    <row r="14" ht="13.5">
      <c r="A14" s="1" t="s">
        <v>259</v>
      </c>
    </row>
    <row r="15" ht="13.5">
      <c r="A15" s="1" t="s">
        <v>250</v>
      </c>
    </row>
    <row r="16" ht="13.5">
      <c r="A16" s="1" t="s">
        <v>260</v>
      </c>
    </row>
    <row r="17" ht="13.5">
      <c r="A17" s="1" t="s">
        <v>250</v>
      </c>
    </row>
    <row r="18" ht="13.5">
      <c r="A18" s="1" t="s">
        <v>744</v>
      </c>
    </row>
    <row r="19" ht="13.5">
      <c r="A19" s="1" t="s">
        <v>745</v>
      </c>
    </row>
    <row r="20" ht="13.5">
      <c r="A20" s="1" t="s">
        <v>250</v>
      </c>
    </row>
    <row r="21" ht="13.5">
      <c r="A21" s="1" t="s">
        <v>746</v>
      </c>
    </row>
    <row r="22" ht="13.5">
      <c r="A22" s="1"/>
    </row>
    <row r="23" ht="13.5">
      <c r="A23" s="1" t="s">
        <v>747</v>
      </c>
    </row>
    <row r="24" ht="13.5">
      <c r="A24" s="1" t="s">
        <v>748</v>
      </c>
    </row>
    <row r="25" ht="13.5">
      <c r="A25" s="1" t="s">
        <v>749</v>
      </c>
    </row>
    <row r="26" ht="13.5">
      <c r="A26" s="1" t="s">
        <v>750</v>
      </c>
    </row>
    <row r="27" ht="13.5">
      <c r="A27" s="1" t="s">
        <v>751</v>
      </c>
    </row>
    <row r="28" ht="13.5">
      <c r="A28" s="1" t="s">
        <v>752</v>
      </c>
    </row>
    <row r="29" ht="13.5">
      <c r="A29" s="1" t="s">
        <v>753</v>
      </c>
    </row>
    <row r="30" ht="13.5">
      <c r="A30" s="1"/>
    </row>
  </sheetData>
  <printOptions/>
  <pageMargins left="0.75" right="0.75" top="1" bottom="1" header="0.5" footer="0.5"/>
  <pageSetup fitToHeight="1" fitToWidth="1" horizontalDpi="600" verticalDpi="600" orientation="portrait" scale="99" r:id="rId1"/>
</worksheet>
</file>

<file path=xl/worksheets/sheet7.xml><?xml version="1.0" encoding="utf-8"?>
<worksheet xmlns="http://schemas.openxmlformats.org/spreadsheetml/2006/main" xmlns:r="http://schemas.openxmlformats.org/officeDocument/2006/relationships">
  <sheetPr>
    <pageSetUpPr fitToPage="1"/>
  </sheetPr>
  <dimension ref="A1:M28"/>
  <sheetViews>
    <sheetView workbookViewId="0" topLeftCell="A1">
      <selection activeCell="A1" sqref="A1"/>
    </sheetView>
  </sheetViews>
  <sheetFormatPr defaultColWidth="9.140625" defaultRowHeight="12.75"/>
  <cols>
    <col min="1" max="2" width="9.140625" style="1" customWidth="1"/>
    <col min="3" max="3" width="9.00390625" style="1" customWidth="1"/>
    <col min="4" max="8" width="9.140625" style="1" customWidth="1"/>
    <col min="9" max="9" width="11.28125" style="1" bestFit="1" customWidth="1"/>
    <col min="10" max="10" width="9.140625" style="1" customWidth="1"/>
    <col min="11" max="11" width="16.421875" style="1" bestFit="1" customWidth="1"/>
    <col min="12" max="12" width="2.28125" style="1" customWidth="1"/>
    <col min="13" max="13" width="2.00390625" style="1" customWidth="1"/>
    <col min="14" max="16384" width="9.140625" style="1" customWidth="1"/>
  </cols>
  <sheetData>
    <row r="1" spans="1:13" ht="13.5">
      <c r="A1" s="1" t="s">
        <v>247</v>
      </c>
      <c r="F1" s="1" t="s">
        <v>248</v>
      </c>
      <c r="K1" s="2" t="s">
        <v>249</v>
      </c>
      <c r="L1" s="2"/>
      <c r="M1" s="2"/>
    </row>
    <row r="2" spans="1:13" ht="13.5">
      <c r="A2" s="1" t="s">
        <v>250</v>
      </c>
      <c r="K2" s="2" t="s">
        <v>125</v>
      </c>
      <c r="L2" s="2" t="s">
        <v>251</v>
      </c>
      <c r="M2" s="2"/>
    </row>
    <row r="3" spans="1:13" ht="13.5">
      <c r="A3" s="1" t="s">
        <v>252</v>
      </c>
      <c r="K3" s="2" t="s">
        <v>253</v>
      </c>
      <c r="L3" s="2" t="s">
        <v>254</v>
      </c>
      <c r="M3" s="3">
        <v>1</v>
      </c>
    </row>
    <row r="4" spans="1:13" ht="13.5">
      <c r="A4" s="1" t="s">
        <v>250</v>
      </c>
      <c r="K4" s="2" t="s">
        <v>255</v>
      </c>
      <c r="L4" s="2" t="s">
        <v>254</v>
      </c>
      <c r="M4" s="3">
        <v>2</v>
      </c>
    </row>
    <row r="5" spans="1:13" ht="13.5">
      <c r="A5" s="1" t="s">
        <v>256</v>
      </c>
      <c r="K5" s="2" t="s">
        <v>257</v>
      </c>
      <c r="L5" s="2" t="s">
        <v>254</v>
      </c>
      <c r="M5" s="3">
        <v>3</v>
      </c>
    </row>
    <row r="6" ht="13.5">
      <c r="A6" s="1" t="s">
        <v>258</v>
      </c>
    </row>
    <row r="7" ht="13.5">
      <c r="A7" s="1" t="s">
        <v>250</v>
      </c>
    </row>
    <row r="8" ht="13.5">
      <c r="A8" s="1" t="s">
        <v>336</v>
      </c>
    </row>
    <row r="9" spans="1:9" ht="13.5">
      <c r="A9" s="1" t="s">
        <v>337</v>
      </c>
      <c r="I9" s="4">
        <v>0.796162</v>
      </c>
    </row>
    <row r="10" spans="1:9" ht="13.5">
      <c r="A10" s="1" t="s">
        <v>338</v>
      </c>
      <c r="I10" s="5">
        <v>-0.849433</v>
      </c>
    </row>
    <row r="11" ht="13.5">
      <c r="A11" s="1" t="s">
        <v>339</v>
      </c>
    </row>
    <row r="12" ht="13.5">
      <c r="A12" s="1" t="s">
        <v>250</v>
      </c>
    </row>
    <row r="14" ht="13.5">
      <c r="A14" s="1" t="s">
        <v>259</v>
      </c>
    </row>
    <row r="15" ht="13.5">
      <c r="A15" s="1" t="s">
        <v>250</v>
      </c>
    </row>
    <row r="16" ht="13.5">
      <c r="A16" s="1" t="s">
        <v>260</v>
      </c>
    </row>
    <row r="17" ht="13.5">
      <c r="A17" s="1" t="s">
        <v>250</v>
      </c>
    </row>
    <row r="18" ht="13.5">
      <c r="A18" s="1" t="s">
        <v>340</v>
      </c>
    </row>
    <row r="19" ht="13.5">
      <c r="A19" s="1" t="s">
        <v>341</v>
      </c>
    </row>
    <row r="20" ht="13.5">
      <c r="A20" s="1" t="s">
        <v>250</v>
      </c>
    </row>
    <row r="21" ht="13.5">
      <c r="A21" s="1" t="s">
        <v>342</v>
      </c>
    </row>
    <row r="23" ht="13.5">
      <c r="A23" s="1" t="s">
        <v>343</v>
      </c>
    </row>
    <row r="24" ht="13.5">
      <c r="A24" s="1" t="s">
        <v>344</v>
      </c>
    </row>
    <row r="25" ht="13.5">
      <c r="A25" s="1" t="s">
        <v>345</v>
      </c>
    </row>
    <row r="26" ht="13.5">
      <c r="A26" s="1" t="s">
        <v>346</v>
      </c>
    </row>
    <row r="27" ht="13.5">
      <c r="A27" s="1" t="s">
        <v>347</v>
      </c>
    </row>
    <row r="28" ht="13.5">
      <c r="A28" s="1" t="s">
        <v>348</v>
      </c>
    </row>
  </sheetData>
  <printOptions/>
  <pageMargins left="0.75" right="0.75" top="1" bottom="1" header="0.5" footer="0.5"/>
  <pageSetup fitToHeight="1" fitToWidth="1" horizontalDpi="600" verticalDpi="600" orientation="portrait" scale="97" r:id="rId1"/>
</worksheet>
</file>

<file path=xl/worksheets/sheet8.xml><?xml version="1.0" encoding="utf-8"?>
<worksheet xmlns="http://schemas.openxmlformats.org/spreadsheetml/2006/main" xmlns:r="http://schemas.openxmlformats.org/officeDocument/2006/relationships">
  <sheetPr>
    <pageSetUpPr fitToPage="1"/>
  </sheetPr>
  <dimension ref="A1:H29"/>
  <sheetViews>
    <sheetView workbookViewId="0" topLeftCell="A1">
      <selection activeCell="A1" sqref="A1"/>
    </sheetView>
  </sheetViews>
  <sheetFormatPr defaultColWidth="9.140625" defaultRowHeight="12.75"/>
  <cols>
    <col min="1" max="7" width="9.140625" style="1" customWidth="1"/>
    <col min="8" max="8" width="11.28125" style="1" bestFit="1" customWidth="1"/>
    <col min="9" max="16384" width="9.140625" style="1" customWidth="1"/>
  </cols>
  <sheetData>
    <row r="1" spans="1:8" ht="13.5">
      <c r="A1" s="1" t="s">
        <v>261</v>
      </c>
      <c r="H1" s="1" t="s">
        <v>262</v>
      </c>
    </row>
    <row r="2" ht="13.5">
      <c r="A2" s="1" t="s">
        <v>250</v>
      </c>
    </row>
    <row r="3" ht="13.5">
      <c r="A3" s="1" t="s">
        <v>263</v>
      </c>
    </row>
    <row r="4" ht="13.5">
      <c r="A4" s="1" t="s">
        <v>349</v>
      </c>
    </row>
    <row r="5" ht="13.5">
      <c r="A5" s="1" t="s">
        <v>250</v>
      </c>
    </row>
    <row r="6" ht="13.5">
      <c r="A6" s="1" t="s">
        <v>264</v>
      </c>
    </row>
    <row r="7" ht="13.5">
      <c r="A7" s="1" t="s">
        <v>265</v>
      </c>
    </row>
    <row r="8" ht="13.5">
      <c r="A8" s="1" t="s">
        <v>250</v>
      </c>
    </row>
    <row r="9" spans="1:8" ht="13.5">
      <c r="A9" s="1" t="s">
        <v>350</v>
      </c>
      <c r="H9" s="5">
        <v>0.0125608</v>
      </c>
    </row>
    <row r="10" spans="1:8" ht="13.5">
      <c r="A10" s="1" t="s">
        <v>351</v>
      </c>
      <c r="H10" s="5">
        <v>-0.225786</v>
      </c>
    </row>
    <row r="11" ht="13.5">
      <c r="A11" s="1" t="s">
        <v>250</v>
      </c>
    </row>
    <row r="14" ht="13.5">
      <c r="A14" s="1" t="s">
        <v>259</v>
      </c>
    </row>
    <row r="15" ht="13.5">
      <c r="A15" s="1" t="s">
        <v>250</v>
      </c>
    </row>
    <row r="16" ht="13.5">
      <c r="A16" s="1" t="s">
        <v>260</v>
      </c>
    </row>
    <row r="17" ht="13.5">
      <c r="A17" s="1" t="s">
        <v>250</v>
      </c>
    </row>
    <row r="18" ht="13.5">
      <c r="A18" s="1" t="s">
        <v>352</v>
      </c>
    </row>
    <row r="19" ht="13.5">
      <c r="A19" s="1" t="s">
        <v>353</v>
      </c>
    </row>
    <row r="20" ht="13.5">
      <c r="A20" s="1" t="s">
        <v>250</v>
      </c>
    </row>
    <row r="21" ht="13.5">
      <c r="A21" s="1" t="s">
        <v>354</v>
      </c>
    </row>
    <row r="23" ht="13.5">
      <c r="A23" s="1" t="s">
        <v>355</v>
      </c>
    </row>
    <row r="24" ht="13.5">
      <c r="A24" s="1" t="s">
        <v>356</v>
      </c>
    </row>
    <row r="25" ht="13.5">
      <c r="A25" s="1" t="s">
        <v>357</v>
      </c>
    </row>
    <row r="26" ht="13.5">
      <c r="A26" s="1" t="s">
        <v>358</v>
      </c>
    </row>
    <row r="27" ht="13.5">
      <c r="A27" s="1" t="s">
        <v>359</v>
      </c>
    </row>
    <row r="28" ht="13.5">
      <c r="A28" s="1" t="s">
        <v>360</v>
      </c>
    </row>
    <row r="29" ht="13.5">
      <c r="A29" s="1" t="s">
        <v>361</v>
      </c>
    </row>
  </sheetData>
  <printOptions/>
  <pageMargins left="0.75" right="0.75" top="1" bottom="1" header="0.5" footer="0.5"/>
  <pageSetup fitToHeight="1" fitToWidth="1" horizontalDpi="600" verticalDpi="600" orientation="portrait" scale="97" r:id="rId1"/>
</worksheet>
</file>

<file path=xl/worksheets/sheet9.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12.75"/>
  <cols>
    <col min="1" max="1" width="46.57421875" style="8" customWidth="1"/>
    <col min="2" max="2" width="1.8515625" style="8" customWidth="1"/>
    <col min="3" max="3" width="6.140625" style="8" customWidth="1"/>
    <col min="4" max="16384" width="9.140625" style="105" customWidth="1"/>
  </cols>
  <sheetData>
    <row r="1" ht="15.75">
      <c r="A1" s="24" t="s">
        <v>106</v>
      </c>
    </row>
    <row r="2" ht="15.75">
      <c r="A2" s="24" t="s">
        <v>39</v>
      </c>
    </row>
    <row r="3" ht="15.75">
      <c r="A3" s="24"/>
    </row>
    <row r="7" ht="15.75">
      <c r="A7" s="186"/>
    </row>
    <row r="10" ht="15.75">
      <c r="A10" s="8" t="s">
        <v>303</v>
      </c>
    </row>
    <row r="11" ht="39">
      <c r="A11" s="187" t="s">
        <v>754</v>
      </c>
    </row>
    <row r="12" spans="1:3" ht="15.75">
      <c r="A12" s="8" t="s">
        <v>304</v>
      </c>
      <c r="B12" s="188" t="s">
        <v>296</v>
      </c>
      <c r="C12" s="189">
        <v>0.0495</v>
      </c>
    </row>
    <row r="13" spans="1:3" ht="15.75">
      <c r="A13" s="8" t="s">
        <v>305</v>
      </c>
      <c r="B13" s="188" t="s">
        <v>296</v>
      </c>
      <c r="C13" s="189">
        <v>0.0485</v>
      </c>
    </row>
    <row r="14" spans="1:3" ht="15.75">
      <c r="A14" s="8" t="s">
        <v>302</v>
      </c>
      <c r="B14" s="188" t="s">
        <v>296</v>
      </c>
      <c r="C14" s="41">
        <f>C12-C13</f>
        <v>0.0010000000000000009</v>
      </c>
    </row>
    <row r="15" spans="1:3" ht="15.75">
      <c r="A15" s="8" t="s">
        <v>365</v>
      </c>
      <c r="B15" s="188" t="s">
        <v>296</v>
      </c>
      <c r="C15" s="41">
        <v>0.051</v>
      </c>
    </row>
    <row r="16" spans="1:5" ht="15.75">
      <c r="A16" s="8" t="s">
        <v>366</v>
      </c>
      <c r="B16" s="188" t="s">
        <v>296</v>
      </c>
      <c r="C16" s="41">
        <f>SUM(C14:C15)</f>
        <v>0.052</v>
      </c>
      <c r="E16" s="106"/>
    </row>
    <row r="19" ht="15.75">
      <c r="A19" s="8" t="s">
        <v>306</v>
      </c>
    </row>
    <row r="20" ht="39.75" customHeight="1">
      <c r="A20" s="187" t="s">
        <v>755</v>
      </c>
    </row>
    <row r="21" spans="1:3" ht="15.75">
      <c r="A21" s="8" t="s">
        <v>307</v>
      </c>
      <c r="B21" s="188" t="s">
        <v>296</v>
      </c>
      <c r="C21" s="41">
        <v>0.0596</v>
      </c>
    </row>
    <row r="22" spans="1:3" ht="15.75">
      <c r="A22" s="8" t="s">
        <v>308</v>
      </c>
      <c r="B22" s="188" t="s">
        <v>296</v>
      </c>
      <c r="C22" s="41">
        <v>0.0634</v>
      </c>
    </row>
    <row r="23" spans="1:3" ht="15.75">
      <c r="A23" s="8" t="s">
        <v>302</v>
      </c>
      <c r="B23" s="188" t="s">
        <v>296</v>
      </c>
      <c r="C23" s="41">
        <f>C21-C22</f>
        <v>-0.003799999999999998</v>
      </c>
    </row>
    <row r="24" spans="1:3" ht="15.75">
      <c r="A24" s="8" t="s">
        <v>309</v>
      </c>
      <c r="B24" s="188" t="s">
        <v>296</v>
      </c>
      <c r="C24" s="41">
        <v>0.068</v>
      </c>
    </row>
    <row r="25" spans="1:5" ht="15.75">
      <c r="A25" s="8" t="s">
        <v>310</v>
      </c>
      <c r="B25" s="188" t="s">
        <v>296</v>
      </c>
      <c r="C25" s="41">
        <f>SUM(C23:C24)</f>
        <v>0.06420000000000001</v>
      </c>
      <c r="E25" s="106"/>
    </row>
    <row r="28" spans="1:7" ht="15.75">
      <c r="A28" s="190"/>
      <c r="G28" s="107"/>
    </row>
    <row r="29" ht="15.75">
      <c r="G29" s="107"/>
    </row>
    <row r="30" spans="1:4" s="192" customFormat="1" ht="15.75">
      <c r="A30" s="8"/>
      <c r="B30" s="8"/>
      <c r="C30" s="8"/>
      <c r="D30" s="191"/>
    </row>
    <row r="31" spans="1:5" s="192" customFormat="1" ht="15.75">
      <c r="A31" s="8"/>
      <c r="B31" s="8"/>
      <c r="C31" s="8"/>
      <c r="D31" s="193"/>
      <c r="E31" s="194"/>
    </row>
    <row r="32" spans="1:5" s="192" customFormat="1" ht="15.75">
      <c r="A32" s="8"/>
      <c r="B32" s="8"/>
      <c r="C32" s="8"/>
      <c r="D32" s="193"/>
      <c r="E32" s="195"/>
    </row>
    <row r="33" spans="1:3" s="192" customFormat="1" ht="15.75">
      <c r="A33" s="8"/>
      <c r="B33" s="8"/>
      <c r="C33" s="8"/>
    </row>
    <row r="34" spans="1:3" s="192" customFormat="1" ht="15.75">
      <c r="A34" s="8"/>
      <c r="B34" s="8"/>
      <c r="C34" s="8"/>
    </row>
    <row r="35" spans="1:3" s="192" customFormat="1" ht="15.75">
      <c r="A35" s="8"/>
      <c r="B35" s="8"/>
      <c r="C35" s="8"/>
    </row>
    <row r="36" spans="1:3" s="192" customFormat="1" ht="15.75">
      <c r="A36" s="8"/>
      <c r="B36" s="8"/>
      <c r="C36" s="8"/>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THE FUQUA SCHOOL OF BUSINESS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VANDERWEIDE</dc:creator>
  <cp:keywords/>
  <dc:description/>
  <cp:lastModifiedBy>JAMES VANDERWEIDE</cp:lastModifiedBy>
  <cp:lastPrinted>2007-06-04T19:07:18Z</cp:lastPrinted>
  <dcterms:created xsi:type="dcterms:W3CDTF">2004-03-10T13:34:06Z</dcterms:created>
  <dcterms:modified xsi:type="dcterms:W3CDTF">2007-06-05T14:53:22Z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