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9090" tabRatio="918" activeTab="0"/>
  </bookViews>
  <sheets>
    <sheet name="Contents" sheetId="1" r:id="rId1"/>
    <sheet name="User Manual" sheetId="2" r:id="rId2"/>
    <sheet name="Schedule A" sheetId="3" r:id="rId3"/>
    <sheet name="Schedule B" sheetId="4" r:id="rId4"/>
    <sheet name="Schedule C" sheetId="5" r:id="rId5"/>
    <sheet name="Meters &amp; Services" sheetId="6" r:id="rId6"/>
    <sheet name="Schedule D" sheetId="7" r:id="rId7"/>
    <sheet name="Schedule E" sheetId="8" r:id="rId8"/>
    <sheet name="ServiceCharges" sheetId="9" r:id="rId9"/>
    <sheet name="Sch F" sheetId="10" r:id="rId10"/>
    <sheet name="Sch G" sheetId="11" r:id="rId11"/>
  </sheets>
  <externalReferences>
    <externalReference r:id="rId14"/>
  </externalReferences>
  <definedNames>
    <definedName name="comp">'Schedule D'!$Z$372:$AS$391</definedName>
    <definedName name="CUST">#REF!</definedName>
    <definedName name="factor">'Schedule D'!$AA$375:$AS$393</definedName>
    <definedName name="Factors">'Schedule D'!$Z$394:$AS$423</definedName>
    <definedName name="_xlnm.Print_Area" localSheetId="0">'Contents'!$A$1:$C$36</definedName>
    <definedName name="_xlnm.Print_Area" localSheetId="5">'Meters &amp; Services'!$B$1:$AF$62</definedName>
    <definedName name="_xlnm.Print_Area" localSheetId="9">'Sch F'!$D$14:$N$56</definedName>
    <definedName name="_xlnm.Print_Area" localSheetId="10">'Sch G'!$C$7:$L$172</definedName>
    <definedName name="_xlnm.Print_Area" localSheetId="2">'Schedule A'!$B$3:$R$33</definedName>
    <definedName name="_xlnm.Print_Area" localSheetId="3">'Schedule B'!$A$3:$S$35</definedName>
    <definedName name="_xlnm.Print_Area" localSheetId="4">'Schedule C'!$A$132:$I$174</definedName>
    <definedName name="_xlnm.Print_Area" localSheetId="6">'Schedule D'!$B$12:$X$364</definedName>
    <definedName name="_xlnm.Print_Area" localSheetId="7">'Schedule E'!$A$316:$L$358</definedName>
    <definedName name="_xlnm.Print_Area" localSheetId="8">'ServiceCharges'!$A$4:$K$48</definedName>
    <definedName name="_xlnm.Print_Titles" localSheetId="4">'Schedule C'!$3:$7</definedName>
    <definedName name="_xlnm.Print_Titles" localSheetId="6">'Schedule D'!$3:$11</definedName>
    <definedName name="_xlnm.Print_Titles" localSheetId="7">'Schedule E'!$3:$7</definedName>
    <definedName name="_xlnm.Print_Titles" localSheetId="1">'User Manual'!$1:$6</definedName>
  </definedNames>
  <calcPr fullCalcOnLoad="1" iterate="1" iterateCount="100" iterateDelta="0.001"/>
</workbook>
</file>

<file path=xl/sharedStrings.xml><?xml version="1.0" encoding="utf-8"?>
<sst xmlns="http://schemas.openxmlformats.org/spreadsheetml/2006/main" count="1394" uniqueCount="632">
  <si>
    <t>BASIS FOR ALLOCATING METER COSTS TO CUSTOMER CLASSIFICATIONS</t>
  </si>
  <si>
    <t>5/8"</t>
  </si>
  <si>
    <t>Meter</t>
  </si>
  <si>
    <t>Meters</t>
  </si>
  <si>
    <t>5/8</t>
  </si>
  <si>
    <t>1</t>
  </si>
  <si>
    <t>1-1/2</t>
  </si>
  <si>
    <t>2</t>
  </si>
  <si>
    <t>3</t>
  </si>
  <si>
    <t>4</t>
  </si>
  <si>
    <t>6</t>
  </si>
  <si>
    <t>8</t>
  </si>
  <si>
    <t>BASIS FOR ALLOCATING DEMAND RELATED COSTS OF FIRE SERVICE</t>
  </si>
  <si>
    <t>Restrictive</t>
  </si>
  <si>
    <t>Relative</t>
  </si>
  <si>
    <t>Squared</t>
  </si>
  <si>
    <t>Quantity</t>
  </si>
  <si>
    <t>A</t>
  </si>
  <si>
    <t>Factors are based on the number of metered customers.</t>
  </si>
  <si>
    <t>Schedule F</t>
  </si>
  <si>
    <t>Schedule G</t>
  </si>
  <si>
    <t>FACTORS FOR ALLOCATING COST OF SERVICE TO COST FUNCTIONS</t>
  </si>
  <si>
    <t>Costs are allocated directly to the Base Cost Function.</t>
  </si>
  <si>
    <t>Cost</t>
  </si>
  <si>
    <t>Function</t>
  </si>
  <si>
    <t>Base</t>
  </si>
  <si>
    <t>Day Ratio</t>
  </si>
  <si>
    <t xml:space="preserve">  Extra Capacity</t>
  </si>
  <si>
    <t>Total Private Fire</t>
  </si>
  <si>
    <t>Total Public Fire</t>
  </si>
  <si>
    <t>Total Fire Protection</t>
  </si>
  <si>
    <t xml:space="preserve">      Private Fire</t>
  </si>
  <si>
    <t xml:space="preserve">      Public Fire</t>
  </si>
  <si>
    <t>of Fire</t>
  </si>
  <si>
    <t>Protection</t>
  </si>
  <si>
    <t>Diameter</t>
  </si>
  <si>
    <t>Private Fire Protection:</t>
  </si>
  <si>
    <t>-inch Fire Line</t>
  </si>
  <si>
    <t>Public Fire Protection:</t>
  </si>
  <si>
    <t>Fire Protection Weight  =</t>
  </si>
  <si>
    <t xml:space="preserve">Gallons Storage </t>
  </si>
  <si>
    <t>General Service =</t>
  </si>
  <si>
    <t>&amp; Distribution</t>
  </si>
  <si>
    <t>Customer Facilities</t>
  </si>
  <si>
    <t>Private Fire Service</t>
  </si>
  <si>
    <t>Public Fire Service</t>
  </si>
  <si>
    <t>Customer Accounting</t>
  </si>
  <si>
    <t xml:space="preserve">These costs are assigned directly to Public Fire Protection. </t>
  </si>
  <si>
    <t>Other</t>
  </si>
  <si>
    <t>Direct</t>
  </si>
  <si>
    <t>Labor</t>
  </si>
  <si>
    <t>The factors are based on the allocation of utility plant in service, as follows:</t>
  </si>
  <si>
    <t>Utility Plant</t>
  </si>
  <si>
    <t>in Service</t>
  </si>
  <si>
    <t>Original Cost</t>
  </si>
  <si>
    <t>Rate Base</t>
  </si>
  <si>
    <t>The factors are based on the allocation of total cost of service, as follows:</t>
  </si>
  <si>
    <t>Total Cost</t>
  </si>
  <si>
    <t>The demand for fire protection is assigned to private and public fire service based on the relative potential demands, as follows:</t>
  </si>
  <si>
    <t>The General Service weight is assigned to base and maximum hour extra capacity, based on the maximum hour ratio, as follows:</t>
  </si>
  <si>
    <t>The factors are based on the allocation of other transmission and distribution operating expenses, as follows:</t>
  </si>
  <si>
    <t>These costs are assigned directly to the Customer Facilities Cost Function.</t>
  </si>
  <si>
    <t>These costs are assigned directly to the Customer Accounting Cost Function.</t>
  </si>
  <si>
    <t>The factors are based on the allocation of original cost rate base, as shown on the following pages and summarized below.</t>
  </si>
  <si>
    <t>(7)=(6)x</t>
  </si>
  <si>
    <t xml:space="preserve"> Sales of Water                          </t>
  </si>
  <si>
    <t xml:space="preserve">Total Cost of Service Related to         </t>
  </si>
  <si>
    <t xml:space="preserve">Less: Other Water Revenues               </t>
  </si>
  <si>
    <t xml:space="preserve">    Total Cost of Service                </t>
  </si>
  <si>
    <t xml:space="preserve"> for Return                              </t>
  </si>
  <si>
    <t xml:space="preserve">Utility Operating Income Available       </t>
  </si>
  <si>
    <t xml:space="preserve">507.2 INCOME TAXES                       </t>
  </si>
  <si>
    <t xml:space="preserve">         Total Taxes, Other Than Income  </t>
  </si>
  <si>
    <t xml:space="preserve">       Other General Taxes               </t>
  </si>
  <si>
    <t xml:space="preserve">       Gross Receipts and surtax         </t>
  </si>
  <si>
    <t xml:space="preserve">       Property Taxes                    </t>
  </si>
  <si>
    <t xml:space="preserve">       Federal and State Payroll Taxes   </t>
  </si>
  <si>
    <t xml:space="preserve">507.1 TAXES, OTHER THAN INCOME           </t>
  </si>
  <si>
    <t xml:space="preserve">399    Other Tangible Property           </t>
  </si>
  <si>
    <t xml:space="preserve">398    Miscellaneous Equipment           </t>
  </si>
  <si>
    <t xml:space="preserve">397    Communication Equipment           </t>
  </si>
  <si>
    <t xml:space="preserve">396    Power Operated Equipment          </t>
  </si>
  <si>
    <t xml:space="preserve">395    Laboratory Equipment              </t>
  </si>
  <si>
    <t xml:space="preserve">394    Tools, Shop &amp; Garage Equipment    </t>
  </si>
  <si>
    <t xml:space="preserve">393    Stores Equipment                  </t>
  </si>
  <si>
    <t xml:space="preserve">392.3  Transportation Equip-Other        </t>
  </si>
  <si>
    <t xml:space="preserve">392.2  Transportation Equip-Cars         </t>
  </si>
  <si>
    <t xml:space="preserve">392.12 Transportation Equip-Heavy Trucks </t>
  </si>
  <si>
    <t xml:space="preserve">392.11 Transportation Equip-Light Trucks </t>
  </si>
  <si>
    <t xml:space="preserve">391.30 Other Office Equipment            </t>
  </si>
  <si>
    <t xml:space="preserve">391.26 Personal Computer Software        </t>
  </si>
  <si>
    <t xml:space="preserve">391.25 Computer Software                 </t>
  </si>
  <si>
    <t xml:space="preserve">391.20 Computers &amp; Peripheral Equipment  </t>
  </si>
  <si>
    <t xml:space="preserve">391    Office Furniture and Equipment    </t>
  </si>
  <si>
    <t xml:space="preserve">390.3  Miscellaneous Structures &amp; Improv </t>
  </si>
  <si>
    <t xml:space="preserve">390.2  General Structures - HVAC         </t>
  </si>
  <si>
    <t xml:space="preserve">390.1  Office Structures                 </t>
  </si>
  <si>
    <t xml:space="preserve">390    General Structures &amp; Improvements </t>
  </si>
  <si>
    <t xml:space="preserve">389    Land and Land Rights              </t>
  </si>
  <si>
    <t xml:space="preserve">349    Other T &amp; D                       </t>
  </si>
  <si>
    <t xml:space="preserve">348    Fire Hydrants                     </t>
  </si>
  <si>
    <t xml:space="preserve">347    Meter Installations               </t>
  </si>
  <si>
    <t xml:space="preserve">346    Meters                            </t>
  </si>
  <si>
    <t xml:space="preserve">345    Services                          </t>
  </si>
  <si>
    <t xml:space="preserve">343    Transmission &amp; Distribution Mains </t>
  </si>
  <si>
    <t xml:space="preserve">342    Distrib. Reservoirs &amp; Standpipes  </t>
  </si>
  <si>
    <t xml:space="preserve">341    T &amp; D Structures &amp; Improvements   </t>
  </si>
  <si>
    <t>334    GAC</t>
  </si>
  <si>
    <t xml:space="preserve">332    Water Treat and Equipment         </t>
  </si>
  <si>
    <t xml:space="preserve">331    Water Treat Structures &amp; Improv   </t>
  </si>
  <si>
    <t xml:space="preserve">328    Other Pumping Equipment           </t>
  </si>
  <si>
    <t xml:space="preserve">326    Diesel Pumping Equipment          </t>
  </si>
  <si>
    <t xml:space="preserve">325    Electric Pumping Equipment        </t>
  </si>
  <si>
    <t>Factors are based on the potential demand of general and fire protection service using the ratio of the capacity required for a 6-hour demand of fire flow as related to total storage capacity.</t>
  </si>
  <si>
    <t xml:space="preserve">323    Other Power Production Equipment  </t>
  </si>
  <si>
    <t>322    Boiler Plant Equipment</t>
  </si>
  <si>
    <t xml:space="preserve">321    Pumping Structures &amp; Improvements </t>
  </si>
  <si>
    <t xml:space="preserve">316    Supply Mains                      </t>
  </si>
  <si>
    <t xml:space="preserve">314    Wells and Springs                 </t>
  </si>
  <si>
    <t xml:space="preserve">313    Lake, River and Other Intakes     </t>
  </si>
  <si>
    <t xml:space="preserve">312    Collecting &amp;Impounding Reservoirs </t>
  </si>
  <si>
    <t xml:space="preserve">311    Source of Supply Struct &amp; Improv  </t>
  </si>
  <si>
    <t xml:space="preserve">310    Land and Land Rights              </t>
  </si>
  <si>
    <t xml:space="preserve">303    Other P/E Intangibles             </t>
  </si>
  <si>
    <t xml:space="preserve">302    Franchise and Consents            </t>
  </si>
  <si>
    <t xml:space="preserve">301    Organization                      </t>
  </si>
  <si>
    <t xml:space="preserve">                                         </t>
  </si>
  <si>
    <t xml:space="preserve">503  DEPRECIATION EXPENSE                </t>
  </si>
  <si>
    <t xml:space="preserve">   Expenses                              </t>
  </si>
  <si>
    <t xml:space="preserve">  Total Operation and Maintenance        </t>
  </si>
  <si>
    <t xml:space="preserve">  Total Administrative and General       </t>
  </si>
  <si>
    <t xml:space="preserve">          Total Maintenance              </t>
  </si>
  <si>
    <t xml:space="preserve">932   Maintenance of General Plant       </t>
  </si>
  <si>
    <t xml:space="preserve">  -MAINTENANCE-                          </t>
  </si>
  <si>
    <t xml:space="preserve">          Total Operation                </t>
  </si>
  <si>
    <t xml:space="preserve">931   Administrative and General Rents   </t>
  </si>
  <si>
    <t xml:space="preserve">930   Miscellaneous General Expense      </t>
  </si>
  <si>
    <t xml:space="preserve">928   Regulatory Expenses                </t>
  </si>
  <si>
    <t xml:space="preserve">926   Employee Pensions and Benefits     </t>
  </si>
  <si>
    <t xml:space="preserve">925   Workers Compensation               </t>
  </si>
  <si>
    <t xml:space="preserve">924   Property Insurance                 </t>
  </si>
  <si>
    <t xml:space="preserve">921   Miscellaneous Office Expenses      </t>
  </si>
  <si>
    <t xml:space="preserve">         Labor                           </t>
  </si>
  <si>
    <t xml:space="preserve">         Expenses                        </t>
  </si>
  <si>
    <t xml:space="preserve">920   Administrative &amp; General Salaries  </t>
  </si>
  <si>
    <t xml:space="preserve">  -OPERATION-                            </t>
  </si>
  <si>
    <t xml:space="preserve">ADMINISTRATIVE AND GENERAL EXPENSES      </t>
  </si>
  <si>
    <t xml:space="preserve">   Collecting Expenses                   </t>
  </si>
  <si>
    <t xml:space="preserve">  Total Customers' Accounting and        </t>
  </si>
  <si>
    <t xml:space="preserve">907   Customer Service Expenses          </t>
  </si>
  <si>
    <t xml:space="preserve">905   Misc Customer Accounting Expenses  </t>
  </si>
  <si>
    <t xml:space="preserve">904   Uncollectible Accounts             </t>
  </si>
  <si>
    <t xml:space="preserve">902   Meter Reading Expenses             </t>
  </si>
  <si>
    <t xml:space="preserve">901   Supervision                        </t>
  </si>
  <si>
    <t xml:space="preserve">CUSTOMER ACCOUNTS                        </t>
  </si>
  <si>
    <t xml:space="preserve">  Total Transmission and Distribution    </t>
  </si>
  <si>
    <t xml:space="preserve">677   Hydrants                           </t>
  </si>
  <si>
    <t xml:space="preserve">676   Meters                             </t>
  </si>
  <si>
    <t>COMPARISON OF PRESENT AND PROPOSED RATES</t>
  </si>
  <si>
    <t>3/4</t>
  </si>
  <si>
    <t>Meter Charges, Per Month:</t>
  </si>
  <si>
    <t>Consumption Charges:</t>
  </si>
  <si>
    <t>Per Thousand Gallons</t>
  </si>
  <si>
    <t>Per CCF</t>
  </si>
  <si>
    <t>Hidden Leak</t>
  </si>
  <si>
    <t>Line Size</t>
  </si>
  <si>
    <t>Per Annum</t>
  </si>
  <si>
    <t>PrivateFire Hydrant</t>
  </si>
  <si>
    <t>Public Fire Hydrant</t>
  </si>
  <si>
    <t>Fire Protection:</t>
  </si>
  <si>
    <t>CENTRAL DIVISION</t>
  </si>
  <si>
    <t>NORTHERN DIVISION - TRI-VILLAGE</t>
  </si>
  <si>
    <t>Minimum</t>
  </si>
  <si>
    <t>First 2,000 Gallons</t>
  </si>
  <si>
    <t>Next 2,000 Gallons</t>
  </si>
  <si>
    <t>Next 10,000 Gallons</t>
  </si>
  <si>
    <t>Next 4,000 Gallons</t>
  </si>
  <si>
    <t>Over 20,000 Gallons</t>
  </si>
  <si>
    <t>Applicable Central Div. Rate</t>
  </si>
  <si>
    <t>Present Rate</t>
  </si>
  <si>
    <t>Proposed Rate</t>
  </si>
  <si>
    <t>Per</t>
  </si>
  <si>
    <t>1,000 Gals.</t>
  </si>
  <si>
    <t>NORTHERN DIVISION - ELK LAKE SHORES</t>
  </si>
  <si>
    <t>Over 4,000 Gallons</t>
  </si>
  <si>
    <t>CITY OF OWENTON</t>
  </si>
  <si>
    <t>Rate B</t>
  </si>
  <si>
    <t>Rate G</t>
  </si>
  <si>
    <t>Present Minimum Per Month</t>
  </si>
  <si>
    <t>Next 1,000 Gallons</t>
  </si>
  <si>
    <t>Next 5,000 Gallons</t>
  </si>
  <si>
    <t>Next 20,000 Gallons</t>
  </si>
  <si>
    <t>Over 40,000 Gallons</t>
  </si>
  <si>
    <t>Inside City</t>
  </si>
  <si>
    <t>First 6,000 Gallons</t>
  </si>
  <si>
    <t>Over 8,000 Gallons</t>
  </si>
  <si>
    <t>Rate B Consumption Charges:</t>
  </si>
  <si>
    <t>Rate G Consumption Charges:</t>
  </si>
  <si>
    <t xml:space="preserve">675   Services                           </t>
  </si>
  <si>
    <t xml:space="preserve">673   T &amp; D Mains                        </t>
  </si>
  <si>
    <t xml:space="preserve">672   Reservoirs and Standpipes          </t>
  </si>
  <si>
    <t xml:space="preserve">671   T &amp; D Structures &amp; Improve Maint   </t>
  </si>
  <si>
    <t xml:space="preserve">670   Supervision and Engineering        </t>
  </si>
  <si>
    <t xml:space="preserve">666   Rents                              </t>
  </si>
  <si>
    <t xml:space="preserve">665   Miscellaneous Expenses             </t>
  </si>
  <si>
    <t xml:space="preserve">665   Maps and Records                   </t>
  </si>
  <si>
    <t xml:space="preserve">664   Customer Installation Expenses     </t>
  </si>
  <si>
    <t xml:space="preserve">663   Meter Expense                      </t>
  </si>
  <si>
    <t xml:space="preserve">662   Lines Expense                      </t>
  </si>
  <si>
    <t xml:space="preserve">661   Storage Facilities Expense         </t>
  </si>
  <si>
    <t xml:space="preserve">660   Supervision and Engineering        </t>
  </si>
  <si>
    <t xml:space="preserve">TRANSMISSION AND DISTRIBUTION EXPENSES   </t>
  </si>
  <si>
    <t xml:space="preserve">652   General Water Equip                </t>
  </si>
  <si>
    <t xml:space="preserve">651   Structures and Improvements        </t>
  </si>
  <si>
    <t xml:space="preserve">650   Supervision and Engineering        </t>
  </si>
  <si>
    <t xml:space="preserve">644   Rents                              </t>
  </si>
  <si>
    <t xml:space="preserve">643   Misc Water Treatment Exp-Current   </t>
  </si>
  <si>
    <t xml:space="preserve">642.1 Labor and Expenses                 </t>
  </si>
  <si>
    <t xml:space="preserve">641   Chemicals                          </t>
  </si>
  <si>
    <t xml:space="preserve">640   Supervision and Engineering        </t>
  </si>
  <si>
    <t xml:space="preserve">WATER TREATMENT                          </t>
  </si>
  <si>
    <t xml:space="preserve">  Total Power and Pumping                </t>
  </si>
  <si>
    <t xml:space="preserve">632   Pump Maint Power Prod Equipment    </t>
  </si>
  <si>
    <t xml:space="preserve">631   Pump Struc &amp; Imp Maint             </t>
  </si>
  <si>
    <t xml:space="preserve">630   Supervision &amp; Engineering          </t>
  </si>
  <si>
    <t xml:space="preserve">626   Misc Pumping Expenses Electic      </t>
  </si>
  <si>
    <t xml:space="preserve">624   Pump Labor and Expenses            </t>
  </si>
  <si>
    <t xml:space="preserve">623   Pump Fuel and Power Purchase       </t>
  </si>
  <si>
    <t xml:space="preserve">622   Pump Power Prod Labor &amp; Exp        </t>
  </si>
  <si>
    <t xml:space="preserve">620   Pumping Supervision &amp; Eng Electric </t>
  </si>
  <si>
    <t xml:space="preserve">POWER AND PUMPING EXPENSES               </t>
  </si>
  <si>
    <t xml:space="preserve">        Total Source of Supply</t>
  </si>
  <si>
    <t>*</t>
  </si>
  <si>
    <t>*Adjusted to reflect that approximately 30,000 residential customers are served by 1-inch service lines each serving two residences.</t>
  </si>
  <si>
    <t>Factors are based on the potential demand of general and fire protection service.  The bases for the potential demand of general service are the maximum day ratio of 1.65 and the average pumpage for the test year.  The system demand for fire protection is 10,000 Gallons per minute for 6 hours, or 3.6 MGD.  The Allocation of Fire Protection is based on the relative demand flows, as shown on the following page and summarized below.</t>
  </si>
  <si>
    <t>Population=</t>
  </si>
  <si>
    <t>Fire Flow</t>
  </si>
  <si>
    <t>6/29</t>
  </si>
  <si>
    <t>8/2</t>
  </si>
  <si>
    <t>SUMMARYOF AVERAGE DAY AND PEAK DAY DELIVERY FOR THE YEARS 1990-2006</t>
  </si>
  <si>
    <t xml:space="preserve">616   Maint Supply Mains Mat             </t>
  </si>
  <si>
    <t xml:space="preserve">614   Wells and Springs Maint            </t>
  </si>
  <si>
    <t xml:space="preserve">613.2 Amort Lakes, River &amp; Intakes       </t>
  </si>
  <si>
    <t xml:space="preserve">613.1 Maint Lakes, River &amp; Intakes       </t>
  </si>
  <si>
    <t xml:space="preserve">612   Maint Coll &amp; Impound Res           </t>
  </si>
  <si>
    <t xml:space="preserve">610   Supervision &amp; Engineering          </t>
  </si>
  <si>
    <t xml:space="preserve">604   Rents                              </t>
  </si>
  <si>
    <t xml:space="preserve">603   Miscellaneous Expenses             </t>
  </si>
  <si>
    <t xml:space="preserve">602   Purchased Water                    </t>
  </si>
  <si>
    <t xml:space="preserve">601   Operation Expense and Labor        </t>
  </si>
  <si>
    <t xml:space="preserve">600   Supervision &amp; Engineering          </t>
  </si>
  <si>
    <t xml:space="preserve">SOURCE OF SUPPLY EXPENSES                </t>
  </si>
  <si>
    <t xml:space="preserve">OPERATION AND MAINTENANCE EXPENSES       </t>
  </si>
  <si>
    <t>CONTENTS</t>
  </si>
  <si>
    <t>Description</t>
  </si>
  <si>
    <t>There are two types of factors used in this allocation.  Factors 1 through 7 and 9 through 13 are direct Factors.  These Factors are derived from information from the company, such as the amount of consumption, meter costs, etc.  Factor 8 and Factors 14 through 19 are composite Factors.  These are generated internally within the spreadsheet and are based on the allocation of a specified group of costs.</t>
  </si>
  <si>
    <t>If such error messages occur, click "undo".  If this does not work, do not save the file.  Close the file.  When asked to save changes, click "No".  After the file is closed, you may then reopen it, but any changes since the last time it was saved will be lost.</t>
  </si>
  <si>
    <t>If you have opened any files in Excel before opening this file, the calculation settings will default to those of the file that was first opened.  If this has happened, change the settings, as described above, in order for the sheet to calculate changes properly.</t>
  </si>
  <si>
    <t>Avoid dragging and dropping cell contents to a different location.  This changes the cell reference and may result in a "#REF!" error in cells to which the cell is linked.  Instead, edit by using the Cut and Paste operations.  There are many linked cells throughout the entire workbook.</t>
  </si>
  <si>
    <t>Meters &amp; Services</t>
  </si>
  <si>
    <t>Schedule B</t>
  </si>
  <si>
    <t>Schedule C</t>
  </si>
  <si>
    <t>Schedule D</t>
  </si>
  <si>
    <t>Schedule E</t>
  </si>
  <si>
    <t>USER MANUAL</t>
  </si>
  <si>
    <t>This contains helpful information for working with this file, as well as information on avoiding and troubleshooting possible errors that may occur.  There are many cells that contain formulas, tables, and links to other cells, and therefore small changes may cause errors to occur throughout the entire workbook.  These errors may not be repairable by clicking "undo."</t>
  </si>
  <si>
    <t>COST OF SERVICE ALLOCATED TO COST FUNCTIONS</t>
  </si>
  <si>
    <t>SHEET NAME</t>
  </si>
  <si>
    <t>Sales for</t>
  </si>
  <si>
    <t>Resale</t>
  </si>
  <si>
    <t>CONTENTS OF COST OF SERVICE ALLOCATION STUDY IN SPREADSHEET FORM,</t>
  </si>
  <si>
    <t>gpm for 6 hours</t>
  </si>
  <si>
    <t>&gt;12</t>
  </si>
  <si>
    <t>The bases for the potential demand of general service are the maximum hour ratio of 2.5 and the average pumpage for the test year.  The system demand for fire protection is 10,000 Gallons per minute for 6 hours.  The Allocation of Fire Protection is based on the relative demand flows, as shown on the following page and summarized below.</t>
  </si>
  <si>
    <t xml:space="preserve">              Customer Related</t>
  </si>
  <si>
    <t xml:space="preserve">              Employee Related</t>
  </si>
  <si>
    <t xml:space="preserve">              Water Quality</t>
  </si>
  <si>
    <t xml:space="preserve">              Other</t>
  </si>
  <si>
    <t>Schedule of cost of Meters and Services, in support of Factors D and E, which are located on "Schedule C."  The Weighted Total for each customer classification on the "Meters &amp; Services" sheet is brought forward to column 2 of Factors D and E.</t>
  </si>
  <si>
    <t>The Cost of Service for each of the cost functions is located in column 3 of this sheet and is taken from the Total Cost of Service Related to Sales of Water listed on the sheet "Schedule D."  These costs are allocated to the various customer classifications based on the factor that is referenced in column 2 and described further on the sheet "Schedule C."</t>
  </si>
  <si>
    <t>CCF-2007</t>
  </si>
  <si>
    <t>M</t>
  </si>
  <si>
    <t>TV</t>
  </si>
  <si>
    <t>Elk</t>
  </si>
  <si>
    <t>Owen</t>
  </si>
  <si>
    <t>OPA</t>
  </si>
  <si>
    <t>SFR</t>
  </si>
  <si>
    <t>Disclaimer:  This cost of service allocation model is provided to the parties for the purpose of making revisions to the model and calculating the results of the revisions.  However, Gannett Fleming Inc., Valuation and Rate Division is not responsible for any errors which may occur as a result of using the model.</t>
  </si>
  <si>
    <t>Avoid deleting cell contents, rows, and columns, even if the contents equal zero; this may result in a "#REF!" error elsewhere in the workbook.</t>
  </si>
  <si>
    <t>A good place to check for error messages is on the "Schedule B" or "Schedule D" worksheets.</t>
  </si>
  <si>
    <t>If you have saved the worksheet with errors in it, try to find the source cell that causes the error.  Retype the correct formula in that cell.  If you have deleted information, try replacing that information or change the formula of the cells that previously contained the deleted information.</t>
  </si>
  <si>
    <t xml:space="preserve">923   Outside Services   </t>
  </si>
  <si>
    <t>COMPARISON OF COST OF SERVICE WITH REVENUES UNDER PRESENT AND PROPOSED RATES</t>
  </si>
  <si>
    <t>Cost of Service</t>
  </si>
  <si>
    <t>Proposed Increase</t>
  </si>
  <si>
    <t>Amount</t>
  </si>
  <si>
    <t>Revenues, Present Rates</t>
  </si>
  <si>
    <t>Revenues, Proposed Rates</t>
  </si>
  <si>
    <t>(Schedule B)</t>
  </si>
  <si>
    <t>Increase</t>
  </si>
  <si>
    <t>(4)</t>
  </si>
  <si>
    <t>(5)</t>
  </si>
  <si>
    <t>(6)</t>
  </si>
  <si>
    <t>(7)</t>
  </si>
  <si>
    <t>(8)</t>
  </si>
  <si>
    <t>(9)</t>
  </si>
  <si>
    <t>Public Authority</t>
  </si>
  <si>
    <t>Sales for Resale</t>
  </si>
  <si>
    <t xml:space="preserve">     Total Sales</t>
  </si>
  <si>
    <t>Other Revenues</t>
  </si>
  <si>
    <t xml:space="preserve">              Total</t>
  </si>
  <si>
    <t>Schedule A</t>
  </si>
  <si>
    <t>COST OF SERVICE FOR THE TWELVE MONTHS ENDING NOVEMBER 30, 2008, ALLOCATED TO COST FUNCTIONS</t>
  </si>
  <si>
    <t>FOR THE TWELVE MONTHS ENDING NOVEMBER 30, 2008</t>
  </si>
  <si>
    <t xml:space="preserve">            Billing and Collecting Services</t>
  </si>
  <si>
    <t xml:space="preserve">            Customer Related</t>
  </si>
  <si>
    <t xml:space="preserve">            AFUDC</t>
  </si>
  <si>
    <t xml:space="preserve">The cost of service for each account, listed in column 3, was taken from Company Exhibits.  These amounts are allocated to the cost functions of base, extra capacity, customer facilities, customer accounting, and fire protection.  The basis of allocation for each account is referenced in column 2, as the factor number, and is described on the sheet labeled "Schedule E."  The calculation of the allocation is performed through the use of "V-Lookup" tables, which are further described in the "User Manual." </t>
  </si>
  <si>
    <t>Results of Schedule B by cost function are brought forward to column 2 of Schedule A.  Column 3 represents the percent of the total in column 2.  Columns 4 and 5 show the revenues for each classification under present rates.  Columns 6 and 7 show the revenues under proposed rates.  Columns 8 and 9 show the amount of the proposed revenue increase and the percent increase by class.</t>
  </si>
  <si>
    <t>CALCULATION OF MONTHLY SERVICE CHARGES</t>
  </si>
  <si>
    <t>Number</t>
  </si>
  <si>
    <t>Cost Per Unit</t>
  </si>
  <si>
    <t>of Units</t>
  </si>
  <si>
    <t>Per Month</t>
  </si>
  <si>
    <t>5/8-inch meter equivalents</t>
  </si>
  <si>
    <t>3/4-inch service equivalents</t>
  </si>
  <si>
    <t>Billing &amp; Collecting</t>
  </si>
  <si>
    <t>Number of customers</t>
  </si>
  <si>
    <t>No. of metered customers</t>
  </si>
  <si>
    <t xml:space="preserve">          Total</t>
  </si>
  <si>
    <t>Capacity</t>
  </si>
  <si>
    <t>Meter Size</t>
  </si>
  <si>
    <t xml:space="preserve">     5/8-inch</t>
  </si>
  <si>
    <t xml:space="preserve">     3/4-inch</t>
  </si>
  <si>
    <t xml:space="preserve">     1-inch</t>
  </si>
  <si>
    <t xml:space="preserve">     1-1/2-inch</t>
  </si>
  <si>
    <t xml:space="preserve">     2-inch</t>
  </si>
  <si>
    <t xml:space="preserve">     3-inch</t>
  </si>
  <si>
    <t xml:space="preserve">     4-inch</t>
  </si>
  <si>
    <t xml:space="preserve">     6-inch</t>
  </si>
  <si>
    <t xml:space="preserve">     8-inch</t>
  </si>
  <si>
    <t>Service Charges</t>
  </si>
  <si>
    <t xml:space="preserve">                 Distribution</t>
  </si>
  <si>
    <t xml:space="preserve">                 Transmission</t>
  </si>
  <si>
    <t xml:space="preserve">     Boonesboro Water Depr. Reserve</t>
  </si>
  <si>
    <t>FACTOR 8.  ALLOCATION OF TRANSMISSION AND DISTRIBUTION OPERATION SUPERVISION SALARIES</t>
  </si>
  <si>
    <t xml:space="preserve">       AND WAGES.</t>
  </si>
  <si>
    <t>Year</t>
  </si>
  <si>
    <t>Annual</t>
  </si>
  <si>
    <t>Sendout</t>
  </si>
  <si>
    <t>(MGD)</t>
  </si>
  <si>
    <t>Peak Day</t>
  </si>
  <si>
    <t>(MG)</t>
  </si>
  <si>
    <t>Date</t>
  </si>
  <si>
    <t>7/8</t>
  </si>
  <si>
    <t>8/5</t>
  </si>
  <si>
    <t>6/19</t>
  </si>
  <si>
    <t>6/13</t>
  </si>
  <si>
    <t>8/11</t>
  </si>
  <si>
    <t>9/14</t>
  </si>
  <si>
    <t>7/18</t>
  </si>
  <si>
    <t>6/30</t>
  </si>
  <si>
    <t>7/14</t>
  </si>
  <si>
    <t>6/16</t>
  </si>
  <si>
    <t>7/13</t>
  </si>
  <si>
    <t>8/7</t>
  </si>
  <si>
    <t>7/9</t>
  </si>
  <si>
    <r>
      <t>Instructions for Making Changes to This Workbook</t>
    </r>
    <r>
      <rPr>
        <sz val="10"/>
        <rFont val="Arial"/>
        <family val="2"/>
      </rPr>
      <t xml:space="preserve">  (See Disclaimer Below)</t>
    </r>
  </si>
  <si>
    <t>This worksheet can include circular calculations if composite factors include cells in its basis that also are being allocated by the same factor.  This should be avoided if possible.  If a circular calculation exists within the workbook, the word "Calculate" will appear in the edit bar below.  If a circular calculation exists, and in order for the sheet to calculate changes properly, go to the Tools menu, choose Options, choose the Calculation tab.  The setting should be on Automatic and there should be a check mark in the box for Iteration.  Maximum Iteration should be 100.  Maximum Change should be .0001.</t>
  </si>
  <si>
    <t>The weighting of the Factors is based on the maximum day ratio of 1.65, based on a review of maximum day ratios experienced by the Company.  (see Schedule F).</t>
  </si>
  <si>
    <t>CCF</t>
  </si>
  <si>
    <t>Proposed</t>
  </si>
  <si>
    <t>Present</t>
  </si>
  <si>
    <t>Annual Consumption, Thousand Gallons</t>
  </si>
  <si>
    <t>Base Costs per Thousand Gallons</t>
  </si>
  <si>
    <t xml:space="preserve">925.4 General Liability               </t>
  </si>
  <si>
    <t>390.2  Stores Shop and Gar. Structures</t>
  </si>
  <si>
    <t>392.11 Transportation Equip</t>
  </si>
  <si>
    <t>Contributions/Advances</t>
  </si>
  <si>
    <t>627   Rents</t>
  </si>
  <si>
    <t>A final check to make sure the model is calculated properly, check cells AS384 through AS396 in tab Schedule D.  These cells should read "OK" if the factor equals 1.0000.  If not, "Round Up" or "Round Down" the "base" column so that the factor equals 1.0000.  The same check should be made in column U in Schedule B, lines 11 through 27.  Round the Residential column up or down one dollar so that column U reads "OK".</t>
  </si>
  <si>
    <t>Determines the unit costs of meters, services, billing and collecting, meter reading and public fire deficiency.  The sum of the unit costs is used as the basis for the 5/8-inch monthly charge.</t>
  </si>
  <si>
    <t>COLOR CODE: Each cell is color-coded so the user can quickly determine if a number has been inputted, calculated, or linked from another cell. A description of the color coding is presented below:</t>
  </si>
  <si>
    <t>PURPLE indicates that the cell contents have been manually entered or inputted into the workbook. Changes to the model should be limited to these cells.</t>
  </si>
  <si>
    <t>Before saving any changes to worksheet, make sure that there are no error messages replacing cell contents.  Common error messages may appear as "#REF!" "#ERR!" "#N/A!" "#VALUE!" "#NAME!" or "FALSE".</t>
  </si>
  <si>
    <t>This cost of service allocation model is based on the Base Extra-Capacity method as described in AWWA Manual M1, "Water Rates".  The model performs the cost allocation in a two-step process first allocating each element of cost to the several cost functions.  The result of the functional allocation is then allocated to customer classifications in proportion to each classification's use of the commodities, facilities and services which entail the total cost of providing water service.  The cost of service by account shown in column 3 under the tab "Schedule D" is allocated to the several cost functions using the factor referenced in column 2.  Descriptions and calculations of the factors are found under the tab "Schedule E".  The results of the functional allocation on line 279 of Schedule D is brought forward to column 3 of "Schedule B".  The costs by function are allocated to customer classifications based on the factors referenced in column 2 and described under the tab "Schedule C".  The cost of service by class is then brought forward to "Schedule A" to be compared with revenues under present and proposed rates.</t>
  </si>
  <si>
    <t>BLACK indicates that the cell contents are the result of formulas that are being performed within the workbook.</t>
  </si>
  <si>
    <t>GREEN indicates that the cell contents are linked from another cell located elsewhere in the workbook.</t>
  </si>
  <si>
    <t>READ USER MANUAL BEFORE MAKING CHANGES TO THIS WORKBOOK.</t>
  </si>
  <si>
    <t>These are direct factors for allocating costs by function to classes based on specific information about each customer classification, such as average and peak usage, relative size of meters and services, and the number of customers and meter readings.</t>
  </si>
  <si>
    <t>If you change the Factor Reference in column 2, the formula will automatically recalculate the answer, as long as the new factor is the same type (ie. Replacing a direct factor with another direct factor, or replacing a composite factor with another composite factor).</t>
  </si>
  <si>
    <t>If you change the Factor Reference to a different type of factor, you must also change the formulas for each cost function in that account so that the formula looks up the value in the correct table (table "Factors" for direct factors and table "COMP" for composite factors).</t>
  </si>
  <si>
    <t>V-LOOKUP TABLES:  The calculation of the Cost of Service in column 3 of "Schedule D" is performed through the use of V-Lookup tables.  The formula will identify the Factor Reference number in column 2 and find the matching reference number in the table.  It will then apply the appropriate allocation factor for each cost function.  The tables are located at the bottom, right-hand corner of the sheet (Schedule D, Y378 - AR428).  There are two separate tables.  The first is for composite factors (Factors 8 and 14 - 19), and the second is for the direct factors (Factors 1 - 7 and 9 - 13).</t>
  </si>
  <si>
    <t>Rate</t>
  </si>
  <si>
    <t>Ref.</t>
  </si>
  <si>
    <t>Cost of</t>
  </si>
  <si>
    <t>Account</t>
  </si>
  <si>
    <t>Max Day</t>
  </si>
  <si>
    <t>Max Hour</t>
  </si>
  <si>
    <t>Billing &amp;</t>
  </si>
  <si>
    <t>Collecting</t>
  </si>
  <si>
    <t>Reading</t>
  </si>
  <si>
    <t>Fire Service</t>
  </si>
  <si>
    <t>Private</t>
  </si>
  <si>
    <t>Fire</t>
  </si>
  <si>
    <t xml:space="preserve">678   Miscellaneous Plant                </t>
  </si>
  <si>
    <t>Private Fire</t>
  </si>
  <si>
    <t>Public Fire</t>
  </si>
  <si>
    <t>Billing and Collecting</t>
  </si>
  <si>
    <t>Meter Reading</t>
  </si>
  <si>
    <t>meters</t>
  </si>
  <si>
    <t>services</t>
  </si>
  <si>
    <t>billing</t>
  </si>
  <si>
    <t>meter read</t>
  </si>
  <si>
    <t>The factors are based on the allocation of operation and maintenance direct labor expense, as summarized below.</t>
  </si>
  <si>
    <t>303.6 Other P/E Comprehensive Studies</t>
  </si>
  <si>
    <t>320   Pumping Land &amp; Land Rights</t>
  </si>
  <si>
    <t>330    Land and Land Rights</t>
  </si>
  <si>
    <t>340    Land and Land Rights</t>
  </si>
  <si>
    <t>RATE BASE</t>
  </si>
  <si>
    <t>Authorities</t>
  </si>
  <si>
    <t>Cost Function</t>
  </si>
  <si>
    <t>Customer Facilities - Meters</t>
  </si>
  <si>
    <t>Customer Facilities - Services</t>
  </si>
  <si>
    <t>Average Hourly</t>
  </si>
  <si>
    <t xml:space="preserve">These costs are assigned directly to Private Fire Protection. </t>
  </si>
  <si>
    <t xml:space="preserve">633   Pump Maint Pumping Equipment       </t>
  </si>
  <si>
    <t xml:space="preserve">Meters </t>
  </si>
  <si>
    <t>(Schedule D)</t>
  </si>
  <si>
    <t>Ref.*</t>
  </si>
  <si>
    <t>*  Schedule C.</t>
  </si>
  <si>
    <t>Extra Capacity - Maximum Day</t>
  </si>
  <si>
    <t>Extra Capacity - Maximum Hour</t>
  </si>
  <si>
    <t>ALLOCATION OF COST OF SERVICE BY COST FUNCTION TO CUSTOMER CLASSIFICATIONS</t>
  </si>
  <si>
    <t xml:space="preserve">     Mains</t>
  </si>
  <si>
    <t xml:space="preserve">     Services</t>
  </si>
  <si>
    <t xml:space="preserve">     Hydrants </t>
  </si>
  <si>
    <t xml:space="preserve">     General</t>
  </si>
  <si>
    <t xml:space="preserve">     Source of Supply</t>
  </si>
  <si>
    <t xml:space="preserve">     Treatment Plant</t>
  </si>
  <si>
    <t xml:space="preserve">     Distribution Reservoir</t>
  </si>
  <si>
    <t xml:space="preserve">     Meters</t>
  </si>
  <si>
    <t>404    AMORTIZATION EXPENSE</t>
  </si>
  <si>
    <t xml:space="preserve">              AFUDC</t>
  </si>
  <si>
    <t xml:space="preserve">              Acquisition Adjustment</t>
  </si>
  <si>
    <t xml:space="preserve">              Property Losses</t>
  </si>
  <si>
    <t xml:space="preserve">         Total Amortizations</t>
  </si>
  <si>
    <t xml:space="preserve">  </t>
  </si>
  <si>
    <t>FACTOR 2.  ALLOCATION OF COSTS ASSOCIATED WITH FACILITIES SERVING BASE AND MAXIMUM DAY EXTRA CAPACITY FUNCTIONS.</t>
  </si>
  <si>
    <t>FACTOR 14.  ALLOCATION OF TRANSMISSION AND DISTRIBUTION MISCELLANEOUS MAINTENANCE EXPENSES.</t>
  </si>
  <si>
    <t xml:space="preserve">    Private Fire</t>
  </si>
  <si>
    <t xml:space="preserve">    Public Fire</t>
  </si>
  <si>
    <t>TO PRIVATE AND PUBLIC FIRE PROTECTION CUSTOMER CLASSIFICATIONS</t>
  </si>
  <si>
    <t>4 -1/4 inch w/ 2-2 1/2, 1-4 1/2</t>
  </si>
  <si>
    <t>5 -1/4 inch w/ 2-2 1/2, 1-4 1/2</t>
  </si>
  <si>
    <t>FACTOR 3.  ALLOCATION OF COSTS ASSOCIATED WITH FACILITIES SERVING BASE, MAXIMUM DAY EXTRA CAPACITY AND FIRE PROTECTION  FUNCTIONS.</t>
  </si>
  <si>
    <t>FACTOR 4.  ALLOCATION OF COSTS ASSOCIATED WITH FACILITIES SERVING BASE AND  MAXIMUM HOUR EXTRA CAPACITY.</t>
  </si>
  <si>
    <t xml:space="preserve">903   Recording and Collecting Expenses  </t>
  </si>
  <si>
    <t>FACTOR 6.  ALLOCATION OF PUMPS AND PUMPING EXPENSES.</t>
  </si>
  <si>
    <t>FACTOR 7.  ALLOCATION OF LINES EXPENSES.</t>
  </si>
  <si>
    <t>Demand*</t>
  </si>
  <si>
    <t xml:space="preserve">         Expenses - Distribution Reservoirs                       </t>
  </si>
  <si>
    <t xml:space="preserve">         Expenses - Other                       </t>
  </si>
  <si>
    <t xml:space="preserve">  Total Water Treatment Expenses</t>
  </si>
  <si>
    <t xml:space="preserve">         Expenses - Other</t>
  </si>
  <si>
    <t xml:space="preserve">         Expenses - Waste Disposal</t>
  </si>
  <si>
    <t>Community Education Costs</t>
  </si>
  <si>
    <t>Table of Composite Factors - Table Name "COMP"</t>
  </si>
  <si>
    <t>Table of Factors - Table Name "FACTORS"</t>
  </si>
  <si>
    <t>FACTOR 11.  ALLOCATION OF COSTS ASSOCIATED WITH BILLING AND COLLECTING.</t>
  </si>
  <si>
    <t>FACTOR 12.  ALLOCATION OF COSTS ASSOCIATED WITH METER READING.</t>
  </si>
  <si>
    <t>FACTOR 13.  ALLOCATION OF COSTS ASSOCIATED WITH FIRE HYDRANTS.</t>
  </si>
  <si>
    <t>FACTOR 15.  ALLOCATION OF ADMINISTRATIVE AND GENERAL EXPENSES.</t>
  </si>
  <si>
    <t>FACTOR 17.  ALLOCATION OF ORGANIZATION AND OTHER RATE BASE ELEMENTS.</t>
  </si>
  <si>
    <t>FACTOR 18.  ALLOCATION OF TAXES AND UTILITY OPERATING INCOME.</t>
  </si>
  <si>
    <t>FACTOR 19.  ALLOCATION OF OTHER REVENUES.</t>
  </si>
  <si>
    <t>Deferred Debits</t>
  </si>
  <si>
    <t>Deferred Maintenance</t>
  </si>
  <si>
    <t xml:space="preserve">Deferred Investment Tax Credits </t>
  </si>
  <si>
    <t>Deferred Income Taxes</t>
  </si>
  <si>
    <t>Other  Working Capital Allowance</t>
  </si>
  <si>
    <t>Working Capital Allowance</t>
  </si>
  <si>
    <t>Construction Work in Progress</t>
  </si>
  <si>
    <t>Accumulated Amortization</t>
  </si>
  <si>
    <t xml:space="preserve">       Private Hydrants</t>
  </si>
  <si>
    <t>Other Rate Base Elements</t>
  </si>
  <si>
    <t>Utility Plant Acquisition Adjustments</t>
  </si>
  <si>
    <t>FACTORS FOR ALLOCATING COSTS BY FUNCTION TO CUSTOMER CLASSIFICATIONS</t>
  </si>
  <si>
    <t>FACTOR   A.  ALLOCATION OF BASE COSTS.</t>
  </si>
  <si>
    <t>FACTOR   B.  ALLOCATION OF MAXIMUM DAY EXTRA CAPACITY COSTS.</t>
  </si>
  <si>
    <t>Factors are based on the maximum day extra capacity demand for each customer classification.</t>
  </si>
  <si>
    <t>* Ratio of Maximum Day To Average Day Minus 1.0.</t>
  </si>
  <si>
    <t>FACTOR   C.  ALLOCATION OF MAXIMUM HOUR EXTRA CAPACITY COSTS.</t>
  </si>
  <si>
    <t>Factors are based on the maximum hour extra capacity demand for each customer classification.</t>
  </si>
  <si>
    <t xml:space="preserve">           Total Depreciation Expense</t>
  </si>
  <si>
    <t xml:space="preserve">    Total Fire</t>
  </si>
  <si>
    <t>The factors are based on the allocation of all other operation and maintenance expenses excluding power, chemicals, and purchased water, as follows:</t>
  </si>
  <si>
    <t xml:space="preserve">617   Maint Misc Water Source      </t>
  </si>
  <si>
    <t>FACTOR   D.  ALLOCATION OF COSTS ASSOCIATED WITH METERS.</t>
  </si>
  <si>
    <t>FACTOR   E.  ALLOCATION OF COSTS ASSOCIATED WITH SERVICES.</t>
  </si>
  <si>
    <t>FACTOR   F.  ALLOCATION OF BILLING AND COLLECTING COSTS.</t>
  </si>
  <si>
    <t>FACTOR   G.  ALLOCATION OF METER READING COSTS.</t>
  </si>
  <si>
    <t xml:space="preserve">FACTOR   H.  ALLOCATION OF PRIVATE FIRE PROTECTION COSTS. </t>
  </si>
  <si>
    <t>FACTOR   I.  ALLOCATION OF PUBLIC FIRE PROTECTION COSTS.</t>
  </si>
  <si>
    <t>B</t>
  </si>
  <si>
    <t>C</t>
  </si>
  <si>
    <t>D</t>
  </si>
  <si>
    <t>E</t>
  </si>
  <si>
    <t>F</t>
  </si>
  <si>
    <t>G</t>
  </si>
  <si>
    <t>H</t>
  </si>
  <si>
    <t>I</t>
  </si>
  <si>
    <t>*  Relative Demand for Private Fire lines and hydrants are calculated at 1.5 times the Public Fire Relative</t>
  </si>
  <si>
    <t xml:space="preserve">   Demand.</t>
  </si>
  <si>
    <t>KENTUCKY-AMERICAN WATER COMPANY</t>
  </si>
  <si>
    <t/>
  </si>
  <si>
    <t>FACTOR 1.  ALLOCATION OF COSTS WHICH VARY WITH THE AMOUNT OF WATER CONSUMED.</t>
  </si>
  <si>
    <t>Factors are based on the pro forma test year average daily consumption for each customer classification.</t>
  </si>
  <si>
    <t>Average Daily</t>
  </si>
  <si>
    <t xml:space="preserve">Customer </t>
  </si>
  <si>
    <t>Consumption,</t>
  </si>
  <si>
    <t>Allocation</t>
  </si>
  <si>
    <t>Classification</t>
  </si>
  <si>
    <t>Factor</t>
  </si>
  <si>
    <t>(1)</t>
  </si>
  <si>
    <t>(3)</t>
  </si>
  <si>
    <t>Residential</t>
  </si>
  <si>
    <t>Commercial</t>
  </si>
  <si>
    <t>Industrial</t>
  </si>
  <si>
    <t>Other Public Authority</t>
  </si>
  <si>
    <t>Private Fire Protection</t>
  </si>
  <si>
    <t>Public Fire Protection</t>
  </si>
  <si>
    <t xml:space="preserve">   Total</t>
  </si>
  <si>
    <t>Extra Capacity</t>
  </si>
  <si>
    <t>Weighted</t>
  </si>
  <si>
    <t>(2)</t>
  </si>
  <si>
    <t>(3)=(2)x</t>
  </si>
  <si>
    <t>(5)=(4)x</t>
  </si>
  <si>
    <t>(6)=(3)+(5)</t>
  </si>
  <si>
    <t>Maximum Day Extra Capacity</t>
  </si>
  <si>
    <t>Rate of Flow,</t>
  </si>
  <si>
    <t>Factor*</t>
  </si>
  <si>
    <t>Per Day</t>
  </si>
  <si>
    <t>(4)=(2)x(3)</t>
  </si>
  <si>
    <t>Maximum</t>
  </si>
  <si>
    <t>Ratio</t>
  </si>
  <si>
    <t>Weight</t>
  </si>
  <si>
    <t>Average Day</t>
  </si>
  <si>
    <t xml:space="preserve">  Total</t>
  </si>
  <si>
    <t>Fire Protection</t>
  </si>
  <si>
    <t>Customer</t>
  </si>
  <si>
    <t>(8)=(3)+(5)+(7)</t>
  </si>
  <si>
    <t>Maximum Hour</t>
  </si>
  <si>
    <t>(GPD)</t>
  </si>
  <si>
    <t>Average Hour</t>
  </si>
  <si>
    <t xml:space="preserve">  Subtotal</t>
  </si>
  <si>
    <t>(GPM)</t>
  </si>
  <si>
    <t>Maximum Hour Extra Capacity</t>
  </si>
  <si>
    <t>Per Hour</t>
  </si>
  <si>
    <t>* Ratio of Maximum Hour To Average Hour Minus 1.0.</t>
  </si>
  <si>
    <t>FACTOR 5.  ALLOCATION OF COSTS ASSOCIATED WITH STORAGE FACILITIES.</t>
  </si>
  <si>
    <t xml:space="preserve">     Total Other Water Revenues</t>
  </si>
  <si>
    <t>OTHER RATE BASE ELEMENTS</t>
  </si>
  <si>
    <t xml:space="preserve">     Total Depreciable Plant</t>
  </si>
  <si>
    <t xml:space="preserve">     Total Other Rate Base Elements</t>
  </si>
  <si>
    <t>Total Original Cost Measure of Value</t>
  </si>
  <si>
    <t>=</t>
  </si>
  <si>
    <t>-</t>
  </si>
  <si>
    <t>Percent</t>
  </si>
  <si>
    <t>Factor 2</t>
  </si>
  <si>
    <t>Factor 3</t>
  </si>
  <si>
    <t>Factor 4</t>
  </si>
  <si>
    <t>base</t>
  </si>
  <si>
    <t>max day</t>
  </si>
  <si>
    <t>max hour</t>
  </si>
  <si>
    <t>private fire</t>
  </si>
  <si>
    <t>public fire</t>
  </si>
  <si>
    <t>The weighting of the factors is based on the horsepower of pumps associated with maximum day facilities, maximum day and fire facilities, and maximum hour facilities, as follows:</t>
  </si>
  <si>
    <t>Horsepower</t>
  </si>
  <si>
    <t>of Pumps</t>
  </si>
  <si>
    <t>Associated with Maximum Day</t>
  </si>
  <si>
    <t>Associated with Maximum Day and Fire</t>
  </si>
  <si>
    <t>Associated with Maximum Hour</t>
  </si>
  <si>
    <t xml:space="preserve">    Total</t>
  </si>
  <si>
    <t>The weighting of the factors is based on the total footage of mains, designated as either transmission mains or distribution mains, as follows:</t>
  </si>
  <si>
    <t>Total Footage</t>
  </si>
  <si>
    <t>of Mains</t>
  </si>
  <si>
    <t>Transmission Mains</t>
  </si>
  <si>
    <t>Distribution Mains</t>
  </si>
  <si>
    <t>Number of</t>
  </si>
  <si>
    <t>FACTOR 9.  ALLOCATION OF COSTS ASSOCIATED WITH METERS.</t>
  </si>
  <si>
    <t>Factors are based on the relative cost of meters by size and customer classification, as developed on the following page and summarized below.</t>
  </si>
  <si>
    <t>5/8" Dollar</t>
  </si>
  <si>
    <t>Equivalents</t>
  </si>
  <si>
    <t xml:space="preserve"> </t>
  </si>
  <si>
    <t>FACTOR 10.  ALLOCATION OF COSTS ASSOCIATED WITH SERVICES.</t>
  </si>
  <si>
    <t>Factors are based on the relative cost of services by size and customer classification, as developed on the following page and summarized below.</t>
  </si>
  <si>
    <t>3/4" Dollar</t>
  </si>
  <si>
    <t>BASIS FOR ALLOCATING SERVICE COSTS TO CUSTOMER CLASSIFICATIONS</t>
  </si>
  <si>
    <t>3/4"</t>
  </si>
  <si>
    <t>Total</t>
  </si>
  <si>
    <t>Service</t>
  </si>
  <si>
    <t>Dollar</t>
  </si>
  <si>
    <t>Size</t>
  </si>
  <si>
    <t>Equivalent</t>
  </si>
  <si>
    <t>Services</t>
  </si>
  <si>
    <t>Weighting</t>
  </si>
  <si>
    <t>(4)=(2)X(3)</t>
  </si>
  <si>
    <t>(6)=(2)X(5)</t>
  </si>
  <si>
    <t>(8)=(2)X(7)</t>
  </si>
  <si>
    <t>(10)=(2)X(9)</t>
  </si>
  <si>
    <t>(12)=(2)X(11)</t>
  </si>
  <si>
    <t>(14)=(2)X(11)</t>
  </si>
  <si>
    <t xml:space="preserve">  3/4</t>
  </si>
  <si>
    <t xml:space="preserve">   1</t>
  </si>
  <si>
    <t xml:space="preserve"> 1-1/2</t>
  </si>
  <si>
    <t xml:space="preserve">   2</t>
  </si>
  <si>
    <t xml:space="preserve">   4</t>
  </si>
  <si>
    <t xml:space="preserve">   6</t>
  </si>
  <si>
    <t xml:space="preserve">   8</t>
  </si>
  <si>
    <t>Factors are based on the total number of customers.</t>
  </si>
  <si>
    <t>Customers</t>
  </si>
  <si>
    <t>Total Metered</t>
  </si>
  <si>
    <t>Transmission</t>
  </si>
  <si>
    <t>Operating</t>
  </si>
  <si>
    <t>Expenses</t>
  </si>
  <si>
    <t>Maintenance</t>
  </si>
  <si>
    <t>Public</t>
  </si>
  <si>
    <t>The factors are based on the allocation of other transmission and distribution maintenance expenses.</t>
  </si>
  <si>
    <t>FACTOR 16.  ALLOCATION OF LABOR RELATED TAXES AND BENEFITS.</t>
  </si>
  <si>
    <t>Expense</t>
  </si>
  <si>
    <t>of Service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</si>
</sst>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
    <numFmt numFmtId="168" formatCode="#,##0.0000"/>
    <numFmt numFmtId="169" formatCode="0_);\(0\)"/>
    <numFmt numFmtId="170" formatCode="#,##0.0000_);\(#,##0.0000\)"/>
    <numFmt numFmtId="171" formatCode="#,##0.000_);\(#,##0.000\)"/>
    <numFmt numFmtId="172" formatCode="#,##0.0_);\(#,##0.0\)"/>
    <numFmt numFmtId="173" formatCode="0;[Red]\-0"/>
    <numFmt numFmtId="174" formatCode="0.0000_);\(0.0000\)"/>
    <numFmt numFmtId="175" formatCode="0.00000"/>
    <numFmt numFmtId="176" formatCode="0.000000"/>
    <numFmt numFmtId="177" formatCode="&quot;$&quot;#,##0"/>
    <numFmt numFmtId="178" formatCode="_(* #,##0.0000_);_(* \(#,##0.0000\);_(* &quot;-&quot;????_);_(@_)"/>
    <numFmt numFmtId="179" formatCode="_(* #,##0.000000_);_(* \(#,##0.000000\);_(* &quot;-&quot;??????_);_(@_)"/>
    <numFmt numFmtId="180" formatCode="#,##0;[Red]\-#,##0"/>
    <numFmt numFmtId="181" formatCode="_(&quot;$&quot;* #,##0_);_(&quot;$&quot;* \(#,##0\);_(&quot;$&quot;* &quot;-&quot;??_);_(@_)"/>
    <numFmt numFmtId="182" formatCode="0.0%"/>
    <numFmt numFmtId="183" formatCode="00000"/>
    <numFmt numFmtId="184" formatCode="_(* #,##0.00_);_(* \(#,##0.00\);_(* &quot;-&quot;_);_(@_)"/>
    <numFmt numFmtId="185" formatCode="_(&quot;$&quot;* #,##0.00_);_(&quot;$&quot;* \(#,##0.00\);_(&quot;$&quot;* &quot;-&quot;_);_(@_)"/>
    <numFmt numFmtId="186" formatCode="_(* #,##0.0_);_(* \(#,##0.0\);_(* &quot;-&quot;??_);_(@_)"/>
    <numFmt numFmtId="187" formatCode="_(* #,##0.0_);_(* \(#,##0.0\);_(* &quot;-&quot;?_);_(@_)"/>
    <numFmt numFmtId="188" formatCode="#,##0.0;[Red]\-#,##0.0"/>
    <numFmt numFmtId="189" formatCode="#,##0.00;[Red]\-#,##0.00"/>
    <numFmt numFmtId="190" formatCode="_(* #,##0_);_(* \(#,##0\);_(* &quot;-&quot;??_);_(@_)"/>
    <numFmt numFmtId="191" formatCode="_(&quot;$&quot;* #,##0.0_);_(&quot;$&quot;* \(#,##0.0\);_(&quot;$&quot;* &quot;-&quot;??_);_(@_)"/>
    <numFmt numFmtId="192" formatCode="_(* #,##0.000_);_(* \(#,##0.000\);_(* &quot;-&quot;??_);_(@_)"/>
    <numFmt numFmtId="193" formatCode="_(&quot;$&quot;* #,##0.000_);_(&quot;$&quot;* \(#,##0.000\);_(&quot;$&quot;* &quot;-&quot;??_);_(@_)"/>
    <numFmt numFmtId="194" formatCode="0.000"/>
    <numFmt numFmtId="195" formatCode="_(* #,##0.0000_);_(* \(#,##0.0000\);_(* &quot;-&quot;??_);_(@_)"/>
    <numFmt numFmtId="196" formatCode="_(* #,##0.00000_);_(* \(#,##0.00000\);_(* &quot;-&quot;??_);_(@_)"/>
    <numFmt numFmtId="197" formatCode="_(&quot;$&quot;* #,##0.0000_);_(&quot;$&quot;* \(#,##0.0000\);_(&quot;$&quot;* &quot;-&quot;??_);_(@_)"/>
    <numFmt numFmtId="198" formatCode="_(&quot;$&quot;* #,##0.00000_);_(&quot;$&quot;* \(#,##0.00000\);_(&quot;$&quot;* &quot;-&quot;??_);_(@_)"/>
  </numFmts>
  <fonts count="27">
    <font>
      <sz val="12"/>
      <name val="Arial"/>
      <family val="0"/>
    </font>
    <font>
      <b/>
      <sz val="10"/>
      <name val="Arial"/>
      <family val="0"/>
    </font>
    <font>
      <i/>
      <sz val="10"/>
      <name val="Arial"/>
      <family val="0"/>
    </font>
    <font>
      <b/>
      <i/>
      <sz val="10"/>
      <name val="Arial"/>
      <family val="0"/>
    </font>
    <font>
      <sz val="10"/>
      <name val="Arial"/>
      <family val="0"/>
    </font>
    <font>
      <sz val="10"/>
      <color indexed="8"/>
      <name val="Arial"/>
      <family val="0"/>
    </font>
    <font>
      <sz val="10"/>
      <color indexed="14"/>
      <name val="Arial"/>
      <family val="0"/>
    </font>
    <font>
      <u val="single"/>
      <sz val="10"/>
      <name val="Arial"/>
      <family val="2"/>
    </font>
    <font>
      <sz val="9"/>
      <name val="Arial"/>
      <family val="2"/>
    </font>
    <font>
      <sz val="8"/>
      <name val="Arial"/>
      <family val="2"/>
    </font>
    <font>
      <sz val="10"/>
      <color indexed="12"/>
      <name val="Arial"/>
      <family val="2"/>
    </font>
    <font>
      <sz val="10"/>
      <color indexed="17"/>
      <name val="Arial"/>
      <family val="2"/>
    </font>
    <font>
      <sz val="10"/>
      <color indexed="20"/>
      <name val="Arial"/>
      <family val="2"/>
    </font>
    <font>
      <sz val="12"/>
      <color indexed="20"/>
      <name val="Arial"/>
      <family val="2"/>
    </font>
    <font>
      <sz val="10"/>
      <color indexed="10"/>
      <name val="Arial"/>
      <family val="2"/>
    </font>
    <font>
      <u val="single"/>
      <sz val="12"/>
      <name val="Arial"/>
      <family val="2"/>
    </font>
    <font>
      <sz val="12"/>
      <color indexed="17"/>
      <name val="Arial"/>
      <family val="2"/>
    </font>
    <font>
      <b/>
      <sz val="10"/>
      <color indexed="20"/>
      <name val="Arial"/>
      <family val="2"/>
    </font>
    <font>
      <b/>
      <sz val="10"/>
      <color indexed="17"/>
      <name val="Arial"/>
      <family val="2"/>
    </font>
    <font>
      <b/>
      <sz val="10"/>
      <color indexed="10"/>
      <name val="Arial"/>
      <family val="2"/>
    </font>
    <font>
      <b/>
      <u val="single"/>
      <sz val="10"/>
      <color indexed="10"/>
      <name val="Arial"/>
      <family val="2"/>
    </font>
    <font>
      <u val="single"/>
      <sz val="10"/>
      <color indexed="12"/>
      <name val="Arial"/>
      <family val="2"/>
    </font>
    <font>
      <u val="single"/>
      <sz val="10.45"/>
      <color indexed="12"/>
      <name val="Arial"/>
      <family val="0"/>
    </font>
    <font>
      <u val="single"/>
      <sz val="10.45"/>
      <color indexed="36"/>
      <name val="Arial"/>
      <family val="0"/>
    </font>
    <font>
      <b/>
      <u val="single"/>
      <sz val="10"/>
      <name val="Arial"/>
      <family val="2"/>
    </font>
    <font>
      <sz val="11"/>
      <name val="Arial"/>
      <family val="0"/>
    </font>
    <font>
      <u val="single"/>
      <sz val="12"/>
      <color indexed="12"/>
      <name val="Arial"/>
      <family val="0"/>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thin"/>
    </border>
    <border>
      <left>
        <color indexed="63"/>
      </left>
      <right>
        <color indexed="63"/>
      </right>
      <top>
        <color indexed="63"/>
      </top>
      <bottom style="double"/>
    </border>
    <border>
      <left style="double"/>
      <right style="double"/>
      <top style="double"/>
      <bottom style="double"/>
    </border>
    <border>
      <left>
        <color indexed="63"/>
      </left>
      <right>
        <color indexed="63"/>
      </right>
      <top style="thin"/>
      <bottom>
        <color indexed="63"/>
      </bottom>
    </border>
  </borders>
  <cellStyleXfs count="29">
    <xf numFmtId="164" fontId="0" fillId="0" borderId="0">
      <alignment/>
      <protection/>
    </xf>
    <xf numFmtId="164" fontId="1" fillId="0" borderId="0" applyNumberFormat="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0" fontId="0" fillId="0" borderId="0">
      <alignment/>
      <protection/>
    </xf>
    <xf numFmtId="0" fontId="0" fillId="0" borderId="0">
      <alignment/>
      <protection/>
    </xf>
    <xf numFmtId="9" fontId="4" fillId="0" borderId="0" applyFont="0" applyFill="0" applyBorder="0" applyAlignment="0" applyProtection="0"/>
  </cellStyleXfs>
  <cellXfs count="503">
    <xf numFmtId="0" fontId="4" fillId="0" borderId="0" xfId="0" applyNumberFormat="1" applyFont="1" applyAlignment="1">
      <alignment/>
    </xf>
    <xf numFmtId="0" fontId="4" fillId="0" borderId="0" xfId="0" applyNumberFormat="1" applyFont="1" applyAlignment="1">
      <alignment horizontal="centerContinuous"/>
    </xf>
    <xf numFmtId="0" fontId="4" fillId="0" borderId="0" xfId="0" applyNumberFormat="1" applyFont="1" applyAlignment="1">
      <alignment/>
    </xf>
    <xf numFmtId="0" fontId="4" fillId="0" borderId="1" xfId="0" applyNumberFormat="1" applyFont="1" applyAlignment="1">
      <alignment horizontal="centerContinuous"/>
    </xf>
    <xf numFmtId="164" fontId="4" fillId="0" borderId="0" xfId="0" applyFont="1" applyAlignment="1">
      <alignment/>
    </xf>
    <xf numFmtId="3" fontId="4" fillId="0" borderId="1" xfId="0" applyNumberFormat="1" applyFont="1" applyAlignment="1">
      <alignment/>
    </xf>
    <xf numFmtId="165" fontId="4" fillId="0" borderId="1" xfId="0" applyNumberFormat="1" applyFont="1" applyAlignment="1">
      <alignment/>
    </xf>
    <xf numFmtId="3" fontId="4" fillId="0" borderId="0" xfId="0" applyNumberFormat="1" applyFont="1" applyAlignment="1">
      <alignment/>
    </xf>
    <xf numFmtId="0" fontId="4" fillId="0" borderId="0" xfId="0" applyNumberFormat="1" applyFont="1" applyAlignment="1">
      <alignment horizontal="center"/>
    </xf>
    <xf numFmtId="0" fontId="0" fillId="0" borderId="2" xfId="0" applyNumberFormat="1" applyAlignment="1">
      <alignment/>
    </xf>
    <xf numFmtId="0" fontId="0" fillId="0" borderId="0" xfId="0" applyNumberFormat="1" applyAlignment="1">
      <alignment/>
    </xf>
    <xf numFmtId="0" fontId="4" fillId="0" borderId="0" xfId="21" applyNumberFormat="1" applyFont="1" applyAlignment="1">
      <alignment/>
      <protection/>
    </xf>
    <xf numFmtId="0" fontId="4" fillId="0" borderId="0" xfId="21" applyNumberFormat="1" applyFont="1" applyAlignment="1">
      <alignment horizontal="center"/>
      <protection/>
    </xf>
    <xf numFmtId="0" fontId="4" fillId="0" borderId="1" xfId="21" applyNumberFormat="1" applyFont="1" applyAlignment="1">
      <alignment horizontal="center"/>
      <protection/>
    </xf>
    <xf numFmtId="0" fontId="0" fillId="0" borderId="0" xfId="0" applyNumberFormat="1" applyFont="1" applyAlignment="1">
      <alignment/>
    </xf>
    <xf numFmtId="0" fontId="0" fillId="0" borderId="0" xfId="22" applyAlignment="1">
      <alignment/>
      <protection/>
    </xf>
    <xf numFmtId="0" fontId="4" fillId="0" borderId="0" xfId="22" applyNumberFormat="1" applyFont="1" applyAlignment="1">
      <alignment/>
      <protection/>
    </xf>
    <xf numFmtId="0" fontId="4" fillId="0" borderId="0" xfId="19" applyNumberFormat="1" applyFont="1" applyAlignment="1">
      <alignment/>
      <protection/>
    </xf>
    <xf numFmtId="0" fontId="0" fillId="0" borderId="0" xfId="19" applyAlignment="1">
      <alignment/>
      <protection/>
    </xf>
    <xf numFmtId="0" fontId="4" fillId="0" borderId="0" xfId="19" applyNumberFormat="1" applyFont="1" applyAlignment="1">
      <alignment horizontal="center"/>
      <protection/>
    </xf>
    <xf numFmtId="168" fontId="4" fillId="0" borderId="0" xfId="19" applyNumberFormat="1" applyFont="1" applyAlignment="1">
      <alignment/>
      <protection/>
    </xf>
    <xf numFmtId="168" fontId="4" fillId="0" borderId="1" xfId="19" applyNumberFormat="1" applyFont="1" applyAlignment="1">
      <alignment/>
      <protection/>
    </xf>
    <xf numFmtId="0" fontId="4" fillId="0" borderId="2" xfId="19" applyNumberFormat="1" applyFont="1" applyAlignment="1">
      <alignment/>
      <protection/>
    </xf>
    <xf numFmtId="0" fontId="4" fillId="0" borderId="1" xfId="19" applyNumberFormat="1" applyFont="1" applyAlignment="1">
      <alignment/>
      <protection/>
    </xf>
    <xf numFmtId="3" fontId="4" fillId="0" borderId="0" xfId="19" applyNumberFormat="1" applyFont="1" applyAlignment="1">
      <alignment/>
      <protection/>
    </xf>
    <xf numFmtId="3" fontId="4" fillId="0" borderId="1" xfId="19" applyNumberFormat="1" applyFont="1" applyAlignment="1">
      <alignment/>
      <protection/>
    </xf>
    <xf numFmtId="3" fontId="6" fillId="0" borderId="0" xfId="19" applyNumberFormat="1" applyFont="1" applyAlignment="1">
      <alignment/>
      <protection/>
    </xf>
    <xf numFmtId="0" fontId="6" fillId="0" borderId="0" xfId="19" applyNumberFormat="1" applyFont="1" applyAlignment="1">
      <alignment/>
      <protection/>
    </xf>
    <xf numFmtId="0" fontId="4" fillId="0" borderId="0" xfId="20" applyNumberFormat="1" applyFont="1" applyAlignment="1">
      <alignment/>
      <protection/>
    </xf>
    <xf numFmtId="0" fontId="4" fillId="0" borderId="0" xfId="20" applyNumberFormat="1" applyFont="1" applyAlignment="1">
      <alignment horizontal="center"/>
      <protection/>
    </xf>
    <xf numFmtId="0" fontId="4" fillId="0" borderId="1" xfId="20" applyNumberFormat="1" applyFont="1" applyAlignment="1">
      <alignment horizontal="center"/>
      <protection/>
    </xf>
    <xf numFmtId="3" fontId="4" fillId="0" borderId="0" xfId="20" applyNumberFormat="1" applyFont="1" applyAlignment="1">
      <alignment/>
      <protection/>
    </xf>
    <xf numFmtId="164" fontId="4" fillId="0" borderId="0" xfId="20" applyNumberFormat="1" applyFont="1" applyAlignment="1">
      <alignment/>
      <protection/>
    </xf>
    <xf numFmtId="3" fontId="4" fillId="0" borderId="1" xfId="20" applyNumberFormat="1" applyFont="1" applyAlignment="1">
      <alignment/>
      <protection/>
    </xf>
    <xf numFmtId="164" fontId="5" fillId="0" borderId="0" xfId="20" applyNumberFormat="1" applyFont="1" applyAlignment="1">
      <alignment/>
      <protection/>
    </xf>
    <xf numFmtId="165" fontId="4" fillId="0" borderId="1" xfId="20" applyNumberFormat="1" applyFont="1" applyAlignment="1">
      <alignment/>
      <protection/>
    </xf>
    <xf numFmtId="3" fontId="4" fillId="0" borderId="2" xfId="20" applyNumberFormat="1" applyFont="1" applyAlignment="1">
      <alignment/>
      <protection/>
    </xf>
    <xf numFmtId="165" fontId="4" fillId="0" borderId="0" xfId="20" applyNumberFormat="1" applyFont="1" applyAlignment="1">
      <alignment/>
      <protection/>
    </xf>
    <xf numFmtId="3" fontId="4" fillId="0" borderId="0" xfId="0" applyNumberFormat="1" applyFont="1" applyAlignment="1">
      <alignment horizontal="center"/>
    </xf>
    <xf numFmtId="3" fontId="5" fillId="0" borderId="0" xfId="0" applyNumberFormat="1" applyFont="1" applyAlignment="1">
      <alignment/>
    </xf>
    <xf numFmtId="164" fontId="4" fillId="0" borderId="0" xfId="0" applyNumberFormat="1" applyFont="1" applyAlignment="1">
      <alignment/>
    </xf>
    <xf numFmtId="0" fontId="0" fillId="0" borderId="0" xfId="25">
      <alignment/>
      <protection/>
    </xf>
    <xf numFmtId="0" fontId="0" fillId="0" borderId="0" xfId="25" applyAlignment="1">
      <alignment/>
      <protection/>
    </xf>
    <xf numFmtId="0" fontId="0" fillId="0" borderId="0" xfId="25" applyNumberFormat="1" applyFont="1" applyAlignment="1">
      <alignment horizontal="centerContinuous"/>
      <protection/>
    </xf>
    <xf numFmtId="0" fontId="4" fillId="0" borderId="0" xfId="25" applyNumberFormat="1" applyFont="1" applyAlignment="1">
      <alignment horizontal="centerContinuous"/>
      <protection/>
    </xf>
    <xf numFmtId="0" fontId="5" fillId="0" borderId="0" xfId="25" applyNumberFormat="1" applyFont="1" applyAlignment="1">
      <alignment horizontal="centerContinuous"/>
      <protection/>
    </xf>
    <xf numFmtId="0" fontId="4" fillId="0" borderId="0" xfId="25" applyNumberFormat="1" applyFont="1" applyAlignment="1">
      <alignment/>
      <protection/>
    </xf>
    <xf numFmtId="0" fontId="5" fillId="0" borderId="0" xfId="25" applyNumberFormat="1" applyFont="1" applyAlignment="1">
      <alignment/>
      <protection/>
    </xf>
    <xf numFmtId="0" fontId="4" fillId="0" borderId="0" xfId="25" applyNumberFormat="1" applyFont="1" applyAlignment="1">
      <alignment horizontal="center"/>
      <protection/>
    </xf>
    <xf numFmtId="0" fontId="5" fillId="0" borderId="0" xfId="25" applyNumberFormat="1" applyFont="1" applyAlignment="1">
      <alignment horizontal="center"/>
      <protection/>
    </xf>
    <xf numFmtId="0" fontId="4" fillId="0" borderId="1" xfId="25" applyNumberFormat="1" applyFont="1" applyAlignment="1">
      <alignment horizontal="center"/>
      <protection/>
    </xf>
    <xf numFmtId="3" fontId="4" fillId="0" borderId="1" xfId="25" applyNumberFormat="1" applyFont="1" applyAlignment="1">
      <alignment horizontal="center"/>
      <protection/>
    </xf>
    <xf numFmtId="3" fontId="4" fillId="0" borderId="0" xfId="25" applyNumberFormat="1" applyFont="1" applyAlignment="1">
      <alignment horizontal="center"/>
      <protection/>
    </xf>
    <xf numFmtId="4" fontId="5" fillId="0" borderId="0" xfId="25" applyNumberFormat="1" applyFont="1" applyAlignment="1">
      <alignment/>
      <protection/>
    </xf>
    <xf numFmtId="3" fontId="4" fillId="0" borderId="0" xfId="25" applyNumberFormat="1" applyFont="1" applyAlignment="1">
      <alignment/>
      <protection/>
    </xf>
    <xf numFmtId="0" fontId="4" fillId="0" borderId="1" xfId="25" applyNumberFormat="1" applyFont="1" applyAlignment="1">
      <alignment/>
      <protection/>
    </xf>
    <xf numFmtId="3" fontId="4" fillId="0" borderId="2" xfId="25" applyNumberFormat="1" applyFont="1" applyAlignment="1">
      <alignment/>
      <protection/>
    </xf>
    <xf numFmtId="0" fontId="4" fillId="0" borderId="0" xfId="25" applyNumberFormat="1" applyFont="1" applyAlignment="1">
      <alignment horizontal="left"/>
      <protection/>
    </xf>
    <xf numFmtId="0" fontId="4" fillId="0" borderId="0" xfId="25" applyFont="1" applyAlignment="1">
      <alignment/>
      <protection/>
    </xf>
    <xf numFmtId="0" fontId="5" fillId="0" borderId="0" xfId="25" applyFont="1" applyAlignment="1">
      <alignment/>
      <protection/>
    </xf>
    <xf numFmtId="0" fontId="4" fillId="0" borderId="0" xfId="25" applyFont="1" applyAlignment="1">
      <alignment horizontal="center"/>
      <protection/>
    </xf>
    <xf numFmtId="0" fontId="4" fillId="0" borderId="1" xfId="25" applyFont="1" applyAlignment="1">
      <alignment/>
      <protection/>
    </xf>
    <xf numFmtId="4" fontId="4" fillId="0" borderId="0" xfId="25" applyNumberFormat="1" applyFont="1" applyAlignment="1">
      <alignment/>
      <protection/>
    </xf>
    <xf numFmtId="165" fontId="4" fillId="0" borderId="0" xfId="25" applyNumberFormat="1" applyFont="1" applyAlignment="1">
      <alignment/>
      <protection/>
    </xf>
    <xf numFmtId="165" fontId="4" fillId="0" borderId="0" xfId="25" applyNumberFormat="1" applyFont="1" applyAlignment="1">
      <alignment horizontal="right"/>
      <protection/>
    </xf>
    <xf numFmtId="0" fontId="4" fillId="0" borderId="0" xfId="0" applyNumberFormat="1" applyFont="1" applyAlignment="1">
      <alignment/>
    </xf>
    <xf numFmtId="0" fontId="4" fillId="0" borderId="0" xfId="24" applyNumberFormat="1" applyFont="1" applyAlignment="1">
      <alignment horizontal="centerContinuous"/>
      <protection/>
    </xf>
    <xf numFmtId="0" fontId="4" fillId="0" borderId="0" xfId="24" applyNumberFormat="1" applyFont="1" applyAlignment="1">
      <alignment/>
      <protection locked="0"/>
    </xf>
    <xf numFmtId="0" fontId="4" fillId="0" borderId="0" xfId="24" applyNumberFormat="1" applyFont="1" applyAlignment="1">
      <alignment/>
      <protection/>
    </xf>
    <xf numFmtId="0" fontId="4" fillId="0" borderId="0" xfId="24" applyNumberFormat="1" applyFont="1" applyAlignment="1">
      <alignment horizontal="center"/>
      <protection/>
    </xf>
    <xf numFmtId="3" fontId="4" fillId="0" borderId="0" xfId="24" applyNumberFormat="1" applyFont="1" applyAlignment="1">
      <alignment horizontal="centerContinuous"/>
      <protection/>
    </xf>
    <xf numFmtId="3" fontId="4" fillId="0" borderId="0" xfId="24" applyNumberFormat="1" applyFont="1" applyAlignment="1">
      <alignment/>
      <protection/>
    </xf>
    <xf numFmtId="3" fontId="4" fillId="0" borderId="0" xfId="24" applyNumberFormat="1" applyFont="1" applyAlignment="1">
      <alignment horizontal="center"/>
      <protection/>
    </xf>
    <xf numFmtId="164" fontId="4" fillId="0" borderId="0" xfId="24" applyNumberFormat="1" applyFont="1" applyAlignment="1">
      <alignment/>
      <protection/>
    </xf>
    <xf numFmtId="165" fontId="4" fillId="0" borderId="0" xfId="24" applyNumberFormat="1" applyFont="1" applyAlignment="1">
      <alignment/>
      <protection/>
    </xf>
    <xf numFmtId="4" fontId="4" fillId="0" borderId="0" xfId="24" applyNumberFormat="1" applyFont="1" applyAlignment="1">
      <alignment/>
      <protection/>
    </xf>
    <xf numFmtId="4" fontId="4" fillId="0" borderId="1" xfId="24" applyNumberFormat="1" applyFont="1" applyAlignment="1">
      <alignment/>
      <protection/>
    </xf>
    <xf numFmtId="0" fontId="4" fillId="0" borderId="1" xfId="24" applyNumberFormat="1" applyFont="1" applyAlignment="1">
      <alignment/>
      <protection/>
    </xf>
    <xf numFmtId="0" fontId="4" fillId="0" borderId="2" xfId="24" applyNumberFormat="1" applyFont="1" applyAlignment="1">
      <alignment/>
      <protection/>
    </xf>
    <xf numFmtId="0" fontId="4" fillId="0" borderId="0" xfId="24" applyFont="1" applyAlignment="1">
      <alignment/>
      <protection/>
    </xf>
    <xf numFmtId="3" fontId="4" fillId="0" borderId="1" xfId="24" applyNumberFormat="1" applyFont="1" applyAlignment="1">
      <alignment/>
      <protection/>
    </xf>
    <xf numFmtId="164" fontId="4" fillId="0" borderId="1" xfId="24" applyNumberFormat="1" applyFont="1" applyAlignment="1">
      <alignment/>
      <protection/>
    </xf>
    <xf numFmtId="0" fontId="4" fillId="0" borderId="2" xfId="24" applyNumberFormat="1" applyFont="1">
      <alignment/>
      <protection/>
    </xf>
    <xf numFmtId="0" fontId="7" fillId="0" borderId="0" xfId="24" applyNumberFormat="1" applyFont="1" applyAlignment="1">
      <alignment/>
      <protection/>
    </xf>
    <xf numFmtId="0" fontId="4" fillId="0" borderId="1" xfId="24" applyNumberFormat="1" applyFont="1">
      <alignment/>
      <protection/>
    </xf>
    <xf numFmtId="3" fontId="4" fillId="0" borderId="0" xfId="24" applyNumberFormat="1" applyFont="1">
      <alignment/>
      <protection/>
    </xf>
    <xf numFmtId="3" fontId="4" fillId="0" borderId="1" xfId="24" applyNumberFormat="1" applyFont="1">
      <alignment/>
      <protection/>
    </xf>
    <xf numFmtId="164" fontId="4" fillId="0" borderId="0" xfId="24" applyNumberFormat="1" applyFont="1">
      <alignment/>
      <protection/>
    </xf>
    <xf numFmtId="0" fontId="4" fillId="0" borderId="0" xfId="24" applyNumberFormat="1" applyFont="1" applyAlignment="1">
      <alignment horizontal="right"/>
      <protection/>
    </xf>
    <xf numFmtId="2" fontId="4" fillId="0" borderId="0" xfId="24" applyNumberFormat="1" applyFont="1" applyAlignment="1">
      <alignment/>
      <protection/>
    </xf>
    <xf numFmtId="0" fontId="4" fillId="0" borderId="0" xfId="24" applyNumberFormat="1" applyFont="1" applyAlignment="1">
      <alignment horizontal="left"/>
      <protection/>
    </xf>
    <xf numFmtId="3" fontId="4" fillId="0" borderId="0" xfId="24" applyNumberFormat="1" applyFont="1" applyAlignment="1">
      <alignment horizontal="left"/>
      <protection/>
    </xf>
    <xf numFmtId="164" fontId="4" fillId="0" borderId="0" xfId="24" applyNumberFormat="1" applyFont="1" applyAlignment="1">
      <alignment horizontal="left"/>
      <protection/>
    </xf>
    <xf numFmtId="164" fontId="4" fillId="0" borderId="0" xfId="24" applyNumberFormat="1" applyFont="1" applyAlignment="1">
      <alignment horizontal="right"/>
      <protection/>
    </xf>
    <xf numFmtId="165" fontId="4" fillId="0" borderId="1" xfId="24" applyNumberFormat="1" applyFont="1" applyAlignment="1">
      <alignment horizontal="right"/>
      <protection/>
    </xf>
    <xf numFmtId="165" fontId="4" fillId="0" borderId="0" xfId="24" applyNumberFormat="1" applyFont="1" applyAlignment="1">
      <alignment horizontal="left"/>
      <protection/>
    </xf>
    <xf numFmtId="0" fontId="4" fillId="0" borderId="2" xfId="24" applyNumberFormat="1" applyFont="1" applyAlignment="1">
      <alignment horizontal="left"/>
      <protection/>
    </xf>
    <xf numFmtId="3" fontId="4" fillId="0" borderId="1" xfId="24" applyNumberFormat="1" applyFont="1" applyAlignment="1" quotePrefix="1">
      <alignment horizontal="center"/>
      <protection/>
    </xf>
    <xf numFmtId="3" fontId="4" fillId="0" borderId="1" xfId="0" applyNumberFormat="1" applyFont="1" applyAlignment="1" quotePrefix="1">
      <alignment horizontal="center"/>
    </xf>
    <xf numFmtId="37" fontId="4" fillId="0" borderId="1" xfId="25" applyNumberFormat="1" applyFont="1" applyAlignment="1">
      <alignment horizontal="center"/>
      <protection/>
    </xf>
    <xf numFmtId="37" fontId="4" fillId="0" borderId="0" xfId="25" applyNumberFormat="1" applyFont="1" applyAlignment="1">
      <alignment horizontal="center"/>
      <protection/>
    </xf>
    <xf numFmtId="37" fontId="5" fillId="0" borderId="1" xfId="25" applyNumberFormat="1" applyFont="1" applyAlignment="1">
      <alignment horizontal="center"/>
      <protection/>
    </xf>
    <xf numFmtId="0" fontId="0" fillId="0" borderId="0" xfId="25" applyNumberFormat="1" applyFont="1" applyAlignment="1">
      <alignment horizontal="centerContinuous"/>
      <protection/>
    </xf>
    <xf numFmtId="0" fontId="4" fillId="0" borderId="0" xfId="0" applyNumberFormat="1" applyFont="1" applyAlignment="1">
      <alignment horizontal="center"/>
    </xf>
    <xf numFmtId="2" fontId="4" fillId="0" borderId="0" xfId="24" applyNumberFormat="1" applyFont="1" applyAlignment="1">
      <alignment/>
      <protection locked="0"/>
    </xf>
    <xf numFmtId="164" fontId="8" fillId="0" borderId="0" xfId="0" applyFont="1" applyAlignment="1">
      <alignment/>
    </xf>
    <xf numFmtId="164" fontId="4" fillId="0" borderId="0" xfId="0" applyFont="1" applyAlignment="1">
      <alignment/>
    </xf>
    <xf numFmtId="0" fontId="8" fillId="0" borderId="0" xfId="0" applyNumberFormat="1" applyFont="1" applyAlignment="1">
      <alignment/>
    </xf>
    <xf numFmtId="0" fontId="0" fillId="0" borderId="0" xfId="0" applyNumberFormat="1" applyFont="1" applyAlignment="1">
      <alignment/>
    </xf>
    <xf numFmtId="164" fontId="4" fillId="0" borderId="0" xfId="0" applyFont="1" applyAlignment="1">
      <alignment horizontal="center"/>
    </xf>
    <xf numFmtId="164" fontId="8" fillId="0" borderId="0" xfId="0" applyFont="1" applyAlignment="1">
      <alignment horizontal="center"/>
    </xf>
    <xf numFmtId="0" fontId="4" fillId="0" borderId="0" xfId="0" applyNumberFormat="1" applyFont="1" applyAlignment="1">
      <alignment horizontal="center"/>
    </xf>
    <xf numFmtId="164" fontId="4" fillId="0" borderId="3" xfId="0" applyFont="1" applyBorder="1" applyAlignment="1">
      <alignment horizontal="center"/>
    </xf>
    <xf numFmtId="37" fontId="4" fillId="0" borderId="0" xfId="0" applyNumberFormat="1" applyFont="1" applyAlignment="1">
      <alignment/>
    </xf>
    <xf numFmtId="37" fontId="4" fillId="0" borderId="3" xfId="0" applyNumberFormat="1" applyFont="1" applyBorder="1" applyAlignment="1">
      <alignment/>
    </xf>
    <xf numFmtId="169" fontId="4" fillId="0" borderId="0" xfId="0" applyNumberFormat="1" applyFont="1" applyBorder="1" applyAlignment="1">
      <alignment horizontal="center"/>
    </xf>
    <xf numFmtId="169" fontId="8"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3" xfId="0" applyNumberFormat="1" applyFont="1" applyBorder="1" applyAlignment="1">
      <alignment horizontal="center"/>
    </xf>
    <xf numFmtId="37" fontId="4" fillId="0" borderId="0" xfId="0" applyNumberFormat="1" applyFont="1" applyAlignment="1">
      <alignment/>
    </xf>
    <xf numFmtId="37" fontId="4" fillId="0" borderId="0" xfId="0" applyNumberFormat="1" applyFont="1" applyAlignment="1">
      <alignment horizontal="center"/>
    </xf>
    <xf numFmtId="37" fontId="4" fillId="0" borderId="0" xfId="0" applyNumberFormat="1" applyFont="1" applyAlignment="1">
      <alignment horizontal="center"/>
    </xf>
    <xf numFmtId="37" fontId="4" fillId="0" borderId="3" xfId="0" applyNumberFormat="1" applyFont="1" applyBorder="1" applyAlignment="1">
      <alignment horizontal="center"/>
    </xf>
    <xf numFmtId="37" fontId="4" fillId="0" borderId="3" xfId="0" applyNumberFormat="1" applyFont="1" applyBorder="1" applyAlignment="1">
      <alignment horizontal="center"/>
    </xf>
    <xf numFmtId="37" fontId="4" fillId="0" borderId="0" xfId="0" applyNumberFormat="1" applyFont="1" applyAlignment="1">
      <alignment/>
    </xf>
    <xf numFmtId="164" fontId="4" fillId="0" borderId="3" xfId="24" applyNumberFormat="1" applyFont="1" applyBorder="1">
      <alignment/>
      <protection/>
    </xf>
    <xf numFmtId="164" fontId="4" fillId="0" borderId="3" xfId="24" applyNumberFormat="1" applyFont="1" applyBorder="1" applyAlignment="1">
      <alignment/>
      <protection/>
    </xf>
    <xf numFmtId="164" fontId="4" fillId="0" borderId="0" xfId="0" applyNumberFormat="1" applyFont="1" applyAlignment="1">
      <alignment/>
    </xf>
    <xf numFmtId="37" fontId="4" fillId="0" borderId="0" xfId="0" applyNumberFormat="1" applyFont="1" applyBorder="1" applyAlignment="1">
      <alignment/>
    </xf>
    <xf numFmtId="37" fontId="4" fillId="0" borderId="4" xfId="0" applyNumberFormat="1" applyFont="1" applyBorder="1" applyAlignment="1">
      <alignment/>
    </xf>
    <xf numFmtId="164" fontId="4" fillId="0" borderId="3" xfId="0" applyNumberFormat="1" applyFont="1" applyBorder="1" applyAlignment="1">
      <alignment/>
    </xf>
    <xf numFmtId="164" fontId="4" fillId="0" borderId="0" xfId="0" applyNumberFormat="1" applyFont="1" applyAlignment="1">
      <alignment/>
    </xf>
    <xf numFmtId="0" fontId="1" fillId="0" borderId="0" xfId="0" applyNumberFormat="1" applyFont="1" applyAlignment="1">
      <alignment/>
    </xf>
    <xf numFmtId="0" fontId="4" fillId="0" borderId="3" xfId="0" applyNumberFormat="1" applyFont="1" applyBorder="1" applyAlignment="1">
      <alignment horizontal="center"/>
    </xf>
    <xf numFmtId="0" fontId="4" fillId="0" borderId="0" xfId="0" applyNumberFormat="1" applyFont="1" applyBorder="1" applyAlignment="1">
      <alignment horizontal="center"/>
    </xf>
    <xf numFmtId="0" fontId="9" fillId="0" borderId="0" xfId="0" applyNumberFormat="1" applyFont="1" applyAlignment="1">
      <alignment horizontal="center"/>
    </xf>
    <xf numFmtId="170" fontId="4" fillId="0" borderId="0" xfId="0" applyNumberFormat="1" applyFont="1" applyAlignment="1">
      <alignment/>
    </xf>
    <xf numFmtId="0" fontId="4" fillId="0" borderId="0" xfId="0" applyNumberFormat="1" applyFont="1" applyAlignment="1">
      <alignment horizontal="justify" vertical="top" wrapText="1"/>
    </xf>
    <xf numFmtId="37" fontId="4" fillId="0" borderId="1" xfId="0" applyNumberFormat="1" applyFont="1" applyAlignment="1" quotePrefix="1">
      <alignment horizontal="centerContinuous"/>
    </xf>
    <xf numFmtId="171" fontId="4" fillId="0" borderId="0" xfId="0" applyNumberFormat="1" applyFont="1" applyAlignment="1">
      <alignment/>
    </xf>
    <xf numFmtId="164" fontId="4" fillId="0" borderId="3" xfId="0" applyNumberFormat="1" applyFont="1" applyBorder="1" applyAlignment="1">
      <alignment/>
    </xf>
    <xf numFmtId="0" fontId="4" fillId="0" borderId="3" xfId="0" applyNumberFormat="1" applyFont="1" applyBorder="1" applyAlignment="1">
      <alignment horizontal="centerContinuous"/>
    </xf>
    <xf numFmtId="0" fontId="4" fillId="0" borderId="0" xfId="0" applyNumberFormat="1" applyFont="1" applyAlignment="1" quotePrefix="1">
      <alignment horizontal="center"/>
    </xf>
    <xf numFmtId="170" fontId="4" fillId="0" borderId="3" xfId="0" applyNumberFormat="1" applyFont="1" applyBorder="1" applyAlignment="1">
      <alignment/>
    </xf>
    <xf numFmtId="37" fontId="4" fillId="0" borderId="3" xfId="0" applyNumberFormat="1" applyFont="1" applyBorder="1" applyAlignment="1">
      <alignment/>
    </xf>
    <xf numFmtId="0" fontId="4" fillId="0" borderId="3" xfId="24" applyNumberFormat="1" applyFont="1" applyBorder="1" applyAlignment="1">
      <alignment horizontal="center"/>
      <protection/>
    </xf>
    <xf numFmtId="0" fontId="4" fillId="0" borderId="0" xfId="21" applyNumberFormat="1" applyFont="1" applyBorder="1" applyAlignment="1">
      <alignment horizontal="center"/>
      <protection/>
    </xf>
    <xf numFmtId="0" fontId="4" fillId="0" borderId="0" xfId="0" applyNumberFormat="1" applyFont="1" applyBorder="1" applyAlignment="1">
      <alignment/>
    </xf>
    <xf numFmtId="164" fontId="5" fillId="0" borderId="3" xfId="20" applyNumberFormat="1" applyFont="1" applyBorder="1" applyAlignment="1">
      <alignment/>
      <protection/>
    </xf>
    <xf numFmtId="1" fontId="4" fillId="0" borderId="0" xfId="24" applyNumberFormat="1" applyFont="1" applyAlignment="1">
      <alignment/>
      <protection locked="0"/>
    </xf>
    <xf numFmtId="1" fontId="4" fillId="0" borderId="0" xfId="24" applyNumberFormat="1" applyFont="1">
      <alignment/>
      <protection/>
    </xf>
    <xf numFmtId="37" fontId="4" fillId="0" borderId="0" xfId="24" applyNumberFormat="1" applyFont="1" applyAlignment="1">
      <alignment/>
      <protection locked="0"/>
    </xf>
    <xf numFmtId="37" fontId="4" fillId="0" borderId="0" xfId="0" applyNumberFormat="1" applyFont="1" applyAlignment="1">
      <alignment horizontal="center"/>
    </xf>
    <xf numFmtId="164" fontId="4" fillId="0" borderId="4" xfId="0" applyFont="1" applyBorder="1" applyAlignment="1">
      <alignment/>
    </xf>
    <xf numFmtId="3" fontId="4" fillId="0" borderId="4" xfId="0" applyNumberFormat="1" applyFont="1" applyBorder="1" applyAlignment="1">
      <alignment/>
    </xf>
    <xf numFmtId="0" fontId="4" fillId="0" borderId="0" xfId="0" applyNumberFormat="1" applyFont="1" applyAlignment="1">
      <alignment horizontal="right"/>
    </xf>
    <xf numFmtId="164" fontId="0" fillId="0" borderId="0" xfId="0" applyFont="1" applyAlignment="1">
      <alignment/>
    </xf>
    <xf numFmtId="37" fontId="1" fillId="0" borderId="0" xfId="0" applyNumberFormat="1" applyFont="1" applyAlignment="1">
      <alignment horizontal="left"/>
    </xf>
    <xf numFmtId="164" fontId="4" fillId="0" borderId="0" xfId="0" applyNumberFormat="1" applyFont="1" applyAlignment="1">
      <alignment horizontal="right"/>
    </xf>
    <xf numFmtId="37" fontId="4" fillId="0" borderId="0" xfId="0" applyNumberFormat="1" applyFont="1" applyAlignment="1">
      <alignment horizontal="right"/>
    </xf>
    <xf numFmtId="0" fontId="4" fillId="0" borderId="0" xfId="22" applyNumberFormat="1" applyFont="1" applyBorder="1" applyAlignment="1">
      <alignment/>
      <protection/>
    </xf>
    <xf numFmtId="164" fontId="4" fillId="0" borderId="4" xfId="22" applyNumberFormat="1" applyFont="1" applyBorder="1" applyAlignment="1">
      <alignment/>
      <protection/>
    </xf>
    <xf numFmtId="3" fontId="4" fillId="0" borderId="0" xfId="25" applyNumberFormat="1" applyFont="1" applyBorder="1" applyAlignment="1">
      <alignment/>
      <protection/>
    </xf>
    <xf numFmtId="3" fontId="4" fillId="0" borderId="4" xfId="25" applyNumberFormat="1" applyFont="1" applyBorder="1" applyAlignment="1">
      <alignment/>
      <protection/>
    </xf>
    <xf numFmtId="167" fontId="4" fillId="0" borderId="0" xfId="24" applyNumberFormat="1" applyFont="1">
      <alignment/>
      <protection/>
    </xf>
    <xf numFmtId="0" fontId="4" fillId="0" borderId="0" xfId="0" applyNumberFormat="1" applyFont="1" applyBorder="1" applyAlignment="1">
      <alignment/>
    </xf>
    <xf numFmtId="164" fontId="4" fillId="0" borderId="0" xfId="22" applyNumberFormat="1" applyFont="1" applyBorder="1" applyAlignment="1">
      <alignment/>
      <protection/>
    </xf>
    <xf numFmtId="3" fontId="4" fillId="0" borderId="3" xfId="24" applyNumberFormat="1" applyFont="1" applyBorder="1">
      <alignment/>
      <protection/>
    </xf>
    <xf numFmtId="0" fontId="4" fillId="0" borderId="3" xfId="24" applyNumberFormat="1" applyFont="1" applyBorder="1" applyAlignment="1">
      <alignment/>
      <protection/>
    </xf>
    <xf numFmtId="3" fontId="4" fillId="0" borderId="0" xfId="22" applyNumberFormat="1" applyFont="1" applyBorder="1" applyAlignment="1">
      <alignment/>
      <protection/>
    </xf>
    <xf numFmtId="0" fontId="4" fillId="0" borderId="0" xfId="24" applyNumberFormat="1" applyFont="1" applyBorder="1">
      <alignment/>
      <protection/>
    </xf>
    <xf numFmtId="0" fontId="4" fillId="0" borderId="0" xfId="24" applyNumberFormat="1" applyFont="1" applyBorder="1" applyAlignment="1">
      <alignment/>
      <protection/>
    </xf>
    <xf numFmtId="0" fontId="4" fillId="0" borderId="0" xfId="24" applyNumberFormat="1" applyFont="1" applyBorder="1" applyAlignment="1">
      <alignment/>
      <protection locked="0"/>
    </xf>
    <xf numFmtId="0" fontId="4" fillId="0" borderId="3" xfId="0" applyNumberFormat="1" applyFont="1" applyBorder="1" applyAlignment="1">
      <alignment/>
    </xf>
    <xf numFmtId="0" fontId="4" fillId="0" borderId="3" xfId="0" applyNumberFormat="1" applyFont="1" applyBorder="1" applyAlignment="1">
      <alignment horizontal="center"/>
    </xf>
    <xf numFmtId="169" fontId="4" fillId="0" borderId="0" xfId="0" applyNumberFormat="1" applyFont="1" applyAlignment="1">
      <alignment/>
    </xf>
    <xf numFmtId="169" fontId="4" fillId="0" borderId="0" xfId="0" applyNumberFormat="1" applyFont="1" applyBorder="1" applyAlignment="1">
      <alignment horizontal="center"/>
    </xf>
    <xf numFmtId="169" fontId="4" fillId="0" borderId="0" xfId="24" applyNumberFormat="1" applyFont="1" applyBorder="1" applyAlignment="1" quotePrefix="1">
      <alignment horizontal="center"/>
      <protection/>
    </xf>
    <xf numFmtId="0" fontId="4" fillId="0" borderId="3" xfId="0" applyNumberFormat="1" applyFont="1" applyBorder="1" applyAlignment="1">
      <alignment/>
    </xf>
    <xf numFmtId="3" fontId="4" fillId="0" borderId="4" xfId="19" applyNumberFormat="1" applyFont="1" applyBorder="1" applyAlignment="1">
      <alignment/>
      <protection/>
    </xf>
    <xf numFmtId="168" fontId="4" fillId="0" borderId="4" xfId="19" applyNumberFormat="1" applyFont="1" applyBorder="1" applyAlignment="1">
      <alignment/>
      <protection/>
    </xf>
    <xf numFmtId="165" fontId="4" fillId="0" borderId="0" xfId="20" applyNumberFormat="1" applyFont="1" applyBorder="1" applyAlignment="1">
      <alignment/>
      <protection/>
    </xf>
    <xf numFmtId="164" fontId="4" fillId="0" borderId="4" xfId="20" applyNumberFormat="1" applyFont="1" applyBorder="1" applyAlignment="1">
      <alignment/>
      <protection/>
    </xf>
    <xf numFmtId="164" fontId="4" fillId="0" borderId="0" xfId="0" applyFont="1" applyBorder="1" applyAlignment="1">
      <alignment/>
    </xf>
    <xf numFmtId="37" fontId="4" fillId="0" borderId="0" xfId="0" applyNumberFormat="1" applyFont="1" applyBorder="1" applyAlignment="1">
      <alignment/>
    </xf>
    <xf numFmtId="164" fontId="0" fillId="0" borderId="0" xfId="0" applyFont="1" applyAlignment="1">
      <alignment horizontal="center"/>
    </xf>
    <xf numFmtId="168" fontId="4" fillId="0" borderId="0" xfId="0" applyNumberFormat="1" applyFont="1" applyAlignment="1">
      <alignment horizontal="center"/>
    </xf>
    <xf numFmtId="168" fontId="4" fillId="0" borderId="0" xfId="0" applyNumberFormat="1" applyFont="1" applyAlignment="1">
      <alignment/>
    </xf>
    <xf numFmtId="169" fontId="4" fillId="0" borderId="0" xfId="0" applyNumberFormat="1" applyFont="1" applyBorder="1" applyAlignment="1" quotePrefix="1">
      <alignment horizontal="left"/>
    </xf>
    <xf numFmtId="174" fontId="4" fillId="0" borderId="0" xfId="0" applyNumberFormat="1" applyFont="1" applyBorder="1" applyAlignment="1">
      <alignment horizontal="center"/>
    </xf>
    <xf numFmtId="174" fontId="4" fillId="0" borderId="0" xfId="0" applyNumberFormat="1" applyFont="1" applyAlignment="1">
      <alignment horizontal="center"/>
    </xf>
    <xf numFmtId="174" fontId="4" fillId="0" borderId="0" xfId="0" applyNumberFormat="1" applyFont="1" applyAlignment="1">
      <alignment/>
    </xf>
    <xf numFmtId="174" fontId="4" fillId="0" borderId="0" xfId="24" applyNumberFormat="1" applyFont="1" applyBorder="1" applyAlignment="1" quotePrefix="1">
      <alignment horizontal="center"/>
      <protection/>
    </xf>
    <xf numFmtId="3" fontId="4" fillId="0" borderId="0" xfId="24" applyNumberFormat="1" applyFont="1" applyAlignment="1">
      <alignment/>
      <protection locked="0"/>
    </xf>
    <xf numFmtId="3" fontId="4" fillId="0" borderId="3" xfId="24" applyNumberFormat="1" applyFont="1" applyBorder="1" applyAlignment="1">
      <alignment/>
      <protection locked="0"/>
    </xf>
    <xf numFmtId="164" fontId="4" fillId="0" borderId="0" xfId="0" applyNumberFormat="1" applyFont="1" applyBorder="1" applyAlignment="1">
      <alignment/>
    </xf>
    <xf numFmtId="164" fontId="10" fillId="0" borderId="0" xfId="0" applyNumberFormat="1" applyFont="1" applyAlignment="1">
      <alignment/>
    </xf>
    <xf numFmtId="0" fontId="4" fillId="0" borderId="0" xfId="24" applyNumberFormat="1" applyFont="1" applyAlignment="1">
      <alignment horizontal="justify" vertical="top" wrapText="1"/>
      <protection/>
    </xf>
    <xf numFmtId="0" fontId="4" fillId="0" borderId="0" xfId="0" applyNumberFormat="1" applyFont="1" applyAlignment="1">
      <alignment horizontal="justify" vertical="top" wrapText="1"/>
    </xf>
    <xf numFmtId="164" fontId="10" fillId="0" borderId="0" xfId="20" applyNumberFormat="1" applyFont="1" applyAlignment="1">
      <alignment/>
      <protection/>
    </xf>
    <xf numFmtId="172" fontId="4" fillId="0" borderId="0" xfId="0" applyNumberFormat="1" applyFont="1" applyAlignment="1">
      <alignment/>
    </xf>
    <xf numFmtId="172" fontId="4" fillId="0" borderId="3" xfId="0" applyNumberFormat="1" applyFont="1" applyBorder="1" applyAlignment="1">
      <alignment/>
    </xf>
    <xf numFmtId="37" fontId="4" fillId="0" borderId="4" xfId="0" applyNumberFormat="1" applyFont="1" applyBorder="1" applyAlignment="1">
      <alignment/>
    </xf>
    <xf numFmtId="164" fontId="4" fillId="0" borderId="4" xfId="24" applyNumberFormat="1" applyFont="1" applyBorder="1" applyAlignment="1">
      <alignment/>
      <protection/>
    </xf>
    <xf numFmtId="3" fontId="4" fillId="0" borderId="0" xfId="20" applyNumberFormat="1" applyFont="1" applyBorder="1" applyAlignment="1">
      <alignment/>
      <protection/>
    </xf>
    <xf numFmtId="172" fontId="4" fillId="0" borderId="4" xfId="0" applyNumberFormat="1" applyFont="1" applyBorder="1" applyAlignment="1">
      <alignment/>
    </xf>
    <xf numFmtId="164" fontId="4" fillId="0" borderId="4" xfId="0" applyNumberFormat="1" applyFont="1" applyBorder="1" applyAlignment="1">
      <alignment/>
    </xf>
    <xf numFmtId="170" fontId="4" fillId="0" borderId="4" xfId="0" applyNumberFormat="1" applyFont="1" applyBorder="1" applyAlignment="1">
      <alignment/>
    </xf>
    <xf numFmtId="169" fontId="4" fillId="0" borderId="0" xfId="24" applyNumberFormat="1" applyFont="1" applyAlignment="1">
      <alignment/>
      <protection locked="0"/>
    </xf>
    <xf numFmtId="169" fontId="4" fillId="0" borderId="1" xfId="24" applyNumberFormat="1" applyFont="1" applyAlignment="1">
      <alignment horizontal="center"/>
      <protection/>
    </xf>
    <xf numFmtId="169" fontId="4" fillId="0" borderId="0" xfId="24" applyNumberFormat="1" applyFont="1" applyAlignment="1">
      <alignment horizontal="center"/>
      <protection locked="0"/>
    </xf>
    <xf numFmtId="164" fontId="4" fillId="0" borderId="4" xfId="0" applyNumberFormat="1" applyFont="1" applyBorder="1" applyAlignment="1">
      <alignment/>
    </xf>
    <xf numFmtId="169" fontId="4" fillId="0" borderId="0" xfId="24" applyNumberFormat="1" applyFont="1" applyAlignment="1">
      <alignment/>
      <protection/>
    </xf>
    <xf numFmtId="169" fontId="4" fillId="0" borderId="0" xfId="24" applyNumberFormat="1" applyFont="1" applyAlignment="1">
      <alignment horizontal="center"/>
      <protection/>
    </xf>
    <xf numFmtId="0" fontId="4" fillId="0" borderId="0" xfId="0" applyNumberFormat="1" applyFont="1" applyBorder="1" applyAlignment="1">
      <alignment horizontal="center"/>
    </xf>
    <xf numFmtId="0" fontId="4" fillId="0" borderId="0" xfId="24" applyNumberFormat="1" applyFont="1" applyBorder="1" applyAlignment="1">
      <alignment horizontal="center"/>
      <protection/>
    </xf>
    <xf numFmtId="3" fontId="4" fillId="0" borderId="4" xfId="24" applyNumberFormat="1" applyFont="1" applyBorder="1" applyAlignment="1">
      <alignment/>
      <protection locked="0"/>
    </xf>
    <xf numFmtId="3" fontId="4" fillId="0" borderId="4" xfId="24" applyNumberFormat="1" applyFont="1" applyBorder="1" applyAlignment="1">
      <alignment/>
      <protection/>
    </xf>
    <xf numFmtId="3" fontId="4" fillId="0" borderId="4" xfId="24" applyNumberFormat="1" applyFont="1" applyBorder="1">
      <alignment/>
      <protection/>
    </xf>
    <xf numFmtId="3" fontId="4" fillId="0" borderId="4" xfId="22" applyNumberFormat="1" applyFont="1" applyBorder="1" applyAlignment="1">
      <alignment/>
      <protection/>
    </xf>
    <xf numFmtId="0" fontId="4" fillId="0" borderId="0" xfId="24" applyNumberFormat="1" applyFont="1" applyBorder="1" applyAlignment="1">
      <alignment horizontal="left"/>
      <protection/>
    </xf>
    <xf numFmtId="0" fontId="4" fillId="0" borderId="3" xfId="19" applyNumberFormat="1" applyFont="1" applyBorder="1" applyAlignment="1">
      <alignment horizontal="center"/>
      <protection/>
    </xf>
    <xf numFmtId="164" fontId="4" fillId="0" borderId="0" xfId="0" applyNumberFormat="1" applyFont="1" applyBorder="1" applyAlignment="1">
      <alignment/>
    </xf>
    <xf numFmtId="164" fontId="4" fillId="0" borderId="0" xfId="24" applyNumberFormat="1" applyFont="1" applyBorder="1" applyAlignment="1">
      <alignment/>
      <protection/>
    </xf>
    <xf numFmtId="37" fontId="4" fillId="0" borderId="4" xfId="0" applyNumberFormat="1" applyFont="1" applyBorder="1" applyAlignment="1">
      <alignment/>
    </xf>
    <xf numFmtId="0" fontId="4" fillId="0" borderId="0" xfId="0" applyNumberFormat="1" applyFont="1" applyAlignment="1">
      <alignment horizontal="left"/>
    </xf>
    <xf numFmtId="5" fontId="4" fillId="0" borderId="0" xfId="0" applyNumberFormat="1" applyFont="1" applyAlignment="1">
      <alignment/>
    </xf>
    <xf numFmtId="5" fontId="4" fillId="0" borderId="4" xfId="0" applyNumberFormat="1" applyFont="1" applyBorder="1" applyAlignment="1">
      <alignment/>
    </xf>
    <xf numFmtId="3" fontId="4" fillId="0" borderId="4" xfId="20" applyNumberFormat="1" applyFont="1" applyBorder="1" applyAlignment="1">
      <alignment/>
      <protection/>
    </xf>
    <xf numFmtId="37" fontId="4" fillId="0" borderId="0" xfId="0" applyNumberFormat="1" applyFont="1" applyBorder="1" applyAlignment="1">
      <alignment horizontal="center"/>
    </xf>
    <xf numFmtId="164" fontId="10" fillId="0" borderId="0" xfId="24" applyNumberFormat="1" applyFont="1" applyAlignment="1">
      <alignment horizontal="right"/>
      <protection/>
    </xf>
    <xf numFmtId="177" fontId="4" fillId="0" borderId="0" xfId="24" applyNumberFormat="1" applyFont="1" applyAlignment="1">
      <alignment horizontal="right"/>
      <protection/>
    </xf>
    <xf numFmtId="164" fontId="1" fillId="0" borderId="0" xfId="0" applyFont="1" applyAlignment="1">
      <alignment/>
    </xf>
    <xf numFmtId="164" fontId="4" fillId="0" borderId="0" xfId="0" applyFont="1" applyAlignment="1">
      <alignment horizontal="justify" vertical="top" wrapText="1"/>
    </xf>
    <xf numFmtId="164" fontId="4" fillId="0" borderId="0" xfId="0" applyFont="1" applyBorder="1" applyAlignment="1">
      <alignment horizontal="center"/>
    </xf>
    <xf numFmtId="37" fontId="4" fillId="0" borderId="0" xfId="0" applyNumberFormat="1" applyFont="1" applyAlignment="1">
      <alignment vertical="top"/>
    </xf>
    <xf numFmtId="2" fontId="4" fillId="0" borderId="0" xfId="0" applyNumberFormat="1" applyFont="1" applyAlignment="1">
      <alignment horizontal="justify" vertical="top" wrapText="1"/>
    </xf>
    <xf numFmtId="164" fontId="4" fillId="0" borderId="0" xfId="0" applyFont="1" applyAlignment="1">
      <alignment horizontal="justify" wrapText="1"/>
    </xf>
    <xf numFmtId="2" fontId="4" fillId="0" borderId="0" xfId="0" applyNumberFormat="1" applyFont="1" applyAlignment="1">
      <alignment vertical="top" wrapText="1"/>
    </xf>
    <xf numFmtId="164" fontId="4" fillId="0" borderId="0" xfId="0" applyFont="1" applyBorder="1" applyAlignment="1">
      <alignment horizontal="center" vertical="top"/>
    </xf>
    <xf numFmtId="164" fontId="4" fillId="0" borderId="0" xfId="0" applyFont="1" applyAlignment="1">
      <alignment vertical="top"/>
    </xf>
    <xf numFmtId="0" fontId="4" fillId="0" borderId="0" xfId="0" applyNumberFormat="1" applyFont="1" applyAlignment="1">
      <alignment vertical="top"/>
    </xf>
    <xf numFmtId="0" fontId="0" fillId="0" borderId="0" xfId="0" applyNumberFormat="1" applyFont="1" applyAlignment="1">
      <alignment horizontal="center"/>
    </xf>
    <xf numFmtId="164" fontId="1" fillId="0" borderId="0" xfId="0" applyFont="1" applyBorder="1" applyAlignment="1">
      <alignment horizontal="left" vertical="top"/>
    </xf>
    <xf numFmtId="37" fontId="4" fillId="0" borderId="0" xfId="0" applyNumberFormat="1" applyFont="1" applyAlignment="1">
      <alignment horizontal="center" vertical="top"/>
    </xf>
    <xf numFmtId="164" fontId="7" fillId="0" borderId="0" xfId="0" applyFont="1" applyAlignment="1">
      <alignment horizontal="center"/>
    </xf>
    <xf numFmtId="178" fontId="10" fillId="0" borderId="0" xfId="0" applyNumberFormat="1" applyFont="1" applyAlignment="1">
      <alignment/>
    </xf>
    <xf numFmtId="178" fontId="4" fillId="0" borderId="4" xfId="0" applyNumberFormat="1" applyFont="1" applyBorder="1" applyAlignment="1">
      <alignment/>
    </xf>
    <xf numFmtId="5" fontId="11" fillId="0" borderId="0" xfId="0" applyNumberFormat="1" applyFont="1" applyAlignment="1">
      <alignment/>
    </xf>
    <xf numFmtId="37" fontId="11" fillId="0" borderId="0" xfId="0" applyNumberFormat="1" applyFont="1" applyAlignment="1">
      <alignment/>
    </xf>
    <xf numFmtId="37" fontId="11" fillId="0" borderId="3" xfId="0" applyNumberFormat="1" applyFont="1" applyBorder="1" applyAlignment="1">
      <alignment/>
    </xf>
    <xf numFmtId="37" fontId="12" fillId="0" borderId="0" xfId="0" applyNumberFormat="1" applyFont="1" applyAlignment="1">
      <alignment/>
    </xf>
    <xf numFmtId="167" fontId="12" fillId="0" borderId="0" xfId="21" applyNumberFormat="1" applyFont="1" applyAlignment="1">
      <alignment horizontal="right"/>
      <protection/>
    </xf>
    <xf numFmtId="165" fontId="12" fillId="0" borderId="0" xfId="0" applyNumberFormat="1" applyFont="1" applyAlignment="1">
      <alignment/>
    </xf>
    <xf numFmtId="3" fontId="11" fillId="0" borderId="0" xfId="20" applyNumberFormat="1" applyFont="1" applyAlignment="1">
      <alignment/>
      <protection/>
    </xf>
    <xf numFmtId="3" fontId="12" fillId="0" borderId="0" xfId="0" applyNumberFormat="1" applyFont="1" applyAlignment="1">
      <alignment/>
    </xf>
    <xf numFmtId="165" fontId="12" fillId="0" borderId="0" xfId="25" applyNumberFormat="1" applyFont="1" applyAlignment="1">
      <alignment/>
      <protection/>
    </xf>
    <xf numFmtId="3" fontId="12" fillId="0" borderId="0" xfId="25" applyNumberFormat="1" applyFont="1" applyAlignment="1">
      <alignment/>
      <protection/>
    </xf>
    <xf numFmtId="0" fontId="12" fillId="0" borderId="0" xfId="25" applyNumberFormat="1" applyFont="1" applyAlignment="1">
      <alignment/>
      <protection/>
    </xf>
    <xf numFmtId="0" fontId="12" fillId="0" borderId="1" xfId="25" applyNumberFormat="1" applyFont="1" applyAlignment="1">
      <alignment horizontal="center"/>
      <protection/>
    </xf>
    <xf numFmtId="0" fontId="12" fillId="0" borderId="0" xfId="25" applyNumberFormat="1" applyFont="1" applyAlignment="1">
      <alignment horizontal="center"/>
      <protection/>
    </xf>
    <xf numFmtId="37" fontId="12" fillId="0" borderId="1" xfId="25" applyNumberFormat="1" applyFont="1" applyAlignment="1">
      <alignment horizontal="center"/>
      <protection/>
    </xf>
    <xf numFmtId="4" fontId="11" fillId="0" borderId="0" xfId="25" applyNumberFormat="1" applyFont="1" applyAlignment="1">
      <alignment/>
      <protection/>
    </xf>
    <xf numFmtId="0" fontId="11" fillId="0" borderId="1" xfId="25" applyNumberFormat="1" applyFont="1" applyAlignment="1">
      <alignment horizontal="center"/>
      <protection/>
    </xf>
    <xf numFmtId="0" fontId="11" fillId="0" borderId="0" xfId="25" applyNumberFormat="1" applyFont="1" applyAlignment="1">
      <alignment horizontal="center"/>
      <protection/>
    </xf>
    <xf numFmtId="37" fontId="11" fillId="0" borderId="1" xfId="25" applyNumberFormat="1" applyFont="1" applyAlignment="1">
      <alignment horizontal="center"/>
      <protection/>
    </xf>
    <xf numFmtId="0" fontId="11" fillId="0" borderId="0" xfId="25" applyNumberFormat="1" applyFont="1" applyAlignment="1">
      <alignment/>
      <protection/>
    </xf>
    <xf numFmtId="3" fontId="11" fillId="0" borderId="0" xfId="25" applyNumberFormat="1" applyFont="1" applyAlignment="1">
      <alignment/>
      <protection/>
    </xf>
    <xf numFmtId="178" fontId="4" fillId="0" borderId="0" xfId="0" applyNumberFormat="1" applyFont="1" applyAlignment="1">
      <alignment/>
    </xf>
    <xf numFmtId="164" fontId="11" fillId="0" borderId="0" xfId="0" applyNumberFormat="1" applyFont="1" applyAlignment="1">
      <alignment horizontal="right"/>
    </xf>
    <xf numFmtId="4" fontId="12" fillId="0" borderId="0" xfId="24" applyNumberFormat="1" applyFont="1" applyAlignment="1">
      <alignment/>
      <protection/>
    </xf>
    <xf numFmtId="3" fontId="12" fillId="0" borderId="0" xfId="24" applyNumberFormat="1" applyFont="1" applyAlignment="1">
      <alignment/>
      <protection/>
    </xf>
    <xf numFmtId="164" fontId="11" fillId="0" borderId="0" xfId="0" applyNumberFormat="1" applyFont="1" applyAlignment="1">
      <alignment/>
    </xf>
    <xf numFmtId="164" fontId="11" fillId="0" borderId="3" xfId="0" applyNumberFormat="1" applyFont="1" applyBorder="1" applyAlignment="1">
      <alignment/>
    </xf>
    <xf numFmtId="3" fontId="12" fillId="0" borderId="0" xfId="22" applyNumberFormat="1" applyFont="1" applyBorder="1" applyAlignment="1">
      <alignment/>
      <protection/>
    </xf>
    <xf numFmtId="167" fontId="12" fillId="0" borderId="0" xfId="24" applyNumberFormat="1" applyFont="1">
      <alignment/>
      <protection/>
    </xf>
    <xf numFmtId="167" fontId="12" fillId="0" borderId="0" xfId="24" applyNumberFormat="1" applyFont="1" applyAlignment="1">
      <alignment/>
      <protection locked="0"/>
    </xf>
    <xf numFmtId="3" fontId="12" fillId="0" borderId="0" xfId="24" applyNumberFormat="1" applyFont="1" applyAlignment="1">
      <alignment/>
      <protection locked="0"/>
    </xf>
    <xf numFmtId="3" fontId="12" fillId="0" borderId="3" xfId="24" applyNumberFormat="1" applyFont="1" applyBorder="1" applyAlignment="1">
      <alignment/>
      <protection locked="0"/>
    </xf>
    <xf numFmtId="3" fontId="12" fillId="0" borderId="1" xfId="24" applyNumberFormat="1" applyFont="1" applyAlignment="1">
      <alignment/>
      <protection/>
    </xf>
    <xf numFmtId="4" fontId="11" fillId="0" borderId="0" xfId="24" applyNumberFormat="1" applyFont="1">
      <alignment/>
      <protection/>
    </xf>
    <xf numFmtId="0" fontId="11" fillId="0" borderId="0" xfId="24" applyNumberFormat="1" applyFont="1" applyAlignment="1">
      <alignment/>
      <protection locked="0"/>
    </xf>
    <xf numFmtId="2" fontId="11" fillId="0" borderId="3" xfId="24" applyNumberFormat="1" applyFont="1" applyBorder="1" applyAlignment="1">
      <alignment/>
      <protection/>
    </xf>
    <xf numFmtId="168" fontId="11" fillId="0" borderId="0" xfId="0" applyNumberFormat="1" applyFont="1" applyAlignment="1">
      <alignment horizontal="right"/>
    </xf>
    <xf numFmtId="3" fontId="12" fillId="0" borderId="0" xfId="19" applyNumberFormat="1" applyFont="1" applyAlignment="1">
      <alignment/>
      <protection/>
    </xf>
    <xf numFmtId="174" fontId="11" fillId="0" borderId="0" xfId="0" applyNumberFormat="1" applyFont="1" applyBorder="1" applyAlignment="1">
      <alignment horizontal="right"/>
    </xf>
    <xf numFmtId="174" fontId="11" fillId="0" borderId="0" xfId="0" applyNumberFormat="1" applyFont="1" applyAlignment="1">
      <alignment horizontal="center"/>
    </xf>
    <xf numFmtId="174" fontId="11" fillId="0" borderId="0" xfId="0" applyNumberFormat="1" applyFont="1" applyBorder="1" applyAlignment="1">
      <alignment horizontal="center"/>
    </xf>
    <xf numFmtId="177" fontId="11" fillId="0" borderId="0" xfId="24" applyNumberFormat="1" applyFont="1" applyAlignment="1">
      <alignment horizontal="right"/>
      <protection/>
    </xf>
    <xf numFmtId="3" fontId="11" fillId="0" borderId="0" xfId="24" applyNumberFormat="1" applyFont="1" applyAlignment="1">
      <alignment horizontal="right"/>
      <protection/>
    </xf>
    <xf numFmtId="2" fontId="1" fillId="0" borderId="0" xfId="0" applyNumberFormat="1" applyFont="1" applyAlignment="1" applyProtection="1">
      <alignment horizontal="justify" vertical="top" wrapText="1"/>
      <protection/>
    </xf>
    <xf numFmtId="2" fontId="10" fillId="0" borderId="0" xfId="0" applyNumberFormat="1" applyFont="1" applyAlignment="1">
      <alignment horizontal="justify" vertical="top" wrapText="1"/>
    </xf>
    <xf numFmtId="164" fontId="4" fillId="0" borderId="0" xfId="24" applyNumberFormat="1" applyFont="1" applyAlignment="1">
      <alignment/>
      <protection locked="0"/>
    </xf>
    <xf numFmtId="164" fontId="11" fillId="0" borderId="3" xfId="24" applyNumberFormat="1" applyFont="1" applyBorder="1">
      <alignment/>
      <protection/>
    </xf>
    <xf numFmtId="4" fontId="11" fillId="0" borderId="0" xfId="24" applyNumberFormat="1" applyFont="1" applyAlignment="1">
      <alignment/>
      <protection/>
    </xf>
    <xf numFmtId="0" fontId="1" fillId="0" borderId="3" xfId="0" applyNumberFormat="1" applyFont="1" applyBorder="1" applyAlignment="1">
      <alignment horizontal="center"/>
    </xf>
    <xf numFmtId="0" fontId="1" fillId="0" borderId="0" xfId="0" applyNumberFormat="1" applyFont="1" applyAlignment="1">
      <alignment horizontal="center"/>
    </xf>
    <xf numFmtId="0" fontId="1" fillId="0" borderId="0" xfId="0" applyNumberFormat="1" applyFont="1" applyBorder="1" applyAlignment="1">
      <alignment horizontal="center"/>
    </xf>
    <xf numFmtId="0" fontId="14" fillId="0" borderId="0" xfId="0" applyNumberFormat="1" applyFont="1" applyAlignment="1" quotePrefix="1">
      <alignment horizontal="center"/>
    </xf>
    <xf numFmtId="3" fontId="11" fillId="0" borderId="0" xfId="0" applyNumberFormat="1" applyFont="1" applyAlignment="1">
      <alignment/>
    </xf>
    <xf numFmtId="180" fontId="0" fillId="0" borderId="0" xfId="26" applyFont="1" applyAlignment="1">
      <alignment horizontal="center"/>
      <protection/>
    </xf>
    <xf numFmtId="180" fontId="0" fillId="0" borderId="0" xfId="26" applyFont="1" applyAlignment="1">
      <alignment/>
      <protection/>
    </xf>
    <xf numFmtId="180" fontId="4" fillId="0" borderId="0" xfId="26" applyFont="1" applyAlignment="1">
      <alignment/>
      <protection/>
    </xf>
    <xf numFmtId="180" fontId="15" fillId="0" borderId="0" xfId="26" applyNumberFormat="1" applyFont="1" applyAlignment="1">
      <alignment/>
      <protection/>
    </xf>
    <xf numFmtId="180" fontId="0" fillId="0" borderId="3" xfId="26" applyFont="1" applyBorder="1" applyAlignment="1">
      <alignment horizontal="center"/>
      <protection/>
    </xf>
    <xf numFmtId="180" fontId="0" fillId="0" borderId="3" xfId="26" applyFont="1" applyBorder="1" applyAlignment="1" quotePrefix="1">
      <alignment horizontal="center"/>
      <protection/>
    </xf>
    <xf numFmtId="41" fontId="0" fillId="0" borderId="0" xfId="26" applyNumberFormat="1" applyFont="1" applyAlignment="1" quotePrefix="1">
      <alignment horizontal="center"/>
      <protection/>
    </xf>
    <xf numFmtId="41" fontId="0" fillId="0" borderId="0" xfId="26" applyNumberFormat="1" applyFont="1" applyAlignment="1">
      <alignment/>
      <protection/>
    </xf>
    <xf numFmtId="181" fontId="0" fillId="0" borderId="0" xfId="16" applyNumberFormat="1" applyFont="1" applyAlignment="1">
      <alignment/>
    </xf>
    <xf numFmtId="182" fontId="0" fillId="0" borderId="0" xfId="28" applyNumberFormat="1" applyFont="1" applyAlignment="1">
      <alignment/>
    </xf>
    <xf numFmtId="41" fontId="0" fillId="0" borderId="3" xfId="26" applyNumberFormat="1" applyFont="1" applyBorder="1" applyAlignment="1">
      <alignment/>
      <protection/>
    </xf>
    <xf numFmtId="182" fontId="0" fillId="0" borderId="3" xfId="28" applyNumberFormat="1" applyFont="1" applyBorder="1" applyAlignment="1">
      <alignment/>
    </xf>
    <xf numFmtId="182" fontId="0" fillId="0" borderId="4" xfId="28" applyNumberFormat="1" applyFont="1" applyBorder="1" applyAlignment="1">
      <alignment/>
    </xf>
    <xf numFmtId="180" fontId="0" fillId="0" borderId="0" xfId="26" applyFont="1">
      <alignment/>
      <protection/>
    </xf>
    <xf numFmtId="180" fontId="4" fillId="0" borderId="0" xfId="26" applyFont="1">
      <alignment/>
      <protection/>
    </xf>
    <xf numFmtId="42" fontId="0" fillId="0" borderId="4" xfId="26" applyNumberFormat="1" applyFont="1" applyBorder="1" applyAlignment="1">
      <alignment/>
      <protection/>
    </xf>
    <xf numFmtId="181" fontId="16" fillId="0" borderId="0" xfId="16" applyNumberFormat="1" applyFont="1" applyAlignment="1">
      <alignment/>
    </xf>
    <xf numFmtId="180" fontId="11" fillId="0" borderId="0" xfId="26" applyFont="1" applyAlignment="1">
      <alignment/>
      <protection/>
    </xf>
    <xf numFmtId="41" fontId="16" fillId="0" borderId="0" xfId="26" applyNumberFormat="1" applyFont="1" applyAlignment="1">
      <alignment/>
      <protection/>
    </xf>
    <xf numFmtId="41" fontId="11" fillId="0" borderId="0" xfId="26" applyNumberFormat="1" applyFont="1" applyAlignment="1">
      <alignment/>
      <protection/>
    </xf>
    <xf numFmtId="41" fontId="16" fillId="0" borderId="3" xfId="26" applyNumberFormat="1" applyFont="1" applyBorder="1" applyAlignment="1">
      <alignment/>
      <protection/>
    </xf>
    <xf numFmtId="181" fontId="13" fillId="0" borderId="0" xfId="16" applyNumberFormat="1" applyFont="1" applyAlignment="1">
      <alignment/>
    </xf>
    <xf numFmtId="0" fontId="4" fillId="0" borderId="1" xfId="25" applyNumberFormat="1" applyFont="1" applyAlignment="1">
      <alignment horizontal="center"/>
      <protection/>
    </xf>
    <xf numFmtId="0" fontId="4" fillId="0" borderId="0" xfId="25" applyNumberFormat="1" applyFont="1" applyAlignment="1">
      <alignment horizontal="center"/>
      <protection/>
    </xf>
    <xf numFmtId="37" fontId="4" fillId="0" borderId="1" xfId="25" applyNumberFormat="1" applyFont="1" applyAlignment="1">
      <alignment horizontal="center"/>
      <protection/>
    </xf>
    <xf numFmtId="0" fontId="4" fillId="0" borderId="0" xfId="25" applyNumberFormat="1" applyFont="1" applyAlignment="1">
      <alignment/>
      <protection/>
    </xf>
    <xf numFmtId="3" fontId="4" fillId="0" borderId="0" xfId="25" applyNumberFormat="1" applyFont="1" applyAlignment="1">
      <alignment/>
      <protection/>
    </xf>
    <xf numFmtId="2" fontId="17" fillId="0" borderId="0" xfId="0" applyNumberFormat="1" applyFont="1" applyAlignment="1" applyProtection="1">
      <alignment horizontal="justify" vertical="top" wrapText="1"/>
      <protection/>
    </xf>
    <xf numFmtId="2" fontId="18" fillId="0" borderId="0" xfId="0" applyNumberFormat="1" applyFont="1" applyAlignment="1">
      <alignment horizontal="justify" vertical="top" wrapText="1"/>
    </xf>
    <xf numFmtId="164" fontId="19" fillId="0" borderId="0" xfId="0" applyFont="1" applyBorder="1" applyAlignment="1">
      <alignment horizontal="left" vertical="top"/>
    </xf>
    <xf numFmtId="164" fontId="14" fillId="0" borderId="0" xfId="0" applyFont="1" applyAlignment="1">
      <alignment horizontal="center"/>
    </xf>
    <xf numFmtId="164" fontId="20" fillId="0" borderId="0" xfId="0" applyFont="1" applyAlignment="1">
      <alignment horizontal="justify" vertical="top" wrapText="1"/>
    </xf>
    <xf numFmtId="164" fontId="10" fillId="0" borderId="0" xfId="0" applyFont="1" applyAlignment="1">
      <alignment vertical="top"/>
    </xf>
    <xf numFmtId="164" fontId="10" fillId="0" borderId="0" xfId="0" applyFont="1" applyAlignment="1">
      <alignment horizontal="center"/>
    </xf>
    <xf numFmtId="164" fontId="21" fillId="0" borderId="0" xfId="0" applyFont="1" applyAlignment="1">
      <alignment horizontal="justify" vertical="top" wrapText="1"/>
    </xf>
    <xf numFmtId="180" fontId="0" fillId="0" borderId="0" xfId="26" applyFont="1" applyAlignment="1" quotePrefix="1">
      <alignment/>
      <protection/>
    </xf>
    <xf numFmtId="43" fontId="0" fillId="0" borderId="0" xfId="15" applyFont="1" applyAlignment="1">
      <alignment/>
    </xf>
    <xf numFmtId="44" fontId="0" fillId="0" borderId="0" xfId="16" applyFont="1" applyAlignment="1">
      <alignment/>
    </xf>
    <xf numFmtId="43" fontId="0" fillId="0" borderId="0" xfId="15" applyNumberFormat="1" applyFont="1" applyAlignment="1">
      <alignment/>
    </xf>
    <xf numFmtId="185" fontId="0" fillId="0" borderId="4" xfId="26" applyNumberFormat="1" applyFont="1" applyBorder="1" applyAlignment="1">
      <alignment/>
      <protection/>
    </xf>
    <xf numFmtId="180" fontId="0" fillId="0" borderId="0" xfId="26" applyNumberFormat="1" applyFont="1" applyAlignment="1">
      <alignment/>
      <protection/>
    </xf>
    <xf numFmtId="186" fontId="0" fillId="0" borderId="0" xfId="15" applyNumberFormat="1" applyFont="1" applyAlignment="1">
      <alignment/>
    </xf>
    <xf numFmtId="187" fontId="0" fillId="0" borderId="0" xfId="26" applyNumberFormat="1" applyFont="1">
      <alignment/>
      <protection/>
    </xf>
    <xf numFmtId="0" fontId="0" fillId="0" borderId="0" xfId="0" applyNumberFormat="1" applyFont="1" applyAlignment="1">
      <alignment horizontal="left"/>
    </xf>
    <xf numFmtId="0" fontId="0" fillId="0" borderId="0" xfId="0" applyNumberFormat="1" applyFont="1" applyAlignment="1">
      <alignment horizontal="right"/>
    </xf>
    <xf numFmtId="37" fontId="0" fillId="0" borderId="0" xfId="0" applyNumberFormat="1" applyFont="1" applyAlignment="1">
      <alignment/>
    </xf>
    <xf numFmtId="0" fontId="4" fillId="0" borderId="0" xfId="0" applyNumberFormat="1" applyFont="1" applyAlignment="1" applyProtection="1">
      <alignment horizontal="center"/>
      <protection hidden="1" locked="0"/>
    </xf>
    <xf numFmtId="3" fontId="4" fillId="0" borderId="1" xfId="0" applyNumberFormat="1" applyFont="1" applyAlignment="1" applyProtection="1" quotePrefix="1">
      <alignment horizontal="center"/>
      <protection hidden="1" locked="0"/>
    </xf>
    <xf numFmtId="0" fontId="4" fillId="0" borderId="0" xfId="0" applyNumberFormat="1" applyFont="1" applyAlignment="1" applyProtection="1">
      <alignment/>
      <protection hidden="1" locked="0"/>
    </xf>
    <xf numFmtId="3" fontId="4" fillId="0" borderId="1" xfId="0" applyNumberFormat="1" applyFont="1" applyAlignment="1" applyProtection="1">
      <alignment/>
      <protection hidden="1" locked="0"/>
    </xf>
    <xf numFmtId="0" fontId="0" fillId="0" borderId="0" xfId="0" applyNumberFormat="1" applyFont="1" applyAlignment="1" quotePrefix="1">
      <alignment horizontal="left"/>
    </xf>
    <xf numFmtId="190" fontId="4" fillId="0" borderId="0" xfId="0" applyNumberFormat="1" applyFont="1" applyAlignment="1">
      <alignment/>
    </xf>
    <xf numFmtId="169" fontId="0" fillId="0" borderId="0" xfId="0" applyNumberFormat="1" applyFont="1" applyBorder="1" applyAlignment="1">
      <alignment horizontal="center"/>
    </xf>
    <xf numFmtId="169" fontId="0" fillId="0" borderId="0" xfId="0" applyNumberFormat="1" applyFont="1" applyAlignment="1">
      <alignment horizontal="center"/>
    </xf>
    <xf numFmtId="169" fontId="5" fillId="0" borderId="0" xfId="0" applyNumberFormat="1" applyFont="1" applyAlignment="1">
      <alignment horizontal="center"/>
    </xf>
    <xf numFmtId="164" fontId="5" fillId="0" borderId="0" xfId="0" applyFont="1" applyAlignment="1">
      <alignment horizontal="center"/>
    </xf>
    <xf numFmtId="37" fontId="5" fillId="0" borderId="0" xfId="0" applyNumberFormat="1" applyFont="1" applyAlignment="1">
      <alignment horizontal="center"/>
    </xf>
    <xf numFmtId="169" fontId="5" fillId="0" borderId="3" xfId="0" applyNumberFormat="1" applyFont="1" applyBorder="1" applyAlignment="1">
      <alignment horizontal="center"/>
    </xf>
    <xf numFmtId="37" fontId="5" fillId="0" borderId="3" xfId="0" applyNumberFormat="1" applyFont="1" applyBorder="1" applyAlignment="1">
      <alignment horizontal="center"/>
    </xf>
    <xf numFmtId="169" fontId="5" fillId="0" borderId="0" xfId="0" applyNumberFormat="1" applyFont="1" applyBorder="1" applyAlignment="1">
      <alignment horizontal="center"/>
    </xf>
    <xf numFmtId="164" fontId="5" fillId="0" borderId="0" xfId="0" applyFont="1" applyAlignment="1">
      <alignment/>
    </xf>
    <xf numFmtId="37" fontId="5" fillId="0" borderId="0" xfId="0" applyNumberFormat="1" applyFont="1" applyAlignment="1">
      <alignment/>
    </xf>
    <xf numFmtId="37" fontId="5" fillId="0" borderId="3" xfId="0" applyNumberFormat="1" applyFont="1" applyBorder="1" applyAlignment="1">
      <alignment/>
    </xf>
    <xf numFmtId="37" fontId="5" fillId="0" borderId="0" xfId="0" applyNumberFormat="1" applyFont="1" applyBorder="1" applyAlignment="1">
      <alignment/>
    </xf>
    <xf numFmtId="37" fontId="5" fillId="0" borderId="0" xfId="0" applyNumberFormat="1" applyFont="1" applyAlignment="1">
      <alignment/>
    </xf>
    <xf numFmtId="169" fontId="5" fillId="0" borderId="0" xfId="0" applyNumberFormat="1" applyFont="1" applyAlignment="1">
      <alignment horizontal="center"/>
    </xf>
    <xf numFmtId="0" fontId="5" fillId="0" borderId="0" xfId="0" applyNumberFormat="1" applyFont="1" applyAlignment="1">
      <alignment/>
    </xf>
    <xf numFmtId="37" fontId="5" fillId="0" borderId="4" xfId="0" applyNumberFormat="1" applyFont="1" applyBorder="1" applyAlignment="1">
      <alignment/>
    </xf>
    <xf numFmtId="190" fontId="4" fillId="0" borderId="0" xfId="15" applyNumberFormat="1" applyFont="1" applyAlignment="1">
      <alignment/>
    </xf>
    <xf numFmtId="39" fontId="4" fillId="0" borderId="0" xfId="0" applyNumberFormat="1" applyFont="1" applyAlignment="1">
      <alignment/>
    </xf>
    <xf numFmtId="193" fontId="4" fillId="0" borderId="0" xfId="16" applyNumberFormat="1" applyFont="1" applyBorder="1" applyAlignment="1">
      <alignment/>
    </xf>
    <xf numFmtId="37" fontId="14" fillId="0" borderId="0" xfId="0" applyNumberFormat="1" applyFont="1" applyAlignment="1">
      <alignment horizontal="left"/>
    </xf>
    <xf numFmtId="37" fontId="12" fillId="0" borderId="3" xfId="0" applyNumberFormat="1" applyFont="1" applyBorder="1" applyAlignment="1">
      <alignment/>
    </xf>
    <xf numFmtId="0" fontId="4" fillId="0" borderId="0" xfId="24" applyNumberFormat="1" applyFont="1" applyAlignment="1">
      <alignment horizontal="justify"/>
      <protection/>
    </xf>
    <xf numFmtId="5" fontId="4" fillId="0" borderId="0" xfId="0" applyNumberFormat="1" applyFont="1" applyAlignment="1">
      <alignment/>
    </xf>
    <xf numFmtId="190" fontId="0" fillId="0" borderId="0" xfId="15" applyNumberFormat="1" applyFont="1" applyAlignment="1">
      <alignment/>
    </xf>
    <xf numFmtId="2" fontId="12" fillId="0" borderId="0" xfId="21" applyNumberFormat="1" applyFont="1" applyAlignment="1">
      <alignment horizontal="right"/>
      <protection/>
    </xf>
    <xf numFmtId="4" fontId="12" fillId="0" borderId="0" xfId="0" applyNumberFormat="1" applyFont="1" applyAlignment="1">
      <alignment/>
    </xf>
    <xf numFmtId="0" fontId="12" fillId="0" borderId="0" xfId="0" applyNumberFormat="1" applyFont="1" applyAlignment="1">
      <alignment/>
    </xf>
    <xf numFmtId="2" fontId="0" fillId="0" borderId="0" xfId="0" applyNumberFormat="1" applyFont="1" applyAlignment="1">
      <alignment/>
    </xf>
    <xf numFmtId="0" fontId="0" fillId="0" borderId="3" xfId="0" applyNumberFormat="1" applyFont="1" applyBorder="1" applyAlignment="1">
      <alignment horizontal="center"/>
    </xf>
    <xf numFmtId="37" fontId="0" fillId="0" borderId="0" xfId="0" applyNumberFormat="1" applyFont="1" applyAlignment="1">
      <alignment horizontal="center"/>
    </xf>
    <xf numFmtId="0" fontId="0" fillId="0" borderId="0" xfId="0" applyNumberFormat="1" applyFont="1" applyBorder="1" applyAlignment="1">
      <alignment horizontal="center"/>
    </xf>
    <xf numFmtId="0" fontId="0" fillId="0" borderId="0" xfId="0" applyNumberFormat="1" applyFont="1" applyAlignment="1" quotePrefix="1">
      <alignment horizontal="center"/>
    </xf>
    <xf numFmtId="2" fontId="0" fillId="0" borderId="0" xfId="0" applyNumberFormat="1" applyFont="1" applyAlignment="1" quotePrefix="1">
      <alignment horizontal="center"/>
    </xf>
    <xf numFmtId="43" fontId="0" fillId="0" borderId="3" xfId="15" applyNumberFormat="1" applyFont="1" applyBorder="1" applyAlignment="1">
      <alignment/>
    </xf>
    <xf numFmtId="37" fontId="10" fillId="0" borderId="0" xfId="0" applyNumberFormat="1" applyFont="1" applyAlignment="1">
      <alignment/>
    </xf>
    <xf numFmtId="2" fontId="19" fillId="0" borderId="5" xfId="0" applyNumberFormat="1" applyFont="1" applyBorder="1" applyAlignment="1">
      <alignment vertical="top" wrapText="1"/>
    </xf>
    <xf numFmtId="2" fontId="19" fillId="0" borderId="0" xfId="0" applyNumberFormat="1" applyFont="1" applyAlignment="1">
      <alignment vertical="top" wrapText="1"/>
    </xf>
    <xf numFmtId="37" fontId="12" fillId="0" borderId="0" xfId="24" applyNumberFormat="1" applyFont="1" applyAlignment="1">
      <alignment/>
      <protection locked="0"/>
    </xf>
    <xf numFmtId="0" fontId="19" fillId="0" borderId="0" xfId="24" applyNumberFormat="1" applyFont="1" applyAlignment="1">
      <alignment/>
      <protection/>
    </xf>
    <xf numFmtId="0" fontId="10" fillId="0" borderId="0" xfId="0" applyNumberFormat="1" applyFont="1" applyAlignment="1">
      <alignment/>
    </xf>
    <xf numFmtId="164" fontId="10" fillId="0" borderId="0" xfId="0" applyFont="1" applyAlignment="1">
      <alignment/>
    </xf>
    <xf numFmtId="0" fontId="24" fillId="0" borderId="0" xfId="0" applyNumberFormat="1" applyFont="1" applyAlignment="1">
      <alignment/>
    </xf>
    <xf numFmtId="164" fontId="24" fillId="0" borderId="0" xfId="0" applyFont="1" applyAlignment="1">
      <alignment/>
    </xf>
    <xf numFmtId="190" fontId="4" fillId="0" borderId="0" xfId="15" applyNumberFormat="1" applyFont="1" applyAlignment="1">
      <alignment/>
    </xf>
    <xf numFmtId="190" fontId="13" fillId="0" borderId="0" xfId="15" applyNumberFormat="1" applyFont="1" applyAlignment="1">
      <alignment/>
    </xf>
    <xf numFmtId="2" fontId="4" fillId="0" borderId="0" xfId="0" applyNumberFormat="1" applyFont="1" applyAlignment="1">
      <alignment/>
    </xf>
    <xf numFmtId="3" fontId="4" fillId="0" borderId="0" xfId="0" applyNumberFormat="1" applyFont="1" applyAlignment="1">
      <alignment/>
    </xf>
    <xf numFmtId="3" fontId="14" fillId="0" borderId="0" xfId="25" applyNumberFormat="1" applyFont="1" applyAlignment="1">
      <alignment/>
      <protection/>
    </xf>
    <xf numFmtId="0" fontId="14" fillId="0" borderId="0" xfId="25" applyNumberFormat="1" applyFont="1" applyAlignment="1">
      <alignment/>
      <protection/>
    </xf>
    <xf numFmtId="0" fontId="14" fillId="0" borderId="0" xfId="25" applyFont="1" applyAlignment="1">
      <alignment/>
      <protection/>
    </xf>
    <xf numFmtId="41" fontId="0" fillId="0" borderId="0" xfId="0" applyNumberFormat="1" applyFont="1" applyAlignment="1">
      <alignment/>
    </xf>
    <xf numFmtId="190" fontId="13" fillId="0" borderId="3" xfId="15" applyNumberFormat="1" applyFont="1" applyBorder="1" applyAlignment="1">
      <alignment/>
    </xf>
    <xf numFmtId="0" fontId="0" fillId="0" borderId="0" xfId="23" applyAlignment="1">
      <alignment/>
      <protection/>
    </xf>
    <xf numFmtId="0" fontId="4" fillId="0" borderId="0" xfId="23" applyFont="1" applyAlignment="1">
      <alignment/>
      <protection/>
    </xf>
    <xf numFmtId="43" fontId="0" fillId="0" borderId="0" xfId="15" applyFont="1" applyAlignment="1">
      <alignment/>
    </xf>
    <xf numFmtId="44" fontId="0" fillId="0" borderId="0" xfId="16" applyFont="1" applyAlignment="1">
      <alignment/>
    </xf>
    <xf numFmtId="10" fontId="0" fillId="0" borderId="0" xfId="28" applyNumberFormat="1" applyFont="1" applyAlignment="1">
      <alignment/>
    </xf>
    <xf numFmtId="16" fontId="0" fillId="0" borderId="0" xfId="0" applyNumberFormat="1" applyFont="1" applyAlignment="1" quotePrefix="1">
      <alignment horizontal="center"/>
    </xf>
    <xf numFmtId="0" fontId="15" fillId="0" borderId="0" xfId="0" applyNumberFormat="1" applyFont="1" applyAlignment="1">
      <alignment/>
    </xf>
    <xf numFmtId="0" fontId="15" fillId="0" borderId="0" xfId="0" applyNumberFormat="1" applyFont="1" applyAlignment="1">
      <alignment horizontal="center"/>
    </xf>
    <xf numFmtId="192" fontId="0" fillId="0" borderId="0" xfId="15" applyNumberFormat="1" applyFont="1" applyAlignment="1">
      <alignment/>
    </xf>
    <xf numFmtId="195" fontId="0" fillId="0" borderId="0" xfId="15" applyNumberFormat="1" applyFont="1" applyAlignment="1">
      <alignment/>
    </xf>
    <xf numFmtId="196" fontId="0" fillId="0" borderId="0" xfId="15" applyNumberFormat="1" applyFont="1" applyAlignment="1">
      <alignment/>
    </xf>
    <xf numFmtId="193" fontId="0" fillId="0" borderId="0" xfId="16" applyNumberFormat="1" applyFont="1" applyAlignment="1">
      <alignment/>
    </xf>
    <xf numFmtId="197" fontId="0" fillId="0" borderId="0" xfId="16" applyNumberFormat="1" applyFont="1" applyAlignment="1">
      <alignment/>
    </xf>
    <xf numFmtId="198" fontId="0" fillId="0" borderId="0" xfId="16" applyNumberFormat="1" applyFont="1" applyAlignment="1">
      <alignment/>
    </xf>
    <xf numFmtId="0" fontId="0" fillId="0" borderId="0" xfId="0" applyNumberFormat="1" applyFont="1" applyAlignment="1">
      <alignment horizontal="left"/>
    </xf>
    <xf numFmtId="43" fontId="0" fillId="0" borderId="0" xfId="15" applyFont="1" applyAlignment="1" applyProtection="1">
      <alignment/>
      <protection locked="0"/>
    </xf>
    <xf numFmtId="43" fontId="0" fillId="0" borderId="0" xfId="15" applyFont="1" applyBorder="1" applyAlignment="1">
      <alignment horizontal="center"/>
    </xf>
    <xf numFmtId="44" fontId="0" fillId="0" borderId="0" xfId="16" applyNumberFormat="1" applyFont="1" applyAlignment="1">
      <alignment/>
    </xf>
    <xf numFmtId="198" fontId="25" fillId="0" borderId="0" xfId="16" applyNumberFormat="1" applyFont="1" applyAlignment="1">
      <alignment horizontal="left"/>
    </xf>
    <xf numFmtId="198" fontId="25" fillId="0" borderId="0" xfId="16" applyNumberFormat="1" applyFont="1" applyAlignment="1">
      <alignment/>
    </xf>
    <xf numFmtId="0" fontId="7" fillId="0" borderId="0" xfId="0" applyNumberFormat="1" applyFont="1" applyBorder="1" applyAlignment="1">
      <alignment/>
    </xf>
    <xf numFmtId="181" fontId="4" fillId="0" borderId="0" xfId="16" applyNumberFormat="1" applyFont="1" applyBorder="1" applyAlignment="1">
      <alignment/>
    </xf>
    <xf numFmtId="10" fontId="4" fillId="0" borderId="0" xfId="28" applyNumberFormat="1" applyFont="1" applyBorder="1" applyAlignment="1">
      <alignment/>
    </xf>
    <xf numFmtId="181" fontId="4" fillId="0" borderId="0" xfId="16" applyNumberFormat="1" applyFont="1" applyBorder="1" applyAlignment="1">
      <alignment/>
    </xf>
    <xf numFmtId="37" fontId="4" fillId="0" borderId="0" xfId="0" applyNumberFormat="1" applyFont="1" applyBorder="1" applyAlignment="1">
      <alignment/>
    </xf>
    <xf numFmtId="180" fontId="16" fillId="0" borderId="0" xfId="26" applyFont="1" applyAlignment="1">
      <alignment/>
      <protection/>
    </xf>
    <xf numFmtId="41" fontId="16" fillId="0" borderId="0" xfId="26" applyNumberFormat="1" applyFont="1">
      <alignment/>
      <protection/>
    </xf>
    <xf numFmtId="180" fontId="16" fillId="0" borderId="0" xfId="26" applyFont="1">
      <alignment/>
      <protection/>
    </xf>
    <xf numFmtId="44" fontId="16" fillId="0" borderId="0" xfId="16" applyFont="1" applyAlignment="1">
      <alignment/>
    </xf>
    <xf numFmtId="180" fontId="4" fillId="0" borderId="0" xfId="26" applyFont="1" applyBorder="1" applyAlignment="1">
      <alignment/>
      <protection/>
    </xf>
    <xf numFmtId="180" fontId="0" fillId="0" borderId="0" xfId="26" applyFont="1" applyBorder="1" applyAlignment="1">
      <alignment/>
      <protection/>
    </xf>
    <xf numFmtId="0" fontId="0" fillId="0" borderId="0" xfId="0" applyNumberFormat="1" applyFont="1" applyBorder="1" applyAlignment="1">
      <alignment horizontal="center"/>
    </xf>
    <xf numFmtId="0" fontId="0" fillId="0" borderId="0" xfId="0" applyNumberFormat="1" applyFont="1" applyBorder="1" applyAlignment="1">
      <alignment/>
    </xf>
    <xf numFmtId="180" fontId="0" fillId="0" borderId="0" xfId="26" applyFont="1" applyBorder="1" applyAlignment="1">
      <alignment horizontal="center"/>
      <protection/>
    </xf>
    <xf numFmtId="37" fontId="0" fillId="0" borderId="0" xfId="0" applyNumberFormat="1" applyFont="1" applyBorder="1" applyAlignment="1">
      <alignment horizontal="center"/>
    </xf>
    <xf numFmtId="37" fontId="0" fillId="0" borderId="0" xfId="0" applyNumberFormat="1" applyFont="1" applyBorder="1" applyAlignment="1">
      <alignment horizontal="center"/>
    </xf>
    <xf numFmtId="37" fontId="0" fillId="0" borderId="0" xfId="0" applyNumberFormat="1" applyFont="1" applyBorder="1" applyAlignment="1" quotePrefix="1">
      <alignment horizontal="center"/>
    </xf>
    <xf numFmtId="43" fontId="0" fillId="0" borderId="0" xfId="15" applyFont="1" applyBorder="1" applyAlignment="1">
      <alignment horizontal="right"/>
    </xf>
    <xf numFmtId="43" fontId="0" fillId="0" borderId="3" xfId="15" applyFont="1" applyBorder="1" applyAlignment="1">
      <alignment horizontal="center"/>
    </xf>
    <xf numFmtId="0" fontId="15" fillId="0" borderId="0" xfId="0" applyNumberFormat="1" applyFont="1" applyAlignment="1">
      <alignment horizontal="center"/>
    </xf>
    <xf numFmtId="44" fontId="0" fillId="0" borderId="0" xfId="16" applyFont="1" applyBorder="1" applyAlignment="1">
      <alignment/>
    </xf>
    <xf numFmtId="44" fontId="0" fillId="0" borderId="0" xfId="16" applyFont="1" applyBorder="1" applyAlignment="1">
      <alignment/>
    </xf>
    <xf numFmtId="43" fontId="0" fillId="0" borderId="0" xfId="15" applyFont="1" applyBorder="1" applyAlignment="1">
      <alignment/>
    </xf>
    <xf numFmtId="43" fontId="0" fillId="0" borderId="0" xfId="0" applyNumberFormat="1" applyFont="1" applyBorder="1" applyAlignment="1">
      <alignment/>
    </xf>
    <xf numFmtId="190" fontId="0" fillId="0" borderId="0" xfId="0" applyNumberFormat="1" applyFont="1" applyBorder="1" applyAlignment="1">
      <alignment/>
    </xf>
    <xf numFmtId="181" fontId="0" fillId="0" borderId="0" xfId="16" applyNumberFormat="1" applyFont="1" applyBorder="1" applyAlignment="1">
      <alignment/>
    </xf>
    <xf numFmtId="186" fontId="0" fillId="0" borderId="0" xfId="15" applyNumberFormat="1" applyFont="1" applyBorder="1" applyAlignment="1">
      <alignment/>
    </xf>
    <xf numFmtId="3" fontId="0" fillId="0" borderId="0" xfId="25" applyNumberFormat="1" applyFont="1" applyBorder="1" applyAlignment="1">
      <alignment/>
      <protection/>
    </xf>
    <xf numFmtId="3" fontId="0" fillId="0" borderId="0" xfId="0" applyNumberFormat="1" applyFont="1" applyBorder="1" applyAlignment="1">
      <alignment/>
    </xf>
    <xf numFmtId="43" fontId="0" fillId="0" borderId="0" xfId="25" applyNumberFormat="1" applyFont="1" applyBorder="1" applyAlignment="1">
      <alignment/>
      <protection/>
    </xf>
    <xf numFmtId="43" fontId="0" fillId="0" borderId="0" xfId="26" applyNumberFormat="1" applyFont="1" applyBorder="1" applyAlignment="1">
      <alignment/>
      <protection/>
    </xf>
    <xf numFmtId="190" fontId="0" fillId="0" borderId="0" xfId="0" applyNumberFormat="1" applyFont="1" applyBorder="1" applyAlignment="1">
      <alignment horizontal="center"/>
    </xf>
    <xf numFmtId="187" fontId="0" fillId="0" borderId="0" xfId="26" applyNumberFormat="1" applyFont="1" applyBorder="1">
      <alignment/>
      <protection/>
    </xf>
    <xf numFmtId="43" fontId="4" fillId="0" borderId="0" xfId="0" applyNumberFormat="1" applyFont="1" applyBorder="1" applyAlignment="1">
      <alignment/>
    </xf>
    <xf numFmtId="0" fontId="0" fillId="0" borderId="0" xfId="25" applyNumberFormat="1" applyFont="1" applyBorder="1" applyAlignment="1">
      <alignment/>
      <protection/>
    </xf>
    <xf numFmtId="4" fontId="11" fillId="0" borderId="0" xfId="25" applyNumberFormat="1" applyFont="1" applyBorder="1" applyAlignment="1">
      <alignment/>
      <protection/>
    </xf>
    <xf numFmtId="190" fontId="4" fillId="0" borderId="0" xfId="0" applyNumberFormat="1" applyFont="1" applyBorder="1" applyAlignment="1">
      <alignment/>
    </xf>
    <xf numFmtId="0" fontId="0" fillId="0" borderId="0" xfId="0" applyNumberFormat="1" applyFont="1" applyBorder="1" applyAlignment="1" quotePrefix="1">
      <alignment horizontal="left"/>
    </xf>
    <xf numFmtId="43" fontId="4" fillId="0" borderId="0" xfId="0" applyNumberFormat="1" applyFont="1" applyBorder="1" applyAlignment="1">
      <alignment/>
    </xf>
    <xf numFmtId="0" fontId="26" fillId="0" borderId="0" xfId="0" applyNumberFormat="1" applyFont="1" applyAlignment="1">
      <alignment horizontal="left"/>
    </xf>
    <xf numFmtId="180" fontId="26" fillId="0" borderId="0" xfId="26" applyFont="1" applyAlignment="1">
      <alignment horizontal="left"/>
      <protection/>
    </xf>
    <xf numFmtId="169" fontId="4" fillId="0" borderId="6" xfId="0" applyNumberFormat="1" applyFont="1" applyBorder="1" applyAlignment="1">
      <alignment horizontal="center"/>
    </xf>
    <xf numFmtId="169" fontId="4" fillId="0" borderId="6" xfId="24" applyNumberFormat="1" applyFont="1" applyBorder="1" applyAlignment="1">
      <alignment horizontal="center"/>
      <protection/>
    </xf>
    <xf numFmtId="0" fontId="4" fillId="0" borderId="0" xfId="24" applyNumberFormat="1" applyFont="1" applyAlignment="1">
      <alignment horizontal="right"/>
      <protection/>
    </xf>
    <xf numFmtId="0" fontId="4" fillId="0" borderId="0" xfId="0" applyNumberFormat="1" applyFont="1" applyAlignment="1">
      <alignment horizontal="center"/>
    </xf>
    <xf numFmtId="180" fontId="0" fillId="0" borderId="0" xfId="26" applyFont="1" applyBorder="1" applyAlignment="1">
      <alignment horizontal="center"/>
      <protection/>
    </xf>
    <xf numFmtId="41" fontId="0" fillId="0" borderId="6" xfId="26" applyNumberFormat="1" applyFont="1" applyBorder="1" applyAlignment="1" quotePrefix="1">
      <alignment horizontal="center"/>
      <protection/>
    </xf>
    <xf numFmtId="0" fontId="0" fillId="2" borderId="0" xfId="0" applyNumberFormat="1" applyFont="1" applyFill="1" applyAlignment="1">
      <alignment/>
    </xf>
    <xf numFmtId="0" fontId="4" fillId="2" borderId="0" xfId="0" applyNumberFormat="1" applyFont="1" applyFill="1" applyAlignment="1">
      <alignment horizontal="center"/>
    </xf>
    <xf numFmtId="190" fontId="0" fillId="2" borderId="0" xfId="15" applyNumberFormat="1" applyFont="1" applyFill="1" applyAlignment="1">
      <alignment/>
    </xf>
    <xf numFmtId="0" fontId="4" fillId="2" borderId="0" xfId="0" applyNumberFormat="1" applyFont="1" applyFill="1" applyAlignment="1">
      <alignment/>
    </xf>
    <xf numFmtId="41" fontId="0" fillId="2" borderId="0" xfId="26" applyNumberFormat="1" applyFont="1" applyFill="1" applyAlignment="1">
      <alignment/>
      <protection/>
    </xf>
    <xf numFmtId="3" fontId="4" fillId="0" borderId="0" xfId="0" applyNumberFormat="1" applyFont="1" applyAlignment="1" applyProtection="1">
      <alignment/>
      <protection hidden="1" locked="0"/>
    </xf>
    <xf numFmtId="164" fontId="0" fillId="0" borderId="0" xfId="0" applyFont="1" applyAlignment="1">
      <alignment horizontal="center"/>
    </xf>
    <xf numFmtId="164" fontId="7" fillId="0" borderId="0" xfId="0" applyFont="1" applyAlignment="1">
      <alignment horizontal="center"/>
    </xf>
    <xf numFmtId="0" fontId="0" fillId="0" borderId="0" xfId="0" applyNumberFormat="1" applyFont="1" applyAlignment="1">
      <alignment horizontal="center"/>
    </xf>
    <xf numFmtId="0" fontId="0" fillId="0" borderId="0" xfId="0" applyNumberFormat="1" applyFont="1" applyAlignment="1">
      <alignment horizontal="center"/>
    </xf>
    <xf numFmtId="180" fontId="0" fillId="0" borderId="3" xfId="26" applyFont="1" applyBorder="1" applyAlignment="1">
      <alignment horizontal="center"/>
      <protection/>
    </xf>
    <xf numFmtId="180" fontId="0" fillId="0" borderId="0" xfId="26" applyFont="1" applyAlignment="1">
      <alignment horizontal="center"/>
      <protection/>
    </xf>
    <xf numFmtId="37" fontId="4" fillId="0" borderId="3" xfId="0" applyNumberFormat="1" applyFont="1" applyBorder="1" applyAlignment="1">
      <alignment horizontal="center"/>
    </xf>
    <xf numFmtId="0" fontId="4" fillId="0" borderId="0" xfId="20" applyNumberFormat="1" applyFont="1" applyAlignment="1">
      <alignment horizontal="justify" vertical="top" wrapText="1"/>
      <protection/>
    </xf>
    <xf numFmtId="0" fontId="4" fillId="0" borderId="0" xfId="0" applyNumberFormat="1" applyFont="1" applyAlignment="1">
      <alignment horizontal="justify" vertical="top" wrapText="1"/>
    </xf>
    <xf numFmtId="0" fontId="4" fillId="0" borderId="0" xfId="0" applyNumberFormat="1" applyFont="1" applyAlignment="1">
      <alignment horizontal="center"/>
    </xf>
    <xf numFmtId="0" fontId="4" fillId="0" borderId="0" xfId="0" applyNumberFormat="1" applyFont="1" applyAlignment="1">
      <alignment horizontal="justify" vertical="top" wrapText="1"/>
    </xf>
    <xf numFmtId="0" fontId="4" fillId="0" borderId="3" xfId="0" applyNumberFormat="1" applyFont="1" applyBorder="1" applyAlignment="1">
      <alignment horizontal="center"/>
    </xf>
    <xf numFmtId="0" fontId="4" fillId="0" borderId="0" xfId="0" applyNumberFormat="1" applyFont="1" applyBorder="1" applyAlignment="1">
      <alignment horizontal="center"/>
    </xf>
    <xf numFmtId="0" fontId="4" fillId="0" borderId="6" xfId="24" applyNumberFormat="1" applyFont="1" applyBorder="1" applyAlignment="1">
      <alignment horizontal="center"/>
      <protection/>
    </xf>
    <xf numFmtId="0" fontId="4" fillId="0" borderId="3" xfId="24" applyNumberFormat="1" applyFont="1" applyBorder="1" applyAlignment="1">
      <alignment horizontal="center"/>
      <protection/>
    </xf>
    <xf numFmtId="0" fontId="4" fillId="0" borderId="0" xfId="24" applyNumberFormat="1" applyFont="1" applyAlignment="1">
      <alignment horizontal="center"/>
      <protection/>
    </xf>
    <xf numFmtId="0" fontId="4" fillId="0" borderId="0" xfId="27" applyNumberFormat="1" applyFont="1" applyAlignment="1">
      <alignment horizontal="center"/>
      <protection/>
    </xf>
    <xf numFmtId="3" fontId="4" fillId="0" borderId="0" xfId="24" applyNumberFormat="1" applyFont="1" applyBorder="1" applyAlignment="1">
      <alignment horizontal="center"/>
      <protection/>
    </xf>
    <xf numFmtId="0" fontId="4" fillId="0" borderId="0" xfId="24" applyNumberFormat="1" applyFont="1" applyAlignment="1">
      <alignment horizontal="justify"/>
      <protection/>
    </xf>
    <xf numFmtId="0" fontId="4" fillId="0" borderId="0" xfId="19" applyNumberFormat="1" applyFont="1" applyAlignment="1">
      <alignment horizontal="justify" vertical="top" wrapText="1"/>
      <protection/>
    </xf>
    <xf numFmtId="0" fontId="4" fillId="0" borderId="0" xfId="24" applyNumberFormat="1" applyFont="1" applyAlignment="1">
      <alignment horizontal="justify" wrapText="1"/>
      <protection/>
    </xf>
    <xf numFmtId="0" fontId="4" fillId="0" borderId="0" xfId="24" applyNumberFormat="1" applyFont="1" applyAlignment="1">
      <alignment horizontal="justify" vertical="top" wrapText="1"/>
      <protection/>
    </xf>
    <xf numFmtId="0" fontId="4" fillId="0" borderId="0" xfId="0" applyNumberFormat="1" applyFont="1" applyAlignment="1">
      <alignment horizontal="justify" vertical="top" wrapText="1"/>
    </xf>
    <xf numFmtId="0" fontId="4" fillId="0" borderId="3" xfId="0" applyNumberFormat="1" applyFont="1" applyBorder="1" applyAlignment="1">
      <alignment horizontal="center"/>
    </xf>
  </cellXfs>
  <cellStyles count="15">
    <cellStyle name="Normal" xfId="0"/>
    <cellStyle name="Comma" xfId="15"/>
    <cellStyle name="Currency" xfId="16"/>
    <cellStyle name="Followed Hyperlink" xfId="17"/>
    <cellStyle name="Hyperlink" xfId="18"/>
    <cellStyle name="Normal_F   6   7" xfId="19"/>
    <cellStyle name="Normal_F   8  9  10" xfId="20"/>
    <cellStyle name="Normal_F 2 B" xfId="21"/>
    <cellStyle name="Normal_F 3B 4B" xfId="22"/>
    <cellStyle name="Normal_F 5B" xfId="23"/>
    <cellStyle name="Normal_Factors" xfId="24"/>
    <cellStyle name="Normal_MetersServices" xfId="25"/>
    <cellStyle name="Normal_Sch M" xfId="26"/>
    <cellStyle name="Normal_Sched G"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_REV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s"/>
      <sheetName val="Linkin"/>
      <sheetName val="Profile"/>
      <sheetName val="Sch L"/>
      <sheetName val="Sch M Total"/>
      <sheetName val="Sch M"/>
      <sheetName val="Sch M TV"/>
      <sheetName val="Sch M Elk"/>
      <sheetName val="Sch M Owen"/>
      <sheetName val="Sch N"/>
      <sheetName val="Sch N TV"/>
      <sheetName val="Sch N ELK"/>
      <sheetName val="Sch N Owen"/>
      <sheetName val="WPS BA"/>
      <sheetName val="WPS BA TV"/>
      <sheetName val="WPS BA ELK"/>
      <sheetName val="WPS BA Owen"/>
      <sheetName val="Base Sales Lex"/>
      <sheetName val="Base Sales Tri Village"/>
      <sheetName val="Base Sales Elk Water"/>
      <sheetName val="Base Sales Owen Water"/>
      <sheetName val="FCST SALES Lex"/>
      <sheetName val="FCST SALES Tri Village"/>
      <sheetName val="FCST SALES Elk Water"/>
      <sheetName val="FCST SALES Owen Water"/>
      <sheetName val="Forecasted Revenues"/>
      <sheetName val="Historical Revenues"/>
      <sheetName val="Pivot Table"/>
      <sheetName val="Database"/>
    </sheetNames>
    <sheetDataSet>
      <sheetData sheetId="13">
        <row r="303">
          <cell r="E303">
            <v>45</v>
          </cell>
        </row>
        <row r="304">
          <cell r="E304">
            <v>313</v>
          </cell>
        </row>
        <row r="305">
          <cell r="E305">
            <v>779</v>
          </cell>
        </row>
        <row r="306">
          <cell r="E306">
            <v>269</v>
          </cell>
        </row>
        <row r="307">
          <cell r="E307">
            <v>7</v>
          </cell>
        </row>
        <row r="308">
          <cell r="E308">
            <v>4</v>
          </cell>
        </row>
        <row r="309">
          <cell r="E309">
            <v>1</v>
          </cell>
        </row>
        <row r="310">
          <cell r="E310">
            <v>1</v>
          </cell>
        </row>
        <row r="311">
          <cell r="E311">
            <v>857</v>
          </cell>
        </row>
        <row r="315">
          <cell r="E315">
            <v>6995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218"/>
  <sheetViews>
    <sheetView tabSelected="1" showOutlineSymbols="0" zoomScale="87" zoomScaleNormal="87" workbookViewId="0" topLeftCell="A1">
      <selection activeCell="C6" sqref="C6"/>
    </sheetView>
  </sheetViews>
  <sheetFormatPr defaultColWidth="8.88671875" defaultRowHeight="12.75"/>
  <cols>
    <col min="1" max="1" width="12.99609375" style="65" customWidth="1"/>
    <col min="2" max="2" width="2.10546875" style="65" customWidth="1"/>
    <col min="3" max="3" width="76.21484375" style="65" customWidth="1"/>
    <col min="4" max="4" width="9.77734375" style="14" customWidth="1"/>
    <col min="5" max="5" width="13.77734375" style="14" customWidth="1"/>
    <col min="6" max="6" width="9.77734375" style="14" customWidth="1"/>
    <col min="7" max="7" width="10.10546875" style="14" customWidth="1"/>
    <col min="8" max="16384" width="9.77734375" style="14" customWidth="1"/>
  </cols>
  <sheetData>
    <row r="1" spans="1:10" ht="15">
      <c r="A1" s="479" t="s">
        <v>514</v>
      </c>
      <c r="B1" s="479"/>
      <c r="C1" s="479"/>
      <c r="D1"/>
      <c r="E1"/>
      <c r="F1"/>
      <c r="G1"/>
      <c r="H1"/>
      <c r="I1"/>
      <c r="J1"/>
    </row>
    <row r="2" spans="1:10" ht="15">
      <c r="A2" s="187"/>
      <c r="B2" s="187"/>
      <c r="C2" s="187"/>
      <c r="D2"/>
      <c r="E2"/>
      <c r="F2"/>
      <c r="G2"/>
      <c r="H2"/>
      <c r="I2"/>
      <c r="J2"/>
    </row>
    <row r="3" spans="1:10" ht="15">
      <c r="A3" s="479" t="s">
        <v>270</v>
      </c>
      <c r="B3" s="479"/>
      <c r="C3" s="479"/>
      <c r="D3"/>
      <c r="E3"/>
      <c r="F3"/>
      <c r="G3"/>
      <c r="H3"/>
      <c r="I3"/>
      <c r="J3"/>
    </row>
    <row r="4" spans="1:10" ht="15">
      <c r="A4" s="479" t="s">
        <v>313</v>
      </c>
      <c r="B4" s="479"/>
      <c r="C4" s="479"/>
      <c r="D4"/>
      <c r="E4"/>
      <c r="F4"/>
      <c r="G4"/>
      <c r="H4"/>
      <c r="I4"/>
      <c r="J4"/>
    </row>
    <row r="5" spans="1:10" ht="15">
      <c r="A5" s="158"/>
      <c r="B5" s="158"/>
      <c r="C5" s="158"/>
      <c r="D5"/>
      <c r="E5"/>
      <c r="F5"/>
      <c r="G5"/>
      <c r="H5"/>
      <c r="I5"/>
      <c r="J5"/>
    </row>
    <row r="6" spans="1:10" ht="15">
      <c r="A6" s="234"/>
      <c r="B6" s="234"/>
      <c r="C6" s="234"/>
      <c r="D6"/>
      <c r="E6"/>
      <c r="F6"/>
      <c r="G6"/>
      <c r="H6"/>
      <c r="I6"/>
      <c r="J6"/>
    </row>
    <row r="7" spans="1:10" ht="15">
      <c r="A7" s="112" t="s">
        <v>267</v>
      </c>
      <c r="B7" s="109"/>
      <c r="C7" s="112" t="s">
        <v>253</v>
      </c>
      <c r="D7"/>
      <c r="E7"/>
      <c r="F7"/>
      <c r="G7"/>
      <c r="H7"/>
      <c r="I7"/>
      <c r="J7"/>
    </row>
    <row r="8" spans="1:10" ht="15">
      <c r="A8" s="236"/>
      <c r="B8" s="109"/>
      <c r="C8" s="236"/>
      <c r="D8"/>
      <c r="E8"/>
      <c r="F8"/>
      <c r="G8"/>
      <c r="H8"/>
      <c r="I8"/>
      <c r="J8"/>
    </row>
    <row r="9" spans="1:10" ht="15">
      <c r="A9" s="331" t="s">
        <v>264</v>
      </c>
      <c r="B9" s="332"/>
      <c r="C9" s="333" t="s">
        <v>388</v>
      </c>
      <c r="D9"/>
      <c r="E9"/>
      <c r="F9"/>
      <c r="G9"/>
      <c r="H9"/>
      <c r="I9"/>
      <c r="J9"/>
    </row>
    <row r="10" spans="1:10" ht="51">
      <c r="A10" s="245"/>
      <c r="B10" s="109"/>
      <c r="C10" s="235" t="s">
        <v>265</v>
      </c>
      <c r="D10"/>
      <c r="E10"/>
      <c r="F10"/>
      <c r="G10"/>
      <c r="H10"/>
      <c r="I10"/>
      <c r="J10"/>
    </row>
    <row r="11" spans="1:10" ht="9.75" customHeight="1">
      <c r="A11" s="245"/>
      <c r="B11" s="109"/>
      <c r="C11" s="235"/>
      <c r="D11"/>
      <c r="E11"/>
      <c r="F11"/>
      <c r="G11"/>
      <c r="H11"/>
      <c r="I11"/>
      <c r="J11"/>
    </row>
    <row r="12" spans="1:10" ht="15">
      <c r="A12" s="334" t="s">
        <v>311</v>
      </c>
      <c r="B12" s="335"/>
      <c r="C12" s="336" t="s">
        <v>292</v>
      </c>
      <c r="D12"/>
      <c r="E12"/>
      <c r="F12"/>
      <c r="G12"/>
      <c r="H12"/>
      <c r="I12"/>
      <c r="J12"/>
    </row>
    <row r="13" spans="1:10" ht="56.25" customHeight="1">
      <c r="A13" s="242"/>
      <c r="B13" s="109"/>
      <c r="C13" s="235" t="s">
        <v>318</v>
      </c>
      <c r="D13"/>
      <c r="E13"/>
      <c r="F13"/>
      <c r="G13"/>
      <c r="H13"/>
      <c r="I13"/>
      <c r="J13"/>
    </row>
    <row r="14" spans="1:10" ht="14.25" customHeight="1">
      <c r="A14" s="242"/>
      <c r="B14" s="109"/>
      <c r="C14" s="235"/>
      <c r="D14"/>
      <c r="E14"/>
      <c r="F14"/>
      <c r="G14"/>
      <c r="H14"/>
      <c r="I14"/>
      <c r="J14"/>
    </row>
    <row r="15" spans="1:21" ht="15">
      <c r="A15" s="334" t="s">
        <v>260</v>
      </c>
      <c r="B15" s="335"/>
      <c r="C15" s="336" t="s">
        <v>433</v>
      </c>
      <c r="D15"/>
      <c r="E15"/>
      <c r="F15"/>
      <c r="G15"/>
      <c r="H15"/>
      <c r="I15"/>
      <c r="J15"/>
      <c r="K15"/>
      <c r="L15"/>
      <c r="M15"/>
      <c r="N15"/>
      <c r="O15"/>
      <c r="P15"/>
      <c r="Q15"/>
      <c r="R15"/>
      <c r="S15"/>
      <c r="T15"/>
      <c r="U15"/>
    </row>
    <row r="16" spans="1:10" ht="51">
      <c r="A16" s="242"/>
      <c r="B16" s="106"/>
      <c r="C16" s="235" t="s">
        <v>279</v>
      </c>
      <c r="D16"/>
      <c r="E16"/>
      <c r="F16"/>
      <c r="G16"/>
      <c r="H16"/>
      <c r="I16"/>
      <c r="J16"/>
    </row>
    <row r="17" spans="1:10" ht="15">
      <c r="A17" s="241"/>
      <c r="B17" s="109"/>
      <c r="C17" s="236"/>
      <c r="D17"/>
      <c r="E17"/>
      <c r="F17"/>
      <c r="G17"/>
      <c r="H17"/>
      <c r="I17"/>
      <c r="J17"/>
    </row>
    <row r="18" spans="1:11" ht="15">
      <c r="A18" s="334" t="s">
        <v>261</v>
      </c>
      <c r="B18" s="335"/>
      <c r="C18" s="336" t="s">
        <v>487</v>
      </c>
      <c r="D18"/>
      <c r="E18"/>
      <c r="F18"/>
      <c r="G18"/>
      <c r="H18"/>
      <c r="I18"/>
      <c r="J18"/>
      <c r="K18"/>
    </row>
    <row r="19" spans="1:10" ht="38.25">
      <c r="A19" s="242"/>
      <c r="B19" s="106"/>
      <c r="C19" s="235" t="s">
        <v>389</v>
      </c>
      <c r="D19"/>
      <c r="E19"/>
      <c r="F19"/>
      <c r="G19"/>
      <c r="H19"/>
      <c r="I19"/>
      <c r="J19"/>
    </row>
    <row r="20" spans="1:10" ht="15">
      <c r="A20" s="241"/>
      <c r="B20" s="109"/>
      <c r="C20" s="236"/>
      <c r="D20"/>
      <c r="E20"/>
      <c r="F20"/>
      <c r="G20"/>
      <c r="H20"/>
      <c r="I20"/>
      <c r="J20"/>
    </row>
    <row r="21" spans="1:25" ht="15">
      <c r="A21" s="334" t="s">
        <v>262</v>
      </c>
      <c r="B21" s="335"/>
      <c r="C21" s="336" t="s">
        <v>266</v>
      </c>
      <c r="D21"/>
      <c r="E21"/>
      <c r="F21"/>
      <c r="G21"/>
      <c r="H21"/>
      <c r="I21"/>
      <c r="J21"/>
      <c r="K21"/>
      <c r="L21"/>
      <c r="M21"/>
      <c r="N21"/>
      <c r="O21"/>
      <c r="P21"/>
      <c r="Q21"/>
      <c r="R21"/>
      <c r="S21"/>
      <c r="T21"/>
      <c r="U21"/>
      <c r="V21"/>
      <c r="W21"/>
      <c r="X21"/>
      <c r="Y21"/>
    </row>
    <row r="22" spans="1:10" ht="63.75">
      <c r="A22" s="14"/>
      <c r="B22" s="106"/>
      <c r="C22" s="235" t="s">
        <v>317</v>
      </c>
      <c r="D22"/>
      <c r="E22"/>
      <c r="F22"/>
      <c r="G22"/>
      <c r="H22"/>
      <c r="I22"/>
      <c r="J22"/>
    </row>
    <row r="23" spans="1:10" ht="15">
      <c r="A23" s="241"/>
      <c r="B23" s="109"/>
      <c r="C23" s="236"/>
      <c r="D23"/>
      <c r="E23"/>
      <c r="F23"/>
      <c r="G23"/>
      <c r="H23"/>
      <c r="I23"/>
      <c r="J23"/>
    </row>
    <row r="24" spans="1:14" ht="15">
      <c r="A24" s="334" t="s">
        <v>263</v>
      </c>
      <c r="B24" s="335"/>
      <c r="C24" s="336" t="s">
        <v>21</v>
      </c>
      <c r="D24"/>
      <c r="E24"/>
      <c r="F24"/>
      <c r="G24"/>
      <c r="H24"/>
      <c r="I24"/>
      <c r="J24"/>
      <c r="K24"/>
      <c r="L24"/>
      <c r="M24"/>
      <c r="N24"/>
    </row>
    <row r="25" spans="1:10" ht="51">
      <c r="A25" s="242"/>
      <c r="B25" s="106"/>
      <c r="C25" s="235" t="s">
        <v>255</v>
      </c>
      <c r="D25"/>
      <c r="E25"/>
      <c r="F25"/>
      <c r="G25"/>
      <c r="H25"/>
      <c r="I25"/>
      <c r="J25"/>
    </row>
    <row r="26" spans="1:10" ht="15">
      <c r="A26" s="241"/>
      <c r="B26" s="109"/>
      <c r="C26" s="236"/>
      <c r="D26"/>
      <c r="E26"/>
      <c r="F26"/>
      <c r="G26"/>
      <c r="H26"/>
      <c r="I26"/>
      <c r="J26"/>
    </row>
    <row r="27" spans="1:10" ht="15">
      <c r="A27" s="334" t="s">
        <v>259</v>
      </c>
      <c r="B27" s="335"/>
      <c r="C27" s="336" t="s">
        <v>0</v>
      </c>
      <c r="D27"/>
      <c r="E27"/>
      <c r="F27"/>
      <c r="G27"/>
      <c r="H27"/>
      <c r="I27"/>
      <c r="J27"/>
    </row>
    <row r="28" spans="1:10" ht="38.25">
      <c r="A28" s="242"/>
      <c r="B28" s="106"/>
      <c r="C28" s="235" t="s">
        <v>278</v>
      </c>
      <c r="D28"/>
      <c r="E28"/>
      <c r="F28"/>
      <c r="G28"/>
      <c r="H28"/>
      <c r="I28"/>
      <c r="J28"/>
    </row>
    <row r="29" spans="1:10" ht="15">
      <c r="A29" s="242"/>
      <c r="B29" s="106"/>
      <c r="C29" s="235"/>
      <c r="D29"/>
      <c r="E29"/>
      <c r="F29"/>
      <c r="G29"/>
      <c r="H29"/>
      <c r="I29"/>
      <c r="J29"/>
    </row>
    <row r="30" spans="1:10" ht="15">
      <c r="A30" s="334" t="s">
        <v>341</v>
      </c>
      <c r="B30" s="335"/>
      <c r="C30" s="336" t="s">
        <v>319</v>
      </c>
      <c r="D30"/>
      <c r="E30"/>
      <c r="F30"/>
      <c r="G30"/>
      <c r="H30"/>
      <c r="I30"/>
      <c r="J30"/>
    </row>
    <row r="31" spans="1:10" ht="25.5">
      <c r="A31" s="334"/>
      <c r="B31" s="335"/>
      <c r="C31" s="235" t="s">
        <v>381</v>
      </c>
      <c r="D31"/>
      <c r="E31"/>
      <c r="F31"/>
      <c r="G31"/>
      <c r="H31"/>
      <c r="I31"/>
      <c r="J31"/>
    </row>
    <row r="32" spans="1:10" ht="15">
      <c r="A32" s="242"/>
      <c r="B32" s="106"/>
      <c r="C32" s="235"/>
      <c r="D32"/>
      <c r="E32"/>
      <c r="F32"/>
      <c r="G32"/>
      <c r="H32"/>
      <c r="I32"/>
      <c r="J32"/>
    </row>
    <row r="33" spans="1:13" ht="15">
      <c r="A33" s="334" t="s">
        <v>19</v>
      </c>
      <c r="B33" s="335"/>
      <c r="C33" s="465" t="s">
        <v>239</v>
      </c>
      <c r="D33" s="465"/>
      <c r="E33" s="465"/>
      <c r="F33" s="465"/>
      <c r="G33" s="465"/>
      <c r="H33" s="465"/>
      <c r="I33" s="465"/>
      <c r="J33" s="465"/>
      <c r="K33" s="465"/>
      <c r="L33" s="465"/>
      <c r="M33" s="465"/>
    </row>
    <row r="34" spans="1:10" ht="15">
      <c r="A34" s="242"/>
      <c r="B34" s="106"/>
      <c r="C34" s="235"/>
      <c r="D34"/>
      <c r="E34"/>
      <c r="F34"/>
      <c r="G34"/>
      <c r="H34"/>
      <c r="I34"/>
      <c r="J34"/>
    </row>
    <row r="35" spans="1:12" ht="15">
      <c r="A35" s="334" t="s">
        <v>20</v>
      </c>
      <c r="B35" s="106"/>
      <c r="C35" s="466" t="s">
        <v>158</v>
      </c>
      <c r="D35" s="466"/>
      <c r="E35" s="466"/>
      <c r="F35" s="466"/>
      <c r="G35" s="466"/>
      <c r="H35" s="466"/>
      <c r="I35" s="466"/>
      <c r="J35" s="466"/>
      <c r="K35" s="466"/>
      <c r="L35" s="466"/>
    </row>
    <row r="36" spans="1:10" ht="15">
      <c r="A36" s="242"/>
      <c r="B36" s="106"/>
      <c r="C36" s="235"/>
      <c r="D36"/>
      <c r="E36"/>
      <c r="F36"/>
      <c r="G36"/>
      <c r="H36"/>
      <c r="I36"/>
      <c r="J36"/>
    </row>
    <row r="37" spans="1:10" ht="15">
      <c r="A37" s="242"/>
      <c r="B37" s="106"/>
      <c r="C37" s="235"/>
      <c r="D37"/>
      <c r="E37"/>
      <c r="F37"/>
      <c r="G37"/>
      <c r="H37"/>
      <c r="I37"/>
      <c r="J37"/>
    </row>
    <row r="38" spans="1:10" ht="15">
      <c r="A38" s="242"/>
      <c r="B38" s="106"/>
      <c r="C38" s="235"/>
      <c r="D38"/>
      <c r="E38"/>
      <c r="F38"/>
      <c r="G38"/>
      <c r="H38"/>
      <c r="I38"/>
      <c r="J38"/>
    </row>
    <row r="39" spans="1:10" ht="15">
      <c r="A39" s="242"/>
      <c r="B39" s="106"/>
      <c r="C39" s="235"/>
      <c r="D39"/>
      <c r="E39"/>
      <c r="F39"/>
      <c r="G39"/>
      <c r="H39"/>
      <c r="I39"/>
      <c r="J39"/>
    </row>
    <row r="40" spans="1:10" ht="15">
      <c r="A40" s="243"/>
      <c r="D40"/>
      <c r="E40"/>
      <c r="F40"/>
      <c r="G40"/>
      <c r="H40"/>
      <c r="I40"/>
      <c r="J40"/>
    </row>
    <row r="41" spans="1:10" ht="15">
      <c r="A41" s="243"/>
      <c r="D41"/>
      <c r="E41"/>
      <c r="F41"/>
      <c r="G41"/>
      <c r="H41"/>
      <c r="I41"/>
      <c r="J41"/>
    </row>
    <row r="42" spans="1:10" ht="15">
      <c r="A42" s="243"/>
      <c r="D42"/>
      <c r="E42"/>
      <c r="F42"/>
      <c r="G42"/>
      <c r="H42"/>
      <c r="I42"/>
      <c r="J42"/>
    </row>
    <row r="43" spans="1:10" ht="15">
      <c r="A43" s="243"/>
      <c r="D43"/>
      <c r="E43"/>
      <c r="F43"/>
      <c r="G43"/>
      <c r="H43"/>
      <c r="I43"/>
      <c r="J43"/>
    </row>
    <row r="44" spans="1:10" ht="15">
      <c r="A44" s="243"/>
      <c r="D44"/>
      <c r="E44"/>
      <c r="F44"/>
      <c r="G44"/>
      <c r="H44"/>
      <c r="I44"/>
      <c r="J44"/>
    </row>
    <row r="45" spans="1:10" ht="15">
      <c r="A45" s="243"/>
      <c r="D45"/>
      <c r="E45"/>
      <c r="F45"/>
      <c r="G45"/>
      <c r="H45"/>
      <c r="I45"/>
      <c r="J45"/>
    </row>
    <row r="46" spans="1:10" ht="15">
      <c r="A46" s="243"/>
      <c r="D46"/>
      <c r="E46"/>
      <c r="F46"/>
      <c r="G46"/>
      <c r="H46"/>
      <c r="I46"/>
      <c r="J46"/>
    </row>
    <row r="47" spans="1:10" ht="15">
      <c r="A47" s="243"/>
      <c r="D47"/>
      <c r="E47"/>
      <c r="F47"/>
      <c r="G47"/>
      <c r="H47"/>
      <c r="I47"/>
      <c r="J47"/>
    </row>
    <row r="48" spans="4:10" ht="15">
      <c r="D48"/>
      <c r="E48"/>
      <c r="F48"/>
      <c r="G48"/>
      <c r="H48"/>
      <c r="I48"/>
      <c r="J48"/>
    </row>
    <row r="49" spans="4:10" ht="15">
      <c r="D49"/>
      <c r="E49"/>
      <c r="F49"/>
      <c r="G49"/>
      <c r="H49"/>
      <c r="I49"/>
      <c r="J49"/>
    </row>
    <row r="50" spans="4:10" ht="15">
      <c r="D50"/>
      <c r="E50"/>
      <c r="F50"/>
      <c r="G50"/>
      <c r="H50"/>
      <c r="I50"/>
      <c r="J50"/>
    </row>
    <row r="51" spans="4:10" ht="15">
      <c r="D51"/>
      <c r="E51"/>
      <c r="F51"/>
      <c r="G51"/>
      <c r="H51"/>
      <c r="I51"/>
      <c r="J51"/>
    </row>
    <row r="52" spans="4:10" ht="15">
      <c r="D52"/>
      <c r="E52"/>
      <c r="F52"/>
      <c r="G52"/>
      <c r="H52"/>
      <c r="I52"/>
      <c r="J52"/>
    </row>
    <row r="53" spans="4:10" ht="15">
      <c r="D53"/>
      <c r="E53"/>
      <c r="F53"/>
      <c r="G53"/>
      <c r="H53"/>
      <c r="I53"/>
      <c r="J53"/>
    </row>
    <row r="54" spans="4:10" ht="15">
      <c r="D54"/>
      <c r="E54"/>
      <c r="F54"/>
      <c r="G54"/>
      <c r="H54"/>
      <c r="I54"/>
      <c r="J54"/>
    </row>
    <row r="55" spans="4:10" ht="15">
      <c r="D55"/>
      <c r="E55"/>
      <c r="F55"/>
      <c r="G55"/>
      <c r="H55"/>
      <c r="I55"/>
      <c r="J55"/>
    </row>
    <row r="56" spans="4:10" ht="15">
      <c r="D56"/>
      <c r="E56"/>
      <c r="F56"/>
      <c r="G56"/>
      <c r="H56"/>
      <c r="I56"/>
      <c r="J56"/>
    </row>
    <row r="57" spans="4:10" ht="15">
      <c r="D57"/>
      <c r="E57"/>
      <c r="F57"/>
      <c r="G57"/>
      <c r="H57"/>
      <c r="I57"/>
      <c r="J57"/>
    </row>
    <row r="58" spans="4:10" ht="15">
      <c r="D58"/>
      <c r="E58"/>
      <c r="F58"/>
      <c r="G58"/>
      <c r="H58"/>
      <c r="I58"/>
      <c r="J58"/>
    </row>
    <row r="59" spans="4:10" ht="15">
      <c r="D59"/>
      <c r="E59"/>
      <c r="F59"/>
      <c r="G59"/>
      <c r="H59"/>
      <c r="I59"/>
      <c r="J59"/>
    </row>
    <row r="60" spans="4:10" ht="15">
      <c r="D60"/>
      <c r="E60"/>
      <c r="F60"/>
      <c r="G60"/>
      <c r="H60"/>
      <c r="I60"/>
      <c r="J60"/>
    </row>
    <row r="61" spans="4:10" ht="15">
      <c r="D61"/>
      <c r="E61"/>
      <c r="F61"/>
      <c r="G61"/>
      <c r="H61"/>
      <c r="I61"/>
      <c r="J61"/>
    </row>
    <row r="62" spans="4:10" ht="15">
      <c r="D62"/>
      <c r="E62"/>
      <c r="F62"/>
      <c r="G62"/>
      <c r="H62"/>
      <c r="I62"/>
      <c r="J62"/>
    </row>
    <row r="63" spans="4:10" ht="15">
      <c r="D63"/>
      <c r="E63"/>
      <c r="F63"/>
      <c r="G63"/>
      <c r="H63"/>
      <c r="I63"/>
      <c r="J63"/>
    </row>
    <row r="64" spans="4:10" ht="15">
      <c r="D64"/>
      <c r="E64"/>
      <c r="F64"/>
      <c r="G64"/>
      <c r="H64"/>
      <c r="I64"/>
      <c r="J64"/>
    </row>
    <row r="65" spans="4:10" ht="15">
      <c r="D65"/>
      <c r="E65"/>
      <c r="F65"/>
      <c r="G65"/>
      <c r="H65"/>
      <c r="I65"/>
      <c r="J65"/>
    </row>
    <row r="66" spans="4:10" ht="15">
      <c r="D66"/>
      <c r="E66"/>
      <c r="F66"/>
      <c r="G66"/>
      <c r="H66"/>
      <c r="I66"/>
      <c r="J66"/>
    </row>
    <row r="67" spans="4:10" ht="15">
      <c r="D67"/>
      <c r="E67"/>
      <c r="F67"/>
      <c r="G67"/>
      <c r="H67"/>
      <c r="I67"/>
      <c r="J67"/>
    </row>
    <row r="68" spans="4:10" ht="15">
      <c r="D68"/>
      <c r="E68"/>
      <c r="F68"/>
      <c r="G68"/>
      <c r="H68"/>
      <c r="I68"/>
      <c r="J68"/>
    </row>
    <row r="69" spans="4:10" ht="15">
      <c r="D69"/>
      <c r="E69"/>
      <c r="F69"/>
      <c r="G69"/>
      <c r="H69"/>
      <c r="I69"/>
      <c r="J69"/>
    </row>
    <row r="70" spans="4:10" ht="15">
      <c r="D70"/>
      <c r="E70"/>
      <c r="F70"/>
      <c r="G70"/>
      <c r="H70"/>
      <c r="I70"/>
      <c r="J70"/>
    </row>
    <row r="71" spans="4:10" ht="15">
      <c r="D71"/>
      <c r="E71"/>
      <c r="F71"/>
      <c r="G71"/>
      <c r="H71"/>
      <c r="I71"/>
      <c r="J71"/>
    </row>
    <row r="72" spans="4:10" ht="15">
      <c r="D72"/>
      <c r="E72"/>
      <c r="F72"/>
      <c r="G72"/>
      <c r="H72"/>
      <c r="I72"/>
      <c r="J72"/>
    </row>
    <row r="73" spans="4:10" ht="15">
      <c r="D73"/>
      <c r="E73"/>
      <c r="F73"/>
      <c r="G73"/>
      <c r="H73"/>
      <c r="I73"/>
      <c r="J73"/>
    </row>
    <row r="74" spans="4:10" ht="15">
      <c r="D74"/>
      <c r="E74"/>
      <c r="F74"/>
      <c r="G74"/>
      <c r="H74"/>
      <c r="I74"/>
      <c r="J74"/>
    </row>
    <row r="75" spans="4:10" ht="15">
      <c r="D75"/>
      <c r="E75"/>
      <c r="F75"/>
      <c r="G75"/>
      <c r="H75"/>
      <c r="I75"/>
      <c r="J75"/>
    </row>
    <row r="76" spans="4:10" ht="15">
      <c r="D76"/>
      <c r="E76"/>
      <c r="F76"/>
      <c r="G76"/>
      <c r="H76"/>
      <c r="I76"/>
      <c r="J76"/>
    </row>
    <row r="77" spans="4:10" ht="15">
      <c r="D77"/>
      <c r="E77"/>
      <c r="F77"/>
      <c r="G77"/>
      <c r="H77"/>
      <c r="I77"/>
      <c r="J77"/>
    </row>
    <row r="78" spans="4:10" ht="15">
      <c r="D78"/>
      <c r="E78"/>
      <c r="F78"/>
      <c r="G78"/>
      <c r="H78"/>
      <c r="I78"/>
      <c r="J78"/>
    </row>
    <row r="79" spans="4:10" ht="15">
      <c r="D79"/>
      <c r="E79"/>
      <c r="F79"/>
      <c r="G79"/>
      <c r="H79"/>
      <c r="I79"/>
      <c r="J79"/>
    </row>
    <row r="80" spans="4:10" ht="15">
      <c r="D80"/>
      <c r="E80"/>
      <c r="F80"/>
      <c r="G80"/>
      <c r="H80"/>
      <c r="I80"/>
      <c r="J80"/>
    </row>
    <row r="81" spans="4:10" ht="15">
      <c r="D81"/>
      <c r="E81"/>
      <c r="F81"/>
      <c r="G81"/>
      <c r="H81"/>
      <c r="I81"/>
      <c r="J81"/>
    </row>
    <row r="82" spans="4:10" ht="15">
      <c r="D82"/>
      <c r="E82"/>
      <c r="F82"/>
      <c r="G82"/>
      <c r="H82"/>
      <c r="I82"/>
      <c r="J82"/>
    </row>
    <row r="83" spans="4:10" ht="15">
      <c r="D83"/>
      <c r="E83"/>
      <c r="F83"/>
      <c r="G83"/>
      <c r="H83"/>
      <c r="I83"/>
      <c r="J83"/>
    </row>
    <row r="84" spans="4:10" ht="15">
      <c r="D84"/>
      <c r="E84"/>
      <c r="F84"/>
      <c r="G84"/>
      <c r="H84"/>
      <c r="I84"/>
      <c r="J84"/>
    </row>
    <row r="85" spans="4:10" ht="15">
      <c r="D85"/>
      <c r="E85"/>
      <c r="F85"/>
      <c r="G85"/>
      <c r="H85"/>
      <c r="I85"/>
      <c r="J85"/>
    </row>
    <row r="86" spans="4:10" ht="15">
      <c r="D86"/>
      <c r="E86"/>
      <c r="F86"/>
      <c r="G86"/>
      <c r="H86"/>
      <c r="I86"/>
      <c r="J86"/>
    </row>
    <row r="87" spans="4:10" ht="15">
      <c r="D87"/>
      <c r="E87"/>
      <c r="F87"/>
      <c r="G87"/>
      <c r="H87"/>
      <c r="I87"/>
      <c r="J87"/>
    </row>
    <row r="88" spans="4:10" ht="15">
      <c r="D88"/>
      <c r="E88"/>
      <c r="F88"/>
      <c r="G88"/>
      <c r="H88"/>
      <c r="I88"/>
      <c r="J88"/>
    </row>
    <row r="89" spans="4:10" ht="15">
      <c r="D89"/>
      <c r="E89"/>
      <c r="F89"/>
      <c r="G89"/>
      <c r="H89"/>
      <c r="I89"/>
      <c r="J89"/>
    </row>
    <row r="90" spans="4:10" ht="15">
      <c r="D90"/>
      <c r="E90"/>
      <c r="F90"/>
      <c r="G90"/>
      <c r="H90"/>
      <c r="I90"/>
      <c r="J90"/>
    </row>
    <row r="91" spans="4:10" ht="15">
      <c r="D91"/>
      <c r="E91"/>
      <c r="F91"/>
      <c r="G91"/>
      <c r="H91"/>
      <c r="I91"/>
      <c r="J91"/>
    </row>
    <row r="92" spans="4:10" ht="15">
      <c r="D92"/>
      <c r="E92"/>
      <c r="F92"/>
      <c r="G92"/>
      <c r="H92"/>
      <c r="I92"/>
      <c r="J92"/>
    </row>
    <row r="93" spans="4:10" ht="15">
      <c r="D93"/>
      <c r="E93"/>
      <c r="F93"/>
      <c r="G93"/>
      <c r="H93"/>
      <c r="I93"/>
      <c r="J93"/>
    </row>
    <row r="94" spans="4:10" ht="15">
      <c r="D94"/>
      <c r="E94"/>
      <c r="F94"/>
      <c r="G94"/>
      <c r="H94"/>
      <c r="I94"/>
      <c r="J94"/>
    </row>
    <row r="95" spans="4:10" ht="15">
      <c r="D95"/>
      <c r="E95"/>
      <c r="F95"/>
      <c r="G95"/>
      <c r="H95"/>
      <c r="I95"/>
      <c r="J95"/>
    </row>
    <row r="96" spans="4:10" ht="15">
      <c r="D96"/>
      <c r="E96"/>
      <c r="F96"/>
      <c r="G96"/>
      <c r="H96"/>
      <c r="I96"/>
      <c r="J96"/>
    </row>
    <row r="97" spans="4:10" ht="15">
      <c r="D97"/>
      <c r="E97"/>
      <c r="F97"/>
      <c r="G97"/>
      <c r="H97"/>
      <c r="I97"/>
      <c r="J97"/>
    </row>
    <row r="98" spans="4:10" ht="15">
      <c r="D98"/>
      <c r="E98"/>
      <c r="F98"/>
      <c r="G98"/>
      <c r="H98"/>
      <c r="I98"/>
      <c r="J98"/>
    </row>
    <row r="99" spans="4:10" ht="15">
      <c r="D99"/>
      <c r="E99"/>
      <c r="F99"/>
      <c r="G99"/>
      <c r="H99"/>
      <c r="I99"/>
      <c r="J99"/>
    </row>
    <row r="100" spans="4:10" ht="15">
      <c r="D100"/>
      <c r="E100"/>
      <c r="F100"/>
      <c r="G100"/>
      <c r="H100"/>
      <c r="I100"/>
      <c r="J100"/>
    </row>
    <row r="101" spans="4:10" ht="15">
      <c r="D101"/>
      <c r="E101"/>
      <c r="F101"/>
      <c r="G101"/>
      <c r="H101"/>
      <c r="I101"/>
      <c r="J101"/>
    </row>
    <row r="102" spans="4:10" ht="15">
      <c r="D102"/>
      <c r="E102"/>
      <c r="F102"/>
      <c r="G102"/>
      <c r="H102"/>
      <c r="I102"/>
      <c r="J102"/>
    </row>
    <row r="103" spans="4:10" ht="15">
      <c r="D103"/>
      <c r="E103"/>
      <c r="F103"/>
      <c r="G103"/>
      <c r="H103"/>
      <c r="I103"/>
      <c r="J103"/>
    </row>
    <row r="104" spans="4:10" ht="15">
      <c r="D104"/>
      <c r="E104"/>
      <c r="F104"/>
      <c r="G104"/>
      <c r="H104"/>
      <c r="I104"/>
      <c r="J104"/>
    </row>
    <row r="105" spans="4:10" ht="15">
      <c r="D105"/>
      <c r="E105"/>
      <c r="F105"/>
      <c r="G105"/>
      <c r="H105"/>
      <c r="I105"/>
      <c r="J105"/>
    </row>
    <row r="106" spans="4:10" ht="15">
      <c r="D106"/>
      <c r="E106"/>
      <c r="F106"/>
      <c r="G106"/>
      <c r="H106"/>
      <c r="I106"/>
      <c r="J106"/>
    </row>
    <row r="107" spans="4:10" ht="15">
      <c r="D107"/>
      <c r="E107"/>
      <c r="F107"/>
      <c r="G107"/>
      <c r="H107"/>
      <c r="I107"/>
      <c r="J107"/>
    </row>
    <row r="108" spans="4:10" ht="15">
      <c r="D108"/>
      <c r="E108"/>
      <c r="F108"/>
      <c r="G108"/>
      <c r="H108"/>
      <c r="I108"/>
      <c r="J108"/>
    </row>
    <row r="109" spans="4:10" ht="15">
      <c r="D109"/>
      <c r="E109"/>
      <c r="F109"/>
      <c r="G109"/>
      <c r="H109"/>
      <c r="I109"/>
      <c r="J109"/>
    </row>
    <row r="110" spans="4:10" ht="15">
      <c r="D110"/>
      <c r="E110"/>
      <c r="F110"/>
      <c r="G110"/>
      <c r="H110"/>
      <c r="I110"/>
      <c r="J110"/>
    </row>
    <row r="111" spans="4:10" ht="15">
      <c r="D111"/>
      <c r="E111"/>
      <c r="F111"/>
      <c r="G111"/>
      <c r="H111"/>
      <c r="I111"/>
      <c r="J111"/>
    </row>
    <row r="112" spans="4:10" ht="15">
      <c r="D112"/>
      <c r="E112"/>
      <c r="F112"/>
      <c r="G112"/>
      <c r="H112"/>
      <c r="I112"/>
      <c r="J112"/>
    </row>
    <row r="113" spans="4:10" ht="15">
      <c r="D113"/>
      <c r="E113"/>
      <c r="F113"/>
      <c r="G113"/>
      <c r="H113"/>
      <c r="I113"/>
      <c r="J113"/>
    </row>
    <row r="114" spans="4:10" ht="15">
      <c r="D114"/>
      <c r="E114"/>
      <c r="F114"/>
      <c r="G114"/>
      <c r="H114"/>
      <c r="I114"/>
      <c r="J114"/>
    </row>
    <row r="115" spans="4:10" ht="15">
      <c r="D115"/>
      <c r="E115"/>
      <c r="F115"/>
      <c r="G115"/>
      <c r="H115"/>
      <c r="I115"/>
      <c r="J115"/>
    </row>
    <row r="116" spans="4:10" ht="15">
      <c r="D116"/>
      <c r="E116"/>
      <c r="F116"/>
      <c r="G116"/>
      <c r="H116"/>
      <c r="I116"/>
      <c r="J116"/>
    </row>
    <row r="117" spans="4:10" ht="15">
      <c r="D117"/>
      <c r="E117"/>
      <c r="F117"/>
      <c r="G117"/>
      <c r="H117"/>
      <c r="I117"/>
      <c r="J117"/>
    </row>
    <row r="118" spans="4:10" ht="15">
      <c r="D118"/>
      <c r="E118"/>
      <c r="F118"/>
      <c r="G118"/>
      <c r="H118"/>
      <c r="I118"/>
      <c r="J118"/>
    </row>
    <row r="119" spans="4:10" ht="15">
      <c r="D119"/>
      <c r="E119"/>
      <c r="F119"/>
      <c r="G119"/>
      <c r="H119"/>
      <c r="I119"/>
      <c r="J119"/>
    </row>
    <row r="120" spans="4:10" ht="15">
      <c r="D120"/>
      <c r="E120"/>
      <c r="F120"/>
      <c r="G120"/>
      <c r="H120"/>
      <c r="I120"/>
      <c r="J120"/>
    </row>
    <row r="121" spans="4:10" ht="15">
      <c r="D121"/>
      <c r="E121"/>
      <c r="F121"/>
      <c r="G121"/>
      <c r="H121"/>
      <c r="I121"/>
      <c r="J121"/>
    </row>
    <row r="122" spans="4:10" ht="15">
      <c r="D122"/>
      <c r="E122"/>
      <c r="F122"/>
      <c r="G122"/>
      <c r="H122"/>
      <c r="I122"/>
      <c r="J122"/>
    </row>
    <row r="123" spans="4:10" ht="15">
      <c r="D123"/>
      <c r="E123"/>
      <c r="F123"/>
      <c r="G123"/>
      <c r="H123"/>
      <c r="I123"/>
      <c r="J123"/>
    </row>
    <row r="124" spans="4:10" ht="15">
      <c r="D124"/>
      <c r="E124"/>
      <c r="F124"/>
      <c r="G124"/>
      <c r="H124"/>
      <c r="I124"/>
      <c r="J124"/>
    </row>
    <row r="125" spans="4:10" ht="15">
      <c r="D125"/>
      <c r="E125"/>
      <c r="F125"/>
      <c r="G125"/>
      <c r="H125"/>
      <c r="I125"/>
      <c r="J125"/>
    </row>
    <row r="126" spans="4:10" ht="15">
      <c r="D126"/>
      <c r="E126"/>
      <c r="F126"/>
      <c r="G126"/>
      <c r="H126"/>
      <c r="I126"/>
      <c r="J126"/>
    </row>
    <row r="127" spans="4:10" ht="15">
      <c r="D127"/>
      <c r="E127"/>
      <c r="F127"/>
      <c r="G127"/>
      <c r="H127"/>
      <c r="I127"/>
      <c r="J127"/>
    </row>
    <row r="128" spans="4:10" ht="15">
      <c r="D128"/>
      <c r="E128"/>
      <c r="F128"/>
      <c r="G128"/>
      <c r="H128"/>
      <c r="I128"/>
      <c r="J128"/>
    </row>
    <row r="129" spans="4:10" ht="15">
      <c r="D129"/>
      <c r="E129"/>
      <c r="F129"/>
      <c r="G129"/>
      <c r="H129"/>
      <c r="I129"/>
      <c r="J129"/>
    </row>
    <row r="130" spans="4:10" ht="15">
      <c r="D130"/>
      <c r="E130"/>
      <c r="F130"/>
      <c r="G130"/>
      <c r="H130"/>
      <c r="I130"/>
      <c r="J130"/>
    </row>
    <row r="131" spans="4:10" ht="15">
      <c r="D131"/>
      <c r="E131"/>
      <c r="F131"/>
      <c r="G131"/>
      <c r="H131"/>
      <c r="I131"/>
      <c r="J131"/>
    </row>
    <row r="132" spans="4:10" ht="15">
      <c r="D132"/>
      <c r="E132"/>
      <c r="F132"/>
      <c r="G132"/>
      <c r="H132"/>
      <c r="I132"/>
      <c r="J132"/>
    </row>
    <row r="133" spans="4:10" ht="15">
      <c r="D133"/>
      <c r="E133"/>
      <c r="F133"/>
      <c r="G133"/>
      <c r="H133"/>
      <c r="I133"/>
      <c r="J133"/>
    </row>
    <row r="134" spans="4:10" ht="15">
      <c r="D134"/>
      <c r="E134"/>
      <c r="F134"/>
      <c r="G134"/>
      <c r="H134"/>
      <c r="I134"/>
      <c r="J134"/>
    </row>
    <row r="135" spans="4:10" ht="15">
      <c r="D135"/>
      <c r="E135"/>
      <c r="F135"/>
      <c r="G135"/>
      <c r="H135"/>
      <c r="I135"/>
      <c r="J135"/>
    </row>
    <row r="136" spans="4:10" ht="15">
      <c r="D136"/>
      <c r="E136"/>
      <c r="F136"/>
      <c r="G136"/>
      <c r="H136"/>
      <c r="I136"/>
      <c r="J136"/>
    </row>
    <row r="137" spans="4:10" ht="15">
      <c r="D137"/>
      <c r="E137"/>
      <c r="F137"/>
      <c r="G137"/>
      <c r="H137"/>
      <c r="I137"/>
      <c r="J137"/>
    </row>
    <row r="138" spans="4:10" ht="15">
      <c r="D138"/>
      <c r="E138"/>
      <c r="F138"/>
      <c r="G138"/>
      <c r="H138"/>
      <c r="I138"/>
      <c r="J138"/>
    </row>
    <row r="139" spans="4:10" ht="15">
      <c r="D139"/>
      <c r="E139"/>
      <c r="F139"/>
      <c r="G139"/>
      <c r="H139"/>
      <c r="I139"/>
      <c r="J139"/>
    </row>
    <row r="140" spans="4:10" ht="15">
      <c r="D140"/>
      <c r="E140"/>
      <c r="F140"/>
      <c r="G140"/>
      <c r="H140"/>
      <c r="I140"/>
      <c r="J140"/>
    </row>
    <row r="141" spans="4:10" ht="15">
      <c r="D141"/>
      <c r="E141"/>
      <c r="F141"/>
      <c r="G141"/>
      <c r="H141"/>
      <c r="I141"/>
      <c r="J141"/>
    </row>
    <row r="142" spans="4:10" ht="15">
      <c r="D142"/>
      <c r="E142"/>
      <c r="F142"/>
      <c r="G142"/>
      <c r="H142"/>
      <c r="I142"/>
      <c r="J142"/>
    </row>
    <row r="143" spans="4:10" ht="15">
      <c r="D143"/>
      <c r="E143"/>
      <c r="F143"/>
      <c r="G143"/>
      <c r="H143"/>
      <c r="I143"/>
      <c r="J143"/>
    </row>
    <row r="144" spans="4:10" ht="15">
      <c r="D144"/>
      <c r="E144"/>
      <c r="F144"/>
      <c r="G144"/>
      <c r="H144"/>
      <c r="I144"/>
      <c r="J144"/>
    </row>
    <row r="145" spans="4:10" ht="15">
      <c r="D145"/>
      <c r="E145"/>
      <c r="F145"/>
      <c r="G145"/>
      <c r="H145"/>
      <c r="I145"/>
      <c r="J145"/>
    </row>
    <row r="146" spans="4:10" ht="15">
      <c r="D146"/>
      <c r="E146"/>
      <c r="F146"/>
      <c r="G146"/>
      <c r="H146"/>
      <c r="I146"/>
      <c r="J146"/>
    </row>
    <row r="147" spans="4:10" ht="15">
      <c r="D147"/>
      <c r="E147"/>
      <c r="F147"/>
      <c r="G147"/>
      <c r="H147"/>
      <c r="I147"/>
      <c r="J147"/>
    </row>
    <row r="148" spans="4:10" ht="15">
      <c r="D148"/>
      <c r="E148"/>
      <c r="F148"/>
      <c r="G148"/>
      <c r="H148"/>
      <c r="I148"/>
      <c r="J148"/>
    </row>
    <row r="149" spans="4:10" ht="15">
      <c r="D149"/>
      <c r="E149"/>
      <c r="F149"/>
      <c r="G149"/>
      <c r="H149"/>
      <c r="I149"/>
      <c r="J149"/>
    </row>
    <row r="150" spans="4:10" ht="15">
      <c r="D150"/>
      <c r="E150"/>
      <c r="F150"/>
      <c r="G150"/>
      <c r="H150"/>
      <c r="I150"/>
      <c r="J150"/>
    </row>
    <row r="151" spans="4:10" ht="15">
      <c r="D151"/>
      <c r="E151"/>
      <c r="F151"/>
      <c r="G151"/>
      <c r="H151"/>
      <c r="I151"/>
      <c r="J151"/>
    </row>
    <row r="152" spans="4:10" ht="15">
      <c r="D152"/>
      <c r="E152"/>
      <c r="F152"/>
      <c r="G152"/>
      <c r="H152"/>
      <c r="I152"/>
      <c r="J152"/>
    </row>
    <row r="153" spans="4:10" ht="15">
      <c r="D153"/>
      <c r="E153"/>
      <c r="F153"/>
      <c r="G153"/>
      <c r="H153"/>
      <c r="I153"/>
      <c r="J153"/>
    </row>
    <row r="154" spans="4:10" ht="15">
      <c r="D154"/>
      <c r="E154"/>
      <c r="F154"/>
      <c r="G154"/>
      <c r="H154"/>
      <c r="I154"/>
      <c r="J154"/>
    </row>
    <row r="155" spans="4:10" ht="15">
      <c r="D155"/>
      <c r="E155"/>
      <c r="F155"/>
      <c r="G155"/>
      <c r="H155"/>
      <c r="I155"/>
      <c r="J155"/>
    </row>
    <row r="156" spans="4:10" ht="15">
      <c r="D156"/>
      <c r="E156"/>
      <c r="F156"/>
      <c r="G156"/>
      <c r="H156"/>
      <c r="I156"/>
      <c r="J156"/>
    </row>
    <row r="157" spans="4:10" ht="15">
      <c r="D157"/>
      <c r="E157"/>
      <c r="F157"/>
      <c r="G157"/>
      <c r="H157"/>
      <c r="I157"/>
      <c r="J157"/>
    </row>
    <row r="158" spans="4:10" ht="15">
      <c r="D158"/>
      <c r="E158"/>
      <c r="F158"/>
      <c r="G158"/>
      <c r="H158"/>
      <c r="I158"/>
      <c r="J158"/>
    </row>
    <row r="159" spans="4:10" ht="15">
      <c r="D159"/>
      <c r="E159"/>
      <c r="F159"/>
      <c r="G159"/>
      <c r="H159"/>
      <c r="I159"/>
      <c r="J159"/>
    </row>
    <row r="160" spans="4:10" ht="15">
      <c r="D160"/>
      <c r="E160"/>
      <c r="F160"/>
      <c r="G160"/>
      <c r="H160"/>
      <c r="I160"/>
      <c r="J160"/>
    </row>
    <row r="161" spans="4:10" ht="15">
      <c r="D161"/>
      <c r="E161"/>
      <c r="F161"/>
      <c r="G161"/>
      <c r="H161"/>
      <c r="I161"/>
      <c r="J161"/>
    </row>
    <row r="162" spans="4:10" ht="15">
      <c r="D162"/>
      <c r="E162"/>
      <c r="F162"/>
      <c r="G162"/>
      <c r="H162"/>
      <c r="I162"/>
      <c r="J162"/>
    </row>
    <row r="163" spans="4:10" ht="15">
      <c r="D163"/>
      <c r="E163"/>
      <c r="F163"/>
      <c r="G163"/>
      <c r="H163"/>
      <c r="I163"/>
      <c r="J163"/>
    </row>
    <row r="164" spans="4:10" ht="15">
      <c r="D164"/>
      <c r="E164"/>
      <c r="F164"/>
      <c r="G164"/>
      <c r="H164"/>
      <c r="I164"/>
      <c r="J164"/>
    </row>
    <row r="165" spans="4:10" ht="15">
      <c r="D165"/>
      <c r="E165"/>
      <c r="F165"/>
      <c r="G165"/>
      <c r="H165"/>
      <c r="I165"/>
      <c r="J165"/>
    </row>
    <row r="166" spans="4:10" ht="15">
      <c r="D166"/>
      <c r="E166"/>
      <c r="F166"/>
      <c r="G166"/>
      <c r="H166"/>
      <c r="I166"/>
      <c r="J166"/>
    </row>
    <row r="167" spans="4:10" ht="15">
      <c r="D167"/>
      <c r="E167"/>
      <c r="F167"/>
      <c r="G167"/>
      <c r="H167"/>
      <c r="I167"/>
      <c r="J167"/>
    </row>
    <row r="168" spans="4:10" ht="15">
      <c r="D168"/>
      <c r="E168"/>
      <c r="F168"/>
      <c r="G168"/>
      <c r="H168"/>
      <c r="I168"/>
      <c r="J168"/>
    </row>
    <row r="169" spans="4:10" ht="15">
      <c r="D169"/>
      <c r="E169"/>
      <c r="F169"/>
      <c r="G169"/>
      <c r="H169"/>
      <c r="I169"/>
      <c r="J169"/>
    </row>
    <row r="170" spans="4:10" ht="15">
      <c r="D170"/>
      <c r="E170"/>
      <c r="F170"/>
      <c r="G170"/>
      <c r="H170"/>
      <c r="I170"/>
      <c r="J170"/>
    </row>
    <row r="171" spans="4:10" ht="15">
      <c r="D171"/>
      <c r="E171"/>
      <c r="F171"/>
      <c r="G171"/>
      <c r="H171"/>
      <c r="I171"/>
      <c r="J171"/>
    </row>
    <row r="172" spans="4:10" ht="15">
      <c r="D172"/>
      <c r="E172"/>
      <c r="F172"/>
      <c r="G172"/>
      <c r="H172"/>
      <c r="I172"/>
      <c r="J172"/>
    </row>
    <row r="173" spans="4:10" ht="15">
      <c r="D173"/>
      <c r="E173"/>
      <c r="F173"/>
      <c r="G173"/>
      <c r="H173"/>
      <c r="I173"/>
      <c r="J173"/>
    </row>
    <row r="174" spans="4:10" ht="15">
      <c r="D174"/>
      <c r="E174"/>
      <c r="F174"/>
      <c r="G174"/>
      <c r="H174"/>
      <c r="I174"/>
      <c r="J174"/>
    </row>
    <row r="175" spans="4:10" ht="15">
      <c r="D175"/>
      <c r="E175"/>
      <c r="F175"/>
      <c r="G175"/>
      <c r="H175"/>
      <c r="I175"/>
      <c r="J175"/>
    </row>
    <row r="176" spans="4:10" ht="15">
      <c r="D176"/>
      <c r="E176"/>
      <c r="F176"/>
      <c r="G176"/>
      <c r="H176"/>
      <c r="I176"/>
      <c r="J176"/>
    </row>
    <row r="177" spans="4:10" ht="15">
      <c r="D177"/>
      <c r="E177"/>
      <c r="F177"/>
      <c r="G177"/>
      <c r="H177"/>
      <c r="I177"/>
      <c r="J177"/>
    </row>
    <row r="178" spans="4:10" ht="15">
      <c r="D178"/>
      <c r="E178"/>
      <c r="F178"/>
      <c r="G178"/>
      <c r="H178"/>
      <c r="I178"/>
      <c r="J178"/>
    </row>
    <row r="179" spans="4:10" ht="15">
      <c r="D179"/>
      <c r="E179"/>
      <c r="F179"/>
      <c r="G179"/>
      <c r="H179"/>
      <c r="I179"/>
      <c r="J179"/>
    </row>
    <row r="180" spans="4:10" ht="15">
      <c r="D180"/>
      <c r="E180"/>
      <c r="F180"/>
      <c r="G180"/>
      <c r="H180"/>
      <c r="I180"/>
      <c r="J180"/>
    </row>
    <row r="181" spans="4:10" ht="15">
      <c r="D181"/>
      <c r="E181"/>
      <c r="F181"/>
      <c r="G181"/>
      <c r="H181"/>
      <c r="I181"/>
      <c r="J181"/>
    </row>
    <row r="182" spans="4:10" ht="15">
      <c r="D182"/>
      <c r="E182"/>
      <c r="F182"/>
      <c r="G182"/>
      <c r="H182"/>
      <c r="I182"/>
      <c r="J182"/>
    </row>
    <row r="183" spans="4:10" ht="15">
      <c r="D183"/>
      <c r="E183"/>
      <c r="F183"/>
      <c r="G183"/>
      <c r="H183"/>
      <c r="I183"/>
      <c r="J183"/>
    </row>
    <row r="184" spans="4:10" ht="15">
      <c r="D184"/>
      <c r="E184"/>
      <c r="F184"/>
      <c r="G184"/>
      <c r="H184"/>
      <c r="I184"/>
      <c r="J184"/>
    </row>
    <row r="185" spans="4:10" ht="15">
      <c r="D185"/>
      <c r="E185"/>
      <c r="F185"/>
      <c r="G185"/>
      <c r="H185"/>
      <c r="I185"/>
      <c r="J185"/>
    </row>
    <row r="186" spans="4:10" ht="15">
      <c r="D186"/>
      <c r="E186"/>
      <c r="F186"/>
      <c r="G186"/>
      <c r="H186"/>
      <c r="I186"/>
      <c r="J186"/>
    </row>
    <row r="187" spans="4:10" ht="15">
      <c r="D187"/>
      <c r="E187"/>
      <c r="F187"/>
      <c r="G187"/>
      <c r="H187"/>
      <c r="I187"/>
      <c r="J187"/>
    </row>
    <row r="188" spans="4:10" ht="15">
      <c r="D188"/>
      <c r="E188"/>
      <c r="F188"/>
      <c r="G188"/>
      <c r="H188"/>
      <c r="I188"/>
      <c r="J188"/>
    </row>
    <row r="189" spans="4:10" ht="15">
      <c r="D189"/>
      <c r="E189"/>
      <c r="F189"/>
      <c r="G189"/>
      <c r="H189"/>
      <c r="I189"/>
      <c r="J189"/>
    </row>
    <row r="190" spans="4:10" ht="15">
      <c r="D190"/>
      <c r="E190"/>
      <c r="F190"/>
      <c r="G190"/>
      <c r="H190"/>
      <c r="I190"/>
      <c r="J190"/>
    </row>
    <row r="191" spans="4:10" ht="15">
      <c r="D191"/>
      <c r="E191"/>
      <c r="F191"/>
      <c r="G191"/>
      <c r="H191"/>
      <c r="I191"/>
      <c r="J191"/>
    </row>
    <row r="192" spans="4:10" ht="15">
      <c r="D192"/>
      <c r="E192"/>
      <c r="F192"/>
      <c r="G192"/>
      <c r="H192"/>
      <c r="I192"/>
      <c r="J192"/>
    </row>
    <row r="193" spans="4:10" ht="15">
      <c r="D193"/>
      <c r="E193"/>
      <c r="F193"/>
      <c r="G193"/>
      <c r="H193"/>
      <c r="I193"/>
      <c r="J193"/>
    </row>
    <row r="194" spans="4:10" ht="15">
      <c r="D194"/>
      <c r="E194"/>
      <c r="F194"/>
      <c r="G194"/>
      <c r="H194"/>
      <c r="I194"/>
      <c r="J194"/>
    </row>
    <row r="195" spans="4:10" ht="15">
      <c r="D195"/>
      <c r="E195"/>
      <c r="F195"/>
      <c r="G195"/>
      <c r="H195"/>
      <c r="I195"/>
      <c r="J195"/>
    </row>
    <row r="196" spans="4:10" ht="15">
      <c r="D196"/>
      <c r="E196"/>
      <c r="F196"/>
      <c r="G196"/>
      <c r="H196"/>
      <c r="I196"/>
      <c r="J196"/>
    </row>
    <row r="197" spans="4:10" ht="15">
      <c r="D197"/>
      <c r="E197"/>
      <c r="F197"/>
      <c r="G197"/>
      <c r="H197"/>
      <c r="I197"/>
      <c r="J197"/>
    </row>
    <row r="198" spans="4:10" ht="15">
      <c r="D198"/>
      <c r="E198"/>
      <c r="F198"/>
      <c r="G198"/>
      <c r="H198"/>
      <c r="I198"/>
      <c r="J198"/>
    </row>
    <row r="199" spans="4:10" ht="15">
      <c r="D199"/>
      <c r="E199"/>
      <c r="F199"/>
      <c r="G199"/>
      <c r="H199"/>
      <c r="I199"/>
      <c r="J199"/>
    </row>
    <row r="200" spans="4:10" ht="15">
      <c r="D200"/>
      <c r="E200"/>
      <c r="F200"/>
      <c r="G200"/>
      <c r="H200"/>
      <c r="I200"/>
      <c r="J200"/>
    </row>
    <row r="201" spans="4:10" ht="15">
      <c r="D201"/>
      <c r="E201"/>
      <c r="F201"/>
      <c r="G201"/>
      <c r="H201"/>
      <c r="I201"/>
      <c r="J201"/>
    </row>
    <row r="202" spans="4:10" ht="15">
      <c r="D202"/>
      <c r="E202"/>
      <c r="F202"/>
      <c r="G202"/>
      <c r="H202"/>
      <c r="I202"/>
      <c r="J202"/>
    </row>
    <row r="203" spans="4:10" ht="15">
      <c r="D203"/>
      <c r="E203"/>
      <c r="F203"/>
      <c r="G203"/>
      <c r="H203"/>
      <c r="I203"/>
      <c r="J203"/>
    </row>
    <row r="204" spans="4:10" ht="15">
      <c r="D204"/>
      <c r="E204"/>
      <c r="F204"/>
      <c r="G204"/>
      <c r="H204"/>
      <c r="I204"/>
      <c r="J204"/>
    </row>
    <row r="205" spans="4:10" ht="15">
      <c r="D205"/>
      <c r="E205"/>
      <c r="F205"/>
      <c r="G205"/>
      <c r="H205"/>
      <c r="I205"/>
      <c r="J205"/>
    </row>
    <row r="206" spans="4:10" ht="15">
      <c r="D206"/>
      <c r="E206"/>
      <c r="F206"/>
      <c r="G206"/>
      <c r="H206"/>
      <c r="I206"/>
      <c r="J206"/>
    </row>
    <row r="207" spans="4:10" ht="15">
      <c r="D207"/>
      <c r="E207"/>
      <c r="F207"/>
      <c r="G207"/>
      <c r="H207"/>
      <c r="I207"/>
      <c r="J207"/>
    </row>
    <row r="208" spans="4:10" ht="15">
      <c r="D208"/>
      <c r="E208"/>
      <c r="F208"/>
      <c r="G208"/>
      <c r="H208"/>
      <c r="I208"/>
      <c r="J208"/>
    </row>
    <row r="209" spans="4:10" ht="15">
      <c r="D209"/>
      <c r="E209"/>
      <c r="F209"/>
      <c r="G209"/>
      <c r="H209"/>
      <c r="I209"/>
      <c r="J209"/>
    </row>
    <row r="210" spans="4:10" ht="15">
      <c r="D210"/>
      <c r="E210"/>
      <c r="F210"/>
      <c r="G210"/>
      <c r="H210"/>
      <c r="I210"/>
      <c r="J210"/>
    </row>
    <row r="211" spans="4:10" ht="15">
      <c r="D211"/>
      <c r="E211"/>
      <c r="F211"/>
      <c r="G211"/>
      <c r="H211"/>
      <c r="I211"/>
      <c r="J211"/>
    </row>
    <row r="212" spans="4:10" ht="15">
      <c r="D212"/>
      <c r="E212"/>
      <c r="F212"/>
      <c r="G212"/>
      <c r="H212"/>
      <c r="I212"/>
      <c r="J212"/>
    </row>
    <row r="213" spans="4:10" ht="15">
      <c r="D213"/>
      <c r="E213"/>
      <c r="F213"/>
      <c r="G213"/>
      <c r="H213"/>
      <c r="I213"/>
      <c r="J213"/>
    </row>
    <row r="214" spans="4:10" ht="15">
      <c r="D214"/>
      <c r="E214"/>
      <c r="F214"/>
      <c r="G214"/>
      <c r="H214"/>
      <c r="I214"/>
      <c r="J214"/>
    </row>
    <row r="215" spans="4:10" ht="15">
      <c r="D215"/>
      <c r="E215"/>
      <c r="F215"/>
      <c r="G215"/>
      <c r="H215"/>
      <c r="I215"/>
      <c r="J215"/>
    </row>
    <row r="216" spans="4:10" ht="15">
      <c r="D216"/>
      <c r="E216"/>
      <c r="F216"/>
      <c r="G216"/>
      <c r="H216"/>
      <c r="I216"/>
      <c r="J216"/>
    </row>
    <row r="217" spans="4:10" ht="15">
      <c r="D217"/>
      <c r="E217"/>
      <c r="F217"/>
      <c r="G217"/>
      <c r="H217"/>
      <c r="I217"/>
      <c r="J217"/>
    </row>
    <row r="218" spans="4:10" ht="15">
      <c r="D218"/>
      <c r="E218"/>
      <c r="F218"/>
      <c r="G218"/>
      <c r="H218"/>
      <c r="I218"/>
      <c r="J218"/>
    </row>
  </sheetData>
  <mergeCells count="3">
    <mergeCell ref="A4:C4"/>
    <mergeCell ref="A1:C1"/>
    <mergeCell ref="A3:C3"/>
  </mergeCells>
  <printOptions horizontalCentered="1"/>
  <pageMargins left="0.75" right="0.75" top="1" bottom="0.5" header="0.5" footer="0.5"/>
  <pageSetup fitToHeight="0" fitToWidth="1" horizontalDpi="600" verticalDpi="600" orientation="portrait" scale="82" r:id="rId1"/>
</worksheet>
</file>

<file path=xl/worksheets/sheet10.xml><?xml version="1.0" encoding="utf-8"?>
<worksheet xmlns="http://schemas.openxmlformats.org/spreadsheetml/2006/main" xmlns:r="http://schemas.openxmlformats.org/officeDocument/2006/relationships">
  <dimension ref="D13:V67"/>
  <sheetViews>
    <sheetView zoomScale="85" zoomScaleNormal="85" workbookViewId="0" topLeftCell="A11">
      <selection activeCell="D16" sqref="D16:N16"/>
    </sheetView>
  </sheetViews>
  <sheetFormatPr defaultColWidth="8.88671875" defaultRowHeight="12.75"/>
  <cols>
    <col min="5" max="5" width="3.3359375" style="0" customWidth="1"/>
    <col min="6" max="6" width="10.3359375" style="0" bestFit="1" customWidth="1"/>
    <col min="7" max="7" width="2.6640625" style="0" customWidth="1"/>
    <col min="8" max="8" width="11.10546875" style="0" customWidth="1"/>
    <col min="9" max="9" width="3.4453125" style="0" customWidth="1"/>
    <col min="11" max="11" width="3.3359375" style="0" customWidth="1"/>
    <col min="13" max="13" width="3.21484375" style="0" customWidth="1"/>
  </cols>
  <sheetData>
    <row r="13" spans="4:22" ht="15">
      <c r="D13" s="14"/>
      <c r="E13" s="14"/>
      <c r="F13" s="14"/>
      <c r="G13" s="14"/>
      <c r="H13" s="14"/>
      <c r="I13" s="14"/>
      <c r="J13" s="14"/>
      <c r="K13" s="14"/>
      <c r="L13" s="14"/>
      <c r="M13" s="14"/>
      <c r="N13" s="14"/>
      <c r="O13" s="14"/>
      <c r="P13" s="14"/>
      <c r="Q13" s="14"/>
      <c r="R13" s="14"/>
      <c r="S13" s="14"/>
      <c r="T13" s="14"/>
      <c r="U13" s="14"/>
      <c r="V13" s="14"/>
    </row>
    <row r="14" spans="4:22" ht="15">
      <c r="D14" s="484" t="s">
        <v>514</v>
      </c>
      <c r="E14" s="484"/>
      <c r="F14" s="484"/>
      <c r="G14" s="484"/>
      <c r="H14" s="484"/>
      <c r="I14" s="484"/>
      <c r="J14" s="484"/>
      <c r="K14" s="484"/>
      <c r="L14" s="484"/>
      <c r="M14" s="484"/>
      <c r="N14" s="484"/>
      <c r="O14" s="303"/>
      <c r="P14" s="303"/>
      <c r="Q14" s="14"/>
      <c r="R14" s="14"/>
      <c r="S14" s="14"/>
      <c r="T14" s="14"/>
      <c r="U14" s="14"/>
      <c r="V14" s="14"/>
    </row>
    <row r="15" spans="4:22" ht="15">
      <c r="D15" s="14"/>
      <c r="E15" s="14"/>
      <c r="F15" s="14"/>
      <c r="G15" s="14"/>
      <c r="H15" s="14"/>
      <c r="I15" s="14"/>
      <c r="J15" s="14"/>
      <c r="K15" s="14"/>
      <c r="L15" s="14"/>
      <c r="M15" s="14"/>
      <c r="N15" s="14"/>
      <c r="O15" s="14"/>
      <c r="P15" s="14"/>
      <c r="Q15" s="14"/>
      <c r="R15" s="14"/>
      <c r="S15" s="14"/>
      <c r="T15" s="14"/>
      <c r="U15" s="14"/>
      <c r="V15" s="14"/>
    </row>
    <row r="16" spans="4:22" ht="15">
      <c r="D16" s="482" t="s">
        <v>239</v>
      </c>
      <c r="E16" s="482"/>
      <c r="F16" s="482"/>
      <c r="G16" s="482"/>
      <c r="H16" s="482"/>
      <c r="I16" s="482"/>
      <c r="J16" s="482"/>
      <c r="K16" s="482"/>
      <c r="L16" s="482"/>
      <c r="M16" s="482"/>
      <c r="N16" s="482"/>
      <c r="O16" s="14"/>
      <c r="P16" s="14"/>
      <c r="Q16" s="14"/>
      <c r="R16" s="14"/>
      <c r="S16" s="14"/>
      <c r="T16" s="14"/>
      <c r="U16" s="14"/>
      <c r="V16" s="14"/>
    </row>
    <row r="17" spans="4:22" ht="15">
      <c r="D17" s="244"/>
      <c r="E17" s="244"/>
      <c r="F17" s="244"/>
      <c r="G17" s="244"/>
      <c r="H17" s="244"/>
      <c r="I17" s="244"/>
      <c r="J17" s="244"/>
      <c r="K17" s="244"/>
      <c r="L17" s="244"/>
      <c r="M17" s="244"/>
      <c r="N17" s="244"/>
      <c r="O17" s="14"/>
      <c r="P17" s="14"/>
      <c r="Q17" s="14"/>
      <c r="R17" s="14"/>
      <c r="S17" s="14"/>
      <c r="T17" s="14"/>
      <c r="U17" s="14"/>
      <c r="V17" s="14"/>
    </row>
    <row r="18" spans="4:22" ht="15">
      <c r="D18" s="244"/>
      <c r="E18" s="244"/>
      <c r="F18" s="244" t="s">
        <v>348</v>
      </c>
      <c r="G18" s="244"/>
      <c r="I18" s="244"/>
      <c r="M18" s="244"/>
      <c r="N18" s="244"/>
      <c r="O18" s="14"/>
      <c r="P18" s="14"/>
      <c r="Q18" s="14"/>
      <c r="R18" s="14"/>
      <c r="S18" s="14"/>
      <c r="T18" s="14"/>
      <c r="U18" s="14"/>
      <c r="V18" s="14"/>
    </row>
    <row r="19" spans="4:22" ht="15">
      <c r="D19" s="14"/>
      <c r="E19" s="14"/>
      <c r="F19" s="244" t="s">
        <v>349</v>
      </c>
      <c r="G19" s="244"/>
      <c r="H19" s="244" t="s">
        <v>547</v>
      </c>
      <c r="I19" s="244"/>
      <c r="J19" s="244" t="s">
        <v>351</v>
      </c>
      <c r="K19" s="244"/>
      <c r="L19" s="244"/>
      <c r="M19" s="244"/>
      <c r="N19" s="244"/>
      <c r="O19" s="14"/>
      <c r="P19" s="14"/>
      <c r="Q19" s="14"/>
      <c r="R19" s="14"/>
      <c r="S19" s="14"/>
      <c r="T19" s="14"/>
      <c r="U19" s="14"/>
      <c r="V19" s="14"/>
    </row>
    <row r="20" spans="4:22" ht="15">
      <c r="D20" s="382" t="s">
        <v>347</v>
      </c>
      <c r="E20" s="14"/>
      <c r="F20" s="382" t="s">
        <v>352</v>
      </c>
      <c r="G20" s="244"/>
      <c r="H20" s="382" t="s">
        <v>350</v>
      </c>
      <c r="I20" s="244"/>
      <c r="J20" s="382" t="s">
        <v>350</v>
      </c>
      <c r="K20" s="384"/>
      <c r="L20" s="382" t="s">
        <v>353</v>
      </c>
      <c r="M20" s="244"/>
      <c r="N20" s="382" t="s">
        <v>545</v>
      </c>
      <c r="O20" s="14"/>
      <c r="P20" s="14"/>
      <c r="Q20" s="14"/>
      <c r="R20" s="14"/>
      <c r="S20" s="14"/>
      <c r="T20" s="14"/>
      <c r="U20" s="14"/>
      <c r="V20" s="14"/>
    </row>
    <row r="21" spans="4:22" ht="15">
      <c r="D21" s="383">
        <v>-1</v>
      </c>
      <c r="E21" s="383"/>
      <c r="F21" s="383">
        <v>-2</v>
      </c>
      <c r="G21" s="383"/>
      <c r="H21" s="383">
        <v>-3</v>
      </c>
      <c r="I21" s="383"/>
      <c r="J21" s="383">
        <v>-4</v>
      </c>
      <c r="K21" s="383"/>
      <c r="L21" s="383">
        <v>-5</v>
      </c>
      <c r="M21" s="383"/>
      <c r="N21" s="383">
        <v>-6</v>
      </c>
      <c r="O21" s="14"/>
      <c r="P21" s="14"/>
      <c r="Q21" s="14"/>
      <c r="R21" s="14"/>
      <c r="S21" s="14"/>
      <c r="T21" s="14"/>
      <c r="U21" s="14"/>
      <c r="V21" s="14"/>
    </row>
    <row r="22" spans="4:22" ht="15">
      <c r="D22" s="383"/>
      <c r="E22" s="383"/>
      <c r="F22" s="383"/>
      <c r="G22" s="383"/>
      <c r="H22" s="383"/>
      <c r="I22" s="383"/>
      <c r="J22" s="383"/>
      <c r="K22" s="383"/>
      <c r="L22" s="383"/>
      <c r="M22" s="383"/>
      <c r="N22" s="383"/>
      <c r="O22" s="14"/>
      <c r="P22" s="14"/>
      <c r="Q22" s="14"/>
      <c r="R22" s="14"/>
      <c r="S22" s="14"/>
      <c r="T22" s="14"/>
      <c r="U22" s="14"/>
      <c r="V22" s="14"/>
    </row>
    <row r="23" spans="4:22" ht="15">
      <c r="D23" s="244">
        <v>2006</v>
      </c>
      <c r="E23" s="14"/>
      <c r="F23" s="377">
        <v>15619</v>
      </c>
      <c r="G23" s="14"/>
      <c r="H23" s="381">
        <f>+F23/365</f>
        <v>42.79178082191781</v>
      </c>
      <c r="I23" s="14"/>
      <c r="J23" s="14">
        <v>67.22</v>
      </c>
      <c r="K23" s="14"/>
      <c r="L23" s="385" t="s">
        <v>365</v>
      </c>
      <c r="M23" s="14"/>
      <c r="N23" s="381">
        <f>+J23/H23</f>
        <v>1.5708624111658875</v>
      </c>
      <c r="O23" s="14"/>
      <c r="P23" s="14"/>
      <c r="Q23" s="14"/>
      <c r="R23" s="14"/>
      <c r="S23" s="14"/>
      <c r="T23" s="14"/>
      <c r="U23" s="14"/>
      <c r="V23" s="14"/>
    </row>
    <row r="24" spans="4:22" ht="15">
      <c r="D24" s="383"/>
      <c r="E24" s="383"/>
      <c r="F24" s="383"/>
      <c r="G24" s="383"/>
      <c r="H24" s="383"/>
      <c r="I24" s="383"/>
      <c r="J24" s="383"/>
      <c r="K24" s="383"/>
      <c r="L24" s="383"/>
      <c r="M24" s="383"/>
      <c r="N24" s="383"/>
      <c r="O24" s="14"/>
      <c r="P24" s="14"/>
      <c r="Q24" s="14"/>
      <c r="R24" s="14"/>
      <c r="S24" s="14"/>
      <c r="T24" s="14"/>
      <c r="U24" s="14"/>
      <c r="V24" s="14"/>
    </row>
    <row r="25" spans="4:22" ht="15">
      <c r="D25" s="244">
        <v>2005</v>
      </c>
      <c r="E25" s="14"/>
      <c r="F25" s="377">
        <v>16068</v>
      </c>
      <c r="G25" s="14"/>
      <c r="H25" s="381">
        <f>+F25/365</f>
        <v>44.02191780821918</v>
      </c>
      <c r="I25" s="14"/>
      <c r="J25" s="14">
        <v>69.65</v>
      </c>
      <c r="K25" s="14"/>
      <c r="L25" s="385" t="s">
        <v>238</v>
      </c>
      <c r="M25" s="14"/>
      <c r="N25" s="381">
        <f>+J25/H25</f>
        <v>1.5821664177246701</v>
      </c>
      <c r="O25" s="14"/>
      <c r="P25" s="14"/>
      <c r="Q25" s="14"/>
      <c r="R25" s="14"/>
      <c r="S25" s="14"/>
      <c r="T25" s="14"/>
      <c r="U25" s="14"/>
      <c r="V25" s="14"/>
    </row>
    <row r="26" spans="4:22" ht="15">
      <c r="D26" s="383"/>
      <c r="E26" s="383"/>
      <c r="F26" s="383"/>
      <c r="G26" s="383"/>
      <c r="H26" s="383"/>
      <c r="I26" s="383"/>
      <c r="J26" s="383"/>
      <c r="K26" s="383"/>
      <c r="L26" s="383"/>
      <c r="M26" s="383"/>
      <c r="N26" s="383"/>
      <c r="O26" s="14"/>
      <c r="P26" s="14"/>
      <c r="Q26" s="14"/>
      <c r="R26" s="14"/>
      <c r="S26" s="14"/>
      <c r="T26" s="14"/>
      <c r="U26" s="14"/>
      <c r="V26" s="14"/>
    </row>
    <row r="27" spans="4:22" ht="15">
      <c r="D27" s="244">
        <v>2004</v>
      </c>
      <c r="E27" s="14"/>
      <c r="F27" s="377">
        <v>14931</v>
      </c>
      <c r="G27" s="14"/>
      <c r="H27" s="381">
        <f>+F27/365</f>
        <v>40.90684931506849</v>
      </c>
      <c r="I27" s="14"/>
      <c r="J27" s="14">
        <v>56.89</v>
      </c>
      <c r="K27" s="14"/>
      <c r="L27" s="411" t="s">
        <v>237</v>
      </c>
      <c r="M27" s="14"/>
      <c r="N27" s="381">
        <f>+J27/H27</f>
        <v>1.3907206483155852</v>
      </c>
      <c r="O27" s="14"/>
      <c r="P27" s="14"/>
      <c r="Q27" s="14"/>
      <c r="R27" s="14"/>
      <c r="S27" s="14"/>
      <c r="T27" s="14"/>
      <c r="U27" s="14"/>
      <c r="V27" s="14"/>
    </row>
    <row r="28" spans="4:22" ht="15">
      <c r="D28" s="14"/>
      <c r="E28" s="14"/>
      <c r="F28" s="14"/>
      <c r="G28" s="14"/>
      <c r="H28" s="14"/>
      <c r="I28" s="14"/>
      <c r="J28" s="14"/>
      <c r="K28" s="14"/>
      <c r="L28" s="14"/>
      <c r="M28" s="14"/>
      <c r="N28" s="14"/>
      <c r="O28" s="14"/>
      <c r="P28" s="14"/>
      <c r="Q28" s="14"/>
      <c r="R28" s="14"/>
      <c r="S28" s="14"/>
      <c r="T28" s="14"/>
      <c r="U28" s="14"/>
      <c r="V28" s="14"/>
    </row>
    <row r="29" spans="4:22" ht="15">
      <c r="D29" s="244">
        <v>2003</v>
      </c>
      <c r="E29" s="14"/>
      <c r="F29" s="377">
        <v>15005</v>
      </c>
      <c r="G29" s="14"/>
      <c r="H29" s="381">
        <f>+F29/365</f>
        <v>41.10958904109589</v>
      </c>
      <c r="I29" s="14"/>
      <c r="J29" s="14">
        <v>61.37</v>
      </c>
      <c r="K29" s="14"/>
      <c r="L29" s="385" t="s">
        <v>354</v>
      </c>
      <c r="M29" s="14"/>
      <c r="N29" s="381">
        <f>+J29/H29</f>
        <v>1.4928390536487839</v>
      </c>
      <c r="O29" s="14"/>
      <c r="P29" s="14"/>
      <c r="Q29" s="14"/>
      <c r="R29" s="14"/>
      <c r="S29" s="14"/>
      <c r="T29" s="14"/>
      <c r="U29" s="14"/>
      <c r="V29" s="14"/>
    </row>
    <row r="30" spans="4:22" ht="15">
      <c r="D30" s="244"/>
      <c r="E30" s="14"/>
      <c r="F30" s="377"/>
      <c r="G30" s="14"/>
      <c r="H30" s="381"/>
      <c r="I30" s="14"/>
      <c r="J30" s="14"/>
      <c r="K30" s="14"/>
      <c r="L30" s="14"/>
      <c r="M30" s="14"/>
      <c r="N30" s="381"/>
      <c r="O30" s="14"/>
      <c r="P30" s="14"/>
      <c r="Q30" s="14"/>
      <c r="R30" s="14"/>
      <c r="S30" s="14"/>
      <c r="T30" s="14"/>
      <c r="U30" s="14"/>
      <c r="V30" s="14"/>
    </row>
    <row r="31" spans="4:22" ht="15">
      <c r="D31" s="244">
        <v>2002</v>
      </c>
      <c r="E31" s="14"/>
      <c r="F31" s="377">
        <v>15956</v>
      </c>
      <c r="G31" s="14"/>
      <c r="H31" s="381">
        <f aca="true" t="shared" si="0" ref="H31:H55">+F31/365</f>
        <v>43.71506849315068</v>
      </c>
      <c r="I31" s="14"/>
      <c r="J31" s="14">
        <v>71.82</v>
      </c>
      <c r="K31" s="14"/>
      <c r="L31" s="385" t="s">
        <v>355</v>
      </c>
      <c r="M31" s="14"/>
      <c r="N31" s="381">
        <f aca="true" t="shared" si="1" ref="N31:N55">+J31/H31</f>
        <v>1.6429117573326648</v>
      </c>
      <c r="O31" s="14"/>
      <c r="P31" s="14"/>
      <c r="Q31" s="14"/>
      <c r="R31" s="14"/>
      <c r="S31" s="14"/>
      <c r="T31" s="14"/>
      <c r="U31" s="14"/>
      <c r="V31" s="14"/>
    </row>
    <row r="32" spans="4:22" ht="15">
      <c r="D32" s="244"/>
      <c r="E32" s="14"/>
      <c r="F32" s="377"/>
      <c r="G32" s="14"/>
      <c r="H32" s="381"/>
      <c r="I32" s="14"/>
      <c r="J32" s="14"/>
      <c r="K32" s="14"/>
      <c r="L32" s="244"/>
      <c r="M32" s="14"/>
      <c r="N32" s="381"/>
      <c r="O32" s="14"/>
      <c r="P32" s="14"/>
      <c r="Q32" s="14"/>
      <c r="R32" s="14"/>
      <c r="S32" s="14"/>
      <c r="T32" s="14"/>
      <c r="U32" s="14"/>
      <c r="V32" s="14"/>
    </row>
    <row r="33" spans="4:22" ht="15">
      <c r="D33" s="244">
        <v>2001</v>
      </c>
      <c r="E33" s="14"/>
      <c r="F33" s="377">
        <v>14962</v>
      </c>
      <c r="G33" s="14"/>
      <c r="H33" s="381">
        <f t="shared" si="0"/>
        <v>40.99178082191781</v>
      </c>
      <c r="I33" s="14"/>
      <c r="J33" s="14">
        <v>56.04</v>
      </c>
      <c r="K33" s="14"/>
      <c r="L33" s="385" t="s">
        <v>356</v>
      </c>
      <c r="M33" s="14"/>
      <c r="N33" s="381">
        <f t="shared" si="1"/>
        <v>1.3671033284320278</v>
      </c>
      <c r="O33" s="14"/>
      <c r="P33" s="14"/>
      <c r="Q33" s="14"/>
      <c r="R33" s="14"/>
      <c r="S33" s="14"/>
      <c r="T33" s="14"/>
      <c r="U33" s="14"/>
      <c r="V33" s="14"/>
    </row>
    <row r="34" spans="4:22" ht="15">
      <c r="D34" s="244"/>
      <c r="E34" s="14"/>
      <c r="F34" s="377"/>
      <c r="G34" s="14"/>
      <c r="H34" s="381"/>
      <c r="I34" s="14"/>
      <c r="J34" s="14"/>
      <c r="K34" s="14"/>
      <c r="L34" s="244"/>
      <c r="M34" s="14"/>
      <c r="N34" s="381"/>
      <c r="O34" s="14"/>
      <c r="P34" s="14"/>
      <c r="Q34" s="14"/>
      <c r="R34" s="14"/>
      <c r="S34" s="14"/>
      <c r="T34" s="14"/>
      <c r="U34" s="14"/>
      <c r="V34" s="14"/>
    </row>
    <row r="35" spans="4:22" ht="15">
      <c r="D35" s="244">
        <v>2000</v>
      </c>
      <c r="E35" s="14"/>
      <c r="F35" s="377">
        <v>14565</v>
      </c>
      <c r="G35" s="14"/>
      <c r="H35" s="381">
        <f t="shared" si="0"/>
        <v>39.9041095890411</v>
      </c>
      <c r="I35" s="14"/>
      <c r="J35" s="14">
        <v>66.37</v>
      </c>
      <c r="K35" s="14"/>
      <c r="L35" s="385" t="s">
        <v>357</v>
      </c>
      <c r="M35" s="14"/>
      <c r="N35" s="381">
        <f t="shared" si="1"/>
        <v>1.6632372124957089</v>
      </c>
      <c r="O35" s="14"/>
      <c r="P35" s="14"/>
      <c r="Q35" s="14"/>
      <c r="R35" s="14"/>
      <c r="S35" s="14"/>
      <c r="T35" s="14"/>
      <c r="U35" s="14"/>
      <c r="V35" s="14"/>
    </row>
    <row r="36" spans="4:17" ht="15">
      <c r="D36" s="244"/>
      <c r="E36" s="14"/>
      <c r="F36" s="370"/>
      <c r="G36" s="14"/>
      <c r="H36" s="381"/>
      <c r="I36" s="14"/>
      <c r="J36" s="14"/>
      <c r="K36" s="14"/>
      <c r="L36" s="244"/>
      <c r="M36" s="14"/>
      <c r="N36" s="381"/>
      <c r="O36" s="14"/>
      <c r="P36" s="14"/>
      <c r="Q36" s="14"/>
    </row>
    <row r="37" spans="4:17" ht="15">
      <c r="D37" s="244">
        <v>1999</v>
      </c>
      <c r="E37" s="14"/>
      <c r="F37" s="377">
        <v>15077</v>
      </c>
      <c r="G37" s="14"/>
      <c r="H37" s="381">
        <f t="shared" si="0"/>
        <v>41.30684931506849</v>
      </c>
      <c r="I37" s="14"/>
      <c r="J37" s="14">
        <v>61.18</v>
      </c>
      <c r="K37" s="14"/>
      <c r="L37" s="385" t="s">
        <v>358</v>
      </c>
      <c r="M37" s="14"/>
      <c r="N37" s="381">
        <f t="shared" si="1"/>
        <v>1.481110300457651</v>
      </c>
      <c r="O37" s="14"/>
      <c r="P37" s="14"/>
      <c r="Q37" s="14"/>
    </row>
    <row r="38" spans="4:17" ht="15">
      <c r="D38" s="244"/>
      <c r="E38" s="14"/>
      <c r="F38" s="377"/>
      <c r="G38" s="14"/>
      <c r="H38" s="381"/>
      <c r="I38" s="14"/>
      <c r="J38" s="14"/>
      <c r="K38" s="14"/>
      <c r="L38" s="244"/>
      <c r="M38" s="14"/>
      <c r="N38" s="381"/>
      <c r="O38" s="14"/>
      <c r="P38" s="14"/>
      <c r="Q38" s="14"/>
    </row>
    <row r="39" spans="4:17" ht="15">
      <c r="D39" s="244">
        <v>1998</v>
      </c>
      <c r="E39" s="14"/>
      <c r="F39" s="377">
        <v>14799</v>
      </c>
      <c r="G39" s="14"/>
      <c r="H39" s="381">
        <f t="shared" si="0"/>
        <v>40.54520547945206</v>
      </c>
      <c r="I39" s="14"/>
      <c r="J39" s="14">
        <v>64.67</v>
      </c>
      <c r="K39" s="14"/>
      <c r="L39" s="385" t="s">
        <v>359</v>
      </c>
      <c r="M39" s="14"/>
      <c r="N39" s="381">
        <f t="shared" si="1"/>
        <v>1.5950097979593214</v>
      </c>
      <c r="O39" s="14"/>
      <c r="P39" s="14"/>
      <c r="Q39" s="14"/>
    </row>
    <row r="40" spans="4:17" ht="15">
      <c r="D40" s="244"/>
      <c r="E40" s="14"/>
      <c r="F40" s="377"/>
      <c r="G40" s="14"/>
      <c r="H40" s="381"/>
      <c r="I40" s="14"/>
      <c r="J40" s="14"/>
      <c r="K40" s="14"/>
      <c r="L40" s="244"/>
      <c r="M40" s="14"/>
      <c r="N40" s="381"/>
      <c r="O40" s="14"/>
      <c r="P40" s="14"/>
      <c r="Q40" s="14"/>
    </row>
    <row r="41" spans="4:17" ht="15">
      <c r="D41" s="244">
        <v>1997</v>
      </c>
      <c r="E41" s="14"/>
      <c r="F41" s="377">
        <v>14419</v>
      </c>
      <c r="G41" s="14"/>
      <c r="H41" s="381">
        <f t="shared" si="0"/>
        <v>39.50410958904109</v>
      </c>
      <c r="I41" s="14"/>
      <c r="J41" s="381">
        <v>60.7</v>
      </c>
      <c r="K41" s="381"/>
      <c r="L41" s="386" t="s">
        <v>360</v>
      </c>
      <c r="M41" s="14"/>
      <c r="N41" s="381">
        <f t="shared" si="1"/>
        <v>1.536548997850059</v>
      </c>
      <c r="O41" s="14"/>
      <c r="P41" s="14"/>
      <c r="Q41" s="14"/>
    </row>
    <row r="42" spans="4:17" ht="15">
      <c r="D42" s="244"/>
      <c r="E42" s="14"/>
      <c r="F42" s="377"/>
      <c r="G42" s="14"/>
      <c r="H42" s="381"/>
      <c r="I42" s="14"/>
      <c r="J42" s="14"/>
      <c r="K42" s="14"/>
      <c r="L42" s="244"/>
      <c r="M42" s="14"/>
      <c r="N42" s="381"/>
      <c r="O42" s="14"/>
      <c r="P42" s="14"/>
      <c r="Q42" s="14"/>
    </row>
    <row r="43" spans="4:17" ht="15">
      <c r="D43" s="244">
        <v>1996</v>
      </c>
      <c r="E43" s="14"/>
      <c r="F43" s="377">
        <v>14265</v>
      </c>
      <c r="G43" s="14"/>
      <c r="H43" s="381">
        <f t="shared" si="0"/>
        <v>39.082191780821915</v>
      </c>
      <c r="I43" s="14"/>
      <c r="J43" s="381">
        <v>53.7</v>
      </c>
      <c r="K43" s="381"/>
      <c r="L43" s="386" t="s">
        <v>361</v>
      </c>
      <c r="M43" s="14"/>
      <c r="N43" s="381">
        <f t="shared" si="1"/>
        <v>1.3740273396424818</v>
      </c>
      <c r="O43" s="14"/>
      <c r="P43" s="14"/>
      <c r="Q43" s="14"/>
    </row>
    <row r="44" spans="4:17" ht="15">
      <c r="D44" s="244"/>
      <c r="E44" s="14"/>
      <c r="F44" s="377"/>
      <c r="G44" s="14"/>
      <c r="H44" s="381"/>
      <c r="I44" s="14"/>
      <c r="J44" s="14"/>
      <c r="K44" s="14"/>
      <c r="L44" s="244"/>
      <c r="M44" s="14"/>
      <c r="N44" s="381"/>
      <c r="O44" s="14"/>
      <c r="P44" s="14"/>
      <c r="Q44" s="14"/>
    </row>
    <row r="45" spans="4:17" ht="15">
      <c r="D45" s="244">
        <v>1995</v>
      </c>
      <c r="E45" s="14"/>
      <c r="F45" s="377">
        <v>14549</v>
      </c>
      <c r="G45" s="14"/>
      <c r="H45" s="381">
        <f t="shared" si="0"/>
        <v>39.86027397260274</v>
      </c>
      <c r="I45" s="14"/>
      <c r="J45" s="14">
        <v>63.77</v>
      </c>
      <c r="K45" s="14"/>
      <c r="L45" s="385" t="s">
        <v>362</v>
      </c>
      <c r="M45" s="14"/>
      <c r="N45" s="381">
        <f t="shared" si="1"/>
        <v>1.5998384768712626</v>
      </c>
      <c r="O45" s="14"/>
      <c r="P45" s="14"/>
      <c r="Q45" s="14"/>
    </row>
    <row r="46" spans="4:17" ht="15">
      <c r="D46" s="244"/>
      <c r="E46" s="14"/>
      <c r="F46" s="377"/>
      <c r="G46" s="14"/>
      <c r="H46" s="381"/>
      <c r="I46" s="14"/>
      <c r="L46" s="111"/>
      <c r="M46" s="14"/>
      <c r="N46" s="381"/>
      <c r="O46" s="14"/>
      <c r="P46" s="14"/>
      <c r="Q46" s="14"/>
    </row>
    <row r="47" spans="4:17" ht="15">
      <c r="D47" s="244">
        <v>1994</v>
      </c>
      <c r="E47" s="14"/>
      <c r="F47" s="377">
        <v>14471</v>
      </c>
      <c r="G47" s="14"/>
      <c r="H47" s="381">
        <f t="shared" si="0"/>
        <v>39.64657534246575</v>
      </c>
      <c r="I47" s="14"/>
      <c r="J47" s="14">
        <v>58.36</v>
      </c>
      <c r="K47" s="14"/>
      <c r="L47" s="385" t="s">
        <v>363</v>
      </c>
      <c r="M47" s="14"/>
      <c r="N47" s="381">
        <f t="shared" si="1"/>
        <v>1.4720060811277729</v>
      </c>
      <c r="O47" s="14"/>
      <c r="P47" s="14"/>
      <c r="Q47" s="14"/>
    </row>
    <row r="48" spans="4:17" ht="15">
      <c r="D48" s="244"/>
      <c r="E48" s="14"/>
      <c r="F48" s="377"/>
      <c r="G48" s="14"/>
      <c r="H48" s="381"/>
      <c r="I48" s="14"/>
      <c r="L48" s="111"/>
      <c r="M48" s="14"/>
      <c r="N48" s="381"/>
      <c r="O48" s="14"/>
      <c r="P48" s="14"/>
      <c r="Q48" s="14"/>
    </row>
    <row r="49" spans="4:17" ht="15">
      <c r="D49" s="244">
        <v>1993</v>
      </c>
      <c r="E49" s="14"/>
      <c r="F49" s="377">
        <v>14290</v>
      </c>
      <c r="G49" s="14"/>
      <c r="H49" s="381">
        <f t="shared" si="0"/>
        <v>39.15068493150685</v>
      </c>
      <c r="I49" s="14"/>
      <c r="J49" s="14">
        <v>60.39</v>
      </c>
      <c r="K49" s="14"/>
      <c r="L49" s="385" t="s">
        <v>354</v>
      </c>
      <c r="M49" s="14"/>
      <c r="N49" s="381">
        <f t="shared" si="1"/>
        <v>1.5425017494751574</v>
      </c>
      <c r="O49" s="14"/>
      <c r="P49" s="14"/>
      <c r="Q49" s="14"/>
    </row>
    <row r="50" spans="4:17" ht="15">
      <c r="D50" s="244"/>
      <c r="E50" s="14"/>
      <c r="F50" s="377"/>
      <c r="G50" s="14"/>
      <c r="H50" s="381"/>
      <c r="I50" s="14"/>
      <c r="L50" s="111"/>
      <c r="M50" s="14"/>
      <c r="N50" s="381"/>
      <c r="O50" s="14"/>
      <c r="P50" s="14"/>
      <c r="Q50" s="14"/>
    </row>
    <row r="51" spans="4:17" ht="15">
      <c r="D51" s="244">
        <v>1992</v>
      </c>
      <c r="E51" s="14"/>
      <c r="F51" s="377">
        <v>13303</v>
      </c>
      <c r="G51" s="14"/>
      <c r="H51" s="381">
        <f t="shared" si="0"/>
        <v>36.446575342465756</v>
      </c>
      <c r="I51" s="14"/>
      <c r="J51" s="14">
        <v>47.22</v>
      </c>
      <c r="K51" s="14"/>
      <c r="L51" s="385" t="s">
        <v>364</v>
      </c>
      <c r="M51" s="14"/>
      <c r="N51" s="381">
        <f t="shared" si="1"/>
        <v>1.2955949785762608</v>
      </c>
      <c r="O51" s="14"/>
      <c r="P51" s="14"/>
      <c r="Q51" s="14"/>
    </row>
    <row r="52" spans="4:17" ht="15">
      <c r="D52" s="244"/>
      <c r="E52" s="14"/>
      <c r="F52" s="377"/>
      <c r="G52" s="14"/>
      <c r="H52" s="381"/>
      <c r="I52" s="14"/>
      <c r="L52" s="111"/>
      <c r="M52" s="14"/>
      <c r="N52" s="381"/>
      <c r="O52" s="14"/>
      <c r="P52" s="14"/>
      <c r="Q52" s="14"/>
    </row>
    <row r="53" spans="4:17" ht="15">
      <c r="D53" s="244">
        <v>1991</v>
      </c>
      <c r="E53" s="14"/>
      <c r="F53" s="377">
        <v>13450</v>
      </c>
      <c r="G53" s="14"/>
      <c r="H53" s="381">
        <f t="shared" si="0"/>
        <v>36.84931506849315</v>
      </c>
      <c r="I53" s="14"/>
      <c r="J53" s="14">
        <v>56.42</v>
      </c>
      <c r="K53" s="14"/>
      <c r="L53" s="385" t="s">
        <v>365</v>
      </c>
      <c r="M53" s="14"/>
      <c r="N53" s="381">
        <f t="shared" si="1"/>
        <v>1.531100371747212</v>
      </c>
      <c r="O53" s="14"/>
      <c r="P53" s="14"/>
      <c r="Q53" s="14"/>
    </row>
    <row r="54" spans="4:17" ht="15">
      <c r="D54" s="244"/>
      <c r="E54" s="14"/>
      <c r="F54" s="377"/>
      <c r="G54" s="14"/>
      <c r="H54" s="381"/>
      <c r="I54" s="14"/>
      <c r="L54" s="111"/>
      <c r="M54" s="14"/>
      <c r="N54" s="381"/>
      <c r="O54" s="14"/>
      <c r="P54" s="14"/>
      <c r="Q54" s="14"/>
    </row>
    <row r="55" spans="4:17" ht="15">
      <c r="D55" s="244">
        <v>1990</v>
      </c>
      <c r="E55" s="14"/>
      <c r="F55" s="377">
        <v>12557</v>
      </c>
      <c r="G55" s="14"/>
      <c r="H55" s="381">
        <f t="shared" si="0"/>
        <v>34.4027397260274</v>
      </c>
      <c r="I55" s="14"/>
      <c r="J55" s="14">
        <v>58.05</v>
      </c>
      <c r="K55" s="14"/>
      <c r="L55" s="385" t="s">
        <v>366</v>
      </c>
      <c r="M55" s="14"/>
      <c r="N55" s="381">
        <f t="shared" si="1"/>
        <v>1.6873656128056063</v>
      </c>
      <c r="O55" s="14"/>
      <c r="P55" s="14"/>
      <c r="Q55" s="14"/>
    </row>
    <row r="56" spans="4:17" ht="15">
      <c r="D56" s="14"/>
      <c r="E56" s="14"/>
      <c r="F56" s="377"/>
      <c r="G56" s="14"/>
      <c r="H56" s="14"/>
      <c r="I56" s="14"/>
      <c r="J56" s="14"/>
      <c r="K56" s="14"/>
      <c r="L56" s="14"/>
      <c r="M56" s="14"/>
      <c r="N56" s="14"/>
      <c r="O56" s="14"/>
      <c r="P56" s="14"/>
      <c r="Q56" s="14"/>
    </row>
    <row r="57" spans="4:17" ht="15">
      <c r="D57" s="14"/>
      <c r="E57" s="14"/>
      <c r="F57" s="14"/>
      <c r="G57" s="14"/>
      <c r="H57" s="14"/>
      <c r="I57" s="14"/>
      <c r="J57" s="14"/>
      <c r="K57" s="14"/>
      <c r="L57" s="14"/>
      <c r="M57" s="14"/>
      <c r="N57" s="14"/>
      <c r="O57" s="14"/>
      <c r="P57" s="14"/>
      <c r="Q57" s="14"/>
    </row>
    <row r="58" spans="4:17" ht="15">
      <c r="D58" s="14"/>
      <c r="E58" s="14"/>
      <c r="F58" s="14"/>
      <c r="G58" s="14"/>
      <c r="H58" s="14"/>
      <c r="I58" s="14"/>
      <c r="J58" s="14"/>
      <c r="K58" s="14"/>
      <c r="L58" s="14"/>
      <c r="M58" s="14"/>
      <c r="N58" s="14"/>
      <c r="O58" s="14"/>
      <c r="P58" s="14"/>
      <c r="Q58" s="14"/>
    </row>
    <row r="59" spans="4:17" ht="15">
      <c r="D59" s="14"/>
      <c r="E59" s="14"/>
      <c r="F59" s="14"/>
      <c r="G59" s="14"/>
      <c r="H59" s="14"/>
      <c r="I59" s="14"/>
      <c r="J59" s="14"/>
      <c r="K59" s="14"/>
      <c r="L59" s="14"/>
      <c r="M59" s="14"/>
      <c r="N59" s="14"/>
      <c r="O59" s="14"/>
      <c r="P59" s="14"/>
      <c r="Q59" s="14"/>
    </row>
    <row r="60" spans="4:17" ht="15">
      <c r="D60" s="14"/>
      <c r="E60" s="14"/>
      <c r="F60" s="14"/>
      <c r="G60" s="14"/>
      <c r="H60" s="14"/>
      <c r="I60" s="14"/>
      <c r="J60" s="14"/>
      <c r="K60" s="14"/>
      <c r="L60" s="14"/>
      <c r="M60" s="14"/>
      <c r="N60" s="14"/>
      <c r="O60" s="14"/>
      <c r="P60" s="14"/>
      <c r="Q60" s="14"/>
    </row>
    <row r="61" spans="4:17" ht="15">
      <c r="D61" s="14"/>
      <c r="E61" s="14"/>
      <c r="F61" s="14"/>
      <c r="G61" s="14"/>
      <c r="H61" s="14"/>
      <c r="I61" s="14"/>
      <c r="J61" s="14"/>
      <c r="K61" s="14"/>
      <c r="L61" s="14"/>
      <c r="M61" s="14"/>
      <c r="N61" s="14"/>
      <c r="O61" s="14"/>
      <c r="P61" s="14"/>
      <c r="Q61" s="14"/>
    </row>
    <row r="62" spans="4:17" ht="15">
      <c r="D62" s="14"/>
      <c r="E62" s="14"/>
      <c r="F62" s="14"/>
      <c r="G62" s="14"/>
      <c r="H62" s="14"/>
      <c r="I62" s="14"/>
      <c r="J62" s="14"/>
      <c r="K62" s="14"/>
      <c r="L62" s="14"/>
      <c r="M62" s="14"/>
      <c r="N62" s="14"/>
      <c r="O62" s="14"/>
      <c r="P62" s="14"/>
      <c r="Q62" s="14"/>
    </row>
    <row r="63" spans="4:17" ht="15">
      <c r="D63" s="14"/>
      <c r="E63" s="14"/>
      <c r="F63" s="14"/>
      <c r="G63" s="14"/>
      <c r="H63" s="14"/>
      <c r="I63" s="14"/>
      <c r="J63" s="14"/>
      <c r="K63" s="14"/>
      <c r="L63" s="14"/>
      <c r="M63" s="14"/>
      <c r="N63" s="14"/>
      <c r="O63" s="14"/>
      <c r="P63" s="14"/>
      <c r="Q63" s="14"/>
    </row>
    <row r="64" spans="4:17" ht="15">
      <c r="D64" s="14"/>
      <c r="E64" s="14"/>
      <c r="F64" s="14"/>
      <c r="G64" s="14"/>
      <c r="H64" s="14"/>
      <c r="I64" s="14"/>
      <c r="J64" s="14"/>
      <c r="K64" s="14"/>
      <c r="L64" s="14"/>
      <c r="M64" s="14"/>
      <c r="N64" s="14"/>
      <c r="O64" s="14"/>
      <c r="P64" s="14"/>
      <c r="Q64" s="14"/>
    </row>
    <row r="65" spans="4:17" ht="15">
      <c r="D65" s="14"/>
      <c r="E65" s="14"/>
      <c r="F65" s="14"/>
      <c r="G65" s="14"/>
      <c r="H65" s="14"/>
      <c r="I65" s="14"/>
      <c r="J65" s="14"/>
      <c r="K65" s="14"/>
      <c r="L65" s="14"/>
      <c r="M65" s="14"/>
      <c r="N65" s="14"/>
      <c r="O65" s="14"/>
      <c r="P65" s="14"/>
      <c r="Q65" s="14"/>
    </row>
    <row r="66" spans="4:17" ht="15">
      <c r="D66" s="14"/>
      <c r="E66" s="14"/>
      <c r="F66" s="14"/>
      <c r="G66" s="14"/>
      <c r="H66" s="14"/>
      <c r="I66" s="14"/>
      <c r="J66" s="14"/>
      <c r="K66" s="14"/>
      <c r="L66" s="14"/>
      <c r="M66" s="14"/>
      <c r="N66" s="14"/>
      <c r="O66" s="14"/>
      <c r="P66" s="14"/>
      <c r="Q66" s="14"/>
    </row>
    <row r="67" spans="4:17" ht="15">
      <c r="D67" s="14"/>
      <c r="E67" s="14"/>
      <c r="F67" s="14"/>
      <c r="G67" s="14"/>
      <c r="H67" s="14"/>
      <c r="I67" s="14"/>
      <c r="J67" s="14"/>
      <c r="K67" s="14"/>
      <c r="L67" s="14"/>
      <c r="M67" s="14"/>
      <c r="N67" s="14"/>
      <c r="O67" s="14"/>
      <c r="P67" s="14"/>
      <c r="Q67" s="14"/>
    </row>
  </sheetData>
  <mergeCells count="2">
    <mergeCell ref="D14:N14"/>
    <mergeCell ref="D16:N16"/>
  </mergeCells>
  <printOptions/>
  <pageMargins left="1" right="1" top="1" bottom="1" header="0.5" footer="0.5"/>
  <pageSetup horizontalDpi="600" verticalDpi="600" orientation="portrait" scale="95" r:id="rId1"/>
</worksheet>
</file>

<file path=xl/worksheets/sheet11.xml><?xml version="1.0" encoding="utf-8"?>
<worksheet xmlns="http://schemas.openxmlformats.org/spreadsheetml/2006/main" xmlns:r="http://schemas.openxmlformats.org/officeDocument/2006/relationships">
  <dimension ref="C7:M172"/>
  <sheetViews>
    <sheetView workbookViewId="0" topLeftCell="A1">
      <selection activeCell="C9" sqref="C9:L9"/>
    </sheetView>
  </sheetViews>
  <sheetFormatPr defaultColWidth="8.88671875" defaultRowHeight="12.75"/>
  <cols>
    <col min="3" max="3" width="9.21484375" style="0" customWidth="1"/>
    <col min="5" max="5" width="4.6640625" style="0" customWidth="1"/>
    <col min="6" max="6" width="9.5546875" style="0" customWidth="1"/>
    <col min="7" max="7" width="1.33203125" style="0" customWidth="1"/>
    <col min="8" max="8" width="9.5546875" style="0" customWidth="1"/>
    <col min="9" max="9" width="9.10546875" style="0" customWidth="1"/>
    <col min="10" max="10" width="9.5546875" style="0" customWidth="1"/>
    <col min="11" max="11" width="2.4453125" style="0" customWidth="1"/>
    <col min="12" max="12" width="9.6640625" style="0" customWidth="1"/>
  </cols>
  <sheetData>
    <row r="7" spans="3:13" ht="15">
      <c r="C7" s="484" t="s">
        <v>514</v>
      </c>
      <c r="D7" s="484"/>
      <c r="E7" s="484"/>
      <c r="F7" s="484"/>
      <c r="G7" s="484"/>
      <c r="H7" s="484"/>
      <c r="I7" s="484"/>
      <c r="J7" s="484"/>
      <c r="K7" s="484"/>
      <c r="L7" s="484"/>
      <c r="M7" s="302"/>
    </row>
    <row r="9" spans="3:12" ht="15">
      <c r="C9" s="484" t="s">
        <v>158</v>
      </c>
      <c r="D9" s="484"/>
      <c r="E9" s="484"/>
      <c r="F9" s="484"/>
      <c r="G9" s="484"/>
      <c r="H9" s="484"/>
      <c r="I9" s="484"/>
      <c r="J9" s="484"/>
      <c r="K9" s="484"/>
      <c r="L9" s="484"/>
    </row>
    <row r="10" spans="3:12" ht="15">
      <c r="C10" s="482" t="s">
        <v>170</v>
      </c>
      <c r="D10" s="482"/>
      <c r="E10" s="482"/>
      <c r="F10" s="482"/>
      <c r="G10" s="482"/>
      <c r="H10" s="482"/>
      <c r="I10" s="482"/>
      <c r="J10" s="482"/>
      <c r="K10" s="482"/>
      <c r="L10" s="482"/>
    </row>
    <row r="11" spans="3:12" ht="15">
      <c r="C11" s="244"/>
      <c r="D11" s="244"/>
      <c r="E11" s="244"/>
      <c r="F11" s="244"/>
      <c r="G11" s="244"/>
      <c r="H11" s="244"/>
      <c r="I11" s="244"/>
      <c r="J11" s="244"/>
      <c r="K11" s="244"/>
      <c r="L11" s="244"/>
    </row>
    <row r="12" spans="3:12" ht="15">
      <c r="C12" s="14"/>
      <c r="D12" s="14"/>
      <c r="E12" s="14"/>
      <c r="F12" s="14"/>
      <c r="G12" s="14"/>
      <c r="H12" s="14"/>
      <c r="I12" s="14"/>
      <c r="J12" s="14"/>
      <c r="K12" s="14"/>
      <c r="L12" s="14"/>
    </row>
    <row r="13" spans="3:12" ht="15">
      <c r="C13" s="412" t="s">
        <v>160</v>
      </c>
      <c r="D13" s="14"/>
      <c r="E13" s="14"/>
      <c r="F13" s="14"/>
      <c r="G13" s="14"/>
      <c r="H13" s="14"/>
      <c r="I13" s="14"/>
      <c r="J13" s="14"/>
      <c r="K13" s="14"/>
      <c r="L13" s="14"/>
    </row>
    <row r="14" spans="3:12" ht="8.25" customHeight="1">
      <c r="C14" s="14"/>
      <c r="D14" s="14"/>
      <c r="E14" s="14"/>
      <c r="F14" s="14"/>
      <c r="G14" s="14"/>
      <c r="H14" s="14"/>
      <c r="I14" s="14"/>
      <c r="J14" s="14"/>
      <c r="K14" s="14"/>
      <c r="L14" s="14"/>
    </row>
    <row r="15" spans="3:12" ht="15">
      <c r="C15" s="244" t="s">
        <v>2</v>
      </c>
      <c r="D15" s="14"/>
      <c r="E15" s="14"/>
      <c r="F15" s="244" t="s">
        <v>372</v>
      </c>
      <c r="G15" s="244"/>
      <c r="I15" s="244" t="s">
        <v>371</v>
      </c>
      <c r="J15" s="14"/>
      <c r="K15" s="14"/>
      <c r="L15" s="14"/>
    </row>
    <row r="16" spans="3:12" ht="15">
      <c r="C16" s="413" t="s">
        <v>603</v>
      </c>
      <c r="D16" s="14"/>
      <c r="E16" s="14"/>
      <c r="F16" s="413" t="s">
        <v>393</v>
      </c>
      <c r="G16" s="413"/>
      <c r="I16" s="413" t="s">
        <v>393</v>
      </c>
      <c r="J16" s="14"/>
      <c r="K16" s="14"/>
      <c r="L16" s="14"/>
    </row>
    <row r="17" spans="3:12" ht="9" customHeight="1">
      <c r="C17" s="14"/>
      <c r="D17" s="14"/>
      <c r="E17" s="14"/>
      <c r="F17" s="14"/>
      <c r="G17" s="14"/>
      <c r="I17" s="14"/>
      <c r="J17" s="14"/>
      <c r="K17" s="14"/>
      <c r="L17" s="14"/>
    </row>
    <row r="18" spans="3:12" ht="15">
      <c r="C18" s="385" t="s">
        <v>4</v>
      </c>
      <c r="D18" s="14"/>
      <c r="E18" s="14"/>
      <c r="F18" s="409">
        <v>7.95</v>
      </c>
      <c r="G18" s="409"/>
      <c r="I18" s="409">
        <v>8.34</v>
      </c>
      <c r="J18" s="14"/>
      <c r="K18" s="14"/>
      <c r="L18" s="14"/>
    </row>
    <row r="19" spans="3:12" ht="15">
      <c r="C19" s="385" t="s">
        <v>159</v>
      </c>
      <c r="D19" s="14"/>
      <c r="E19" s="14"/>
      <c r="F19" s="408">
        <v>11.94</v>
      </c>
      <c r="G19" s="408"/>
      <c r="I19" s="408">
        <v>12.51</v>
      </c>
      <c r="J19" s="14"/>
      <c r="K19" s="14"/>
      <c r="L19" s="14"/>
    </row>
    <row r="20" spans="3:12" ht="15">
      <c r="C20" s="244">
        <v>1</v>
      </c>
      <c r="D20" s="14"/>
      <c r="E20" s="14"/>
      <c r="F20" s="408">
        <v>19.89</v>
      </c>
      <c r="G20" s="408"/>
      <c r="I20" s="408">
        <v>20.85</v>
      </c>
      <c r="J20" s="14"/>
      <c r="K20" s="14"/>
      <c r="L20" s="14"/>
    </row>
    <row r="21" spans="3:12" ht="15">
      <c r="C21" s="385" t="s">
        <v>6</v>
      </c>
      <c r="D21" s="14"/>
      <c r="E21" s="14"/>
      <c r="F21" s="408">
        <v>39.77</v>
      </c>
      <c r="G21" s="408"/>
      <c r="I21" s="408">
        <v>41.7</v>
      </c>
      <c r="J21" s="14"/>
      <c r="K21" s="14"/>
      <c r="L21" s="14"/>
    </row>
    <row r="22" spans="3:12" ht="15">
      <c r="C22" s="244">
        <v>2</v>
      </c>
      <c r="D22" s="14"/>
      <c r="E22" s="14"/>
      <c r="F22" s="408">
        <v>63.64</v>
      </c>
      <c r="G22" s="408"/>
      <c r="I22" s="408">
        <v>66.72</v>
      </c>
      <c r="J22" s="14"/>
      <c r="K22" s="14"/>
      <c r="L22" s="14"/>
    </row>
    <row r="23" spans="3:12" ht="15">
      <c r="C23" s="244">
        <v>3</v>
      </c>
      <c r="D23" s="14"/>
      <c r="E23" s="14"/>
      <c r="F23" s="408">
        <v>119.32</v>
      </c>
      <c r="G23" s="408"/>
      <c r="I23" s="408">
        <v>125.1</v>
      </c>
      <c r="J23" s="14"/>
      <c r="K23" s="14"/>
      <c r="L23" s="14"/>
    </row>
    <row r="24" spans="3:12" ht="15">
      <c r="C24" s="244">
        <v>4</v>
      </c>
      <c r="D24" s="14"/>
      <c r="E24" s="14"/>
      <c r="F24" s="408">
        <v>198.86</v>
      </c>
      <c r="G24" s="408"/>
      <c r="I24" s="408">
        <v>208.5</v>
      </c>
      <c r="J24" s="14"/>
      <c r="K24" s="14"/>
      <c r="L24" s="14"/>
    </row>
    <row r="25" spans="3:12" ht="15">
      <c r="C25" s="244">
        <v>6</v>
      </c>
      <c r="D25" s="14"/>
      <c r="E25" s="14"/>
      <c r="F25" s="408">
        <v>397.73</v>
      </c>
      <c r="G25" s="408"/>
      <c r="I25" s="408">
        <v>417</v>
      </c>
      <c r="J25" s="14"/>
      <c r="K25" s="14"/>
      <c r="L25" s="14"/>
    </row>
    <row r="26" spans="3:12" ht="15">
      <c r="C26" s="244">
        <v>8</v>
      </c>
      <c r="D26" s="14"/>
      <c r="E26" s="14"/>
      <c r="F26" s="408">
        <v>636.36</v>
      </c>
      <c r="G26" s="408"/>
      <c r="I26" s="408">
        <v>667.2</v>
      </c>
      <c r="J26" s="14"/>
      <c r="K26" s="14"/>
      <c r="L26" s="14"/>
    </row>
    <row r="27" spans="3:12" ht="15">
      <c r="C27" s="244"/>
      <c r="D27" s="14"/>
      <c r="E27" s="14"/>
      <c r="F27" s="408"/>
      <c r="G27" s="408"/>
      <c r="I27" s="408"/>
      <c r="J27" s="14"/>
      <c r="K27" s="14"/>
      <c r="L27" s="14"/>
    </row>
    <row r="28" spans="3:12" ht="6" customHeight="1">
      <c r="C28" s="14"/>
      <c r="D28" s="14"/>
      <c r="E28" s="14"/>
      <c r="F28" s="408"/>
      <c r="G28" s="408"/>
      <c r="I28" s="408"/>
      <c r="J28" s="14"/>
      <c r="K28" s="14"/>
      <c r="L28" s="14"/>
    </row>
    <row r="29" spans="3:12" ht="15">
      <c r="C29" s="14"/>
      <c r="D29" s="14"/>
      <c r="E29" s="14"/>
      <c r="F29" s="444" t="s">
        <v>162</v>
      </c>
      <c r="G29" s="444"/>
      <c r="H29" s="444"/>
      <c r="I29" s="14"/>
      <c r="J29" s="444" t="s">
        <v>163</v>
      </c>
      <c r="K29" s="444"/>
      <c r="L29" s="444"/>
    </row>
    <row r="30" spans="3:12" ht="15">
      <c r="C30" s="412" t="s">
        <v>161</v>
      </c>
      <c r="D30" s="14"/>
      <c r="E30" s="14"/>
      <c r="F30" s="413" t="s">
        <v>372</v>
      </c>
      <c r="G30" s="413"/>
      <c r="H30" s="413" t="s">
        <v>371</v>
      </c>
      <c r="I30" s="14"/>
      <c r="J30" s="413" t="s">
        <v>372</v>
      </c>
      <c r="K30" s="413"/>
      <c r="L30" s="413" t="s">
        <v>371</v>
      </c>
    </row>
    <row r="31" spans="3:12" ht="7.5" customHeight="1">
      <c r="C31" s="14"/>
      <c r="D31" s="14"/>
      <c r="E31" s="14"/>
      <c r="F31" s="14"/>
      <c r="G31" s="14"/>
      <c r="H31" s="14"/>
      <c r="I31" s="14"/>
      <c r="J31" s="14"/>
      <c r="K31" s="14"/>
      <c r="L31" s="14"/>
    </row>
    <row r="32" spans="3:12" ht="15">
      <c r="C32" s="14" t="s">
        <v>526</v>
      </c>
      <c r="D32" s="14"/>
      <c r="E32" s="14"/>
      <c r="F32" s="419">
        <v>2.43167</v>
      </c>
      <c r="G32" s="419"/>
      <c r="H32" s="419">
        <v>3.52187</v>
      </c>
      <c r="I32" s="14"/>
      <c r="J32" s="419">
        <v>1.82375</v>
      </c>
      <c r="K32" s="419"/>
      <c r="L32" s="419">
        <v>2.6414</v>
      </c>
    </row>
    <row r="33" spans="3:12" ht="15">
      <c r="C33" s="14" t="s">
        <v>527</v>
      </c>
      <c r="D33" s="14"/>
      <c r="E33" s="14"/>
      <c r="F33" s="416">
        <v>2.25164</v>
      </c>
      <c r="G33" s="416"/>
      <c r="H33" s="416">
        <v>3.03973</v>
      </c>
      <c r="I33" s="14"/>
      <c r="J33" s="416">
        <v>1.68873</v>
      </c>
      <c r="K33" s="416"/>
      <c r="L33" s="416">
        <v>2.2798</v>
      </c>
    </row>
    <row r="34" spans="3:12" ht="15">
      <c r="C34" s="14" t="s">
        <v>528</v>
      </c>
      <c r="D34" s="14"/>
      <c r="E34" s="14"/>
      <c r="F34" s="416">
        <v>1.83737</v>
      </c>
      <c r="G34" s="416"/>
      <c r="H34" s="416">
        <v>2.46587</v>
      </c>
      <c r="I34" s="14"/>
      <c r="J34" s="416">
        <v>1.37803</v>
      </c>
      <c r="K34" s="416"/>
      <c r="L34" s="416">
        <v>1.8494</v>
      </c>
    </row>
    <row r="35" spans="3:12" ht="15">
      <c r="C35" s="14" t="s">
        <v>529</v>
      </c>
      <c r="D35" s="14"/>
      <c r="E35" s="14"/>
      <c r="F35" s="416">
        <v>2.15695</v>
      </c>
      <c r="G35" s="416"/>
      <c r="H35" s="416">
        <v>2.82627</v>
      </c>
      <c r="I35" s="14"/>
      <c r="J35" s="416">
        <v>1.61771</v>
      </c>
      <c r="K35" s="416"/>
      <c r="L35" s="416">
        <v>2.1197</v>
      </c>
    </row>
    <row r="36" spans="3:12" ht="15">
      <c r="C36" s="14" t="s">
        <v>307</v>
      </c>
      <c r="D36" s="14"/>
      <c r="E36" s="14"/>
      <c r="F36" s="416">
        <v>2.15695</v>
      </c>
      <c r="G36" s="416"/>
      <c r="H36" s="416">
        <v>2.8772</v>
      </c>
      <c r="I36" s="14"/>
      <c r="J36" s="416">
        <v>1.61771</v>
      </c>
      <c r="K36" s="416"/>
      <c r="L36" s="416">
        <v>2.1579</v>
      </c>
    </row>
    <row r="37" spans="3:12" ht="15">
      <c r="C37" s="14" t="s">
        <v>164</v>
      </c>
      <c r="D37" s="14"/>
      <c r="E37" s="14"/>
      <c r="F37" s="416">
        <v>2.43167</v>
      </c>
      <c r="G37" s="416"/>
      <c r="H37" s="416">
        <v>2.97021</v>
      </c>
      <c r="I37" s="14"/>
      <c r="J37" s="416">
        <v>1.82375</v>
      </c>
      <c r="K37" s="416"/>
      <c r="L37" s="416">
        <v>2.22766</v>
      </c>
    </row>
    <row r="38" spans="3:12" ht="15">
      <c r="C38" s="14"/>
      <c r="D38" s="14"/>
      <c r="E38" s="14"/>
      <c r="F38" s="416"/>
      <c r="G38" s="416"/>
      <c r="H38" s="416"/>
      <c r="I38" s="14"/>
      <c r="J38" s="416"/>
      <c r="K38" s="416"/>
      <c r="L38" s="416"/>
    </row>
    <row r="39" spans="3:12" ht="10.5" customHeight="1">
      <c r="C39" s="14"/>
      <c r="D39" s="14"/>
      <c r="E39" s="14"/>
      <c r="F39" s="14"/>
      <c r="G39" s="14"/>
      <c r="H39" s="14"/>
      <c r="I39" s="14"/>
      <c r="J39" s="416"/>
      <c r="K39" s="416"/>
      <c r="L39" s="416"/>
    </row>
    <row r="40" spans="3:12" ht="15">
      <c r="C40" s="412" t="s">
        <v>169</v>
      </c>
      <c r="D40" s="14"/>
      <c r="E40" s="14"/>
      <c r="F40" s="14"/>
      <c r="G40" s="14"/>
      <c r="H40" s="14"/>
      <c r="I40" s="14"/>
      <c r="J40" s="14"/>
      <c r="K40" s="14"/>
      <c r="L40" s="14"/>
    </row>
    <row r="41" spans="3:12" ht="15">
      <c r="C41" s="412"/>
      <c r="D41" s="14"/>
      <c r="E41" s="14"/>
      <c r="F41" s="244" t="s">
        <v>372</v>
      </c>
      <c r="G41" s="14"/>
      <c r="H41" s="14"/>
      <c r="I41" s="244" t="s">
        <v>371</v>
      </c>
      <c r="J41" s="14"/>
      <c r="K41" s="14"/>
      <c r="L41" s="14"/>
    </row>
    <row r="42" spans="3:12" ht="15">
      <c r="C42" s="244" t="s">
        <v>406</v>
      </c>
      <c r="D42" s="14"/>
      <c r="E42" s="14"/>
      <c r="F42" s="244" t="s">
        <v>393</v>
      </c>
      <c r="G42" s="244"/>
      <c r="I42" s="244" t="s">
        <v>393</v>
      </c>
      <c r="J42" s="14"/>
      <c r="K42" s="14"/>
      <c r="L42" s="14"/>
    </row>
    <row r="43" spans="3:12" ht="15">
      <c r="C43" s="413" t="s">
        <v>165</v>
      </c>
      <c r="D43" s="14"/>
      <c r="E43" s="14"/>
      <c r="F43" s="413" t="s">
        <v>166</v>
      </c>
      <c r="G43" s="413"/>
      <c r="I43" s="413" t="s">
        <v>166</v>
      </c>
      <c r="J43" s="14"/>
      <c r="K43" s="14"/>
      <c r="L43" s="14"/>
    </row>
    <row r="44" spans="3:12" ht="9" customHeight="1">
      <c r="C44" s="14"/>
      <c r="D44" s="14"/>
      <c r="E44" s="14"/>
      <c r="F44" s="14"/>
      <c r="G44" s="14"/>
      <c r="H44" s="14"/>
      <c r="I44" s="14"/>
      <c r="J44" s="14"/>
      <c r="K44" s="14"/>
      <c r="L44" s="14"/>
    </row>
    <row r="45" spans="3:12" ht="15">
      <c r="C45" s="244">
        <v>2</v>
      </c>
      <c r="D45" s="14"/>
      <c r="E45" s="14"/>
      <c r="F45" s="409">
        <v>52.23</v>
      </c>
      <c r="G45" s="409"/>
      <c r="H45" s="409"/>
      <c r="I45" s="409">
        <v>70.68</v>
      </c>
      <c r="J45" s="14"/>
      <c r="K45" s="14"/>
      <c r="L45" s="14"/>
    </row>
    <row r="46" spans="3:12" ht="15">
      <c r="C46" s="244">
        <v>4</v>
      </c>
      <c r="D46" s="14"/>
      <c r="E46" s="14"/>
      <c r="F46" s="408">
        <v>208.93</v>
      </c>
      <c r="G46" s="408"/>
      <c r="H46" s="408"/>
      <c r="I46" s="408">
        <v>281.88</v>
      </c>
      <c r="J46" s="14"/>
      <c r="K46" s="14"/>
      <c r="L46" s="14"/>
    </row>
    <row r="47" spans="3:12" ht="15">
      <c r="C47" s="244">
        <v>6</v>
      </c>
      <c r="D47" s="14"/>
      <c r="E47" s="14"/>
      <c r="F47" s="408">
        <v>469.57</v>
      </c>
      <c r="G47" s="408"/>
      <c r="H47" s="408"/>
      <c r="I47" s="408">
        <v>633.6</v>
      </c>
      <c r="J47" s="14"/>
      <c r="K47" s="14"/>
      <c r="L47" s="14"/>
    </row>
    <row r="48" spans="3:12" ht="15">
      <c r="C48" s="244">
        <v>8</v>
      </c>
      <c r="D48" s="14"/>
      <c r="E48" s="14"/>
      <c r="F48" s="408">
        <v>834.67</v>
      </c>
      <c r="G48" s="408"/>
      <c r="H48" s="408"/>
      <c r="I48" s="408">
        <v>1126.08</v>
      </c>
      <c r="J48" s="14"/>
      <c r="K48" s="14"/>
      <c r="L48" s="14"/>
    </row>
    <row r="49" spans="3:12" ht="15">
      <c r="C49" s="244">
        <v>10</v>
      </c>
      <c r="D49" s="14"/>
      <c r="E49" s="14"/>
      <c r="F49" s="408">
        <v>1304.23</v>
      </c>
      <c r="G49" s="408"/>
      <c r="H49" s="408"/>
      <c r="I49" s="408">
        <v>1759.68</v>
      </c>
      <c r="J49" s="14"/>
      <c r="K49" s="14"/>
      <c r="L49" s="14"/>
    </row>
    <row r="50" spans="3:12" ht="15">
      <c r="C50" s="244">
        <v>12</v>
      </c>
      <c r="D50" s="14"/>
      <c r="E50" s="14"/>
      <c r="F50" s="408">
        <v>1878.39</v>
      </c>
      <c r="G50" s="408"/>
      <c r="H50" s="408"/>
      <c r="I50" s="408">
        <v>2534.28</v>
      </c>
      <c r="J50" s="14"/>
      <c r="K50" s="14"/>
      <c r="L50" s="14"/>
    </row>
    <row r="51" spans="3:12" ht="15">
      <c r="C51" s="244">
        <v>14</v>
      </c>
      <c r="D51" s="14"/>
      <c r="E51" s="14"/>
      <c r="F51" s="408">
        <v>2557.02</v>
      </c>
      <c r="G51" s="408"/>
      <c r="H51" s="408"/>
      <c r="I51" s="408">
        <v>3450</v>
      </c>
      <c r="J51" s="14"/>
      <c r="K51" s="14"/>
      <c r="L51" s="14"/>
    </row>
    <row r="52" spans="3:12" ht="15">
      <c r="C52" s="244">
        <v>16</v>
      </c>
      <c r="D52" s="14"/>
      <c r="E52" s="14"/>
      <c r="F52" s="408">
        <v>3338.93</v>
      </c>
      <c r="G52" s="408"/>
      <c r="H52" s="408"/>
      <c r="I52" s="408">
        <v>4504.92</v>
      </c>
      <c r="J52" s="14"/>
      <c r="K52" s="14"/>
      <c r="L52" s="14"/>
    </row>
    <row r="53" spans="3:12" ht="15">
      <c r="C53" s="420" t="s">
        <v>167</v>
      </c>
      <c r="D53" s="14"/>
      <c r="E53" s="14"/>
      <c r="F53" s="421">
        <v>469.57</v>
      </c>
      <c r="G53" s="14"/>
      <c r="H53" s="14"/>
      <c r="I53" s="421">
        <v>633.6</v>
      </c>
      <c r="J53" s="14"/>
      <c r="K53" s="14"/>
      <c r="L53" s="14"/>
    </row>
    <row r="54" spans="3:12" ht="11.25" customHeight="1">
      <c r="C54" s="14"/>
      <c r="D54" s="14"/>
      <c r="E54" s="14"/>
      <c r="F54" s="14"/>
      <c r="G54" s="14"/>
      <c r="H54" s="14"/>
      <c r="I54" s="14"/>
      <c r="J54" s="14"/>
      <c r="K54" s="14"/>
      <c r="L54" s="14"/>
    </row>
    <row r="55" spans="3:12" ht="15">
      <c r="C55" s="14" t="s">
        <v>168</v>
      </c>
      <c r="D55" s="14"/>
      <c r="E55" s="14"/>
      <c r="F55" s="421">
        <v>312.87</v>
      </c>
      <c r="G55" s="14"/>
      <c r="H55" s="14"/>
      <c r="I55" s="421">
        <v>397.32</v>
      </c>
      <c r="J55" s="14"/>
      <c r="K55" s="14"/>
      <c r="L55" s="14"/>
    </row>
    <row r="56" spans="3:12" ht="15">
      <c r="C56" s="484" t="s">
        <v>514</v>
      </c>
      <c r="D56" s="484"/>
      <c r="E56" s="484"/>
      <c r="F56" s="484"/>
      <c r="G56" s="484"/>
      <c r="H56" s="484"/>
      <c r="I56" s="484"/>
      <c r="J56" s="484"/>
      <c r="K56" s="484"/>
      <c r="L56" s="484"/>
    </row>
    <row r="58" spans="3:12" ht="15">
      <c r="C58" s="484" t="s">
        <v>158</v>
      </c>
      <c r="D58" s="484"/>
      <c r="E58" s="484"/>
      <c r="F58" s="484"/>
      <c r="G58" s="484"/>
      <c r="H58" s="484"/>
      <c r="I58" s="484"/>
      <c r="J58" s="484"/>
      <c r="K58" s="484"/>
      <c r="L58" s="484"/>
    </row>
    <row r="59" spans="3:12" ht="15">
      <c r="C59" s="482" t="s">
        <v>171</v>
      </c>
      <c r="D59" s="482"/>
      <c r="E59" s="482"/>
      <c r="F59" s="482"/>
      <c r="G59" s="482"/>
      <c r="H59" s="482"/>
      <c r="I59" s="482"/>
      <c r="J59" s="482"/>
      <c r="K59" s="482"/>
      <c r="L59" s="482"/>
    </row>
    <row r="60" spans="3:12" ht="15">
      <c r="C60" s="244"/>
      <c r="D60" s="244"/>
      <c r="E60" s="244"/>
      <c r="F60" s="244"/>
      <c r="G60" s="244"/>
      <c r="H60" s="244"/>
      <c r="I60" s="244"/>
      <c r="J60" s="244"/>
      <c r="K60" s="244"/>
      <c r="L60" s="244"/>
    </row>
    <row r="61" spans="3:12" ht="15">
      <c r="C61" s="14"/>
      <c r="D61" s="14"/>
      <c r="E61" s="14"/>
      <c r="F61" s="14"/>
      <c r="G61" s="14"/>
      <c r="H61" s="14"/>
      <c r="I61" s="14"/>
      <c r="J61" s="14"/>
      <c r="K61" s="14"/>
      <c r="L61" s="14"/>
    </row>
    <row r="62" spans="3:12" ht="15">
      <c r="C62" s="412" t="s">
        <v>160</v>
      </c>
      <c r="D62" s="14"/>
      <c r="E62" s="14"/>
      <c r="F62" s="14"/>
      <c r="G62" s="14"/>
      <c r="H62" s="14"/>
      <c r="I62" s="14"/>
      <c r="J62" s="14"/>
      <c r="K62" s="14"/>
      <c r="L62" s="14"/>
    </row>
    <row r="63" spans="3:12" ht="15">
      <c r="C63" s="14"/>
      <c r="D63" s="14"/>
      <c r="E63" s="14"/>
      <c r="F63" s="244" t="s">
        <v>372</v>
      </c>
      <c r="G63" s="14"/>
      <c r="H63" s="14"/>
      <c r="I63" s="14"/>
      <c r="J63" s="14"/>
      <c r="K63" s="14"/>
      <c r="L63" s="14"/>
    </row>
    <row r="64" spans="3:12" ht="15">
      <c r="C64" s="244" t="s">
        <v>2</v>
      </c>
      <c r="D64" s="14"/>
      <c r="E64" s="14"/>
      <c r="F64" s="244" t="s">
        <v>172</v>
      </c>
      <c r="G64" s="244"/>
      <c r="I64" s="244" t="s">
        <v>371</v>
      </c>
      <c r="J64" s="14"/>
      <c r="K64" s="14"/>
      <c r="L64" s="14"/>
    </row>
    <row r="65" spans="3:12" ht="15">
      <c r="C65" s="413" t="s">
        <v>603</v>
      </c>
      <c r="D65" s="14"/>
      <c r="E65" s="14"/>
      <c r="F65" s="413" t="s">
        <v>393</v>
      </c>
      <c r="G65" s="413"/>
      <c r="I65" s="413" t="s">
        <v>393</v>
      </c>
      <c r="J65" s="14"/>
      <c r="K65" s="14"/>
      <c r="L65" s="14"/>
    </row>
    <row r="66" spans="3:12" ht="15">
      <c r="C66" s="14"/>
      <c r="D66" s="14"/>
      <c r="E66" s="14"/>
      <c r="F66" s="14"/>
      <c r="G66" s="14"/>
      <c r="I66" s="14"/>
      <c r="J66" s="14"/>
      <c r="K66" s="14"/>
      <c r="L66" s="14"/>
    </row>
    <row r="67" spans="3:12" ht="15">
      <c r="C67" s="385" t="s">
        <v>4</v>
      </c>
      <c r="D67" s="14"/>
      <c r="E67" s="14"/>
      <c r="F67" s="409">
        <v>19.4</v>
      </c>
      <c r="G67" s="409"/>
      <c r="I67" s="409">
        <v>8.34</v>
      </c>
      <c r="J67" s="14"/>
      <c r="K67" s="14"/>
      <c r="L67" s="14"/>
    </row>
    <row r="68" spans="3:12" ht="15">
      <c r="C68" s="385" t="s">
        <v>159</v>
      </c>
      <c r="D68" s="14"/>
      <c r="E68" s="14"/>
      <c r="F68" s="408">
        <v>19.4</v>
      </c>
      <c r="G68" s="408"/>
      <c r="I68" s="408">
        <v>12.51</v>
      </c>
      <c r="J68" s="14"/>
      <c r="K68" s="14"/>
      <c r="L68" s="14"/>
    </row>
    <row r="69" spans="3:12" ht="15">
      <c r="C69" s="244">
        <v>1</v>
      </c>
      <c r="D69" s="14"/>
      <c r="E69" s="14"/>
      <c r="F69" s="408">
        <v>19.4</v>
      </c>
      <c r="G69" s="408"/>
      <c r="I69" s="408">
        <v>20.85</v>
      </c>
      <c r="J69" s="14"/>
      <c r="K69" s="14"/>
      <c r="L69" s="14"/>
    </row>
    <row r="70" spans="3:12" ht="15">
      <c r="C70" s="385" t="s">
        <v>6</v>
      </c>
      <c r="D70" s="14"/>
      <c r="E70" s="14"/>
      <c r="F70" s="408">
        <v>19.4</v>
      </c>
      <c r="G70" s="408"/>
      <c r="I70" s="408">
        <v>41.7</v>
      </c>
      <c r="J70" s="14"/>
      <c r="K70" s="14"/>
      <c r="L70" s="14"/>
    </row>
    <row r="71" spans="3:12" ht="15">
      <c r="C71" s="244">
        <v>2</v>
      </c>
      <c r="D71" s="14"/>
      <c r="E71" s="14"/>
      <c r="F71" s="408">
        <v>19.4</v>
      </c>
      <c r="G71" s="408"/>
      <c r="I71" s="408">
        <v>66.72</v>
      </c>
      <c r="J71" s="14"/>
      <c r="K71" s="14"/>
      <c r="L71" s="14"/>
    </row>
    <row r="72" spans="3:12" ht="15">
      <c r="C72" s="244">
        <v>3</v>
      </c>
      <c r="D72" s="14"/>
      <c r="E72" s="14"/>
      <c r="F72" s="408">
        <v>19.4</v>
      </c>
      <c r="G72" s="408"/>
      <c r="I72" s="408">
        <v>125.1</v>
      </c>
      <c r="J72" s="14"/>
      <c r="K72" s="14"/>
      <c r="L72" s="14"/>
    </row>
    <row r="73" spans="3:12" ht="15">
      <c r="C73" s="244">
        <v>4</v>
      </c>
      <c r="D73" s="14"/>
      <c r="E73" s="14"/>
      <c r="F73" s="408">
        <v>19.4</v>
      </c>
      <c r="G73" s="408"/>
      <c r="I73" s="408">
        <v>208.5</v>
      </c>
      <c r="J73" s="14"/>
      <c r="K73" s="14"/>
      <c r="L73" s="14"/>
    </row>
    <row r="74" spans="3:12" ht="15">
      <c r="C74" s="244">
        <v>6</v>
      </c>
      <c r="D74" s="14"/>
      <c r="E74" s="14"/>
      <c r="F74" s="408">
        <v>19.4</v>
      </c>
      <c r="G74" s="408"/>
      <c r="I74" s="408">
        <v>417</v>
      </c>
      <c r="J74" s="14"/>
      <c r="K74" s="14"/>
      <c r="L74" s="14"/>
    </row>
    <row r="75" spans="3:12" ht="15">
      <c r="C75" s="244">
        <v>8</v>
      </c>
      <c r="D75" s="14"/>
      <c r="E75" s="14"/>
      <c r="F75" s="408">
        <v>19.4</v>
      </c>
      <c r="G75" s="408"/>
      <c r="I75" s="408">
        <v>667.2</v>
      </c>
      <c r="J75" s="14"/>
      <c r="K75" s="14"/>
      <c r="L75" s="14"/>
    </row>
    <row r="76" spans="3:12" ht="15">
      <c r="C76" s="244"/>
      <c r="D76" s="14"/>
      <c r="E76" s="14"/>
      <c r="F76" s="408"/>
      <c r="G76" s="408"/>
      <c r="I76" s="408"/>
      <c r="J76" s="14"/>
      <c r="K76" s="14"/>
      <c r="L76" s="14"/>
    </row>
    <row r="77" spans="3:12" ht="15">
      <c r="C77" s="14"/>
      <c r="D77" s="14"/>
      <c r="E77" s="14"/>
      <c r="F77" s="408"/>
      <c r="G77" s="408"/>
      <c r="I77" s="408"/>
      <c r="J77" s="14"/>
      <c r="K77" s="14"/>
      <c r="L77" s="14"/>
    </row>
    <row r="78" spans="3:12" ht="15">
      <c r="C78" s="14"/>
      <c r="D78" s="14"/>
      <c r="E78" s="14"/>
      <c r="F78" s="444" t="s">
        <v>179</v>
      </c>
      <c r="G78" s="444"/>
      <c r="H78" s="444"/>
      <c r="I78" s="14"/>
      <c r="J78" s="444" t="s">
        <v>180</v>
      </c>
      <c r="K78" s="444"/>
      <c r="L78" s="444"/>
    </row>
    <row r="79" spans="3:12" ht="15">
      <c r="C79" s="14"/>
      <c r="D79" s="14"/>
      <c r="E79" s="14"/>
      <c r="F79" s="422" t="s">
        <v>181</v>
      </c>
      <c r="G79" s="422"/>
      <c r="H79" s="422"/>
      <c r="I79" s="14"/>
      <c r="J79" s="422" t="s">
        <v>181</v>
      </c>
      <c r="K79" s="422"/>
      <c r="L79" s="422"/>
    </row>
    <row r="80" spans="3:12" ht="15">
      <c r="C80" s="412" t="s">
        <v>161</v>
      </c>
      <c r="D80" s="14"/>
      <c r="E80" s="14"/>
      <c r="F80" s="413" t="s">
        <v>182</v>
      </c>
      <c r="G80" s="413"/>
      <c r="H80" s="413" t="s">
        <v>163</v>
      </c>
      <c r="I80" s="14"/>
      <c r="J80" s="413" t="s">
        <v>182</v>
      </c>
      <c r="K80" s="413"/>
      <c r="L80" s="413" t="s">
        <v>163</v>
      </c>
    </row>
    <row r="81" spans="3:12" ht="15">
      <c r="C81" s="14"/>
      <c r="D81" s="14"/>
      <c r="E81" s="14"/>
      <c r="F81" s="14"/>
      <c r="G81" s="14"/>
      <c r="H81" s="14"/>
      <c r="I81" s="14"/>
      <c r="J81" s="14"/>
      <c r="K81" s="14"/>
      <c r="L81" s="14"/>
    </row>
    <row r="82" spans="3:12" ht="15">
      <c r="C82" s="14" t="s">
        <v>173</v>
      </c>
      <c r="D82" s="14"/>
      <c r="E82" s="14"/>
      <c r="F82" s="244" t="s">
        <v>172</v>
      </c>
      <c r="G82" s="419"/>
      <c r="H82" s="244" t="s">
        <v>172</v>
      </c>
      <c r="I82" s="14"/>
      <c r="J82" s="424" t="s">
        <v>178</v>
      </c>
      <c r="K82" s="419"/>
      <c r="L82" s="419"/>
    </row>
    <row r="83" spans="3:12" ht="15">
      <c r="C83" s="14" t="s">
        <v>176</v>
      </c>
      <c r="D83" s="14"/>
      <c r="E83" s="14"/>
      <c r="F83" s="423">
        <v>6.22</v>
      </c>
      <c r="G83" s="416"/>
      <c r="H83" s="417">
        <v>4.665</v>
      </c>
      <c r="I83" s="14"/>
      <c r="J83" s="425" t="s">
        <v>178</v>
      </c>
      <c r="K83" s="416"/>
      <c r="L83" s="416"/>
    </row>
    <row r="84" spans="3:12" ht="15">
      <c r="C84" s="14" t="s">
        <v>176</v>
      </c>
      <c r="D84" s="14"/>
      <c r="E84" s="14"/>
      <c r="F84" s="408">
        <v>6.1</v>
      </c>
      <c r="G84" s="416"/>
      <c r="H84" s="414">
        <v>4.575</v>
      </c>
      <c r="I84" s="14"/>
      <c r="J84" s="425" t="s">
        <v>178</v>
      </c>
      <c r="K84" s="416"/>
      <c r="L84" s="416"/>
    </row>
    <row r="85" spans="3:12" ht="15">
      <c r="C85" s="14" t="s">
        <v>175</v>
      </c>
      <c r="D85" s="14"/>
      <c r="E85" s="14"/>
      <c r="F85" s="408">
        <v>5.98</v>
      </c>
      <c r="G85" s="416"/>
      <c r="H85" s="414">
        <v>4.485</v>
      </c>
      <c r="I85" s="14"/>
      <c r="J85" s="425" t="s">
        <v>178</v>
      </c>
      <c r="K85" s="416"/>
      <c r="L85" s="416"/>
    </row>
    <row r="86" spans="3:12" ht="15">
      <c r="C86" s="14" t="s">
        <v>177</v>
      </c>
      <c r="D86" s="14"/>
      <c r="E86" s="14"/>
      <c r="F86" s="408">
        <v>5.74</v>
      </c>
      <c r="G86" s="416"/>
      <c r="H86" s="414">
        <v>4.305</v>
      </c>
      <c r="I86" s="14"/>
      <c r="J86" s="425" t="s">
        <v>178</v>
      </c>
      <c r="K86" s="416"/>
      <c r="L86" s="416"/>
    </row>
    <row r="87" spans="3:12" ht="15">
      <c r="C87" s="14" t="s">
        <v>164</v>
      </c>
      <c r="D87" s="14"/>
      <c r="E87" s="14"/>
      <c r="F87" s="416">
        <v>0</v>
      </c>
      <c r="G87" s="416"/>
      <c r="H87" s="414">
        <v>0</v>
      </c>
      <c r="I87" s="14"/>
      <c r="J87" s="425" t="s">
        <v>178</v>
      </c>
      <c r="K87" s="416"/>
      <c r="L87" s="416"/>
    </row>
    <row r="88" spans="3:12" ht="15">
      <c r="C88" s="14"/>
      <c r="D88" s="14"/>
      <c r="E88" s="14"/>
      <c r="F88" s="416"/>
      <c r="G88" s="416"/>
      <c r="H88" s="414"/>
      <c r="I88" s="14"/>
      <c r="J88" s="416"/>
      <c r="K88" s="416"/>
      <c r="L88" s="416"/>
    </row>
    <row r="89" spans="3:12" ht="15">
      <c r="C89" s="14"/>
      <c r="D89" s="14"/>
      <c r="E89" s="14"/>
      <c r="F89" s="14"/>
      <c r="G89" s="14"/>
      <c r="H89" s="14"/>
      <c r="I89" s="14"/>
      <c r="J89" s="416"/>
      <c r="K89" s="416"/>
      <c r="L89" s="416"/>
    </row>
    <row r="90" spans="3:12" ht="15">
      <c r="C90" s="412"/>
      <c r="D90" s="14"/>
      <c r="E90" s="14"/>
      <c r="F90" s="14"/>
      <c r="G90" s="14"/>
      <c r="H90" s="14"/>
      <c r="I90" s="14"/>
      <c r="J90" s="14"/>
      <c r="K90" s="14"/>
      <c r="L90" s="14"/>
    </row>
    <row r="91" spans="3:12" ht="15">
      <c r="C91" s="484" t="s">
        <v>514</v>
      </c>
      <c r="D91" s="484"/>
      <c r="E91" s="484"/>
      <c r="F91" s="484"/>
      <c r="G91" s="484"/>
      <c r="H91" s="484"/>
      <c r="I91" s="484"/>
      <c r="J91" s="484"/>
      <c r="K91" s="484"/>
      <c r="L91" s="484"/>
    </row>
    <row r="93" spans="3:12" ht="15">
      <c r="C93" s="484" t="s">
        <v>158</v>
      </c>
      <c r="D93" s="484"/>
      <c r="E93" s="484"/>
      <c r="F93" s="484"/>
      <c r="G93" s="484"/>
      <c r="H93" s="484"/>
      <c r="I93" s="484"/>
      <c r="J93" s="484"/>
      <c r="K93" s="484"/>
      <c r="L93" s="484"/>
    </row>
    <row r="94" spans="3:12" ht="15">
      <c r="C94" s="482" t="s">
        <v>183</v>
      </c>
      <c r="D94" s="482"/>
      <c r="E94" s="482"/>
      <c r="F94" s="482"/>
      <c r="G94" s="482"/>
      <c r="H94" s="482"/>
      <c r="I94" s="482"/>
      <c r="J94" s="482"/>
      <c r="K94" s="482"/>
      <c r="L94" s="482"/>
    </row>
    <row r="95" spans="3:12" ht="15">
      <c r="C95" s="244"/>
      <c r="D95" s="244"/>
      <c r="E95" s="244"/>
      <c r="F95" s="244"/>
      <c r="G95" s="244"/>
      <c r="H95" s="244"/>
      <c r="I95" s="244"/>
      <c r="J95" s="244"/>
      <c r="K95" s="244"/>
      <c r="L95" s="244"/>
    </row>
    <row r="96" spans="3:12" ht="15">
      <c r="C96" s="14"/>
      <c r="D96" s="14"/>
      <c r="E96" s="14"/>
      <c r="F96" s="14"/>
      <c r="G96" s="14"/>
      <c r="H96" s="14"/>
      <c r="I96" s="14"/>
      <c r="J96" s="14"/>
      <c r="K96" s="14"/>
      <c r="L96" s="14"/>
    </row>
    <row r="97" spans="3:12" ht="15">
      <c r="C97" s="412" t="s">
        <v>160</v>
      </c>
      <c r="D97" s="14"/>
      <c r="E97" s="14"/>
      <c r="F97" s="14"/>
      <c r="G97" s="14"/>
      <c r="H97" s="14"/>
      <c r="I97" s="14"/>
      <c r="J97" s="14"/>
      <c r="K97" s="14"/>
      <c r="L97" s="14"/>
    </row>
    <row r="98" spans="3:12" ht="15">
      <c r="C98" s="14"/>
      <c r="D98" s="14"/>
      <c r="E98" s="14"/>
      <c r="F98" s="244" t="s">
        <v>372</v>
      </c>
      <c r="G98" s="14"/>
      <c r="H98" s="14"/>
      <c r="I98" s="14"/>
      <c r="J98" s="14"/>
      <c r="K98" s="14"/>
      <c r="L98" s="14"/>
    </row>
    <row r="99" spans="3:12" ht="15">
      <c r="C99" s="244" t="s">
        <v>2</v>
      </c>
      <c r="D99" s="14"/>
      <c r="E99" s="14"/>
      <c r="F99" s="244" t="s">
        <v>172</v>
      </c>
      <c r="G99" s="244"/>
      <c r="I99" s="244" t="s">
        <v>371</v>
      </c>
      <c r="J99" s="14"/>
      <c r="K99" s="14"/>
      <c r="L99" s="14"/>
    </row>
    <row r="100" spans="3:12" ht="15">
      <c r="C100" s="413" t="s">
        <v>603</v>
      </c>
      <c r="D100" s="14"/>
      <c r="E100" s="14"/>
      <c r="F100" s="413" t="s">
        <v>393</v>
      </c>
      <c r="G100" s="413"/>
      <c r="I100" s="413" t="s">
        <v>393</v>
      </c>
      <c r="J100" s="14"/>
      <c r="K100" s="14"/>
      <c r="L100" s="14"/>
    </row>
    <row r="101" spans="3:12" ht="15">
      <c r="C101" s="14"/>
      <c r="D101" s="14"/>
      <c r="E101" s="14"/>
      <c r="F101" s="14"/>
      <c r="G101" s="14"/>
      <c r="I101" s="14"/>
      <c r="J101" s="14"/>
      <c r="K101" s="14"/>
      <c r="L101" s="14"/>
    </row>
    <row r="102" spans="3:12" ht="15">
      <c r="C102" s="385" t="s">
        <v>4</v>
      </c>
      <c r="D102" s="14"/>
      <c r="E102" s="14"/>
      <c r="F102" s="409">
        <v>20.95</v>
      </c>
      <c r="G102" s="409"/>
      <c r="I102" s="409">
        <v>8.34</v>
      </c>
      <c r="J102" s="14"/>
      <c r="K102" s="14"/>
      <c r="L102" s="14"/>
    </row>
    <row r="103" spans="3:12" ht="15">
      <c r="C103" s="385" t="s">
        <v>159</v>
      </c>
      <c r="D103" s="14"/>
      <c r="E103" s="14"/>
      <c r="F103" s="408">
        <v>20.95</v>
      </c>
      <c r="G103" s="408"/>
      <c r="I103" s="408">
        <v>12.51</v>
      </c>
      <c r="J103" s="14"/>
      <c r="K103" s="14"/>
      <c r="L103" s="14"/>
    </row>
    <row r="104" spans="3:12" ht="15">
      <c r="C104" s="244">
        <v>1</v>
      </c>
      <c r="D104" s="14"/>
      <c r="E104" s="14"/>
      <c r="F104" s="408">
        <v>20.95</v>
      </c>
      <c r="G104" s="408"/>
      <c r="I104" s="408">
        <v>20.85</v>
      </c>
      <c r="J104" s="14"/>
      <c r="K104" s="14"/>
      <c r="L104" s="14"/>
    </row>
    <row r="105" spans="3:12" ht="15">
      <c r="C105" s="385" t="s">
        <v>6</v>
      </c>
      <c r="D105" s="14"/>
      <c r="E105" s="14"/>
      <c r="F105" s="408">
        <v>20.95</v>
      </c>
      <c r="G105" s="408"/>
      <c r="I105" s="408">
        <v>41.7</v>
      </c>
      <c r="J105" s="14"/>
      <c r="K105" s="14"/>
      <c r="L105" s="14"/>
    </row>
    <row r="106" spans="3:12" ht="15">
      <c r="C106" s="244">
        <v>2</v>
      </c>
      <c r="D106" s="14"/>
      <c r="E106" s="14"/>
      <c r="F106" s="408">
        <v>20.95</v>
      </c>
      <c r="G106" s="408"/>
      <c r="I106" s="408">
        <v>66.72</v>
      </c>
      <c r="J106" s="14"/>
      <c r="K106" s="14"/>
      <c r="L106" s="14"/>
    </row>
    <row r="107" spans="3:12" ht="15">
      <c r="C107" s="244">
        <v>3</v>
      </c>
      <c r="D107" s="14"/>
      <c r="E107" s="14"/>
      <c r="F107" s="408">
        <v>20.95</v>
      </c>
      <c r="G107" s="408"/>
      <c r="I107" s="408">
        <v>125.1</v>
      </c>
      <c r="J107" s="14"/>
      <c r="K107" s="14"/>
      <c r="L107" s="14"/>
    </row>
    <row r="108" spans="3:12" ht="15">
      <c r="C108" s="244">
        <v>4</v>
      </c>
      <c r="D108" s="14"/>
      <c r="E108" s="14"/>
      <c r="F108" s="408">
        <v>20.95</v>
      </c>
      <c r="G108" s="408"/>
      <c r="I108" s="408">
        <v>208.5</v>
      </c>
      <c r="J108" s="14"/>
      <c r="K108" s="14"/>
      <c r="L108" s="14"/>
    </row>
    <row r="109" spans="3:12" ht="15">
      <c r="C109" s="244">
        <v>6</v>
      </c>
      <c r="D109" s="14"/>
      <c r="E109" s="14"/>
      <c r="F109" s="408">
        <v>20.95</v>
      </c>
      <c r="G109" s="408"/>
      <c r="I109" s="408">
        <v>417</v>
      </c>
      <c r="J109" s="14"/>
      <c r="K109" s="14"/>
      <c r="L109" s="14"/>
    </row>
    <row r="110" spans="3:12" ht="15">
      <c r="C110" s="244">
        <v>8</v>
      </c>
      <c r="D110" s="14"/>
      <c r="E110" s="14"/>
      <c r="F110" s="408">
        <v>20.95</v>
      </c>
      <c r="G110" s="408"/>
      <c r="I110" s="408">
        <v>667.2</v>
      </c>
      <c r="J110" s="14"/>
      <c r="K110" s="14"/>
      <c r="L110" s="14"/>
    </row>
    <row r="111" spans="3:12" ht="15">
      <c r="C111" s="244"/>
      <c r="D111" s="14"/>
      <c r="E111" s="14"/>
      <c r="F111" s="408"/>
      <c r="G111" s="408"/>
      <c r="I111" s="408"/>
      <c r="J111" s="14"/>
      <c r="K111" s="14"/>
      <c r="L111" s="14"/>
    </row>
    <row r="112" spans="3:12" ht="15">
      <c r="C112" s="14"/>
      <c r="D112" s="14"/>
      <c r="E112" s="14"/>
      <c r="F112" s="408"/>
      <c r="G112" s="408"/>
      <c r="I112" s="408"/>
      <c r="J112" s="14"/>
      <c r="K112" s="14"/>
      <c r="L112" s="14"/>
    </row>
    <row r="113" spans="3:12" ht="15">
      <c r="C113" s="14"/>
      <c r="D113" s="14"/>
      <c r="E113" s="14"/>
      <c r="F113" s="444" t="s">
        <v>179</v>
      </c>
      <c r="G113" s="444"/>
      <c r="H113" s="444"/>
      <c r="I113" s="14"/>
      <c r="J113" s="444" t="s">
        <v>180</v>
      </c>
      <c r="K113" s="444"/>
      <c r="L113" s="444"/>
    </row>
    <row r="114" spans="3:12" ht="15">
      <c r="C114" s="14"/>
      <c r="D114" s="14"/>
      <c r="E114" s="14"/>
      <c r="F114" s="422" t="s">
        <v>181</v>
      </c>
      <c r="G114" s="422"/>
      <c r="H114" s="422"/>
      <c r="I114" s="14"/>
      <c r="J114" s="422" t="s">
        <v>181</v>
      </c>
      <c r="K114" s="422"/>
      <c r="L114" s="422"/>
    </row>
    <row r="115" spans="3:12" ht="15">
      <c r="C115" s="412" t="s">
        <v>161</v>
      </c>
      <c r="D115" s="14"/>
      <c r="E115" s="14"/>
      <c r="F115" s="413" t="s">
        <v>182</v>
      </c>
      <c r="G115" s="413"/>
      <c r="H115" s="413" t="s">
        <v>163</v>
      </c>
      <c r="I115" s="14"/>
      <c r="J115" s="413" t="s">
        <v>182</v>
      </c>
      <c r="K115" s="413"/>
      <c r="L115" s="413" t="s">
        <v>163</v>
      </c>
    </row>
    <row r="116" spans="3:12" ht="15">
      <c r="C116" s="14"/>
      <c r="D116" s="14"/>
      <c r="E116" s="14"/>
      <c r="F116" s="14"/>
      <c r="G116" s="14"/>
      <c r="H116" s="14"/>
      <c r="I116" s="14"/>
      <c r="J116" s="14"/>
      <c r="K116" s="14"/>
      <c r="L116" s="14"/>
    </row>
    <row r="117" spans="3:12" ht="15">
      <c r="C117" s="14" t="s">
        <v>173</v>
      </c>
      <c r="D117" s="14"/>
      <c r="E117" s="14"/>
      <c r="F117" s="244" t="s">
        <v>172</v>
      </c>
      <c r="G117" s="419"/>
      <c r="H117" s="244" t="s">
        <v>172</v>
      </c>
      <c r="I117" s="14"/>
      <c r="J117" s="424" t="s">
        <v>178</v>
      </c>
      <c r="K117" s="419"/>
      <c r="L117" s="419"/>
    </row>
    <row r="118" spans="3:12" ht="15">
      <c r="C118" s="14" t="s">
        <v>174</v>
      </c>
      <c r="D118" s="14"/>
      <c r="E118" s="14"/>
      <c r="F118" s="423">
        <v>2.35</v>
      </c>
      <c r="G118" s="416"/>
      <c r="H118" s="418">
        <v>1.7625</v>
      </c>
      <c r="I118" s="14"/>
      <c r="J118" s="425" t="s">
        <v>178</v>
      </c>
      <c r="K118" s="416"/>
      <c r="L118" s="416"/>
    </row>
    <row r="119" spans="3:12" ht="15">
      <c r="C119" s="14" t="s">
        <v>184</v>
      </c>
      <c r="D119" s="14"/>
      <c r="E119" s="14"/>
      <c r="F119" s="408">
        <v>1.7</v>
      </c>
      <c r="G119" s="416"/>
      <c r="H119" s="415">
        <v>1.275</v>
      </c>
      <c r="I119" s="14"/>
      <c r="J119" s="425" t="s">
        <v>178</v>
      </c>
      <c r="K119" s="416"/>
      <c r="L119" s="416"/>
    </row>
    <row r="120" spans="3:12" ht="15">
      <c r="C120" s="14" t="s">
        <v>164</v>
      </c>
      <c r="D120" s="14"/>
      <c r="E120" s="14"/>
      <c r="F120" s="416">
        <v>0</v>
      </c>
      <c r="G120" s="416"/>
      <c r="H120" s="414">
        <v>0</v>
      </c>
      <c r="I120" s="14"/>
      <c r="J120" s="425" t="s">
        <v>178</v>
      </c>
      <c r="K120" s="416"/>
      <c r="L120" s="416"/>
    </row>
    <row r="121" spans="3:12" ht="15">
      <c r="C121" s="14"/>
      <c r="D121" s="14"/>
      <c r="E121" s="14"/>
      <c r="F121" s="416"/>
      <c r="G121" s="416"/>
      <c r="H121" s="414"/>
      <c r="I121" s="14"/>
      <c r="J121" s="416"/>
      <c r="K121" s="416"/>
      <c r="L121" s="416"/>
    </row>
    <row r="123" spans="3:12" ht="15">
      <c r="C123" s="484" t="s">
        <v>514</v>
      </c>
      <c r="D123" s="484"/>
      <c r="E123" s="484"/>
      <c r="F123" s="484"/>
      <c r="G123" s="484"/>
      <c r="H123" s="484"/>
      <c r="I123" s="484"/>
      <c r="J123" s="484"/>
      <c r="K123" s="484"/>
      <c r="L123" s="484"/>
    </row>
    <row r="125" spans="3:12" ht="15">
      <c r="C125" s="484" t="s">
        <v>158</v>
      </c>
      <c r="D125" s="484"/>
      <c r="E125" s="484"/>
      <c r="F125" s="484"/>
      <c r="G125" s="484"/>
      <c r="H125" s="484"/>
      <c r="I125" s="484"/>
      <c r="J125" s="484"/>
      <c r="K125" s="484"/>
      <c r="L125" s="484"/>
    </row>
    <row r="126" spans="3:12" ht="15">
      <c r="C126" s="482" t="s">
        <v>185</v>
      </c>
      <c r="D126" s="482"/>
      <c r="E126" s="482"/>
      <c r="F126" s="482"/>
      <c r="G126" s="482"/>
      <c r="H126" s="482"/>
      <c r="I126" s="482"/>
      <c r="J126" s="482"/>
      <c r="K126" s="482"/>
      <c r="L126" s="482"/>
    </row>
    <row r="127" spans="3:12" ht="15">
      <c r="C127" s="244"/>
      <c r="D127" s="244"/>
      <c r="E127" s="244"/>
      <c r="F127" s="244"/>
      <c r="G127" s="244"/>
      <c r="H127" s="244"/>
      <c r="I127" s="244"/>
      <c r="J127" s="244"/>
      <c r="K127" s="244"/>
      <c r="L127" s="244"/>
    </row>
    <row r="128" spans="3:12" ht="15">
      <c r="C128" s="14"/>
      <c r="D128" s="14"/>
      <c r="E128" s="14"/>
      <c r="F128" s="14"/>
      <c r="G128" s="14"/>
      <c r="H128" s="14"/>
      <c r="I128" s="14"/>
      <c r="J128" s="14"/>
      <c r="K128" s="14"/>
      <c r="L128" s="14"/>
    </row>
    <row r="129" spans="3:12" ht="15">
      <c r="C129" s="412" t="s">
        <v>160</v>
      </c>
      <c r="D129" s="14"/>
      <c r="E129" s="14"/>
      <c r="F129" s="14"/>
      <c r="G129" s="14"/>
      <c r="H129" s="14"/>
      <c r="I129" s="14"/>
      <c r="J129" s="14"/>
      <c r="K129" s="14"/>
      <c r="L129" s="14"/>
    </row>
    <row r="130" spans="3:12" ht="9.75" customHeight="1">
      <c r="C130" s="14"/>
      <c r="D130" s="14"/>
      <c r="E130" s="14"/>
      <c r="F130" s="244"/>
      <c r="G130" s="14"/>
      <c r="H130" s="14"/>
      <c r="I130" s="14"/>
      <c r="J130" s="14"/>
      <c r="K130" s="14"/>
      <c r="L130" s="14"/>
    </row>
    <row r="131" spans="3:12" ht="15">
      <c r="C131" s="244" t="s">
        <v>2</v>
      </c>
      <c r="D131" s="14"/>
      <c r="E131" s="14"/>
      <c r="F131" s="445" t="s">
        <v>188</v>
      </c>
      <c r="G131" s="445"/>
      <c r="H131" s="445"/>
      <c r="I131" s="445"/>
      <c r="J131" s="14"/>
      <c r="K131" s="14"/>
      <c r="L131" s="244" t="s">
        <v>371</v>
      </c>
    </row>
    <row r="132" spans="3:12" ht="15">
      <c r="C132" s="413" t="s">
        <v>603</v>
      </c>
      <c r="D132" s="14"/>
      <c r="E132" s="14"/>
      <c r="F132" s="413" t="s">
        <v>193</v>
      </c>
      <c r="G132" s="413"/>
      <c r="H132" s="413" t="s">
        <v>186</v>
      </c>
      <c r="I132" s="413" t="s">
        <v>187</v>
      </c>
      <c r="J132" s="14"/>
      <c r="K132" s="14"/>
      <c r="L132" s="413" t="s">
        <v>393</v>
      </c>
    </row>
    <row r="133" spans="3:12" ht="15">
      <c r="C133" s="14"/>
      <c r="D133" s="14"/>
      <c r="E133" s="14"/>
      <c r="F133" s="14"/>
      <c r="G133" s="14"/>
      <c r="J133" s="14"/>
      <c r="K133" s="14"/>
      <c r="L133" s="14"/>
    </row>
    <row r="134" spans="3:12" ht="15">
      <c r="C134" s="385" t="s">
        <v>4</v>
      </c>
      <c r="D134" s="14"/>
      <c r="E134" s="14"/>
      <c r="F134" s="409">
        <v>16.77</v>
      </c>
      <c r="G134" s="409"/>
      <c r="H134" s="409">
        <v>39.35</v>
      </c>
      <c r="I134" s="409">
        <v>22.68</v>
      </c>
      <c r="J134" s="14"/>
      <c r="K134" s="14"/>
      <c r="L134" s="409">
        <v>8.34</v>
      </c>
    </row>
    <row r="135" spans="3:12" ht="15">
      <c r="C135" s="385" t="s">
        <v>159</v>
      </c>
      <c r="D135" s="14"/>
      <c r="E135" s="14"/>
      <c r="F135" s="408">
        <v>16.77</v>
      </c>
      <c r="G135" s="408"/>
      <c r="H135" s="408">
        <v>39.35</v>
      </c>
      <c r="I135" s="408">
        <v>22.68</v>
      </c>
      <c r="J135" s="14"/>
      <c r="K135" s="14"/>
      <c r="L135" s="408">
        <v>12.51</v>
      </c>
    </row>
    <row r="136" spans="3:12" ht="15">
      <c r="C136" s="244">
        <v>1</v>
      </c>
      <c r="D136" s="14"/>
      <c r="E136" s="14"/>
      <c r="F136" s="408">
        <v>19.4</v>
      </c>
      <c r="G136" s="408"/>
      <c r="H136" s="408">
        <v>39.35</v>
      </c>
      <c r="I136" s="408">
        <v>22.68</v>
      </c>
      <c r="J136" s="14"/>
      <c r="K136" s="14"/>
      <c r="L136" s="408">
        <v>20.85</v>
      </c>
    </row>
    <row r="137" spans="3:12" ht="15">
      <c r="C137" s="385" t="s">
        <v>6</v>
      </c>
      <c r="D137" s="14"/>
      <c r="E137" s="14"/>
      <c r="F137" s="408">
        <v>19.4</v>
      </c>
      <c r="G137" s="408"/>
      <c r="H137" s="408">
        <v>39.35</v>
      </c>
      <c r="I137" s="408">
        <v>22.68</v>
      </c>
      <c r="J137" s="14"/>
      <c r="K137" s="14"/>
      <c r="L137" s="408">
        <v>41.7</v>
      </c>
    </row>
    <row r="138" spans="3:12" ht="15">
      <c r="C138" s="244">
        <v>2</v>
      </c>
      <c r="D138" s="14"/>
      <c r="E138" s="14"/>
      <c r="F138" s="408">
        <v>19.4</v>
      </c>
      <c r="G138" s="408"/>
      <c r="H138" s="408">
        <v>39.35</v>
      </c>
      <c r="I138" s="408">
        <v>22.68</v>
      </c>
      <c r="J138" s="14"/>
      <c r="K138" s="14"/>
      <c r="L138" s="408">
        <v>66.72</v>
      </c>
    </row>
    <row r="139" spans="3:12" ht="15">
      <c r="C139" s="244">
        <v>3</v>
      </c>
      <c r="D139" s="14"/>
      <c r="E139" s="14"/>
      <c r="F139" s="408">
        <v>19.4</v>
      </c>
      <c r="G139" s="408"/>
      <c r="H139" s="408">
        <v>39.35</v>
      </c>
      <c r="I139" s="408">
        <v>22.68</v>
      </c>
      <c r="J139" s="14"/>
      <c r="K139" s="14"/>
      <c r="L139" s="408">
        <v>125.1</v>
      </c>
    </row>
    <row r="140" spans="3:12" ht="15">
      <c r="C140" s="244">
        <v>4</v>
      </c>
      <c r="D140" s="14"/>
      <c r="E140" s="14"/>
      <c r="F140" s="408">
        <v>19.4</v>
      </c>
      <c r="G140" s="408"/>
      <c r="H140" s="408">
        <v>39.35</v>
      </c>
      <c r="I140" s="408">
        <v>22.68</v>
      </c>
      <c r="J140" s="14"/>
      <c r="K140" s="14"/>
      <c r="L140" s="408">
        <v>208.5</v>
      </c>
    </row>
    <row r="141" spans="3:12" ht="15">
      <c r="C141" s="244">
        <v>6</v>
      </c>
      <c r="D141" s="14"/>
      <c r="E141" s="14"/>
      <c r="F141" s="408">
        <v>19.4</v>
      </c>
      <c r="G141" s="408"/>
      <c r="H141" s="408">
        <v>39.35</v>
      </c>
      <c r="I141" s="408">
        <v>22.68</v>
      </c>
      <c r="J141" s="14"/>
      <c r="K141" s="14"/>
      <c r="L141" s="408">
        <v>417</v>
      </c>
    </row>
    <row r="142" spans="3:12" ht="15">
      <c r="C142" s="244">
        <v>8</v>
      </c>
      <c r="D142" s="14"/>
      <c r="E142" s="14"/>
      <c r="F142" s="408">
        <v>19.4</v>
      </c>
      <c r="G142" s="408"/>
      <c r="H142" s="408">
        <v>39.35</v>
      </c>
      <c r="I142" s="408">
        <v>22.68</v>
      </c>
      <c r="J142" s="14"/>
      <c r="K142" s="14"/>
      <c r="L142" s="408">
        <v>667.2</v>
      </c>
    </row>
    <row r="143" spans="3:12" ht="15">
      <c r="C143" s="244"/>
      <c r="D143" s="14"/>
      <c r="E143" s="14"/>
      <c r="F143" s="408"/>
      <c r="G143" s="408"/>
      <c r="I143" s="408"/>
      <c r="J143" s="14"/>
      <c r="K143" s="14"/>
      <c r="L143" s="14"/>
    </row>
    <row r="144" spans="3:12" ht="15">
      <c r="C144" s="14"/>
      <c r="D144" s="14"/>
      <c r="E144" s="14"/>
      <c r="F144" s="408"/>
      <c r="G144" s="408"/>
      <c r="I144" s="408"/>
      <c r="J144" s="14"/>
      <c r="K144" s="14"/>
      <c r="L144" s="14"/>
    </row>
    <row r="145" spans="3:12" ht="15">
      <c r="C145" s="14"/>
      <c r="D145" s="14"/>
      <c r="E145" s="14"/>
      <c r="F145" s="444" t="s">
        <v>179</v>
      </c>
      <c r="G145" s="444"/>
      <c r="H145" s="444"/>
      <c r="I145" s="14"/>
      <c r="J145" s="444" t="s">
        <v>180</v>
      </c>
      <c r="K145" s="444"/>
      <c r="L145" s="444"/>
    </row>
    <row r="146" spans="3:12" ht="15">
      <c r="C146" s="14" t="s">
        <v>193</v>
      </c>
      <c r="D146" s="14"/>
      <c r="E146" s="14"/>
      <c r="F146" s="422" t="s">
        <v>181</v>
      </c>
      <c r="G146" s="422"/>
      <c r="H146" s="422"/>
      <c r="I146" s="14"/>
      <c r="J146" s="422" t="s">
        <v>181</v>
      </c>
      <c r="K146" s="422"/>
      <c r="L146" s="422"/>
    </row>
    <row r="147" spans="3:12" ht="15">
      <c r="C147" s="412" t="s">
        <v>161</v>
      </c>
      <c r="D147" s="14"/>
      <c r="E147" s="14"/>
      <c r="F147" s="413" t="s">
        <v>182</v>
      </c>
      <c r="G147" s="413"/>
      <c r="H147" s="413" t="s">
        <v>163</v>
      </c>
      <c r="I147" s="14"/>
      <c r="J147" s="413" t="s">
        <v>182</v>
      </c>
      <c r="K147" s="413"/>
      <c r="L147" s="413" t="s">
        <v>163</v>
      </c>
    </row>
    <row r="148" spans="3:12" ht="8.25" customHeight="1">
      <c r="C148" s="14"/>
      <c r="D148" s="14"/>
      <c r="E148" s="14"/>
      <c r="F148" s="14"/>
      <c r="G148" s="14"/>
      <c r="H148" s="14"/>
      <c r="I148" s="14"/>
      <c r="J148" s="14"/>
      <c r="K148" s="14"/>
      <c r="L148" s="14"/>
    </row>
    <row r="149" spans="3:12" ht="15">
      <c r="C149" s="14" t="s">
        <v>173</v>
      </c>
      <c r="D149" s="14"/>
      <c r="E149" s="14"/>
      <c r="F149" s="244" t="s">
        <v>172</v>
      </c>
      <c r="G149" s="419"/>
      <c r="H149" s="244" t="s">
        <v>172</v>
      </c>
      <c r="I149" s="14"/>
      <c r="J149" s="424" t="s">
        <v>178</v>
      </c>
      <c r="K149" s="419"/>
      <c r="L149" s="419"/>
    </row>
    <row r="150" spans="3:12" ht="15">
      <c r="C150" s="14" t="s">
        <v>189</v>
      </c>
      <c r="D150" s="14"/>
      <c r="E150" s="14"/>
      <c r="F150" s="423">
        <v>6.26</v>
      </c>
      <c r="G150" s="416"/>
      <c r="H150" s="417">
        <v>4.695</v>
      </c>
      <c r="I150" s="14"/>
      <c r="J150" s="425" t="s">
        <v>178</v>
      </c>
      <c r="K150" s="416"/>
      <c r="L150" s="416"/>
    </row>
    <row r="151" spans="3:12" ht="15">
      <c r="C151" s="14" t="s">
        <v>174</v>
      </c>
      <c r="D151" s="14"/>
      <c r="E151" s="14"/>
      <c r="F151" s="408">
        <v>5.18</v>
      </c>
      <c r="G151" s="416"/>
      <c r="H151" s="414">
        <v>3.885</v>
      </c>
      <c r="I151" s="14"/>
      <c r="J151" s="425" t="s">
        <v>178</v>
      </c>
      <c r="K151" s="416"/>
      <c r="L151" s="416"/>
    </row>
    <row r="152" spans="3:12" ht="15">
      <c r="C152" s="14" t="s">
        <v>190</v>
      </c>
      <c r="D152" s="14"/>
      <c r="E152" s="14"/>
      <c r="F152" s="408">
        <v>4.2</v>
      </c>
      <c r="G152" s="416"/>
      <c r="H152" s="414">
        <v>3.15</v>
      </c>
      <c r="I152" s="14"/>
      <c r="J152" s="425" t="s">
        <v>178</v>
      </c>
      <c r="K152" s="416"/>
      <c r="L152" s="416"/>
    </row>
    <row r="153" spans="3:12" ht="15">
      <c r="C153" s="14" t="s">
        <v>175</v>
      </c>
      <c r="D153" s="14"/>
      <c r="E153" s="14"/>
      <c r="F153" s="408">
        <v>3.42</v>
      </c>
      <c r="G153" s="416"/>
      <c r="H153" s="414">
        <v>2.565</v>
      </c>
      <c r="I153" s="14"/>
      <c r="J153" s="425" t="s">
        <v>178</v>
      </c>
      <c r="K153" s="416"/>
      <c r="L153" s="416"/>
    </row>
    <row r="154" spans="3:12" ht="15">
      <c r="C154" s="14" t="s">
        <v>191</v>
      </c>
      <c r="D154" s="14"/>
      <c r="E154" s="14"/>
      <c r="F154" s="408">
        <v>3.1</v>
      </c>
      <c r="G154" s="416"/>
      <c r="H154" s="414">
        <v>2.325</v>
      </c>
      <c r="I154" s="14"/>
      <c r="J154" s="425" t="s">
        <v>178</v>
      </c>
      <c r="K154" s="416"/>
      <c r="L154" s="416"/>
    </row>
    <row r="155" spans="3:12" ht="15">
      <c r="C155" s="14" t="s">
        <v>192</v>
      </c>
      <c r="D155" s="14"/>
      <c r="E155" s="14"/>
      <c r="F155" s="408">
        <v>3.06</v>
      </c>
      <c r="G155" s="416"/>
      <c r="H155" s="414">
        <v>2.295</v>
      </c>
      <c r="I155" s="14"/>
      <c r="J155" s="425" t="s">
        <v>178</v>
      </c>
      <c r="K155" s="416"/>
      <c r="L155" s="416"/>
    </row>
    <row r="156" spans="3:12" ht="15">
      <c r="C156" s="14" t="s">
        <v>164</v>
      </c>
      <c r="D156" s="14"/>
      <c r="E156" s="14"/>
      <c r="F156" s="416">
        <v>0</v>
      </c>
      <c r="G156" s="416"/>
      <c r="H156" s="414">
        <v>0</v>
      </c>
      <c r="I156" s="14"/>
      <c r="J156" s="425" t="s">
        <v>178</v>
      </c>
      <c r="K156" s="416"/>
      <c r="L156" s="416"/>
    </row>
    <row r="157" spans="3:12" ht="15">
      <c r="C157" s="14"/>
      <c r="D157" s="14"/>
      <c r="E157" s="14"/>
      <c r="F157" s="416"/>
      <c r="G157" s="416"/>
      <c r="H157" s="414"/>
      <c r="I157" s="14"/>
      <c r="J157" s="416"/>
      <c r="K157" s="416"/>
      <c r="L157" s="416"/>
    </row>
    <row r="158" spans="3:12" ht="9.75" customHeight="1">
      <c r="C158" s="14"/>
      <c r="D158" s="14"/>
      <c r="E158" s="14"/>
      <c r="F158" s="408"/>
      <c r="G158" s="408"/>
      <c r="I158" s="14"/>
      <c r="J158" s="14"/>
      <c r="K158" s="14"/>
      <c r="L158" s="14"/>
    </row>
    <row r="159" spans="3:12" ht="15">
      <c r="C159" s="412" t="s">
        <v>196</v>
      </c>
      <c r="D159" s="14"/>
      <c r="E159" s="14"/>
      <c r="F159" s="413"/>
      <c r="G159" s="413"/>
      <c r="H159" s="413"/>
      <c r="I159" s="14"/>
      <c r="J159" s="413"/>
      <c r="K159" s="413"/>
      <c r="L159" s="413"/>
    </row>
    <row r="160" spans="3:12" ht="9" customHeight="1">
      <c r="C160" s="14"/>
      <c r="D160" s="14"/>
      <c r="E160" s="14"/>
      <c r="F160" s="14"/>
      <c r="G160" s="14"/>
      <c r="H160" s="14"/>
      <c r="I160" s="14"/>
      <c r="J160" s="14"/>
      <c r="K160" s="14"/>
      <c r="L160" s="14"/>
    </row>
    <row r="161" spans="3:12" ht="15">
      <c r="C161" s="14" t="s">
        <v>194</v>
      </c>
      <c r="D161" s="14"/>
      <c r="E161" s="14"/>
      <c r="F161" s="244" t="s">
        <v>172</v>
      </c>
      <c r="G161" s="419"/>
      <c r="H161" s="244" t="s">
        <v>172</v>
      </c>
      <c r="I161" s="14"/>
      <c r="J161" s="424" t="s">
        <v>178</v>
      </c>
      <c r="K161" s="419"/>
      <c r="L161" s="419"/>
    </row>
    <row r="162" spans="3:12" ht="15">
      <c r="C162" s="14" t="s">
        <v>174</v>
      </c>
      <c r="D162" s="14"/>
      <c r="E162" s="14"/>
      <c r="F162" s="423">
        <v>6.04</v>
      </c>
      <c r="G162" s="416"/>
      <c r="H162" s="418">
        <v>4.53</v>
      </c>
      <c r="I162" s="14"/>
      <c r="J162" s="425" t="s">
        <v>178</v>
      </c>
      <c r="K162" s="416"/>
      <c r="L162" s="416"/>
    </row>
    <row r="163" spans="3:12" ht="15">
      <c r="C163" s="14" t="s">
        <v>195</v>
      </c>
      <c r="D163" s="14"/>
      <c r="E163" s="14"/>
      <c r="F163" s="408">
        <v>4.55</v>
      </c>
      <c r="G163" s="416"/>
      <c r="H163" s="415">
        <v>3.4125</v>
      </c>
      <c r="I163" s="14"/>
      <c r="J163" s="425" t="s">
        <v>178</v>
      </c>
      <c r="K163" s="416"/>
      <c r="L163" s="416"/>
    </row>
    <row r="164" spans="3:12" ht="15">
      <c r="C164" s="14" t="s">
        <v>164</v>
      </c>
      <c r="D164" s="14"/>
      <c r="E164" s="14"/>
      <c r="F164" s="416">
        <v>0</v>
      </c>
      <c r="G164" s="416"/>
      <c r="H164" s="414">
        <v>0</v>
      </c>
      <c r="I164" s="14"/>
      <c r="J164" s="425" t="s">
        <v>178</v>
      </c>
      <c r="K164" s="416"/>
      <c r="L164" s="416"/>
    </row>
    <row r="165" spans="6:12" ht="15" customHeight="1">
      <c r="F165" s="416"/>
      <c r="G165" s="416"/>
      <c r="H165" s="414"/>
      <c r="I165" s="14"/>
      <c r="J165" s="416"/>
      <c r="K165" s="416"/>
      <c r="L165" s="416"/>
    </row>
    <row r="166" spans="3:12" ht="8.25" customHeight="1">
      <c r="C166" s="14"/>
      <c r="D166" s="14"/>
      <c r="E166" s="14"/>
      <c r="F166" s="408"/>
      <c r="G166" s="408"/>
      <c r="I166" s="14"/>
      <c r="J166" s="14"/>
      <c r="K166" s="14"/>
      <c r="L166" s="14"/>
    </row>
    <row r="167" spans="3:12" ht="15">
      <c r="C167" s="412" t="s">
        <v>197</v>
      </c>
      <c r="D167" s="14"/>
      <c r="E167" s="14"/>
      <c r="F167" s="413"/>
      <c r="G167" s="413"/>
      <c r="H167" s="413"/>
      <c r="I167" s="14"/>
      <c r="J167" s="413"/>
      <c r="K167" s="413"/>
      <c r="L167" s="413"/>
    </row>
    <row r="168" spans="3:12" ht="7.5" customHeight="1">
      <c r="C168" s="14"/>
      <c r="D168" s="14"/>
      <c r="E168" s="14"/>
      <c r="F168" s="14"/>
      <c r="G168" s="14"/>
      <c r="H168" s="14"/>
      <c r="I168" s="14"/>
      <c r="J168" s="14"/>
      <c r="K168" s="14"/>
      <c r="L168" s="14"/>
    </row>
    <row r="169" spans="3:12" ht="15">
      <c r="C169" s="14" t="s">
        <v>173</v>
      </c>
      <c r="D169" s="14"/>
      <c r="E169" s="14"/>
      <c r="F169" s="244" t="s">
        <v>172</v>
      </c>
      <c r="G169" s="419"/>
      <c r="H169" s="244" t="s">
        <v>172</v>
      </c>
      <c r="I169" s="14"/>
      <c r="J169" s="424" t="s">
        <v>178</v>
      </c>
      <c r="K169" s="419"/>
      <c r="L169" s="419"/>
    </row>
    <row r="170" spans="3:12" ht="15">
      <c r="C170" s="14" t="s">
        <v>174</v>
      </c>
      <c r="D170" s="14"/>
      <c r="E170" s="14"/>
      <c r="F170" s="423">
        <v>7.56</v>
      </c>
      <c r="G170" s="416"/>
      <c r="H170" s="418">
        <v>5.67</v>
      </c>
      <c r="I170" s="14"/>
      <c r="J170" s="425" t="s">
        <v>178</v>
      </c>
      <c r="K170" s="416"/>
      <c r="L170" s="416"/>
    </row>
    <row r="171" spans="3:12" ht="15">
      <c r="C171" s="14" t="s">
        <v>184</v>
      </c>
      <c r="D171" s="14"/>
      <c r="E171" s="14"/>
      <c r="F171" s="408">
        <v>4.55</v>
      </c>
      <c r="G171" s="416"/>
      <c r="H171" s="415">
        <v>3.4125</v>
      </c>
      <c r="I171" s="14"/>
      <c r="J171" s="425" t="s">
        <v>178</v>
      </c>
      <c r="K171" s="416"/>
      <c r="L171" s="416"/>
    </row>
    <row r="172" spans="3:12" ht="15">
      <c r="C172" s="14" t="s">
        <v>164</v>
      </c>
      <c r="D172" s="14"/>
      <c r="E172" s="14"/>
      <c r="F172" s="416">
        <v>0</v>
      </c>
      <c r="G172" s="416"/>
      <c r="H172" s="414">
        <v>0</v>
      </c>
      <c r="I172" s="14"/>
      <c r="J172" s="425" t="s">
        <v>178</v>
      </c>
      <c r="K172" s="416"/>
      <c r="L172" s="416"/>
    </row>
  </sheetData>
  <mergeCells count="21">
    <mergeCell ref="J29:L29"/>
    <mergeCell ref="F29:H29"/>
    <mergeCell ref="C7:L7"/>
    <mergeCell ref="C9:L9"/>
    <mergeCell ref="C10:L10"/>
    <mergeCell ref="C56:L56"/>
    <mergeCell ref="C58:L58"/>
    <mergeCell ref="C59:L59"/>
    <mergeCell ref="F78:H78"/>
    <mergeCell ref="J78:L78"/>
    <mergeCell ref="C91:L91"/>
    <mergeCell ref="C93:L93"/>
    <mergeCell ref="C94:L94"/>
    <mergeCell ref="F113:H113"/>
    <mergeCell ref="J113:L113"/>
    <mergeCell ref="C123:L123"/>
    <mergeCell ref="C125:L125"/>
    <mergeCell ref="C126:L126"/>
    <mergeCell ref="F145:H145"/>
    <mergeCell ref="J145:L145"/>
    <mergeCell ref="F131:I131"/>
  </mergeCells>
  <printOptions/>
  <pageMargins left="1" right="0.75" top="1" bottom="0.75" header="0.5" footer="0.5"/>
  <pageSetup horizontalDpi="600" verticalDpi="600" orientation="portrait" scale="95" r:id="rId1"/>
  <rowBreaks count="3" manualBreakCount="3">
    <brk id="55" min="2" max="11" man="1"/>
    <brk id="90" min="2" max="11" man="1"/>
    <brk id="122" min="2" max="11" man="1"/>
  </rowBreaks>
</worksheet>
</file>

<file path=xl/worksheets/sheet2.xml><?xml version="1.0" encoding="utf-8"?>
<worksheet xmlns="http://schemas.openxmlformats.org/spreadsheetml/2006/main" xmlns:r="http://schemas.openxmlformats.org/officeDocument/2006/relationships">
  <sheetPr>
    <pageSetUpPr fitToPage="1"/>
  </sheetPr>
  <dimension ref="A1:Y244"/>
  <sheetViews>
    <sheetView showOutlineSymbols="0" zoomScale="87" zoomScaleNormal="87" workbookViewId="0" topLeftCell="A1">
      <selection activeCell="F14" sqref="F14"/>
    </sheetView>
  </sheetViews>
  <sheetFormatPr defaultColWidth="8.88671875" defaultRowHeight="12.75"/>
  <cols>
    <col min="1" max="1" width="4.21484375" style="244" customWidth="1"/>
    <col min="2" max="2" width="1.2265625" style="14" customWidth="1"/>
    <col min="3" max="3" width="81.21484375" style="14" customWidth="1"/>
    <col min="4" max="4" width="12.77734375" style="14" customWidth="1"/>
    <col min="5" max="5" width="11.77734375" style="14" customWidth="1"/>
    <col min="6" max="6" width="13.21484375" style="14" customWidth="1"/>
    <col min="7" max="7" width="11.77734375" style="14" customWidth="1"/>
    <col min="8" max="8" width="2.77734375" style="14" customWidth="1"/>
    <col min="9" max="9" width="9.77734375" style="14" customWidth="1"/>
    <col min="10" max="11" width="7.77734375" style="14" customWidth="1"/>
    <col min="12" max="12" width="14.77734375" style="14" customWidth="1"/>
    <col min="13" max="13" width="10.77734375" style="14" customWidth="1"/>
    <col min="14" max="14" width="14.77734375" style="14" customWidth="1"/>
    <col min="15" max="15" width="8.77734375" style="14" customWidth="1"/>
    <col min="16" max="16" width="6.77734375" style="14" customWidth="1"/>
    <col min="17" max="17" width="9.77734375" style="14" customWidth="1"/>
    <col min="18" max="19" width="7.77734375" style="14" customWidth="1"/>
    <col min="20" max="20" width="14.77734375" style="14" customWidth="1"/>
    <col min="21" max="21" width="10.77734375" style="14" customWidth="1"/>
    <col min="22" max="22" width="14.77734375" style="14" customWidth="1"/>
    <col min="23" max="23" width="8.77734375" style="14" customWidth="1"/>
    <col min="24" max="24" width="5.77734375" style="14" customWidth="1"/>
    <col min="25" max="16384" width="9.77734375" style="14" customWidth="1"/>
  </cols>
  <sheetData>
    <row r="1" spans="1:3" ht="15">
      <c r="A1" s="482" t="s">
        <v>514</v>
      </c>
      <c r="B1" s="482"/>
      <c r="C1" s="482"/>
    </row>
    <row r="3" spans="1:3" ht="15">
      <c r="A3" s="481" t="s">
        <v>264</v>
      </c>
      <c r="B3" s="481"/>
      <c r="C3" s="481"/>
    </row>
    <row r="4" spans="4:25" ht="15">
      <c r="D4"/>
      <c r="E4"/>
      <c r="F4"/>
      <c r="G4"/>
      <c r="H4"/>
      <c r="I4"/>
      <c r="J4"/>
      <c r="K4" s="2"/>
      <c r="L4" s="2"/>
      <c r="M4" s="2"/>
      <c r="N4" s="2"/>
      <c r="O4" s="2"/>
      <c r="P4" s="2"/>
      <c r="Q4" s="2"/>
      <c r="R4" s="2"/>
      <c r="S4" s="2"/>
      <c r="T4" s="2"/>
      <c r="U4" s="2"/>
      <c r="V4" s="2"/>
      <c r="W4" s="2"/>
      <c r="X4" s="2"/>
      <c r="Y4" s="2"/>
    </row>
    <row r="5" spans="1:25" ht="15.75" thickBot="1">
      <c r="A5" s="480" t="s">
        <v>367</v>
      </c>
      <c r="B5" s="480"/>
      <c r="C5" s="480"/>
      <c r="D5"/>
      <c r="E5"/>
      <c r="F5"/>
      <c r="G5"/>
      <c r="H5"/>
      <c r="I5"/>
      <c r="J5"/>
      <c r="K5" s="2"/>
      <c r="L5" s="2"/>
      <c r="M5" s="2"/>
      <c r="N5" s="2"/>
      <c r="O5" s="2"/>
      <c r="P5" s="2"/>
      <c r="Q5" s="2"/>
      <c r="R5" s="2"/>
      <c r="S5" s="2"/>
      <c r="T5" s="2"/>
      <c r="U5" s="2"/>
      <c r="V5" s="2"/>
      <c r="W5" s="2"/>
      <c r="X5" s="2"/>
      <c r="Y5" s="2"/>
    </row>
    <row r="6" spans="1:25" ht="51.75" customHeight="1" thickBot="1" thickTop="1">
      <c r="A6" s="247"/>
      <c r="B6" s="247"/>
      <c r="C6" s="389" t="s">
        <v>287</v>
      </c>
      <c r="D6"/>
      <c r="E6"/>
      <c r="F6"/>
      <c r="G6"/>
      <c r="H6"/>
      <c r="I6"/>
      <c r="J6"/>
      <c r="K6" s="2"/>
      <c r="L6" s="2"/>
      <c r="M6" s="2"/>
      <c r="N6" s="2"/>
      <c r="O6" s="2"/>
      <c r="P6" s="2"/>
      <c r="Q6" s="2"/>
      <c r="R6" s="2"/>
      <c r="S6" s="2"/>
      <c r="T6" s="2"/>
      <c r="U6" s="2"/>
      <c r="V6" s="2"/>
      <c r="W6" s="2"/>
      <c r="X6" s="2"/>
      <c r="Y6" s="2"/>
    </row>
    <row r="7" spans="1:25" ht="15.75" thickTop="1">
      <c r="A7" s="247"/>
      <c r="B7" s="247"/>
      <c r="C7" s="247"/>
      <c r="D7"/>
      <c r="E7"/>
      <c r="F7"/>
      <c r="G7"/>
      <c r="H7"/>
      <c r="I7"/>
      <c r="J7"/>
      <c r="K7" s="2"/>
      <c r="L7" s="2"/>
      <c r="M7" s="2"/>
      <c r="N7" s="2"/>
      <c r="O7" s="2"/>
      <c r="P7" s="2"/>
      <c r="Q7" s="2"/>
      <c r="R7" s="2"/>
      <c r="S7" s="2"/>
      <c r="T7" s="2"/>
      <c r="U7" s="2"/>
      <c r="V7" s="2"/>
      <c r="W7" s="2"/>
      <c r="X7" s="2"/>
      <c r="Y7" s="2"/>
    </row>
    <row r="8" spans="1:25" ht="135" customHeight="1">
      <c r="A8" s="246">
        <v>1</v>
      </c>
      <c r="B8" s="247"/>
      <c r="C8" s="293" t="s">
        <v>385</v>
      </c>
      <c r="D8"/>
      <c r="E8"/>
      <c r="F8"/>
      <c r="G8"/>
      <c r="H8"/>
      <c r="I8"/>
      <c r="J8"/>
      <c r="K8" s="2"/>
      <c r="L8" s="2"/>
      <c r="M8" s="2"/>
      <c r="N8" s="2"/>
      <c r="O8" s="2"/>
      <c r="P8" s="2"/>
      <c r="Q8" s="2"/>
      <c r="R8" s="2"/>
      <c r="S8" s="2"/>
      <c r="T8" s="2"/>
      <c r="U8" s="2"/>
      <c r="V8" s="2"/>
      <c r="W8" s="2"/>
      <c r="X8" s="2"/>
      <c r="Y8" s="2"/>
    </row>
    <row r="9" spans="1:25" ht="9.75" customHeight="1">
      <c r="A9" s="247"/>
      <c r="B9" s="247"/>
      <c r="C9" s="293"/>
      <c r="D9"/>
      <c r="E9"/>
      <c r="F9"/>
      <c r="G9"/>
      <c r="H9"/>
      <c r="I9"/>
      <c r="J9"/>
      <c r="K9" s="2"/>
      <c r="L9" s="2"/>
      <c r="M9" s="2"/>
      <c r="N9" s="2"/>
      <c r="O9" s="2"/>
      <c r="P9" s="2"/>
      <c r="Q9" s="2"/>
      <c r="R9" s="2"/>
      <c r="S9" s="2"/>
      <c r="T9" s="2"/>
      <c r="U9" s="2"/>
      <c r="V9" s="2"/>
      <c r="W9" s="2"/>
      <c r="X9" s="2"/>
      <c r="Y9" s="2"/>
    </row>
    <row r="10" spans="1:25" ht="30" customHeight="1">
      <c r="A10" s="246">
        <v>2</v>
      </c>
      <c r="B10" s="247"/>
      <c r="C10" s="238" t="s">
        <v>382</v>
      </c>
      <c r="D10"/>
      <c r="E10"/>
      <c r="F10"/>
      <c r="G10"/>
      <c r="H10"/>
      <c r="I10"/>
      <c r="J10"/>
      <c r="K10" s="2"/>
      <c r="L10" s="2"/>
      <c r="M10" s="2"/>
      <c r="N10" s="2"/>
      <c r="O10" s="2"/>
      <c r="P10" s="2"/>
      <c r="Q10" s="2"/>
      <c r="R10" s="2"/>
      <c r="S10" s="2"/>
      <c r="T10" s="2"/>
      <c r="U10" s="2"/>
      <c r="V10" s="2"/>
      <c r="W10" s="2"/>
      <c r="X10" s="2"/>
      <c r="Y10" s="2"/>
    </row>
    <row r="11" spans="1:25" ht="9" customHeight="1">
      <c r="A11" s="246"/>
      <c r="B11" s="247"/>
      <c r="C11" s="293"/>
      <c r="D11"/>
      <c r="E11"/>
      <c r="F11"/>
      <c r="G11"/>
      <c r="H11"/>
      <c r="I11"/>
      <c r="J11"/>
      <c r="K11" s="2"/>
      <c r="L11" s="2"/>
      <c r="M11" s="2"/>
      <c r="N11" s="2"/>
      <c r="O11" s="2"/>
      <c r="P11" s="2"/>
      <c r="Q11" s="2"/>
      <c r="R11" s="2"/>
      <c r="S11" s="2"/>
      <c r="T11" s="2"/>
      <c r="U11" s="2"/>
      <c r="V11" s="2"/>
      <c r="W11" s="2"/>
      <c r="X11" s="2"/>
      <c r="Y11" s="2"/>
    </row>
    <row r="12" spans="1:25" ht="27.75" customHeight="1">
      <c r="A12" s="246">
        <v>3</v>
      </c>
      <c r="B12" s="247"/>
      <c r="C12" s="329" t="s">
        <v>383</v>
      </c>
      <c r="D12"/>
      <c r="E12"/>
      <c r="F12"/>
      <c r="G12"/>
      <c r="H12"/>
      <c r="I12"/>
      <c r="J12"/>
      <c r="K12" s="2"/>
      <c r="L12" s="2"/>
      <c r="M12" s="2"/>
      <c r="N12" s="2"/>
      <c r="O12" s="2"/>
      <c r="P12" s="2"/>
      <c r="Q12" s="2"/>
      <c r="R12" s="2"/>
      <c r="S12" s="2"/>
      <c r="T12" s="2"/>
      <c r="U12" s="2"/>
      <c r="V12" s="2"/>
      <c r="W12" s="2"/>
      <c r="X12" s="2"/>
      <c r="Y12" s="2"/>
    </row>
    <row r="13" spans="1:25" ht="8.25" customHeight="1">
      <c r="A13" s="246"/>
      <c r="B13" s="247"/>
      <c r="C13" s="293"/>
      <c r="D13"/>
      <c r="E13"/>
      <c r="F13"/>
      <c r="G13"/>
      <c r="H13"/>
      <c r="I13"/>
      <c r="J13"/>
      <c r="K13" s="2"/>
      <c r="L13" s="2"/>
      <c r="M13" s="2"/>
      <c r="N13" s="2"/>
      <c r="O13" s="2"/>
      <c r="P13" s="2"/>
      <c r="Q13" s="2"/>
      <c r="R13" s="2"/>
      <c r="S13" s="2"/>
      <c r="T13" s="2"/>
      <c r="U13" s="2"/>
      <c r="V13" s="2"/>
      <c r="W13" s="2"/>
      <c r="X13" s="2"/>
      <c r="Y13" s="2"/>
    </row>
    <row r="14" spans="1:25" ht="30" customHeight="1">
      <c r="A14" s="246">
        <v>4</v>
      </c>
      <c r="B14" s="247"/>
      <c r="C14" s="292" t="s">
        <v>386</v>
      </c>
      <c r="D14"/>
      <c r="E14"/>
      <c r="F14"/>
      <c r="G14"/>
      <c r="H14"/>
      <c r="I14"/>
      <c r="J14"/>
      <c r="K14" s="2"/>
      <c r="L14" s="2"/>
      <c r="M14" s="2"/>
      <c r="N14" s="2"/>
      <c r="O14" s="2"/>
      <c r="P14" s="2"/>
      <c r="Q14" s="2"/>
      <c r="R14" s="2"/>
      <c r="S14" s="2"/>
      <c r="T14" s="2"/>
      <c r="U14" s="2"/>
      <c r="V14" s="2"/>
      <c r="W14" s="2"/>
      <c r="X14" s="2"/>
      <c r="Y14" s="2"/>
    </row>
    <row r="15" spans="1:25" ht="6.75" customHeight="1">
      <c r="A15" s="246"/>
      <c r="B15" s="247"/>
      <c r="C15" s="292"/>
      <c r="D15"/>
      <c r="E15"/>
      <c r="F15"/>
      <c r="G15"/>
      <c r="H15"/>
      <c r="I15"/>
      <c r="J15"/>
      <c r="K15" s="2"/>
      <c r="L15" s="2"/>
      <c r="M15" s="2"/>
      <c r="N15" s="2"/>
      <c r="O15" s="2"/>
      <c r="P15" s="2"/>
      <c r="Q15" s="2"/>
      <c r="R15" s="2"/>
      <c r="S15" s="2"/>
      <c r="T15" s="2"/>
      <c r="U15" s="2"/>
      <c r="V15" s="2"/>
      <c r="W15" s="2"/>
      <c r="X15" s="2"/>
      <c r="Y15" s="2"/>
    </row>
    <row r="16" spans="1:25" ht="18.75" customHeight="1">
      <c r="A16" s="246">
        <v>5</v>
      </c>
      <c r="B16" s="247"/>
      <c r="C16" s="330" t="s">
        <v>387</v>
      </c>
      <c r="D16"/>
      <c r="E16"/>
      <c r="F16"/>
      <c r="G16"/>
      <c r="H16"/>
      <c r="I16"/>
      <c r="J16"/>
      <c r="K16" s="2"/>
      <c r="L16" s="2"/>
      <c r="M16" s="2"/>
      <c r="N16" s="2"/>
      <c r="O16" s="2"/>
      <c r="P16" s="2"/>
      <c r="Q16" s="2"/>
      <c r="R16" s="2"/>
      <c r="S16" s="2"/>
      <c r="T16" s="2"/>
      <c r="U16" s="2"/>
      <c r="V16" s="2"/>
      <c r="W16" s="2"/>
      <c r="X16" s="2"/>
      <c r="Y16" s="2"/>
    </row>
    <row r="17" spans="1:25" ht="6" customHeight="1">
      <c r="A17" s="246"/>
      <c r="B17" s="247"/>
      <c r="C17" s="292"/>
      <c r="D17"/>
      <c r="E17"/>
      <c r="F17"/>
      <c r="G17"/>
      <c r="H17"/>
      <c r="I17"/>
      <c r="J17"/>
      <c r="K17" s="2"/>
      <c r="L17" s="2"/>
      <c r="M17" s="2"/>
      <c r="N17" s="2"/>
      <c r="O17" s="2"/>
      <c r="P17" s="2"/>
      <c r="Q17" s="2"/>
      <c r="R17" s="2"/>
      <c r="S17" s="2"/>
      <c r="T17" s="2"/>
      <c r="U17" s="2"/>
      <c r="V17" s="2"/>
      <c r="W17" s="2"/>
      <c r="X17" s="2"/>
      <c r="Y17" s="2"/>
    </row>
    <row r="18" spans="1:25" ht="25.5">
      <c r="A18" s="246">
        <v>7</v>
      </c>
      <c r="B18" s="237"/>
      <c r="C18" s="238" t="s">
        <v>384</v>
      </c>
      <c r="D18"/>
      <c r="E18"/>
      <c r="F18"/>
      <c r="G18"/>
      <c r="H18"/>
      <c r="I18"/>
      <c r="J18"/>
      <c r="K18" s="2"/>
      <c r="L18" s="2"/>
      <c r="M18" s="2"/>
      <c r="N18" s="2"/>
      <c r="O18" s="2"/>
      <c r="P18" s="2"/>
      <c r="Q18" s="2"/>
      <c r="R18" s="2"/>
      <c r="S18" s="2"/>
      <c r="T18" s="2"/>
      <c r="U18" s="2"/>
      <c r="V18" s="2"/>
      <c r="W18" s="2"/>
      <c r="X18" s="2"/>
      <c r="Y18" s="2"/>
    </row>
    <row r="19" spans="1:25" ht="6.75" customHeight="1">
      <c r="A19" s="246"/>
      <c r="B19" s="237"/>
      <c r="C19" s="238"/>
      <c r="D19"/>
      <c r="E19"/>
      <c r="F19"/>
      <c r="G19"/>
      <c r="H19"/>
      <c r="I19"/>
      <c r="J19"/>
      <c r="K19" s="2"/>
      <c r="L19" s="2"/>
      <c r="M19" s="2"/>
      <c r="N19" s="2"/>
      <c r="O19" s="2"/>
      <c r="P19" s="2"/>
      <c r="Q19" s="2"/>
      <c r="R19" s="2"/>
      <c r="S19" s="2"/>
      <c r="T19" s="2"/>
      <c r="U19" s="2"/>
      <c r="V19" s="2"/>
      <c r="W19" s="2"/>
      <c r="X19" s="2"/>
      <c r="Y19" s="2"/>
    </row>
    <row r="20" spans="1:25" ht="38.25">
      <c r="A20" s="246">
        <v>8</v>
      </c>
      <c r="B20" s="237"/>
      <c r="C20" s="238" t="s">
        <v>256</v>
      </c>
      <c r="D20"/>
      <c r="E20"/>
      <c r="F20"/>
      <c r="G20"/>
      <c r="H20"/>
      <c r="I20"/>
      <c r="J20"/>
      <c r="K20" s="2"/>
      <c r="L20" s="2"/>
      <c r="M20" s="2"/>
      <c r="N20" s="2"/>
      <c r="O20" s="2"/>
      <c r="P20" s="2"/>
      <c r="Q20" s="2"/>
      <c r="R20" s="2"/>
      <c r="S20" s="2"/>
      <c r="T20" s="2"/>
      <c r="U20" s="2"/>
      <c r="V20" s="2"/>
      <c r="W20" s="2"/>
      <c r="X20" s="2"/>
      <c r="Y20" s="2"/>
    </row>
    <row r="21" spans="1:25" ht="8.25" customHeight="1">
      <c r="A21" s="122"/>
      <c r="B21" s="113"/>
      <c r="C21" s="238"/>
      <c r="D21"/>
      <c r="E21"/>
      <c r="F21"/>
      <c r="G21"/>
      <c r="H21"/>
      <c r="I21"/>
      <c r="J21"/>
      <c r="K21" s="2"/>
      <c r="L21" s="2"/>
      <c r="M21" s="2"/>
      <c r="N21" s="2"/>
      <c r="O21" s="2"/>
      <c r="P21" s="2"/>
      <c r="Q21" s="2"/>
      <c r="R21" s="2"/>
      <c r="S21" s="2"/>
      <c r="T21" s="2"/>
      <c r="U21" s="2"/>
      <c r="V21" s="2"/>
      <c r="W21" s="2"/>
      <c r="X21" s="2"/>
      <c r="Y21" s="2"/>
    </row>
    <row r="22" spans="1:25" ht="15">
      <c r="A22" s="246">
        <v>9</v>
      </c>
      <c r="B22" s="237"/>
      <c r="C22" s="238" t="s">
        <v>289</v>
      </c>
      <c r="D22"/>
      <c r="E22"/>
      <c r="F22"/>
      <c r="G22"/>
      <c r="H22"/>
      <c r="I22"/>
      <c r="J22"/>
      <c r="K22" s="2"/>
      <c r="L22" s="2"/>
      <c r="M22" s="2"/>
      <c r="N22" s="2"/>
      <c r="O22" s="2"/>
      <c r="P22" s="2"/>
      <c r="Q22" s="2"/>
      <c r="R22" s="2"/>
      <c r="S22" s="2"/>
      <c r="T22" s="2"/>
      <c r="U22" s="2"/>
      <c r="V22" s="2"/>
      <c r="W22" s="2"/>
      <c r="X22" s="2"/>
      <c r="Y22" s="2"/>
    </row>
    <row r="23" spans="1:25" ht="6.75" customHeight="1">
      <c r="A23" s="246"/>
      <c r="B23" s="237"/>
      <c r="C23" s="238"/>
      <c r="D23"/>
      <c r="E23"/>
      <c r="F23"/>
      <c r="G23"/>
      <c r="H23"/>
      <c r="I23"/>
      <c r="J23"/>
      <c r="K23" s="2"/>
      <c r="L23" s="2"/>
      <c r="M23" s="2"/>
      <c r="N23" s="2"/>
      <c r="O23" s="2"/>
      <c r="P23" s="2"/>
      <c r="Q23" s="2"/>
      <c r="R23" s="2"/>
      <c r="S23" s="2"/>
      <c r="T23" s="2"/>
      <c r="U23" s="2"/>
      <c r="V23" s="2"/>
      <c r="W23" s="2"/>
      <c r="X23" s="2"/>
      <c r="Y23" s="2"/>
    </row>
    <row r="24" spans="1:25" ht="38.25">
      <c r="A24" s="246">
        <v>10</v>
      </c>
      <c r="B24" s="237"/>
      <c r="C24" s="239" t="s">
        <v>258</v>
      </c>
      <c r="D24"/>
      <c r="E24"/>
      <c r="F24"/>
      <c r="G24"/>
      <c r="H24"/>
      <c r="I24"/>
      <c r="J24"/>
      <c r="K24" s="2"/>
      <c r="L24" s="2"/>
      <c r="M24" s="2"/>
      <c r="N24" s="2"/>
      <c r="O24" s="2"/>
      <c r="P24" s="2"/>
      <c r="Q24" s="2"/>
      <c r="R24" s="2"/>
      <c r="S24" s="2"/>
      <c r="T24" s="2"/>
      <c r="U24" s="2"/>
      <c r="V24" s="2"/>
      <c r="W24" s="2"/>
      <c r="X24" s="2"/>
      <c r="Y24" s="2"/>
    </row>
    <row r="25" spans="1:25" ht="8.25" customHeight="1">
      <c r="A25" s="122"/>
      <c r="B25" s="113"/>
      <c r="C25" s="239"/>
      <c r="D25"/>
      <c r="E25"/>
      <c r="F25"/>
      <c r="G25"/>
      <c r="H25"/>
      <c r="I25"/>
      <c r="J25"/>
      <c r="K25" s="2"/>
      <c r="L25" s="2"/>
      <c r="M25" s="2"/>
      <c r="N25" s="2"/>
      <c r="O25" s="2"/>
      <c r="P25" s="2"/>
      <c r="Q25" s="2"/>
      <c r="R25" s="2"/>
      <c r="S25" s="2"/>
      <c r="T25" s="2"/>
      <c r="U25" s="2"/>
      <c r="V25" s="2"/>
      <c r="W25" s="2"/>
      <c r="X25" s="2"/>
      <c r="Y25" s="2"/>
    </row>
    <row r="26" spans="1:25" ht="25.5">
      <c r="A26" s="246">
        <v>11</v>
      </c>
      <c r="B26" s="113"/>
      <c r="C26" s="238" t="s">
        <v>288</v>
      </c>
      <c r="D26"/>
      <c r="E26"/>
      <c r="F26"/>
      <c r="G26"/>
      <c r="H26"/>
      <c r="I26"/>
      <c r="J26"/>
      <c r="K26" s="2"/>
      <c r="L26" s="2"/>
      <c r="M26" s="2"/>
      <c r="N26" s="2"/>
      <c r="O26" s="2"/>
      <c r="P26" s="2"/>
      <c r="Q26" s="2"/>
      <c r="R26" s="2"/>
      <c r="S26" s="2"/>
      <c r="T26" s="2"/>
      <c r="U26" s="2"/>
      <c r="V26" s="2"/>
      <c r="W26" s="2"/>
      <c r="X26" s="2"/>
      <c r="Y26" s="2"/>
    </row>
    <row r="27" spans="1:25" ht="6.75" customHeight="1">
      <c r="A27" s="246"/>
      <c r="B27" s="113"/>
      <c r="C27" s="239"/>
      <c r="D27"/>
      <c r="E27"/>
      <c r="F27"/>
      <c r="G27"/>
      <c r="H27"/>
      <c r="I27"/>
      <c r="J27"/>
      <c r="K27" s="2"/>
      <c r="L27" s="2"/>
      <c r="M27" s="2"/>
      <c r="N27" s="2"/>
      <c r="O27" s="2"/>
      <c r="P27" s="2"/>
      <c r="Q27" s="2"/>
      <c r="R27" s="2"/>
      <c r="S27" s="2"/>
      <c r="T27" s="2"/>
      <c r="U27" s="2"/>
      <c r="V27" s="2"/>
      <c r="W27" s="2"/>
      <c r="X27" s="2"/>
      <c r="Y27" s="2"/>
    </row>
    <row r="28" spans="1:25" ht="38.25">
      <c r="A28" s="246">
        <v>12</v>
      </c>
      <c r="B28" s="237"/>
      <c r="C28" s="239" t="s">
        <v>290</v>
      </c>
      <c r="D28"/>
      <c r="E28"/>
      <c r="F28"/>
      <c r="G28"/>
      <c r="H28"/>
      <c r="I28"/>
      <c r="J28"/>
      <c r="K28" s="2"/>
      <c r="L28" s="2"/>
      <c r="M28" s="2"/>
      <c r="N28" s="2"/>
      <c r="O28" s="2"/>
      <c r="P28" s="2"/>
      <c r="Q28" s="2"/>
      <c r="R28" s="2"/>
      <c r="S28" s="2"/>
      <c r="T28" s="2"/>
      <c r="U28" s="2"/>
      <c r="V28" s="2"/>
      <c r="W28" s="2"/>
      <c r="X28" s="2"/>
      <c r="Y28" s="2"/>
    </row>
    <row r="29" spans="1:25" ht="8.25" customHeight="1">
      <c r="A29" s="122"/>
      <c r="B29" s="237"/>
      <c r="C29" s="239"/>
      <c r="D29"/>
      <c r="E29"/>
      <c r="F29"/>
      <c r="G29"/>
      <c r="H29"/>
      <c r="I29"/>
      <c r="J29"/>
      <c r="K29" s="2"/>
      <c r="L29" s="2"/>
      <c r="M29" s="2"/>
      <c r="N29" s="2"/>
      <c r="O29" s="2"/>
      <c r="P29" s="2"/>
      <c r="Q29" s="2"/>
      <c r="R29" s="2"/>
      <c r="S29" s="2"/>
      <c r="T29" s="2"/>
      <c r="U29" s="2"/>
      <c r="V29" s="2"/>
      <c r="W29" s="2"/>
      <c r="X29" s="2"/>
      <c r="Y29" s="2"/>
    </row>
    <row r="30" spans="1:25" ht="76.5">
      <c r="A30" s="246">
        <v>13</v>
      </c>
      <c r="B30" s="237"/>
      <c r="C30" s="238" t="s">
        <v>368</v>
      </c>
      <c r="D30"/>
      <c r="E30"/>
      <c r="F30"/>
      <c r="G30"/>
      <c r="H30"/>
      <c r="I30"/>
      <c r="J30"/>
      <c r="K30" s="2"/>
      <c r="L30" s="2"/>
      <c r="M30" s="2"/>
      <c r="N30" s="2"/>
      <c r="O30" s="2"/>
      <c r="P30" s="2"/>
      <c r="Q30" s="2"/>
      <c r="R30" s="2"/>
      <c r="S30" s="2"/>
      <c r="T30" s="2"/>
      <c r="U30" s="2"/>
      <c r="V30" s="2"/>
      <c r="W30" s="2"/>
      <c r="X30" s="2"/>
      <c r="Y30" s="2"/>
    </row>
    <row r="31" spans="1:25" ht="6.75" customHeight="1">
      <c r="A31" s="246"/>
      <c r="B31" s="113"/>
      <c r="C31" s="238"/>
      <c r="D31"/>
      <c r="E31"/>
      <c r="F31"/>
      <c r="G31"/>
      <c r="H31"/>
      <c r="I31"/>
      <c r="J31"/>
      <c r="K31" s="2"/>
      <c r="L31" s="2"/>
      <c r="M31" s="2"/>
      <c r="N31" s="2"/>
      <c r="O31" s="2"/>
      <c r="P31" s="2"/>
      <c r="Q31" s="2"/>
      <c r="R31" s="2"/>
      <c r="S31" s="2"/>
      <c r="T31" s="2"/>
      <c r="U31" s="2"/>
      <c r="V31" s="2"/>
      <c r="W31" s="2"/>
      <c r="X31" s="2"/>
      <c r="Y31" s="2"/>
    </row>
    <row r="32" spans="1:25" ht="38.25">
      <c r="A32" s="246">
        <v>14</v>
      </c>
      <c r="B32" s="237"/>
      <c r="C32" s="238" t="s">
        <v>257</v>
      </c>
      <c r="D32"/>
      <c r="E32"/>
      <c r="F32"/>
      <c r="G32"/>
      <c r="H32"/>
      <c r="I32"/>
      <c r="J32"/>
      <c r="K32" s="2"/>
      <c r="L32" s="2"/>
      <c r="M32" s="2"/>
      <c r="N32" s="2"/>
      <c r="O32" s="2"/>
      <c r="P32" s="2"/>
      <c r="Q32" s="2"/>
      <c r="R32" s="2"/>
      <c r="S32" s="2"/>
      <c r="T32" s="2"/>
      <c r="U32" s="2"/>
      <c r="V32" s="2"/>
      <c r="W32" s="2"/>
      <c r="X32" s="2"/>
      <c r="Y32" s="2"/>
    </row>
    <row r="33" spans="1:25" ht="9" customHeight="1">
      <c r="A33" s="122"/>
      <c r="B33" s="237"/>
      <c r="C33" s="238"/>
      <c r="D33"/>
      <c r="E33"/>
      <c r="F33"/>
      <c r="G33"/>
      <c r="H33"/>
      <c r="I33"/>
      <c r="J33"/>
      <c r="K33" s="2"/>
      <c r="L33" s="2"/>
      <c r="M33" s="2"/>
      <c r="N33" s="2"/>
      <c r="O33" s="2"/>
      <c r="P33" s="2"/>
      <c r="Q33" s="2"/>
      <c r="R33" s="2"/>
      <c r="S33" s="2"/>
      <c r="T33" s="2"/>
      <c r="U33" s="2"/>
      <c r="V33" s="2"/>
      <c r="W33" s="2"/>
      <c r="X33" s="2"/>
      <c r="Y33" s="2"/>
    </row>
    <row r="34" spans="1:25" ht="69" customHeight="1">
      <c r="A34" s="246">
        <v>15</v>
      </c>
      <c r="B34" s="237"/>
      <c r="C34" s="238" t="s">
        <v>392</v>
      </c>
      <c r="D34"/>
      <c r="E34"/>
      <c r="F34"/>
      <c r="G34"/>
      <c r="H34"/>
      <c r="I34"/>
      <c r="J34"/>
      <c r="K34" s="2"/>
      <c r="L34" s="2"/>
      <c r="M34" s="2"/>
      <c r="N34" s="2"/>
      <c r="O34" s="2"/>
      <c r="P34" s="2"/>
      <c r="Q34" s="2"/>
      <c r="R34" s="2"/>
      <c r="S34" s="2"/>
      <c r="T34" s="2"/>
      <c r="U34" s="2"/>
      <c r="V34" s="2"/>
      <c r="W34" s="2"/>
      <c r="X34" s="2"/>
      <c r="Y34" s="2"/>
    </row>
    <row r="35" spans="1:25" ht="38.25">
      <c r="A35" s="246"/>
      <c r="B35" s="237"/>
      <c r="C35" s="238" t="s">
        <v>390</v>
      </c>
      <c r="D35"/>
      <c r="E35"/>
      <c r="F35"/>
      <c r="G35"/>
      <c r="H35"/>
      <c r="I35"/>
      <c r="J35"/>
      <c r="K35" s="2"/>
      <c r="L35" s="2"/>
      <c r="M35" s="2"/>
      <c r="N35" s="2"/>
      <c r="O35" s="2"/>
      <c r="P35" s="2"/>
      <c r="Q35" s="2"/>
      <c r="R35" s="2"/>
      <c r="S35" s="2"/>
      <c r="T35" s="2"/>
      <c r="U35" s="2"/>
      <c r="V35" s="2"/>
      <c r="W35" s="2"/>
      <c r="X35" s="2"/>
      <c r="Y35" s="2"/>
    </row>
    <row r="36" spans="1:25" ht="38.25">
      <c r="A36" s="246"/>
      <c r="B36" s="237"/>
      <c r="C36" s="240" t="s">
        <v>391</v>
      </c>
      <c r="D36"/>
      <c r="E36"/>
      <c r="F36"/>
      <c r="G36"/>
      <c r="H36"/>
      <c r="I36"/>
      <c r="J36"/>
      <c r="K36" s="2"/>
      <c r="L36" s="2"/>
      <c r="M36" s="2"/>
      <c r="N36" s="2"/>
      <c r="O36" s="2"/>
      <c r="P36" s="2"/>
      <c r="Q36" s="2"/>
      <c r="R36" s="2"/>
      <c r="S36" s="2"/>
      <c r="T36" s="2"/>
      <c r="U36" s="2"/>
      <c r="V36" s="2"/>
      <c r="W36" s="2"/>
      <c r="X36" s="2"/>
      <c r="Y36" s="2"/>
    </row>
    <row r="37" spans="1:25" ht="15">
      <c r="A37" s="246"/>
      <c r="B37" s="237"/>
      <c r="C37" s="240"/>
      <c r="D37"/>
      <c r="E37"/>
      <c r="F37"/>
      <c r="G37"/>
      <c r="H37"/>
      <c r="I37"/>
      <c r="J37"/>
      <c r="K37" s="2"/>
      <c r="L37" s="2"/>
      <c r="M37" s="2"/>
      <c r="N37" s="2"/>
      <c r="O37" s="2"/>
      <c r="P37" s="2"/>
      <c r="Q37" s="2"/>
      <c r="R37" s="2"/>
      <c r="S37" s="2"/>
      <c r="T37" s="2"/>
      <c r="U37" s="2"/>
      <c r="V37" s="2"/>
      <c r="W37" s="2"/>
      <c r="X37" s="2"/>
      <c r="Y37" s="2"/>
    </row>
    <row r="38" spans="1:25" ht="51">
      <c r="A38" s="246">
        <v>16</v>
      </c>
      <c r="B38" s="237"/>
      <c r="C38" s="240" t="s">
        <v>380</v>
      </c>
      <c r="D38"/>
      <c r="E38"/>
      <c r="F38"/>
      <c r="G38"/>
      <c r="H38"/>
      <c r="I38"/>
      <c r="J38"/>
      <c r="K38" s="2"/>
      <c r="L38" s="2"/>
      <c r="M38" s="2"/>
      <c r="N38" s="2"/>
      <c r="O38" s="2"/>
      <c r="P38" s="2"/>
      <c r="Q38" s="2"/>
      <c r="R38" s="2"/>
      <c r="S38" s="2"/>
      <c r="T38" s="2"/>
      <c r="U38" s="2"/>
      <c r="V38" s="2"/>
      <c r="W38" s="2"/>
      <c r="X38" s="2"/>
      <c r="Y38" s="2"/>
    </row>
    <row r="39" spans="1:25" ht="15">
      <c r="A39" s="246"/>
      <c r="B39" s="237"/>
      <c r="C39" s="240"/>
      <c r="D39"/>
      <c r="E39"/>
      <c r="F39"/>
      <c r="G39"/>
      <c r="H39"/>
      <c r="I39"/>
      <c r="J39"/>
      <c r="K39" s="2"/>
      <c r="L39" s="2"/>
      <c r="M39" s="2"/>
      <c r="N39" s="2"/>
      <c r="O39" s="2"/>
      <c r="P39" s="2"/>
      <c r="Q39" s="2"/>
      <c r="R39" s="2"/>
      <c r="S39" s="2"/>
      <c r="T39" s="2"/>
      <c r="U39" s="2"/>
      <c r="V39" s="2"/>
      <c r="W39" s="2"/>
      <c r="X39" s="2"/>
      <c r="Y39" s="2"/>
    </row>
    <row r="40" spans="1:25" ht="15">
      <c r="A40" s="246"/>
      <c r="B40" s="237"/>
      <c r="C40" s="240"/>
      <c r="D40"/>
      <c r="E40"/>
      <c r="F40"/>
      <c r="G40"/>
      <c r="H40"/>
      <c r="I40"/>
      <c r="J40"/>
      <c r="K40" s="2"/>
      <c r="L40" s="2"/>
      <c r="M40" s="2"/>
      <c r="N40" s="2"/>
      <c r="O40" s="2"/>
      <c r="P40" s="2"/>
      <c r="Q40" s="2"/>
      <c r="R40" s="2"/>
      <c r="S40" s="2"/>
      <c r="T40" s="2"/>
      <c r="U40" s="2"/>
      <c r="V40" s="2"/>
      <c r="W40" s="2"/>
      <c r="X40" s="2"/>
      <c r="Y40" s="2"/>
    </row>
    <row r="41" spans="1:25" ht="38.25">
      <c r="A41" s="111"/>
      <c r="B41"/>
      <c r="C41" s="390" t="s">
        <v>287</v>
      </c>
      <c r="D41"/>
      <c r="E41"/>
      <c r="F41"/>
      <c r="G41"/>
      <c r="H41"/>
      <c r="I41"/>
      <c r="J41"/>
      <c r="K41" s="2"/>
      <c r="L41" s="2"/>
      <c r="M41" s="2"/>
      <c r="N41" s="2"/>
      <c r="O41" s="2"/>
      <c r="P41" s="2"/>
      <c r="Q41" s="2"/>
      <c r="R41" s="2"/>
      <c r="S41" s="2"/>
      <c r="T41" s="2"/>
      <c r="U41" s="2"/>
      <c r="V41" s="2"/>
      <c r="W41" s="2"/>
      <c r="X41" s="2"/>
      <c r="Y41" s="2"/>
    </row>
    <row r="42" spans="1:25" ht="15">
      <c r="A42" s="111"/>
      <c r="B42"/>
      <c r="C42"/>
      <c r="D42"/>
      <c r="E42"/>
      <c r="F42"/>
      <c r="G42"/>
      <c r="H42"/>
      <c r="I42"/>
      <c r="J42"/>
      <c r="K42" s="2"/>
      <c r="L42" s="2"/>
      <c r="M42" s="2"/>
      <c r="N42" s="2"/>
      <c r="O42" s="2"/>
      <c r="P42" s="2"/>
      <c r="Q42" s="2"/>
      <c r="R42" s="2"/>
      <c r="S42" s="2"/>
      <c r="T42" s="2"/>
      <c r="U42" s="2"/>
      <c r="V42" s="2"/>
      <c r="W42" s="2"/>
      <c r="X42" s="2"/>
      <c r="Y42" s="2"/>
    </row>
    <row r="43" spans="1:25" ht="15">
      <c r="A43" s="111"/>
      <c r="B43"/>
      <c r="C43"/>
      <c r="D43"/>
      <c r="E43"/>
      <c r="F43"/>
      <c r="G43"/>
      <c r="H43"/>
      <c r="I43"/>
      <c r="J43"/>
      <c r="K43" s="2"/>
      <c r="L43" s="2"/>
      <c r="M43" s="2"/>
      <c r="N43" s="2"/>
      <c r="O43" s="2"/>
      <c r="P43" s="2"/>
      <c r="Q43" s="2"/>
      <c r="R43" s="2"/>
      <c r="S43" s="2"/>
      <c r="T43" s="2"/>
      <c r="U43" s="2"/>
      <c r="V43" s="2"/>
      <c r="W43" s="2"/>
      <c r="X43" s="2"/>
      <c r="Y43" s="2"/>
    </row>
    <row r="44" spans="1:25" ht="15">
      <c r="A44" s="111"/>
      <c r="B44"/>
      <c r="D44"/>
      <c r="E44"/>
      <c r="F44"/>
      <c r="G44"/>
      <c r="H44"/>
      <c r="I44"/>
      <c r="J44"/>
      <c r="K44" s="2"/>
      <c r="L44" s="2"/>
      <c r="M44" s="2"/>
      <c r="N44" s="2"/>
      <c r="O44" s="2"/>
      <c r="P44" s="2"/>
      <c r="Q44" s="2"/>
      <c r="R44" s="2"/>
      <c r="S44" s="2"/>
      <c r="T44" s="2"/>
      <c r="U44" s="2"/>
      <c r="V44" s="2"/>
      <c r="W44" s="2"/>
      <c r="X44" s="2"/>
      <c r="Y44" s="2"/>
    </row>
    <row r="45" spans="1:25" ht="15">
      <c r="A45" s="111"/>
      <c r="B45"/>
      <c r="C45"/>
      <c r="D45"/>
      <c r="E45"/>
      <c r="F45"/>
      <c r="G45"/>
      <c r="H45"/>
      <c r="I45"/>
      <c r="J45"/>
      <c r="K45" s="2"/>
      <c r="L45" s="2"/>
      <c r="M45" s="2"/>
      <c r="N45" s="2"/>
      <c r="O45" s="2"/>
      <c r="P45" s="2"/>
      <c r="Q45" s="2"/>
      <c r="R45" s="2"/>
      <c r="S45" s="2"/>
      <c r="T45" s="2"/>
      <c r="U45" s="2"/>
      <c r="V45" s="2"/>
      <c r="W45" s="2"/>
      <c r="X45" s="2"/>
      <c r="Y45" s="2"/>
    </row>
    <row r="46" spans="1:25" ht="15">
      <c r="A46" s="111"/>
      <c r="B46"/>
      <c r="C46"/>
      <c r="D46"/>
      <c r="E46"/>
      <c r="F46"/>
      <c r="G46"/>
      <c r="H46"/>
      <c r="I46"/>
      <c r="J46"/>
      <c r="K46" s="2"/>
      <c r="L46" s="2"/>
      <c r="M46" s="2"/>
      <c r="N46" s="2"/>
      <c r="O46" s="2"/>
      <c r="P46" s="2"/>
      <c r="Q46" s="2"/>
      <c r="R46" s="2"/>
      <c r="S46" s="2"/>
      <c r="T46" s="2"/>
      <c r="U46" s="2"/>
      <c r="V46" s="2"/>
      <c r="W46" s="2"/>
      <c r="X46" s="2"/>
      <c r="Y46" s="2"/>
    </row>
    <row r="47" spans="1:25" ht="15">
      <c r="A47" s="111"/>
      <c r="B47"/>
      <c r="C47"/>
      <c r="D47"/>
      <c r="E47"/>
      <c r="F47"/>
      <c r="G47"/>
      <c r="H47"/>
      <c r="I47"/>
      <c r="J47"/>
      <c r="K47" s="2"/>
      <c r="L47" s="2"/>
      <c r="M47" s="2"/>
      <c r="N47" s="2"/>
      <c r="O47" s="2"/>
      <c r="P47" s="2"/>
      <c r="Q47" s="40"/>
      <c r="R47" s="2"/>
      <c r="S47" s="2"/>
      <c r="T47" s="2"/>
      <c r="U47" s="2"/>
      <c r="V47" s="2"/>
      <c r="W47" s="2"/>
      <c r="X47" s="2"/>
      <c r="Y47" s="2"/>
    </row>
    <row r="48" spans="1:25" ht="15">
      <c r="A48" s="111"/>
      <c r="B48"/>
      <c r="C48"/>
      <c r="D48"/>
      <c r="E48"/>
      <c r="F48"/>
      <c r="G48"/>
      <c r="H48"/>
      <c r="I48"/>
      <c r="J48"/>
      <c r="K48" s="2"/>
      <c r="L48" s="2"/>
      <c r="M48" s="2"/>
      <c r="N48" s="2"/>
      <c r="O48" s="2"/>
      <c r="P48" s="2"/>
      <c r="Q48" s="40"/>
      <c r="R48" s="2"/>
      <c r="S48" s="2"/>
      <c r="T48" s="2"/>
      <c r="U48" s="2"/>
      <c r="V48" s="2"/>
      <c r="W48" s="2"/>
      <c r="X48" s="2"/>
      <c r="Y48" s="2"/>
    </row>
    <row r="49" spans="1:25" ht="15">
      <c r="A49" s="111"/>
      <c r="B49"/>
      <c r="C49"/>
      <c r="D49"/>
      <c r="E49"/>
      <c r="F49"/>
      <c r="G49"/>
      <c r="H49"/>
      <c r="I49"/>
      <c r="J49"/>
      <c r="Q49" s="40"/>
      <c r="R49" s="2"/>
      <c r="S49" s="2"/>
      <c r="T49" s="2"/>
      <c r="U49" s="2"/>
      <c r="V49" s="2"/>
      <c r="W49" s="2"/>
      <c r="X49" s="2"/>
      <c r="Y49" s="2"/>
    </row>
    <row r="50" spans="1:25" ht="15">
      <c r="A50" s="111"/>
      <c r="B50"/>
      <c r="C50"/>
      <c r="D50"/>
      <c r="E50"/>
      <c r="F50"/>
      <c r="G50"/>
      <c r="H50"/>
      <c r="I50"/>
      <c r="J50"/>
      <c r="Q50" s="40"/>
      <c r="R50" s="2"/>
      <c r="S50" s="2"/>
      <c r="T50" s="2"/>
      <c r="U50" s="2"/>
      <c r="V50" s="2"/>
      <c r="W50" s="2"/>
      <c r="X50" s="2"/>
      <c r="Y50" s="2"/>
    </row>
    <row r="51" spans="1:25" ht="27" customHeight="1">
      <c r="A51" s="111"/>
      <c r="B51"/>
      <c r="C51"/>
      <c r="D51"/>
      <c r="E51"/>
      <c r="F51"/>
      <c r="G51"/>
      <c r="H51"/>
      <c r="I51"/>
      <c r="J51"/>
      <c r="Q51" s="40"/>
      <c r="R51" s="2"/>
      <c r="S51" s="2"/>
      <c r="T51" s="2"/>
      <c r="U51" s="2"/>
      <c r="V51" s="2"/>
      <c r="W51" s="2"/>
      <c r="X51" s="2"/>
      <c r="Y51" s="2"/>
    </row>
    <row r="52" spans="1:25" ht="15">
      <c r="A52" s="111"/>
      <c r="B52"/>
      <c r="C52"/>
      <c r="D52"/>
      <c r="E52"/>
      <c r="F52"/>
      <c r="G52"/>
      <c r="H52"/>
      <c r="I52"/>
      <c r="J52"/>
      <c r="Q52" s="2"/>
      <c r="R52" s="2"/>
      <c r="S52" s="2"/>
      <c r="T52" s="2"/>
      <c r="U52" s="2"/>
      <c r="V52" s="2"/>
      <c r="W52" s="2"/>
      <c r="X52" s="2"/>
      <c r="Y52" s="2"/>
    </row>
    <row r="53" spans="1:25" ht="15">
      <c r="A53" s="111"/>
      <c r="B53"/>
      <c r="C53"/>
      <c r="D53"/>
      <c r="E53"/>
      <c r="F53"/>
      <c r="G53"/>
      <c r="H53"/>
      <c r="I53"/>
      <c r="J53"/>
      <c r="Q53" s="2"/>
      <c r="R53" s="2"/>
      <c r="S53" s="2"/>
      <c r="T53" s="2"/>
      <c r="U53" s="2"/>
      <c r="V53" s="2"/>
      <c r="W53" s="2"/>
      <c r="X53" s="2"/>
      <c r="Y53" s="2"/>
    </row>
    <row r="54" spans="1:25" ht="15">
      <c r="A54" s="111"/>
      <c r="B54"/>
      <c r="C54"/>
      <c r="D54"/>
      <c r="E54"/>
      <c r="F54"/>
      <c r="G54"/>
      <c r="H54"/>
      <c r="I54"/>
      <c r="J54"/>
      <c r="Q54" s="2"/>
      <c r="R54" s="2"/>
      <c r="S54" s="2"/>
      <c r="T54" s="2"/>
      <c r="U54" s="2"/>
      <c r="V54" s="2"/>
      <c r="W54" s="2"/>
      <c r="X54" s="2"/>
      <c r="Y54" s="2"/>
    </row>
    <row r="55" spans="1:25" ht="15">
      <c r="A55" s="111"/>
      <c r="B55"/>
      <c r="C55"/>
      <c r="D55"/>
      <c r="E55"/>
      <c r="F55"/>
      <c r="G55"/>
      <c r="H55"/>
      <c r="I55"/>
      <c r="J55"/>
      <c r="Q55" s="2"/>
      <c r="R55" s="2"/>
      <c r="S55" s="2"/>
      <c r="T55" s="2"/>
      <c r="U55" s="2"/>
      <c r="V55" s="2"/>
      <c r="W55" s="2"/>
      <c r="X55" s="2"/>
      <c r="Y55" s="2"/>
    </row>
    <row r="56" spans="1:25" ht="15">
      <c r="A56" s="111"/>
      <c r="B56"/>
      <c r="C56"/>
      <c r="D56"/>
      <c r="E56"/>
      <c r="F56"/>
      <c r="G56"/>
      <c r="H56"/>
      <c r="I56"/>
      <c r="J56"/>
      <c r="Q56" s="2"/>
      <c r="R56" s="2"/>
      <c r="S56" s="2"/>
      <c r="T56" s="2"/>
      <c r="U56" s="2"/>
      <c r="V56" s="2"/>
      <c r="W56" s="2"/>
      <c r="X56" s="2"/>
      <c r="Y56" s="2"/>
    </row>
    <row r="57" spans="1:25" ht="15">
      <c r="A57" s="111"/>
      <c r="B57"/>
      <c r="C57"/>
      <c r="D57"/>
      <c r="E57"/>
      <c r="F57"/>
      <c r="G57"/>
      <c r="H57"/>
      <c r="I57"/>
      <c r="J57"/>
      <c r="Q57" s="2"/>
      <c r="R57" s="2"/>
      <c r="S57" s="2"/>
      <c r="T57" s="2"/>
      <c r="U57" s="2"/>
      <c r="V57" s="2"/>
      <c r="W57" s="2"/>
      <c r="X57" s="2"/>
      <c r="Y57" s="2"/>
    </row>
    <row r="58" spans="1:25" ht="15">
      <c r="A58" s="111"/>
      <c r="B58"/>
      <c r="C58"/>
      <c r="D58"/>
      <c r="E58"/>
      <c r="F58"/>
      <c r="G58"/>
      <c r="H58"/>
      <c r="I58"/>
      <c r="J58"/>
      <c r="Q58" s="2"/>
      <c r="R58" s="2"/>
      <c r="S58" s="2"/>
      <c r="T58" s="2"/>
      <c r="U58" s="2"/>
      <c r="V58" s="2"/>
      <c r="W58" s="2"/>
      <c r="X58" s="2"/>
      <c r="Y58" s="2"/>
    </row>
    <row r="59" spans="1:25" ht="15">
      <c r="A59" s="111"/>
      <c r="B59"/>
      <c r="C59"/>
      <c r="D59"/>
      <c r="E59"/>
      <c r="F59"/>
      <c r="G59"/>
      <c r="H59"/>
      <c r="I59"/>
      <c r="J59"/>
      <c r="Q59" s="2"/>
      <c r="R59" s="2"/>
      <c r="S59" s="2"/>
      <c r="T59" s="2"/>
      <c r="U59" s="2"/>
      <c r="V59" s="2"/>
      <c r="W59" s="2"/>
      <c r="X59" s="2"/>
      <c r="Y59" s="2"/>
    </row>
    <row r="60" spans="1:25" ht="15">
      <c r="A60" s="111"/>
      <c r="B60"/>
      <c r="C60"/>
      <c r="D60"/>
      <c r="E60"/>
      <c r="F60"/>
      <c r="G60"/>
      <c r="H60"/>
      <c r="I60"/>
      <c r="J60"/>
      <c r="Q60" s="2"/>
      <c r="R60" s="2"/>
      <c r="S60" s="2"/>
      <c r="T60" s="2"/>
      <c r="U60" s="2"/>
      <c r="V60" s="2"/>
      <c r="W60" s="2"/>
      <c r="X60" s="2"/>
      <c r="Y60" s="2"/>
    </row>
    <row r="61" spans="1:25" ht="13.5" customHeight="1">
      <c r="A61" s="111"/>
      <c r="B61"/>
      <c r="C61"/>
      <c r="D61"/>
      <c r="E61"/>
      <c r="F61"/>
      <c r="G61"/>
      <c r="H61"/>
      <c r="I61"/>
      <c r="J61"/>
      <c r="Q61" s="2"/>
      <c r="R61" s="2"/>
      <c r="S61" s="2"/>
      <c r="T61" s="2"/>
      <c r="U61" s="2"/>
      <c r="V61" s="2"/>
      <c r="W61" s="2"/>
      <c r="X61" s="2"/>
      <c r="Y61" s="2"/>
    </row>
    <row r="62" spans="1:25" ht="12.75" customHeight="1">
      <c r="A62" s="111"/>
      <c r="B62"/>
      <c r="C62"/>
      <c r="D62"/>
      <c r="E62"/>
      <c r="F62"/>
      <c r="G62"/>
      <c r="H62"/>
      <c r="I62"/>
      <c r="J62"/>
      <c r="Q62" s="2"/>
      <c r="R62" s="2"/>
      <c r="S62" s="2"/>
      <c r="T62" s="2"/>
      <c r="U62" s="2"/>
      <c r="V62" s="2"/>
      <c r="W62" s="2"/>
      <c r="X62" s="2"/>
      <c r="Y62" s="2"/>
    </row>
    <row r="63" spans="1:25" ht="12.75" customHeight="1">
      <c r="A63" s="111"/>
      <c r="B63"/>
      <c r="C63"/>
      <c r="D63"/>
      <c r="E63"/>
      <c r="F63"/>
      <c r="G63"/>
      <c r="H63"/>
      <c r="I63"/>
      <c r="J63"/>
      <c r="Q63" s="2"/>
      <c r="R63" s="2"/>
      <c r="S63" s="2"/>
      <c r="T63" s="2"/>
      <c r="U63" s="2"/>
      <c r="V63" s="2"/>
      <c r="W63" s="2"/>
      <c r="X63" s="2"/>
      <c r="Y63" s="2"/>
    </row>
    <row r="64" spans="1:25" ht="12.75" customHeight="1">
      <c r="A64" s="111"/>
      <c r="B64"/>
      <c r="C64"/>
      <c r="D64"/>
      <c r="E64"/>
      <c r="F64"/>
      <c r="G64"/>
      <c r="H64"/>
      <c r="I64"/>
      <c r="J64"/>
      <c r="Q64" s="2"/>
      <c r="R64" s="2"/>
      <c r="S64" s="2"/>
      <c r="T64" s="2"/>
      <c r="U64" s="2"/>
      <c r="V64" s="2"/>
      <c r="W64" s="2"/>
      <c r="X64" s="2"/>
      <c r="Y64" s="2"/>
    </row>
    <row r="65" spans="1:25" ht="12.75" customHeight="1">
      <c r="A65" s="111"/>
      <c r="B65"/>
      <c r="C65"/>
      <c r="D65"/>
      <c r="E65"/>
      <c r="F65"/>
      <c r="G65"/>
      <c r="H65"/>
      <c r="I65"/>
      <c r="J65"/>
      <c r="Q65" s="2"/>
      <c r="R65" s="2"/>
      <c r="S65" s="2"/>
      <c r="T65" s="2"/>
      <c r="U65" s="2"/>
      <c r="V65" s="2"/>
      <c r="W65" s="2"/>
      <c r="X65" s="2"/>
      <c r="Y65" s="2"/>
    </row>
    <row r="66" spans="1:25" ht="12.75" customHeight="1">
      <c r="A66" s="111"/>
      <c r="B66"/>
      <c r="C66"/>
      <c r="D66"/>
      <c r="E66"/>
      <c r="F66"/>
      <c r="G66"/>
      <c r="H66"/>
      <c r="I66"/>
      <c r="J66"/>
      <c r="Q66" s="2"/>
      <c r="R66" s="2"/>
      <c r="S66" s="2"/>
      <c r="T66" s="2"/>
      <c r="U66" s="2"/>
      <c r="V66" s="2"/>
      <c r="W66" s="2"/>
      <c r="X66" s="2"/>
      <c r="Y66" s="2"/>
    </row>
    <row r="67" spans="1:25" ht="12.75" customHeight="1">
      <c r="A67" s="111"/>
      <c r="B67"/>
      <c r="C67"/>
      <c r="D67"/>
      <c r="E67"/>
      <c r="F67"/>
      <c r="G67"/>
      <c r="H67"/>
      <c r="I67"/>
      <c r="J67"/>
      <c r="Q67" s="2"/>
      <c r="R67" s="2"/>
      <c r="S67" s="2"/>
      <c r="T67" s="2"/>
      <c r="U67" s="2"/>
      <c r="V67" s="2"/>
      <c r="W67" s="2"/>
      <c r="X67" s="2"/>
      <c r="Y67" s="2"/>
    </row>
    <row r="68" spans="1:25" ht="12.75" customHeight="1">
      <c r="A68" s="111"/>
      <c r="B68"/>
      <c r="C68"/>
      <c r="D68"/>
      <c r="E68"/>
      <c r="F68"/>
      <c r="G68"/>
      <c r="H68"/>
      <c r="I68"/>
      <c r="J68"/>
      <c r="Q68" s="2"/>
      <c r="R68" s="2"/>
      <c r="S68" s="2"/>
      <c r="T68" s="2"/>
      <c r="U68" s="2"/>
      <c r="V68" s="2"/>
      <c r="W68" s="2"/>
      <c r="X68" s="2"/>
      <c r="Y68" s="2"/>
    </row>
    <row r="69" spans="1:25" ht="15">
      <c r="A69" s="111"/>
      <c r="B69"/>
      <c r="C69"/>
      <c r="D69"/>
      <c r="E69"/>
      <c r="F69"/>
      <c r="G69"/>
      <c r="H69"/>
      <c r="I69"/>
      <c r="J69"/>
      <c r="Q69" s="2"/>
      <c r="R69" s="2"/>
      <c r="S69" s="2"/>
      <c r="T69" s="2"/>
      <c r="U69" s="2"/>
      <c r="V69" s="2"/>
      <c r="W69" s="2"/>
      <c r="X69" s="2"/>
      <c r="Y69" s="2"/>
    </row>
    <row r="70" spans="1:25" ht="15">
      <c r="A70" s="111"/>
      <c r="B70"/>
      <c r="C70"/>
      <c r="D70"/>
      <c r="E70"/>
      <c r="F70"/>
      <c r="G70"/>
      <c r="H70"/>
      <c r="I70"/>
      <c r="J70"/>
      <c r="Q70" s="2"/>
      <c r="R70" s="2"/>
      <c r="S70" s="2"/>
      <c r="T70" s="2"/>
      <c r="U70" s="2"/>
      <c r="V70" s="2"/>
      <c r="W70" s="2"/>
      <c r="X70" s="2"/>
      <c r="Y70" s="2"/>
    </row>
    <row r="71" spans="1:25" ht="15">
      <c r="A71" s="111"/>
      <c r="B71"/>
      <c r="C71"/>
      <c r="D71"/>
      <c r="E71"/>
      <c r="F71"/>
      <c r="G71"/>
      <c r="H71"/>
      <c r="I71"/>
      <c r="J71"/>
      <c r="Q71" s="2"/>
      <c r="R71" s="2"/>
      <c r="S71" s="2"/>
      <c r="T71" s="2"/>
      <c r="U71" s="2"/>
      <c r="V71" s="2"/>
      <c r="W71" s="2"/>
      <c r="X71" s="2"/>
      <c r="Y71" s="2"/>
    </row>
    <row r="72" spans="1:25" ht="27.75" customHeight="1">
      <c r="A72" s="111"/>
      <c r="B72"/>
      <c r="C72"/>
      <c r="D72"/>
      <c r="E72"/>
      <c r="F72"/>
      <c r="G72"/>
      <c r="H72"/>
      <c r="I72"/>
      <c r="J72"/>
      <c r="Q72" s="2"/>
      <c r="R72" s="2"/>
      <c r="S72" s="2"/>
      <c r="T72" s="2"/>
      <c r="U72" s="2"/>
      <c r="V72" s="2"/>
      <c r="W72" s="2"/>
      <c r="X72" s="2"/>
      <c r="Y72" s="2"/>
    </row>
    <row r="73" spans="1:25" ht="15">
      <c r="A73" s="111"/>
      <c r="B73"/>
      <c r="C73"/>
      <c r="D73"/>
      <c r="E73"/>
      <c r="F73"/>
      <c r="G73"/>
      <c r="H73"/>
      <c r="I73"/>
      <c r="J73"/>
      <c r="Q73" s="2"/>
      <c r="R73" s="2"/>
      <c r="S73" s="2"/>
      <c r="T73" s="2"/>
      <c r="U73" s="2"/>
      <c r="V73" s="2"/>
      <c r="W73" s="2"/>
      <c r="X73" s="2"/>
      <c r="Y73" s="2"/>
    </row>
    <row r="74" spans="1:25" ht="15">
      <c r="A74" s="111"/>
      <c r="B74"/>
      <c r="C74"/>
      <c r="D74"/>
      <c r="E74"/>
      <c r="F74"/>
      <c r="G74"/>
      <c r="H74"/>
      <c r="I74"/>
      <c r="J74"/>
      <c r="Q74" s="2"/>
      <c r="R74" s="2"/>
      <c r="S74" s="2"/>
      <c r="T74" s="2"/>
      <c r="U74" s="2"/>
      <c r="V74" s="2"/>
      <c r="W74" s="2"/>
      <c r="X74" s="2"/>
      <c r="Y74" s="2"/>
    </row>
    <row r="75" spans="1:25" ht="15">
      <c r="A75" s="111"/>
      <c r="B75"/>
      <c r="C75"/>
      <c r="D75"/>
      <c r="E75"/>
      <c r="F75"/>
      <c r="G75"/>
      <c r="H75"/>
      <c r="I75"/>
      <c r="J75"/>
      <c r="Q75" s="2"/>
      <c r="R75" s="2"/>
      <c r="S75" s="2"/>
      <c r="T75" s="2"/>
      <c r="U75" s="2"/>
      <c r="V75" s="2"/>
      <c r="W75" s="2"/>
      <c r="X75" s="2"/>
      <c r="Y75" s="2"/>
    </row>
    <row r="76" spans="1:25" ht="15">
      <c r="A76" s="111"/>
      <c r="B76"/>
      <c r="C76"/>
      <c r="D76"/>
      <c r="E76"/>
      <c r="F76"/>
      <c r="G76"/>
      <c r="H76"/>
      <c r="I76"/>
      <c r="J76"/>
      <c r="Q76" s="2"/>
      <c r="R76" s="2"/>
      <c r="S76" s="2"/>
      <c r="T76" s="2"/>
      <c r="U76" s="2"/>
      <c r="V76" s="2"/>
      <c r="W76" s="2"/>
      <c r="X76" s="2"/>
      <c r="Y76" s="2"/>
    </row>
    <row r="77" spans="1:25" ht="15">
      <c r="A77" s="111"/>
      <c r="B77"/>
      <c r="C77"/>
      <c r="D77"/>
      <c r="E77"/>
      <c r="F77"/>
      <c r="G77"/>
      <c r="H77"/>
      <c r="I77"/>
      <c r="J77"/>
      <c r="Q77" s="2"/>
      <c r="R77" s="2"/>
      <c r="S77" s="2"/>
      <c r="T77" s="2"/>
      <c r="U77" s="2"/>
      <c r="V77" s="2"/>
      <c r="W77" s="2"/>
      <c r="X77" s="2"/>
      <c r="Y77" s="2"/>
    </row>
    <row r="78" spans="1:25" ht="15">
      <c r="A78" s="111"/>
      <c r="B78"/>
      <c r="C78"/>
      <c r="D78"/>
      <c r="E78"/>
      <c r="F78"/>
      <c r="G78"/>
      <c r="H78"/>
      <c r="I78"/>
      <c r="J78"/>
      <c r="Q78" s="2"/>
      <c r="R78" s="2"/>
      <c r="S78" s="2"/>
      <c r="T78" s="2"/>
      <c r="U78" s="2"/>
      <c r="V78" s="2"/>
      <c r="W78" s="2"/>
      <c r="X78" s="2"/>
      <c r="Y78" s="2"/>
    </row>
    <row r="79" spans="1:25" ht="15">
      <c r="A79" s="111"/>
      <c r="B79"/>
      <c r="C79"/>
      <c r="D79"/>
      <c r="E79"/>
      <c r="F79"/>
      <c r="G79"/>
      <c r="H79"/>
      <c r="I79"/>
      <c r="J79"/>
      <c r="Q79" s="2"/>
      <c r="R79" s="2"/>
      <c r="S79" s="2"/>
      <c r="T79" s="2"/>
      <c r="U79" s="2"/>
      <c r="V79" s="2"/>
      <c r="W79" s="2"/>
      <c r="X79" s="2"/>
      <c r="Y79" s="2"/>
    </row>
    <row r="80" spans="1:25" ht="15">
      <c r="A80" s="111"/>
      <c r="B80"/>
      <c r="C80"/>
      <c r="D80"/>
      <c r="E80"/>
      <c r="F80"/>
      <c r="G80"/>
      <c r="H80"/>
      <c r="I80"/>
      <c r="J80"/>
      <c r="Q80" s="2"/>
      <c r="R80" s="2"/>
      <c r="S80" s="2"/>
      <c r="T80" s="2"/>
      <c r="U80" s="2"/>
      <c r="V80" s="2"/>
      <c r="W80" s="2"/>
      <c r="X80" s="2"/>
      <c r="Y80" s="2"/>
    </row>
    <row r="81" spans="1:25" ht="15">
      <c r="A81" s="111"/>
      <c r="B81"/>
      <c r="C81"/>
      <c r="D81"/>
      <c r="E81"/>
      <c r="F81"/>
      <c r="G81"/>
      <c r="H81"/>
      <c r="I81"/>
      <c r="J81"/>
      <c r="Q81" s="2"/>
      <c r="R81" s="2"/>
      <c r="S81" s="2"/>
      <c r="T81" s="2"/>
      <c r="U81" s="2"/>
      <c r="V81" s="2"/>
      <c r="W81" s="2"/>
      <c r="X81" s="2"/>
      <c r="Y81" s="2"/>
    </row>
    <row r="82" spans="1:25" ht="15">
      <c r="A82" s="111"/>
      <c r="B82"/>
      <c r="C82"/>
      <c r="D82"/>
      <c r="E82"/>
      <c r="F82"/>
      <c r="G82"/>
      <c r="H82"/>
      <c r="I82"/>
      <c r="J82"/>
      <c r="Q82" s="2"/>
      <c r="R82" s="2"/>
      <c r="S82" s="2"/>
      <c r="T82" s="2"/>
      <c r="U82" s="2"/>
      <c r="V82" s="2"/>
      <c r="W82" s="2"/>
      <c r="X82" s="2"/>
      <c r="Y82" s="2"/>
    </row>
    <row r="83" spans="1:25" ht="13.5" customHeight="1">
      <c r="A83" s="111"/>
      <c r="B83"/>
      <c r="C83"/>
      <c r="D83"/>
      <c r="E83"/>
      <c r="F83"/>
      <c r="G83"/>
      <c r="H83"/>
      <c r="I83"/>
      <c r="J83"/>
      <c r="Q83" s="2"/>
      <c r="R83" s="2"/>
      <c r="S83" s="2"/>
      <c r="T83" s="2"/>
      <c r="U83" s="2"/>
      <c r="V83" s="2"/>
      <c r="W83" s="2"/>
      <c r="X83" s="2"/>
      <c r="Y83" s="2"/>
    </row>
    <row r="84" spans="1:25" ht="12.75" customHeight="1">
      <c r="A84" s="111"/>
      <c r="B84"/>
      <c r="C84"/>
      <c r="D84"/>
      <c r="E84"/>
      <c r="F84"/>
      <c r="G84"/>
      <c r="H84"/>
      <c r="I84"/>
      <c r="J84"/>
      <c r="Q84" s="2"/>
      <c r="R84" s="2"/>
      <c r="S84" s="2"/>
      <c r="T84" s="2"/>
      <c r="U84" s="2"/>
      <c r="V84" s="2"/>
      <c r="W84" s="2"/>
      <c r="X84" s="2"/>
      <c r="Y84" s="2"/>
    </row>
    <row r="85" spans="1:25" ht="12.75" customHeight="1">
      <c r="A85" s="111"/>
      <c r="B85"/>
      <c r="C85"/>
      <c r="D85"/>
      <c r="E85"/>
      <c r="F85"/>
      <c r="G85"/>
      <c r="H85"/>
      <c r="I85"/>
      <c r="J85"/>
      <c r="Q85" s="2"/>
      <c r="R85" s="2"/>
      <c r="S85" s="2"/>
      <c r="T85" s="2"/>
      <c r="U85" s="2"/>
      <c r="V85" s="2"/>
      <c r="W85" s="2"/>
      <c r="X85" s="2"/>
      <c r="Y85" s="2"/>
    </row>
    <row r="86" spans="1:25" ht="12.75" customHeight="1">
      <c r="A86" s="111"/>
      <c r="B86"/>
      <c r="C86"/>
      <c r="D86"/>
      <c r="E86"/>
      <c r="F86"/>
      <c r="G86"/>
      <c r="H86"/>
      <c r="I86"/>
      <c r="J86"/>
      <c r="Q86" s="2"/>
      <c r="R86" s="2"/>
      <c r="S86" s="2"/>
      <c r="T86" s="2"/>
      <c r="U86" s="2"/>
      <c r="V86" s="2"/>
      <c r="W86" s="2"/>
      <c r="X86" s="2"/>
      <c r="Y86" s="2"/>
    </row>
    <row r="87" spans="1:25" ht="12.75" customHeight="1">
      <c r="A87" s="111"/>
      <c r="B87"/>
      <c r="C87"/>
      <c r="D87"/>
      <c r="E87"/>
      <c r="F87"/>
      <c r="G87"/>
      <c r="H87"/>
      <c r="I87"/>
      <c r="J87"/>
      <c r="Q87" s="2"/>
      <c r="R87" s="2"/>
      <c r="S87" s="2"/>
      <c r="T87" s="2"/>
      <c r="U87" s="2"/>
      <c r="V87" s="2"/>
      <c r="W87" s="2"/>
      <c r="X87" s="2"/>
      <c r="Y87" s="2"/>
    </row>
    <row r="88" spans="1:25" ht="12.75" customHeight="1">
      <c r="A88" s="111"/>
      <c r="B88"/>
      <c r="C88"/>
      <c r="D88"/>
      <c r="E88"/>
      <c r="F88"/>
      <c r="G88"/>
      <c r="H88"/>
      <c r="I88"/>
      <c r="J88"/>
      <c r="Q88" s="2"/>
      <c r="R88" s="2"/>
      <c r="S88" s="2"/>
      <c r="T88" s="2"/>
      <c r="U88" s="2"/>
      <c r="V88" s="2"/>
      <c r="W88" s="2"/>
      <c r="X88" s="2"/>
      <c r="Y88" s="2"/>
    </row>
    <row r="89" spans="1:25" ht="15">
      <c r="A89" s="111"/>
      <c r="B89"/>
      <c r="C89"/>
      <c r="D89"/>
      <c r="E89"/>
      <c r="F89"/>
      <c r="G89"/>
      <c r="H89"/>
      <c r="I89"/>
      <c r="J89"/>
      <c r="Q89" s="2"/>
      <c r="R89" s="2"/>
      <c r="S89" s="2"/>
      <c r="T89" s="2"/>
      <c r="U89" s="2"/>
      <c r="V89" s="2"/>
      <c r="W89" s="2"/>
      <c r="X89" s="2"/>
      <c r="Y89" s="2"/>
    </row>
    <row r="90" spans="1:25" ht="15">
      <c r="A90" s="111"/>
      <c r="B90"/>
      <c r="C90"/>
      <c r="D90"/>
      <c r="E90"/>
      <c r="F90"/>
      <c r="G90"/>
      <c r="H90"/>
      <c r="I90"/>
      <c r="J90"/>
      <c r="Q90" s="2"/>
      <c r="R90" s="2"/>
      <c r="S90" s="2"/>
      <c r="T90" s="2"/>
      <c r="U90" s="2"/>
      <c r="V90" s="2"/>
      <c r="W90" s="2"/>
      <c r="X90" s="2"/>
      <c r="Y90" s="2"/>
    </row>
    <row r="91" spans="1:25" ht="15">
      <c r="A91" s="111"/>
      <c r="B91"/>
      <c r="C91"/>
      <c r="D91"/>
      <c r="E91"/>
      <c r="F91"/>
      <c r="G91"/>
      <c r="H91"/>
      <c r="I91"/>
      <c r="J91"/>
      <c r="Q91" s="2"/>
      <c r="R91" s="2"/>
      <c r="S91" s="2"/>
      <c r="T91" s="2"/>
      <c r="U91" s="2"/>
      <c r="V91" s="2"/>
      <c r="W91" s="2"/>
      <c r="X91" s="2"/>
      <c r="Y91" s="2"/>
    </row>
    <row r="92" spans="1:25" ht="15">
      <c r="A92" s="111"/>
      <c r="B92"/>
      <c r="C92"/>
      <c r="D92"/>
      <c r="E92"/>
      <c r="F92"/>
      <c r="G92"/>
      <c r="H92"/>
      <c r="I92"/>
      <c r="J92"/>
      <c r="Q92" s="2"/>
      <c r="R92" s="2"/>
      <c r="S92" s="2"/>
      <c r="T92" s="2"/>
      <c r="U92" s="2"/>
      <c r="V92" s="2"/>
      <c r="W92" s="2"/>
      <c r="X92" s="2"/>
      <c r="Y92" s="2"/>
    </row>
    <row r="93" spans="1:25" ht="15">
      <c r="A93" s="111"/>
      <c r="B93"/>
      <c r="C93"/>
      <c r="D93"/>
      <c r="E93"/>
      <c r="F93"/>
      <c r="G93"/>
      <c r="H93"/>
      <c r="I93"/>
      <c r="J93"/>
      <c r="K93" s="2"/>
      <c r="L93" s="2"/>
      <c r="M93" s="2"/>
      <c r="N93" s="2"/>
      <c r="O93" s="2"/>
      <c r="P93" s="2"/>
      <c r="Q93" s="2"/>
      <c r="R93" s="2"/>
      <c r="S93" s="2"/>
      <c r="T93" s="2"/>
      <c r="U93" s="2"/>
      <c r="V93" s="2"/>
      <c r="W93" s="40"/>
      <c r="X93" s="2"/>
      <c r="Y93" s="2"/>
    </row>
    <row r="94" spans="1:25" ht="15">
      <c r="A94" s="111"/>
      <c r="B94"/>
      <c r="C94"/>
      <c r="D94"/>
      <c r="E94"/>
      <c r="F94"/>
      <c r="G94"/>
      <c r="H94"/>
      <c r="I94"/>
      <c r="J94"/>
      <c r="K94" s="2"/>
      <c r="L94" s="2"/>
      <c r="M94" s="2"/>
      <c r="N94" s="2"/>
      <c r="O94" s="2"/>
      <c r="P94" s="2"/>
      <c r="Q94" s="2"/>
      <c r="R94" s="2"/>
      <c r="S94" s="2"/>
      <c r="T94" s="2"/>
      <c r="U94" s="7"/>
      <c r="V94" s="2"/>
      <c r="W94" s="40"/>
      <c r="X94" s="2"/>
      <c r="Y94" s="2"/>
    </row>
    <row r="95" spans="1:25" ht="15">
      <c r="A95" s="111"/>
      <c r="B95"/>
      <c r="C95"/>
      <c r="D95"/>
      <c r="E95"/>
      <c r="F95"/>
      <c r="G95"/>
      <c r="H95"/>
      <c r="I95"/>
      <c r="J95"/>
      <c r="K95" s="2"/>
      <c r="L95" s="2"/>
      <c r="M95" s="2"/>
      <c r="N95" s="2"/>
      <c r="O95" s="2"/>
      <c r="P95" s="2"/>
      <c r="Q95" s="2"/>
      <c r="R95" s="2"/>
      <c r="S95" s="2"/>
      <c r="T95" s="2"/>
      <c r="U95" s="7"/>
      <c r="V95" s="2"/>
      <c r="W95" s="40"/>
      <c r="X95" s="2"/>
      <c r="Y95" s="2"/>
    </row>
    <row r="96" spans="1:25" ht="15">
      <c r="A96" s="111"/>
      <c r="B96"/>
      <c r="C96"/>
      <c r="D96"/>
      <c r="E96"/>
      <c r="F96"/>
      <c r="G96"/>
      <c r="H96"/>
      <c r="I96"/>
      <c r="J96"/>
      <c r="K96" s="2"/>
      <c r="L96" s="2"/>
      <c r="M96" s="2"/>
      <c r="N96" s="2"/>
      <c r="O96" s="2"/>
      <c r="P96" s="2"/>
      <c r="Q96" s="2"/>
      <c r="R96" s="2"/>
      <c r="S96" s="2"/>
      <c r="T96" s="2"/>
      <c r="U96" s="7"/>
      <c r="V96" s="2"/>
      <c r="W96" s="40"/>
      <c r="X96" s="2"/>
      <c r="Y96" s="2"/>
    </row>
    <row r="97" spans="1:25" ht="27.75" customHeight="1">
      <c r="A97" s="111"/>
      <c r="B97"/>
      <c r="C97"/>
      <c r="D97"/>
      <c r="E97"/>
      <c r="F97"/>
      <c r="G97"/>
      <c r="H97"/>
      <c r="I97"/>
      <c r="J97"/>
      <c r="K97" s="2"/>
      <c r="L97" s="2"/>
      <c r="M97" s="2"/>
      <c r="N97" s="2"/>
      <c r="O97" s="2"/>
      <c r="P97" s="2"/>
      <c r="Q97" s="2"/>
      <c r="R97" s="2"/>
      <c r="S97" s="2"/>
      <c r="T97" s="2"/>
      <c r="U97" s="7"/>
      <c r="V97" s="2"/>
      <c r="W97" s="40"/>
      <c r="X97" s="2"/>
      <c r="Y97" s="2"/>
    </row>
    <row r="98" spans="1:17" ht="15">
      <c r="A98" s="111"/>
      <c r="B98"/>
      <c r="C98"/>
      <c r="D98"/>
      <c r="E98"/>
      <c r="F98"/>
      <c r="G98"/>
      <c r="H98"/>
      <c r="I98"/>
      <c r="J98"/>
      <c r="K98" s="2"/>
      <c r="L98" s="2"/>
      <c r="M98" s="2"/>
      <c r="N98" s="2"/>
      <c r="O98" s="2"/>
      <c r="P98" s="2"/>
      <c r="Q98" s="2"/>
    </row>
    <row r="99" spans="1:17" ht="15">
      <c r="A99" s="111"/>
      <c r="B99"/>
      <c r="C99"/>
      <c r="D99"/>
      <c r="E99"/>
      <c r="F99"/>
      <c r="G99"/>
      <c r="H99"/>
      <c r="I99"/>
      <c r="J99"/>
      <c r="K99" s="2"/>
      <c r="L99" s="2"/>
      <c r="M99" s="2"/>
      <c r="N99" s="2"/>
      <c r="O99" s="2"/>
      <c r="P99" s="2"/>
      <c r="Q99" s="2"/>
    </row>
    <row r="100" spans="1:17" ht="15">
      <c r="A100" s="111"/>
      <c r="B100"/>
      <c r="C100"/>
      <c r="D100"/>
      <c r="E100"/>
      <c r="F100"/>
      <c r="G100"/>
      <c r="H100"/>
      <c r="I100"/>
      <c r="J100"/>
      <c r="K100" s="2"/>
      <c r="L100" s="2"/>
      <c r="M100" s="2"/>
      <c r="N100" s="2"/>
      <c r="O100" s="2"/>
      <c r="P100" s="2"/>
      <c r="Q100" s="2"/>
    </row>
    <row r="101" spans="1:17" ht="15">
      <c r="A101" s="111"/>
      <c r="B101"/>
      <c r="C101"/>
      <c r="D101"/>
      <c r="E101"/>
      <c r="F101"/>
      <c r="G101"/>
      <c r="H101"/>
      <c r="I101"/>
      <c r="J101"/>
      <c r="K101" s="2"/>
      <c r="L101" s="2"/>
      <c r="M101" s="2"/>
      <c r="N101" s="2"/>
      <c r="O101" s="2"/>
      <c r="P101" s="2"/>
      <c r="Q101" s="2"/>
    </row>
    <row r="102" spans="1:17" ht="15">
      <c r="A102" s="111"/>
      <c r="B102"/>
      <c r="C102"/>
      <c r="D102"/>
      <c r="E102"/>
      <c r="F102"/>
      <c r="G102"/>
      <c r="H102"/>
      <c r="I102"/>
      <c r="J102"/>
      <c r="K102" s="2"/>
      <c r="L102" s="2"/>
      <c r="M102" s="2"/>
      <c r="N102" s="2"/>
      <c r="O102" s="2"/>
      <c r="P102" s="2"/>
      <c r="Q102" s="2"/>
    </row>
    <row r="103" spans="1:17" ht="15">
      <c r="A103" s="111"/>
      <c r="B103"/>
      <c r="C103"/>
      <c r="D103"/>
      <c r="E103"/>
      <c r="F103"/>
      <c r="G103"/>
      <c r="H103"/>
      <c r="I103"/>
      <c r="J103"/>
      <c r="K103" s="2"/>
      <c r="L103" s="2"/>
      <c r="M103" s="2"/>
      <c r="N103" s="2"/>
      <c r="O103" s="2"/>
      <c r="P103" s="2"/>
      <c r="Q103" s="2"/>
    </row>
    <row r="104" spans="1:17" ht="15">
      <c r="A104" s="111"/>
      <c r="B104"/>
      <c r="C104"/>
      <c r="D104"/>
      <c r="E104"/>
      <c r="F104"/>
      <c r="G104"/>
      <c r="H104"/>
      <c r="I104"/>
      <c r="J104"/>
      <c r="K104" s="2"/>
      <c r="L104" s="2"/>
      <c r="M104" s="2"/>
      <c r="N104" s="2"/>
      <c r="O104" s="2"/>
      <c r="P104" s="2"/>
      <c r="Q104" s="2"/>
    </row>
    <row r="105" spans="1:17" ht="15">
      <c r="A105" s="111"/>
      <c r="B105"/>
      <c r="C105"/>
      <c r="D105"/>
      <c r="E105"/>
      <c r="F105"/>
      <c r="G105"/>
      <c r="H105"/>
      <c r="I105"/>
      <c r="J105"/>
      <c r="K105" s="2"/>
      <c r="L105" s="2"/>
      <c r="M105" s="2"/>
      <c r="N105" s="2"/>
      <c r="O105" s="2"/>
      <c r="P105" s="2"/>
      <c r="Q105" s="2"/>
    </row>
    <row r="106" spans="1:17" ht="15">
      <c r="A106" s="111"/>
      <c r="B106"/>
      <c r="C106"/>
      <c r="D106"/>
      <c r="E106"/>
      <c r="F106"/>
      <c r="G106"/>
      <c r="H106"/>
      <c r="I106"/>
      <c r="J106"/>
      <c r="K106" s="2"/>
      <c r="L106" s="2"/>
      <c r="M106" s="2"/>
      <c r="N106" s="2"/>
      <c r="O106" s="2"/>
      <c r="P106" s="2"/>
      <c r="Q106" s="2"/>
    </row>
    <row r="107" spans="1:17" ht="15">
      <c r="A107" s="111"/>
      <c r="B107"/>
      <c r="C107"/>
      <c r="D107"/>
      <c r="E107"/>
      <c r="F107"/>
      <c r="G107"/>
      <c r="H107"/>
      <c r="I107"/>
      <c r="J107"/>
      <c r="K107" s="2"/>
      <c r="L107" s="2"/>
      <c r="M107" s="2"/>
      <c r="N107" s="2"/>
      <c r="O107" s="2"/>
      <c r="P107" s="2"/>
      <c r="Q107" s="2"/>
    </row>
    <row r="108" spans="1:17" ht="15">
      <c r="A108" s="111"/>
      <c r="B108"/>
      <c r="C108"/>
      <c r="D108"/>
      <c r="E108"/>
      <c r="F108"/>
      <c r="G108"/>
      <c r="H108"/>
      <c r="I108"/>
      <c r="J108"/>
      <c r="K108" s="2"/>
      <c r="L108" s="2"/>
      <c r="M108" s="2"/>
      <c r="N108" s="2"/>
      <c r="O108" s="2"/>
      <c r="P108" s="2"/>
      <c r="Q108" s="2"/>
    </row>
    <row r="109" spans="1:17" ht="15">
      <c r="A109" s="111"/>
      <c r="B109"/>
      <c r="C109"/>
      <c r="D109"/>
      <c r="E109"/>
      <c r="F109"/>
      <c r="G109"/>
      <c r="H109"/>
      <c r="I109"/>
      <c r="J109"/>
      <c r="K109" s="2"/>
      <c r="L109" s="2"/>
      <c r="M109" s="2"/>
      <c r="N109" s="2"/>
      <c r="O109" s="2"/>
      <c r="P109" s="2"/>
      <c r="Q109" s="2"/>
    </row>
    <row r="110" spans="1:17" ht="15">
      <c r="A110" s="111"/>
      <c r="B110"/>
      <c r="C110"/>
      <c r="D110"/>
      <c r="E110"/>
      <c r="F110"/>
      <c r="G110"/>
      <c r="H110"/>
      <c r="I110"/>
      <c r="J110"/>
      <c r="K110" s="2"/>
      <c r="L110" s="2"/>
      <c r="M110" s="2"/>
      <c r="N110" s="2"/>
      <c r="O110" s="2"/>
      <c r="P110" s="2"/>
      <c r="Q110" s="2"/>
    </row>
    <row r="111" spans="1:17" ht="12.75" customHeight="1">
      <c r="A111" s="111"/>
      <c r="B111"/>
      <c r="C111"/>
      <c r="D111"/>
      <c r="E111"/>
      <c r="F111"/>
      <c r="G111"/>
      <c r="H111"/>
      <c r="I111"/>
      <c r="J111"/>
      <c r="K111" s="2"/>
      <c r="L111" s="2"/>
      <c r="M111" s="2"/>
      <c r="N111" s="2"/>
      <c r="O111" s="2"/>
      <c r="P111" s="2"/>
      <c r="Q111" s="2"/>
    </row>
    <row r="112" spans="1:17" ht="12.75" customHeight="1">
      <c r="A112" s="111"/>
      <c r="B112"/>
      <c r="C112"/>
      <c r="D112"/>
      <c r="E112"/>
      <c r="F112"/>
      <c r="G112"/>
      <c r="H112"/>
      <c r="I112"/>
      <c r="J112"/>
      <c r="K112" s="2"/>
      <c r="L112" s="2"/>
      <c r="M112" s="2"/>
      <c r="N112" s="2"/>
      <c r="O112" s="2"/>
      <c r="P112" s="2"/>
      <c r="Q112" s="2"/>
    </row>
    <row r="113" spans="1:17" ht="12.75" customHeight="1">
      <c r="A113" s="111"/>
      <c r="B113"/>
      <c r="C113"/>
      <c r="D113"/>
      <c r="E113"/>
      <c r="F113"/>
      <c r="G113"/>
      <c r="H113"/>
      <c r="I113"/>
      <c r="J113"/>
      <c r="K113" s="2"/>
      <c r="L113" s="2"/>
      <c r="M113" s="2"/>
      <c r="N113" s="2"/>
      <c r="O113" s="2"/>
      <c r="P113" s="2"/>
      <c r="Q113" s="2"/>
    </row>
    <row r="114" spans="1:17" ht="12.75" customHeight="1">
      <c r="A114" s="111"/>
      <c r="B114"/>
      <c r="C114"/>
      <c r="D114"/>
      <c r="E114"/>
      <c r="F114"/>
      <c r="G114"/>
      <c r="H114"/>
      <c r="I114"/>
      <c r="J114"/>
      <c r="K114" s="2"/>
      <c r="L114" s="2"/>
      <c r="M114" s="2"/>
      <c r="N114" s="2"/>
      <c r="O114" s="2"/>
      <c r="P114" s="2"/>
      <c r="Q114" s="2"/>
    </row>
    <row r="115" spans="1:17" ht="12.75" customHeight="1">
      <c r="A115" s="111"/>
      <c r="B115"/>
      <c r="C115"/>
      <c r="D115"/>
      <c r="E115"/>
      <c r="F115"/>
      <c r="G115"/>
      <c r="H115"/>
      <c r="I115"/>
      <c r="J115"/>
      <c r="K115" s="2"/>
      <c r="L115" s="2"/>
      <c r="M115" s="2"/>
      <c r="N115" s="2"/>
      <c r="O115" s="2"/>
      <c r="P115" s="2"/>
      <c r="Q115" s="2"/>
    </row>
    <row r="116" spans="1:17" ht="12.75" customHeight="1">
      <c r="A116" s="111"/>
      <c r="B116"/>
      <c r="C116"/>
      <c r="D116"/>
      <c r="E116"/>
      <c r="F116"/>
      <c r="G116"/>
      <c r="H116"/>
      <c r="I116"/>
      <c r="J116"/>
      <c r="K116" s="2"/>
      <c r="L116" s="2"/>
      <c r="M116" s="2"/>
      <c r="N116" s="2"/>
      <c r="O116" s="2"/>
      <c r="P116" s="2"/>
      <c r="Q116" s="2"/>
    </row>
    <row r="117" spans="1:17" ht="12.75" customHeight="1">
      <c r="A117" s="111"/>
      <c r="B117"/>
      <c r="C117"/>
      <c r="D117"/>
      <c r="E117"/>
      <c r="F117"/>
      <c r="G117"/>
      <c r="H117"/>
      <c r="I117"/>
      <c r="J117"/>
      <c r="K117" s="2"/>
      <c r="L117" s="2"/>
      <c r="M117" s="2"/>
      <c r="N117" s="2"/>
      <c r="O117" s="2"/>
      <c r="P117" s="2"/>
      <c r="Q117" s="2"/>
    </row>
    <row r="118" spans="1:17" ht="28.5" customHeight="1">
      <c r="A118" s="111"/>
      <c r="B118"/>
      <c r="C118"/>
      <c r="D118"/>
      <c r="E118"/>
      <c r="F118"/>
      <c r="G118"/>
      <c r="H118"/>
      <c r="I118"/>
      <c r="J118"/>
      <c r="K118" s="2"/>
      <c r="L118" s="2"/>
      <c r="M118" s="2"/>
      <c r="N118" s="2"/>
      <c r="O118" s="2"/>
      <c r="P118" s="2"/>
      <c r="Q118" s="2"/>
    </row>
    <row r="119" spans="1:17" ht="15">
      <c r="A119" s="111"/>
      <c r="B119"/>
      <c r="C119"/>
      <c r="D119"/>
      <c r="E119"/>
      <c r="F119"/>
      <c r="G119"/>
      <c r="H119"/>
      <c r="I119"/>
      <c r="J119"/>
      <c r="K119" s="2"/>
      <c r="L119" s="2"/>
      <c r="M119" s="2"/>
      <c r="N119" s="2"/>
      <c r="O119" s="2"/>
      <c r="P119" s="2"/>
      <c r="Q119" s="2"/>
    </row>
    <row r="120" spans="1:17" ht="15">
      <c r="A120" s="111"/>
      <c r="B120"/>
      <c r="C120"/>
      <c r="D120"/>
      <c r="E120"/>
      <c r="F120"/>
      <c r="G120"/>
      <c r="H120"/>
      <c r="I120"/>
      <c r="J120"/>
      <c r="K120" s="2"/>
      <c r="L120" s="2"/>
      <c r="M120" s="2"/>
      <c r="N120" s="2"/>
      <c r="O120" s="2"/>
      <c r="P120" s="2"/>
      <c r="Q120" s="2"/>
    </row>
    <row r="121" spans="1:17" ht="15">
      <c r="A121" s="111"/>
      <c r="B121"/>
      <c r="C121"/>
      <c r="D121"/>
      <c r="E121"/>
      <c r="F121"/>
      <c r="G121"/>
      <c r="H121"/>
      <c r="I121"/>
      <c r="J121"/>
      <c r="K121" s="2"/>
      <c r="L121" s="2"/>
      <c r="M121" s="2"/>
      <c r="N121" s="2"/>
      <c r="O121" s="2"/>
      <c r="P121" s="2"/>
      <c r="Q121" s="2"/>
    </row>
    <row r="122" spans="1:17" ht="15">
      <c r="A122" s="111"/>
      <c r="B122"/>
      <c r="C122"/>
      <c r="D122"/>
      <c r="E122"/>
      <c r="F122"/>
      <c r="G122"/>
      <c r="H122"/>
      <c r="I122"/>
      <c r="J122"/>
      <c r="K122" s="2"/>
      <c r="L122" s="2"/>
      <c r="M122" s="2"/>
      <c r="N122" s="2"/>
      <c r="O122" s="2"/>
      <c r="P122" s="2"/>
      <c r="Q122" s="2"/>
    </row>
    <row r="123" spans="1:17" ht="15">
      <c r="A123" s="111"/>
      <c r="B123"/>
      <c r="C123"/>
      <c r="D123"/>
      <c r="E123"/>
      <c r="F123"/>
      <c r="G123"/>
      <c r="H123"/>
      <c r="I123"/>
      <c r="J123"/>
      <c r="K123" s="2"/>
      <c r="L123" s="2"/>
      <c r="M123" s="2"/>
      <c r="N123" s="2"/>
      <c r="O123" s="2"/>
      <c r="P123" s="2"/>
      <c r="Q123" s="2"/>
    </row>
    <row r="124" spans="1:17" ht="15">
      <c r="A124" s="111"/>
      <c r="B124"/>
      <c r="C124"/>
      <c r="D124"/>
      <c r="E124"/>
      <c r="F124"/>
      <c r="G124"/>
      <c r="H124"/>
      <c r="I124"/>
      <c r="J124"/>
      <c r="K124" s="2"/>
      <c r="L124" s="2"/>
      <c r="M124" s="2"/>
      <c r="N124" s="2"/>
      <c r="O124" s="2"/>
      <c r="P124" s="2"/>
      <c r="Q124" s="2"/>
    </row>
    <row r="125" spans="1:17" ht="15">
      <c r="A125" s="111"/>
      <c r="B125"/>
      <c r="C125"/>
      <c r="D125"/>
      <c r="E125"/>
      <c r="F125"/>
      <c r="G125"/>
      <c r="H125"/>
      <c r="I125"/>
      <c r="J125"/>
      <c r="K125" s="2"/>
      <c r="L125" s="2"/>
      <c r="M125" s="2"/>
      <c r="N125" s="2"/>
      <c r="O125" s="2"/>
      <c r="P125" s="2"/>
      <c r="Q125" s="2"/>
    </row>
    <row r="126" spans="1:17" ht="15">
      <c r="A126" s="111"/>
      <c r="B126"/>
      <c r="C126"/>
      <c r="D126"/>
      <c r="E126"/>
      <c r="F126"/>
      <c r="G126"/>
      <c r="H126"/>
      <c r="I126"/>
      <c r="J126"/>
      <c r="K126" s="2"/>
      <c r="L126" s="2"/>
      <c r="M126" s="2"/>
      <c r="N126" s="2"/>
      <c r="O126" s="2"/>
      <c r="P126" s="2"/>
      <c r="Q126" s="2"/>
    </row>
    <row r="127" spans="1:17" ht="15">
      <c r="A127" s="111"/>
      <c r="B127"/>
      <c r="C127"/>
      <c r="D127"/>
      <c r="E127"/>
      <c r="F127"/>
      <c r="G127"/>
      <c r="H127"/>
      <c r="I127"/>
      <c r="J127"/>
      <c r="K127" s="2"/>
      <c r="L127" s="2"/>
      <c r="M127" s="2"/>
      <c r="N127" s="2"/>
      <c r="O127" s="2"/>
      <c r="P127" s="2"/>
      <c r="Q127" s="2"/>
    </row>
    <row r="128" spans="1:17" ht="15">
      <c r="A128" s="111"/>
      <c r="B128"/>
      <c r="C128"/>
      <c r="D128"/>
      <c r="E128"/>
      <c r="F128"/>
      <c r="G128"/>
      <c r="H128"/>
      <c r="I128"/>
      <c r="J128"/>
      <c r="K128" s="2"/>
      <c r="L128" s="2"/>
      <c r="M128" s="2"/>
      <c r="N128" s="2"/>
      <c r="O128" s="2"/>
      <c r="P128" s="2"/>
      <c r="Q128" s="2"/>
    </row>
    <row r="129" spans="1:17" ht="15">
      <c r="A129" s="111"/>
      <c r="B129"/>
      <c r="C129"/>
      <c r="D129"/>
      <c r="E129"/>
      <c r="F129"/>
      <c r="G129"/>
      <c r="H129"/>
      <c r="I129"/>
      <c r="J129"/>
      <c r="K129" s="2"/>
      <c r="L129" s="2"/>
      <c r="M129" s="2"/>
      <c r="N129" s="2"/>
      <c r="O129" s="2"/>
      <c r="P129" s="2"/>
      <c r="Q129" s="2"/>
    </row>
    <row r="130" spans="1:17" ht="15">
      <c r="A130" s="111"/>
      <c r="B130"/>
      <c r="C130"/>
      <c r="D130"/>
      <c r="E130"/>
      <c r="F130"/>
      <c r="G130"/>
      <c r="H130"/>
      <c r="I130"/>
      <c r="J130"/>
      <c r="K130" s="2"/>
      <c r="L130" s="2"/>
      <c r="M130" s="2"/>
      <c r="N130" s="2"/>
      <c r="O130" s="2"/>
      <c r="P130" s="2"/>
      <c r="Q130" s="2"/>
    </row>
    <row r="131" spans="1:17" ht="12.75" customHeight="1">
      <c r="A131" s="111"/>
      <c r="B131"/>
      <c r="C131"/>
      <c r="D131"/>
      <c r="E131"/>
      <c r="F131"/>
      <c r="G131"/>
      <c r="H131"/>
      <c r="I131"/>
      <c r="J131"/>
      <c r="K131" s="2"/>
      <c r="L131" s="2"/>
      <c r="M131" s="2"/>
      <c r="N131" s="2"/>
      <c r="O131" s="2"/>
      <c r="P131" s="2"/>
      <c r="Q131" s="2"/>
    </row>
    <row r="132" spans="1:23" ht="12.75" customHeight="1">
      <c r="A132" s="111"/>
      <c r="B132"/>
      <c r="C132"/>
      <c r="D132"/>
      <c r="E132"/>
      <c r="F132"/>
      <c r="G132"/>
      <c r="H132"/>
      <c r="I132"/>
      <c r="J132"/>
      <c r="K132" s="2"/>
      <c r="L132" s="2"/>
      <c r="M132" s="2"/>
      <c r="N132" s="2"/>
      <c r="O132" s="2"/>
      <c r="P132" s="2"/>
      <c r="Q132" s="2"/>
      <c r="W132" s="10"/>
    </row>
    <row r="133" spans="1:17" ht="12.75" customHeight="1">
      <c r="A133" s="111"/>
      <c r="B133"/>
      <c r="C133"/>
      <c r="D133"/>
      <c r="E133"/>
      <c r="F133"/>
      <c r="G133"/>
      <c r="H133"/>
      <c r="I133"/>
      <c r="J133"/>
      <c r="K133" s="2"/>
      <c r="L133" s="2"/>
      <c r="M133" s="2"/>
      <c r="N133" s="2"/>
      <c r="O133" s="2"/>
      <c r="P133" s="2"/>
      <c r="Q133" s="2"/>
    </row>
    <row r="134" spans="1:17" ht="12.75" customHeight="1">
      <c r="A134" s="111"/>
      <c r="B134"/>
      <c r="C134"/>
      <c r="D134"/>
      <c r="E134"/>
      <c r="F134"/>
      <c r="G134"/>
      <c r="H134"/>
      <c r="I134"/>
      <c r="J134"/>
      <c r="K134" s="2"/>
      <c r="L134" s="2"/>
      <c r="M134" s="2"/>
      <c r="N134" s="2"/>
      <c r="O134" s="2"/>
      <c r="P134" s="2"/>
      <c r="Q134" s="2"/>
    </row>
    <row r="135" spans="1:17" ht="12.75" customHeight="1">
      <c r="A135" s="111"/>
      <c r="B135"/>
      <c r="C135"/>
      <c r="D135"/>
      <c r="E135"/>
      <c r="F135"/>
      <c r="G135"/>
      <c r="H135"/>
      <c r="I135"/>
      <c r="J135"/>
      <c r="K135" s="2"/>
      <c r="L135" s="2"/>
      <c r="M135" s="2"/>
      <c r="N135" s="2"/>
      <c r="O135" s="2"/>
      <c r="P135" s="2"/>
      <c r="Q135" s="2"/>
    </row>
    <row r="136" spans="1:17" ht="12.75" customHeight="1">
      <c r="A136" s="111"/>
      <c r="B136"/>
      <c r="C136"/>
      <c r="D136"/>
      <c r="E136"/>
      <c r="F136"/>
      <c r="G136"/>
      <c r="H136"/>
      <c r="I136"/>
      <c r="J136"/>
      <c r="K136" s="2"/>
      <c r="L136" s="2"/>
      <c r="M136" s="2"/>
      <c r="N136" s="2"/>
      <c r="O136" s="2"/>
      <c r="P136" s="2"/>
      <c r="Q136" s="2"/>
    </row>
    <row r="137" spans="1:17" ht="12.75" customHeight="1">
      <c r="A137" s="111"/>
      <c r="B137"/>
      <c r="C137"/>
      <c r="D137"/>
      <c r="E137"/>
      <c r="F137"/>
      <c r="G137"/>
      <c r="H137"/>
      <c r="I137"/>
      <c r="J137"/>
      <c r="K137" s="2"/>
      <c r="L137" s="2"/>
      <c r="M137" s="2"/>
      <c r="N137" s="2"/>
      <c r="O137" s="2"/>
      <c r="P137" s="2"/>
      <c r="Q137" s="2"/>
    </row>
    <row r="138" spans="1:17" ht="12.75" customHeight="1">
      <c r="A138" s="111"/>
      <c r="B138"/>
      <c r="C138"/>
      <c r="D138"/>
      <c r="E138"/>
      <c r="F138"/>
      <c r="G138"/>
      <c r="H138"/>
      <c r="I138"/>
      <c r="J138"/>
      <c r="K138" s="2"/>
      <c r="L138" s="2"/>
      <c r="M138" s="2"/>
      <c r="N138" s="2"/>
      <c r="O138" s="2"/>
      <c r="P138" s="2"/>
      <c r="Q138" s="2"/>
    </row>
    <row r="139" spans="1:17" ht="15">
      <c r="A139" s="111"/>
      <c r="B139"/>
      <c r="C139"/>
      <c r="D139"/>
      <c r="E139"/>
      <c r="F139"/>
      <c r="G139"/>
      <c r="H139"/>
      <c r="I139"/>
      <c r="J139"/>
      <c r="K139" s="2"/>
      <c r="L139" s="2"/>
      <c r="M139" s="2"/>
      <c r="N139" s="2"/>
      <c r="O139" s="2"/>
      <c r="P139" s="2"/>
      <c r="Q139" s="2"/>
    </row>
    <row r="140" spans="1:17" ht="15">
      <c r="A140" s="111"/>
      <c r="B140"/>
      <c r="C140"/>
      <c r="D140"/>
      <c r="E140"/>
      <c r="F140"/>
      <c r="G140"/>
      <c r="H140"/>
      <c r="I140"/>
      <c r="J140"/>
      <c r="K140" s="2"/>
      <c r="L140" s="2"/>
      <c r="M140" s="2"/>
      <c r="N140" s="2"/>
      <c r="O140" s="2"/>
      <c r="P140" s="2"/>
      <c r="Q140" s="2"/>
    </row>
    <row r="141" spans="1:17" ht="15">
      <c r="A141" s="111"/>
      <c r="B141"/>
      <c r="C141"/>
      <c r="D141"/>
      <c r="E141"/>
      <c r="F141"/>
      <c r="G141"/>
      <c r="H141"/>
      <c r="I141"/>
      <c r="J141"/>
      <c r="K141" s="2"/>
      <c r="L141" s="2"/>
      <c r="M141" s="2"/>
      <c r="N141" s="2"/>
      <c r="O141" s="2"/>
      <c r="P141" s="2"/>
      <c r="Q141" s="2"/>
    </row>
    <row r="142" spans="1:17" ht="15">
      <c r="A142" s="111"/>
      <c r="B142"/>
      <c r="C142"/>
      <c r="D142"/>
      <c r="E142"/>
      <c r="F142"/>
      <c r="G142"/>
      <c r="H142"/>
      <c r="I142"/>
      <c r="J142"/>
      <c r="K142" s="2"/>
      <c r="L142" s="2"/>
      <c r="M142" s="2"/>
      <c r="N142" s="2"/>
      <c r="O142" s="2"/>
      <c r="P142" s="2"/>
      <c r="Q142" s="2"/>
    </row>
    <row r="143" spans="1:10" ht="15">
      <c r="A143" s="111"/>
      <c r="B143"/>
      <c r="C143"/>
      <c r="D143"/>
      <c r="E143"/>
      <c r="F143"/>
      <c r="G143"/>
      <c r="H143"/>
      <c r="I143"/>
      <c r="J143"/>
    </row>
    <row r="144" spans="1:10" ht="15">
      <c r="A144" s="111"/>
      <c r="B144"/>
      <c r="C144"/>
      <c r="D144"/>
      <c r="E144"/>
      <c r="F144"/>
      <c r="G144"/>
      <c r="H144"/>
      <c r="I144"/>
      <c r="J144"/>
    </row>
    <row r="145" spans="1:10" ht="15">
      <c r="A145" s="111"/>
      <c r="B145"/>
      <c r="C145"/>
      <c r="D145"/>
      <c r="E145"/>
      <c r="F145"/>
      <c r="G145"/>
      <c r="H145"/>
      <c r="I145"/>
      <c r="J145"/>
    </row>
    <row r="146" spans="1:10" ht="15">
      <c r="A146" s="111"/>
      <c r="B146"/>
      <c r="C146"/>
      <c r="D146"/>
      <c r="E146"/>
      <c r="F146"/>
      <c r="G146"/>
      <c r="H146"/>
      <c r="I146"/>
      <c r="J146"/>
    </row>
    <row r="147" spans="1:10" ht="15">
      <c r="A147" s="111"/>
      <c r="B147"/>
      <c r="C147"/>
      <c r="D147"/>
      <c r="E147"/>
      <c r="F147"/>
      <c r="G147"/>
      <c r="H147"/>
      <c r="I147"/>
      <c r="J147"/>
    </row>
    <row r="148" spans="1:10" ht="15">
      <c r="A148" s="111"/>
      <c r="B148"/>
      <c r="C148"/>
      <c r="D148"/>
      <c r="E148"/>
      <c r="F148"/>
      <c r="G148"/>
      <c r="H148"/>
      <c r="I148"/>
      <c r="J148"/>
    </row>
    <row r="149" spans="1:10" ht="15">
      <c r="A149" s="111"/>
      <c r="B149"/>
      <c r="C149"/>
      <c r="D149"/>
      <c r="E149"/>
      <c r="F149"/>
      <c r="G149"/>
      <c r="H149"/>
      <c r="I149"/>
      <c r="J149"/>
    </row>
    <row r="150" spans="1:10" ht="15">
      <c r="A150" s="111"/>
      <c r="B150"/>
      <c r="C150"/>
      <c r="D150"/>
      <c r="E150"/>
      <c r="F150"/>
      <c r="G150"/>
      <c r="H150"/>
      <c r="I150"/>
      <c r="J150"/>
    </row>
    <row r="151" spans="1:10" ht="15">
      <c r="A151" s="111"/>
      <c r="B151"/>
      <c r="C151"/>
      <c r="D151"/>
      <c r="E151"/>
      <c r="F151"/>
      <c r="G151"/>
      <c r="H151"/>
      <c r="I151"/>
      <c r="J151"/>
    </row>
    <row r="152" spans="1:10" ht="15">
      <c r="A152" s="111"/>
      <c r="B152"/>
      <c r="C152"/>
      <c r="D152"/>
      <c r="E152"/>
      <c r="F152"/>
      <c r="G152"/>
      <c r="H152"/>
      <c r="I152"/>
      <c r="J152"/>
    </row>
    <row r="153" spans="1:10" ht="15">
      <c r="A153" s="111"/>
      <c r="B153"/>
      <c r="C153"/>
      <c r="D153"/>
      <c r="E153"/>
      <c r="F153"/>
      <c r="G153"/>
      <c r="H153"/>
      <c r="I153"/>
      <c r="J153"/>
    </row>
    <row r="154" spans="1:10" ht="15">
      <c r="A154" s="111"/>
      <c r="B154"/>
      <c r="C154"/>
      <c r="D154"/>
      <c r="E154"/>
      <c r="F154"/>
      <c r="G154"/>
      <c r="H154"/>
      <c r="I154"/>
      <c r="J154"/>
    </row>
    <row r="155" spans="1:10" ht="15">
      <c r="A155" s="111"/>
      <c r="B155"/>
      <c r="C155"/>
      <c r="D155"/>
      <c r="E155"/>
      <c r="F155"/>
      <c r="G155"/>
      <c r="H155"/>
      <c r="I155"/>
      <c r="J155"/>
    </row>
    <row r="156" spans="1:10" ht="15">
      <c r="A156" s="111"/>
      <c r="B156"/>
      <c r="C156"/>
      <c r="D156"/>
      <c r="E156"/>
      <c r="F156"/>
      <c r="G156"/>
      <c r="H156"/>
      <c r="I156"/>
      <c r="J156"/>
    </row>
    <row r="157" spans="1:10" ht="15">
      <c r="A157" s="111"/>
      <c r="B157"/>
      <c r="C157"/>
      <c r="D157"/>
      <c r="E157"/>
      <c r="F157"/>
      <c r="G157"/>
      <c r="H157"/>
      <c r="I157"/>
      <c r="J157"/>
    </row>
    <row r="158" spans="1:10" ht="15">
      <c r="A158" s="111"/>
      <c r="B158"/>
      <c r="C158"/>
      <c r="D158"/>
      <c r="E158"/>
      <c r="F158"/>
      <c r="G158"/>
      <c r="H158"/>
      <c r="I158"/>
      <c r="J158"/>
    </row>
    <row r="159" spans="1:10" ht="15">
      <c r="A159" s="111"/>
      <c r="B159"/>
      <c r="C159"/>
      <c r="D159"/>
      <c r="E159"/>
      <c r="F159"/>
      <c r="G159"/>
      <c r="H159"/>
      <c r="I159"/>
      <c r="J159"/>
    </row>
    <row r="160" spans="1:10" ht="15">
      <c r="A160" s="111"/>
      <c r="B160"/>
      <c r="C160"/>
      <c r="D160"/>
      <c r="E160"/>
      <c r="F160"/>
      <c r="G160"/>
      <c r="H160"/>
      <c r="I160"/>
      <c r="J160"/>
    </row>
    <row r="161" spans="1:10" ht="15">
      <c r="A161" s="111"/>
      <c r="B161"/>
      <c r="C161"/>
      <c r="D161"/>
      <c r="E161"/>
      <c r="F161"/>
      <c r="G161"/>
      <c r="H161"/>
      <c r="I161"/>
      <c r="J161"/>
    </row>
    <row r="162" spans="1:10" ht="15">
      <c r="A162" s="111"/>
      <c r="B162"/>
      <c r="C162"/>
      <c r="D162"/>
      <c r="E162"/>
      <c r="F162"/>
      <c r="G162"/>
      <c r="H162"/>
      <c r="I162"/>
      <c r="J162"/>
    </row>
    <row r="163" spans="1:10" ht="15">
      <c r="A163" s="111"/>
      <c r="B163"/>
      <c r="C163"/>
      <c r="D163"/>
      <c r="E163"/>
      <c r="F163"/>
      <c r="G163"/>
      <c r="H163"/>
      <c r="I163"/>
      <c r="J163"/>
    </row>
    <row r="164" spans="1:10" ht="15">
      <c r="A164" s="111"/>
      <c r="B164"/>
      <c r="C164"/>
      <c r="D164"/>
      <c r="E164"/>
      <c r="F164"/>
      <c r="G164"/>
      <c r="H164"/>
      <c r="I164"/>
      <c r="J164"/>
    </row>
    <row r="165" spans="1:10" ht="15">
      <c r="A165" s="111"/>
      <c r="B165"/>
      <c r="C165"/>
      <c r="D165"/>
      <c r="E165"/>
      <c r="F165"/>
      <c r="G165"/>
      <c r="H165"/>
      <c r="I165"/>
      <c r="J165"/>
    </row>
    <row r="166" spans="1:10" ht="15">
      <c r="A166" s="111"/>
      <c r="B166"/>
      <c r="C166"/>
      <c r="D166"/>
      <c r="E166"/>
      <c r="F166"/>
      <c r="G166"/>
      <c r="H166"/>
      <c r="I166"/>
      <c r="J166"/>
    </row>
    <row r="167" spans="1:10" ht="15">
      <c r="A167" s="111"/>
      <c r="B167"/>
      <c r="C167"/>
      <c r="D167"/>
      <c r="E167"/>
      <c r="F167"/>
      <c r="G167"/>
      <c r="H167"/>
      <c r="I167"/>
      <c r="J167"/>
    </row>
    <row r="168" spans="1:10" ht="15">
      <c r="A168" s="111"/>
      <c r="B168"/>
      <c r="C168"/>
      <c r="D168"/>
      <c r="E168"/>
      <c r="F168"/>
      <c r="G168"/>
      <c r="H168"/>
      <c r="I168"/>
      <c r="J168"/>
    </row>
    <row r="169" spans="1:10" ht="15">
      <c r="A169" s="111"/>
      <c r="B169"/>
      <c r="C169"/>
      <c r="D169"/>
      <c r="E169"/>
      <c r="F169"/>
      <c r="G169"/>
      <c r="H169"/>
      <c r="I169"/>
      <c r="J169"/>
    </row>
    <row r="170" spans="1:10" ht="15">
      <c r="A170" s="111"/>
      <c r="B170"/>
      <c r="C170"/>
      <c r="D170"/>
      <c r="E170"/>
      <c r="F170"/>
      <c r="G170"/>
      <c r="H170"/>
      <c r="I170"/>
      <c r="J170"/>
    </row>
    <row r="171" spans="1:10" ht="15">
      <c r="A171" s="111"/>
      <c r="B171"/>
      <c r="C171"/>
      <c r="D171"/>
      <c r="E171"/>
      <c r="F171"/>
      <c r="G171"/>
      <c r="H171"/>
      <c r="I171"/>
      <c r="J171"/>
    </row>
    <row r="172" spans="1:10" ht="15">
      <c r="A172" s="111"/>
      <c r="B172"/>
      <c r="C172"/>
      <c r="D172"/>
      <c r="E172"/>
      <c r="F172"/>
      <c r="G172"/>
      <c r="H172"/>
      <c r="I172"/>
      <c r="J172"/>
    </row>
    <row r="173" spans="1:10" ht="15">
      <c r="A173" s="111"/>
      <c r="B173"/>
      <c r="C173"/>
      <c r="D173"/>
      <c r="E173"/>
      <c r="F173"/>
      <c r="G173"/>
      <c r="H173"/>
      <c r="I173"/>
      <c r="J173"/>
    </row>
    <row r="174" spans="1:10" ht="15">
      <c r="A174" s="111"/>
      <c r="B174"/>
      <c r="C174"/>
      <c r="D174"/>
      <c r="E174"/>
      <c r="F174"/>
      <c r="G174"/>
      <c r="H174"/>
      <c r="I174"/>
      <c r="J174"/>
    </row>
    <row r="175" spans="1:10" ht="15">
      <c r="A175" s="111"/>
      <c r="B175"/>
      <c r="C175"/>
      <c r="D175"/>
      <c r="E175"/>
      <c r="F175"/>
      <c r="G175"/>
      <c r="H175"/>
      <c r="I175"/>
      <c r="J175"/>
    </row>
    <row r="176" spans="1:10" ht="15">
      <c r="A176" s="111"/>
      <c r="B176"/>
      <c r="C176"/>
      <c r="D176"/>
      <c r="E176"/>
      <c r="F176"/>
      <c r="G176"/>
      <c r="H176"/>
      <c r="I176"/>
      <c r="J176"/>
    </row>
    <row r="177" spans="1:10" ht="15">
      <c r="A177" s="111"/>
      <c r="B177"/>
      <c r="C177"/>
      <c r="D177"/>
      <c r="E177"/>
      <c r="F177"/>
      <c r="G177"/>
      <c r="H177"/>
      <c r="I177"/>
      <c r="J177"/>
    </row>
    <row r="178" spans="1:10" ht="15">
      <c r="A178" s="111"/>
      <c r="B178"/>
      <c r="C178"/>
      <c r="D178"/>
      <c r="E178"/>
      <c r="F178"/>
      <c r="G178"/>
      <c r="H178"/>
      <c r="I178"/>
      <c r="J178"/>
    </row>
    <row r="179" spans="1:10" ht="15">
      <c r="A179" s="111"/>
      <c r="B179"/>
      <c r="C179"/>
      <c r="D179"/>
      <c r="E179"/>
      <c r="F179"/>
      <c r="G179"/>
      <c r="H179"/>
      <c r="I179"/>
      <c r="J179"/>
    </row>
    <row r="180" spans="1:10" ht="15">
      <c r="A180" s="111"/>
      <c r="B180"/>
      <c r="C180"/>
      <c r="D180"/>
      <c r="E180"/>
      <c r="F180"/>
      <c r="G180"/>
      <c r="H180"/>
      <c r="I180"/>
      <c r="J180"/>
    </row>
    <row r="181" spans="1:10" ht="15">
      <c r="A181" s="111"/>
      <c r="B181"/>
      <c r="C181"/>
      <c r="D181"/>
      <c r="E181"/>
      <c r="F181"/>
      <c r="G181"/>
      <c r="H181"/>
      <c r="I181"/>
      <c r="J181"/>
    </row>
    <row r="182" spans="1:10" ht="15">
      <c r="A182" s="111"/>
      <c r="B182"/>
      <c r="C182"/>
      <c r="D182"/>
      <c r="E182"/>
      <c r="F182"/>
      <c r="G182"/>
      <c r="H182"/>
      <c r="I182"/>
      <c r="J182"/>
    </row>
    <row r="183" spans="1:10" ht="15">
      <c r="A183" s="111"/>
      <c r="B183"/>
      <c r="C183"/>
      <c r="D183"/>
      <c r="E183"/>
      <c r="F183"/>
      <c r="G183"/>
      <c r="H183"/>
      <c r="I183"/>
      <c r="J183"/>
    </row>
    <row r="184" spans="1:10" ht="15">
      <c r="A184" s="111"/>
      <c r="B184"/>
      <c r="C184"/>
      <c r="D184"/>
      <c r="E184"/>
      <c r="F184"/>
      <c r="G184"/>
      <c r="H184"/>
      <c r="I184"/>
      <c r="J184"/>
    </row>
    <row r="185" spans="1:10" ht="15">
      <c r="A185" s="111"/>
      <c r="B185"/>
      <c r="C185"/>
      <c r="D185"/>
      <c r="E185"/>
      <c r="F185"/>
      <c r="G185"/>
      <c r="H185"/>
      <c r="I185"/>
      <c r="J185"/>
    </row>
    <row r="186" spans="1:10" ht="15">
      <c r="A186" s="111"/>
      <c r="B186"/>
      <c r="C186"/>
      <c r="D186"/>
      <c r="E186"/>
      <c r="F186"/>
      <c r="G186"/>
      <c r="H186"/>
      <c r="I186"/>
      <c r="J186"/>
    </row>
    <row r="187" spans="1:10" ht="15">
      <c r="A187" s="111"/>
      <c r="B187"/>
      <c r="C187"/>
      <c r="D187"/>
      <c r="E187"/>
      <c r="F187"/>
      <c r="G187"/>
      <c r="H187"/>
      <c r="I187"/>
      <c r="J187"/>
    </row>
    <row r="188" spans="1:10" ht="15">
      <c r="A188" s="111"/>
      <c r="B188"/>
      <c r="C188"/>
      <c r="D188"/>
      <c r="E188"/>
      <c r="F188"/>
      <c r="G188"/>
      <c r="H188"/>
      <c r="I188"/>
      <c r="J188"/>
    </row>
    <row r="189" spans="1:10" ht="15">
      <c r="A189" s="111"/>
      <c r="B189"/>
      <c r="C189"/>
      <c r="D189"/>
      <c r="E189"/>
      <c r="F189"/>
      <c r="G189"/>
      <c r="H189"/>
      <c r="I189"/>
      <c r="J189"/>
    </row>
    <row r="190" spans="1:10" ht="15">
      <c r="A190" s="111"/>
      <c r="B190"/>
      <c r="C190"/>
      <c r="D190"/>
      <c r="E190"/>
      <c r="F190"/>
      <c r="G190"/>
      <c r="H190"/>
      <c r="I190"/>
      <c r="J190"/>
    </row>
    <row r="191" spans="1:10" ht="15">
      <c r="A191" s="111"/>
      <c r="B191"/>
      <c r="C191"/>
      <c r="D191"/>
      <c r="E191"/>
      <c r="F191"/>
      <c r="G191"/>
      <c r="H191"/>
      <c r="I191"/>
      <c r="J191"/>
    </row>
    <row r="192" spans="1:10" ht="15">
      <c r="A192" s="111"/>
      <c r="B192"/>
      <c r="C192"/>
      <c r="D192"/>
      <c r="E192"/>
      <c r="F192"/>
      <c r="G192"/>
      <c r="H192"/>
      <c r="I192"/>
      <c r="J192"/>
    </row>
    <row r="193" spans="1:10" ht="15">
      <c r="A193" s="111"/>
      <c r="B193"/>
      <c r="C193"/>
      <c r="D193"/>
      <c r="E193"/>
      <c r="F193"/>
      <c r="G193"/>
      <c r="H193"/>
      <c r="I193"/>
      <c r="J193"/>
    </row>
    <row r="194" spans="1:10" ht="15">
      <c r="A194" s="111"/>
      <c r="B194"/>
      <c r="C194"/>
      <c r="D194"/>
      <c r="E194"/>
      <c r="F194"/>
      <c r="G194"/>
      <c r="H194"/>
      <c r="I194"/>
      <c r="J194"/>
    </row>
    <row r="195" spans="1:10" ht="15">
      <c r="A195" s="111"/>
      <c r="B195"/>
      <c r="C195"/>
      <c r="D195"/>
      <c r="E195"/>
      <c r="F195"/>
      <c r="G195"/>
      <c r="H195"/>
      <c r="I195"/>
      <c r="J195"/>
    </row>
    <row r="196" spans="1:10" ht="15">
      <c r="A196" s="111"/>
      <c r="B196"/>
      <c r="C196"/>
      <c r="D196"/>
      <c r="E196"/>
      <c r="F196"/>
      <c r="G196"/>
      <c r="H196"/>
      <c r="I196"/>
      <c r="J196"/>
    </row>
    <row r="197" spans="1:10" ht="15">
      <c r="A197" s="111"/>
      <c r="B197"/>
      <c r="C197"/>
      <c r="D197"/>
      <c r="E197"/>
      <c r="F197"/>
      <c r="G197"/>
      <c r="H197"/>
      <c r="I197"/>
      <c r="J197"/>
    </row>
    <row r="198" spans="1:10" ht="15">
      <c r="A198" s="111"/>
      <c r="B198"/>
      <c r="C198"/>
      <c r="D198"/>
      <c r="E198"/>
      <c r="F198"/>
      <c r="G198"/>
      <c r="H198"/>
      <c r="I198"/>
      <c r="J198"/>
    </row>
    <row r="199" spans="1:10" ht="15">
      <c r="A199" s="111"/>
      <c r="B199"/>
      <c r="C199"/>
      <c r="D199"/>
      <c r="E199"/>
      <c r="F199"/>
      <c r="G199"/>
      <c r="H199"/>
      <c r="I199"/>
      <c r="J199"/>
    </row>
    <row r="200" spans="1:10" ht="15">
      <c r="A200" s="111"/>
      <c r="B200"/>
      <c r="C200"/>
      <c r="D200"/>
      <c r="E200"/>
      <c r="F200"/>
      <c r="G200"/>
      <c r="H200"/>
      <c r="I200"/>
      <c r="J200"/>
    </row>
    <row r="201" spans="1:10" ht="15">
      <c r="A201" s="111"/>
      <c r="B201"/>
      <c r="C201"/>
      <c r="D201"/>
      <c r="E201"/>
      <c r="F201"/>
      <c r="G201"/>
      <c r="H201"/>
      <c r="I201"/>
      <c r="J201"/>
    </row>
    <row r="202" spans="1:10" ht="15">
      <c r="A202" s="111"/>
      <c r="B202"/>
      <c r="C202"/>
      <c r="D202"/>
      <c r="E202"/>
      <c r="F202"/>
      <c r="G202"/>
      <c r="H202"/>
      <c r="I202"/>
      <c r="J202"/>
    </row>
    <row r="203" spans="1:10" ht="15">
      <c r="A203" s="111"/>
      <c r="B203"/>
      <c r="C203"/>
      <c r="D203"/>
      <c r="E203"/>
      <c r="F203"/>
      <c r="G203"/>
      <c r="H203"/>
      <c r="I203"/>
      <c r="J203"/>
    </row>
    <row r="204" spans="1:10" ht="15">
      <c r="A204" s="111"/>
      <c r="B204"/>
      <c r="C204"/>
      <c r="D204"/>
      <c r="E204"/>
      <c r="F204"/>
      <c r="G204"/>
      <c r="H204"/>
      <c r="I204"/>
      <c r="J204"/>
    </row>
    <row r="205" spans="1:10" ht="15">
      <c r="A205" s="111"/>
      <c r="B205"/>
      <c r="C205"/>
      <c r="D205"/>
      <c r="E205"/>
      <c r="F205"/>
      <c r="G205"/>
      <c r="H205"/>
      <c r="I205"/>
      <c r="J205"/>
    </row>
    <row r="206" spans="1:10" ht="15">
      <c r="A206" s="111"/>
      <c r="B206"/>
      <c r="C206"/>
      <c r="D206"/>
      <c r="E206"/>
      <c r="F206"/>
      <c r="G206"/>
      <c r="H206"/>
      <c r="I206"/>
      <c r="J206"/>
    </row>
    <row r="207" spans="1:10" ht="15">
      <c r="A207" s="111"/>
      <c r="B207"/>
      <c r="C207"/>
      <c r="D207"/>
      <c r="E207"/>
      <c r="F207"/>
      <c r="G207"/>
      <c r="H207"/>
      <c r="I207"/>
      <c r="J207"/>
    </row>
    <row r="208" spans="1:10" ht="15">
      <c r="A208" s="111"/>
      <c r="B208"/>
      <c r="C208"/>
      <c r="D208"/>
      <c r="E208"/>
      <c r="F208"/>
      <c r="G208"/>
      <c r="H208"/>
      <c r="I208"/>
      <c r="J208"/>
    </row>
    <row r="209" spans="1:10" ht="15">
      <c r="A209" s="111"/>
      <c r="B209"/>
      <c r="C209"/>
      <c r="D209"/>
      <c r="E209"/>
      <c r="F209"/>
      <c r="G209"/>
      <c r="H209"/>
      <c r="I209"/>
      <c r="J209"/>
    </row>
    <row r="210" spans="1:10" ht="15">
      <c r="A210" s="111"/>
      <c r="B210"/>
      <c r="C210"/>
      <c r="D210"/>
      <c r="E210"/>
      <c r="F210"/>
      <c r="G210"/>
      <c r="H210"/>
      <c r="I210"/>
      <c r="J210"/>
    </row>
    <row r="211" spans="1:10" ht="15">
      <c r="A211" s="111"/>
      <c r="B211"/>
      <c r="C211"/>
      <c r="D211"/>
      <c r="E211"/>
      <c r="F211"/>
      <c r="G211"/>
      <c r="H211"/>
      <c r="I211"/>
      <c r="J211"/>
    </row>
    <row r="212" spans="1:10" ht="15">
      <c r="A212" s="111"/>
      <c r="B212"/>
      <c r="C212"/>
      <c r="D212"/>
      <c r="E212"/>
      <c r="F212"/>
      <c r="G212"/>
      <c r="H212"/>
      <c r="I212"/>
      <c r="J212"/>
    </row>
    <row r="213" spans="1:10" ht="15">
      <c r="A213" s="111"/>
      <c r="B213"/>
      <c r="C213"/>
      <c r="D213"/>
      <c r="E213"/>
      <c r="F213"/>
      <c r="G213"/>
      <c r="H213"/>
      <c r="I213"/>
      <c r="J213"/>
    </row>
    <row r="214" spans="1:10" ht="15">
      <c r="A214" s="111"/>
      <c r="B214"/>
      <c r="C214"/>
      <c r="D214"/>
      <c r="E214"/>
      <c r="F214"/>
      <c r="G214"/>
      <c r="H214"/>
      <c r="I214"/>
      <c r="J214"/>
    </row>
    <row r="215" spans="1:10" ht="15">
      <c r="A215" s="111"/>
      <c r="B215"/>
      <c r="C215"/>
      <c r="D215"/>
      <c r="E215"/>
      <c r="F215"/>
      <c r="G215"/>
      <c r="H215"/>
      <c r="I215"/>
      <c r="J215"/>
    </row>
    <row r="216" spans="1:10" ht="15">
      <c r="A216" s="111"/>
      <c r="B216"/>
      <c r="C216"/>
      <c r="D216"/>
      <c r="E216"/>
      <c r="F216"/>
      <c r="G216"/>
      <c r="H216"/>
      <c r="I216"/>
      <c r="J216"/>
    </row>
    <row r="217" spans="1:10" ht="15">
      <c r="A217" s="111"/>
      <c r="B217"/>
      <c r="C217"/>
      <c r="D217"/>
      <c r="E217"/>
      <c r="F217"/>
      <c r="G217"/>
      <c r="H217"/>
      <c r="I217"/>
      <c r="J217"/>
    </row>
    <row r="218" spans="1:10" ht="15">
      <c r="A218" s="111"/>
      <c r="B218"/>
      <c r="C218"/>
      <c r="D218"/>
      <c r="E218"/>
      <c r="F218"/>
      <c r="G218"/>
      <c r="H218"/>
      <c r="I218"/>
      <c r="J218"/>
    </row>
    <row r="219" spans="1:10" ht="15">
      <c r="A219" s="111"/>
      <c r="B219"/>
      <c r="C219"/>
      <c r="D219"/>
      <c r="E219"/>
      <c r="F219"/>
      <c r="G219"/>
      <c r="H219"/>
      <c r="I219"/>
      <c r="J219"/>
    </row>
    <row r="220" spans="1:10" ht="15">
      <c r="A220" s="111"/>
      <c r="B220"/>
      <c r="C220"/>
      <c r="D220"/>
      <c r="E220"/>
      <c r="F220"/>
      <c r="G220"/>
      <c r="H220"/>
      <c r="I220"/>
      <c r="J220"/>
    </row>
    <row r="221" spans="1:10" ht="15">
      <c r="A221" s="111"/>
      <c r="B221"/>
      <c r="C221"/>
      <c r="D221"/>
      <c r="E221"/>
      <c r="F221"/>
      <c r="G221"/>
      <c r="H221"/>
      <c r="I221"/>
      <c r="J221"/>
    </row>
    <row r="222" spans="1:10" ht="15">
      <c r="A222" s="111"/>
      <c r="B222"/>
      <c r="C222"/>
      <c r="D222"/>
      <c r="E222"/>
      <c r="F222"/>
      <c r="G222"/>
      <c r="H222"/>
      <c r="I222"/>
      <c r="J222"/>
    </row>
    <row r="223" spans="1:10" ht="15">
      <c r="A223" s="111"/>
      <c r="B223"/>
      <c r="C223"/>
      <c r="D223"/>
      <c r="E223"/>
      <c r="F223"/>
      <c r="G223"/>
      <c r="H223"/>
      <c r="I223"/>
      <c r="J223"/>
    </row>
    <row r="224" spans="1:10" ht="15">
      <c r="A224" s="111"/>
      <c r="B224"/>
      <c r="C224"/>
      <c r="D224"/>
      <c r="E224"/>
      <c r="F224"/>
      <c r="G224"/>
      <c r="H224"/>
      <c r="I224"/>
      <c r="J224"/>
    </row>
    <row r="225" spans="1:10" ht="15">
      <c r="A225" s="111"/>
      <c r="B225"/>
      <c r="C225"/>
      <c r="D225"/>
      <c r="E225"/>
      <c r="F225"/>
      <c r="G225"/>
      <c r="H225"/>
      <c r="I225"/>
      <c r="J225"/>
    </row>
    <row r="226" spans="1:10" ht="15">
      <c r="A226" s="111"/>
      <c r="B226"/>
      <c r="C226"/>
      <c r="D226"/>
      <c r="E226"/>
      <c r="F226"/>
      <c r="G226"/>
      <c r="H226"/>
      <c r="I226"/>
      <c r="J226"/>
    </row>
    <row r="227" spans="1:10" ht="15">
      <c r="A227" s="111"/>
      <c r="B227"/>
      <c r="C227"/>
      <c r="D227"/>
      <c r="E227"/>
      <c r="F227"/>
      <c r="G227"/>
      <c r="H227"/>
      <c r="I227"/>
      <c r="J227"/>
    </row>
    <row r="228" spans="1:10" ht="15">
      <c r="A228" s="111"/>
      <c r="B228"/>
      <c r="C228"/>
      <c r="D228"/>
      <c r="E228"/>
      <c r="F228"/>
      <c r="G228"/>
      <c r="H228"/>
      <c r="I228"/>
      <c r="J228"/>
    </row>
    <row r="229" spans="1:10" ht="15">
      <c r="A229" s="111"/>
      <c r="B229"/>
      <c r="C229"/>
      <c r="D229"/>
      <c r="E229"/>
      <c r="F229"/>
      <c r="G229"/>
      <c r="H229"/>
      <c r="I229"/>
      <c r="J229"/>
    </row>
    <row r="230" spans="1:10" ht="15">
      <c r="A230" s="111"/>
      <c r="B230"/>
      <c r="C230"/>
      <c r="D230"/>
      <c r="E230"/>
      <c r="F230"/>
      <c r="G230"/>
      <c r="H230"/>
      <c r="I230"/>
      <c r="J230"/>
    </row>
    <row r="231" spans="1:10" ht="15">
      <c r="A231" s="111"/>
      <c r="B231"/>
      <c r="C231"/>
      <c r="D231"/>
      <c r="E231"/>
      <c r="F231"/>
      <c r="G231"/>
      <c r="H231"/>
      <c r="I231"/>
      <c r="J231"/>
    </row>
    <row r="232" spans="1:10" ht="15">
      <c r="A232" s="111"/>
      <c r="B232"/>
      <c r="C232"/>
      <c r="D232"/>
      <c r="E232"/>
      <c r="F232"/>
      <c r="G232"/>
      <c r="H232"/>
      <c r="I232"/>
      <c r="J232"/>
    </row>
    <row r="233" spans="1:10" ht="15">
      <c r="A233" s="111"/>
      <c r="B233"/>
      <c r="C233"/>
      <c r="D233"/>
      <c r="E233"/>
      <c r="F233"/>
      <c r="G233"/>
      <c r="H233"/>
      <c r="I233"/>
      <c r="J233"/>
    </row>
    <row r="234" spans="1:10" ht="15">
      <c r="A234" s="111"/>
      <c r="B234"/>
      <c r="C234"/>
      <c r="D234"/>
      <c r="E234"/>
      <c r="F234"/>
      <c r="G234"/>
      <c r="H234"/>
      <c r="I234"/>
      <c r="J234"/>
    </row>
    <row r="235" spans="1:10" ht="15">
      <c r="A235" s="111"/>
      <c r="B235"/>
      <c r="C235"/>
      <c r="D235"/>
      <c r="E235"/>
      <c r="F235"/>
      <c r="G235"/>
      <c r="H235"/>
      <c r="I235"/>
      <c r="J235"/>
    </row>
    <row r="236" spans="1:10" ht="15">
      <c r="A236" s="111"/>
      <c r="B236"/>
      <c r="C236"/>
      <c r="D236"/>
      <c r="E236"/>
      <c r="F236"/>
      <c r="G236"/>
      <c r="H236"/>
      <c r="I236"/>
      <c r="J236"/>
    </row>
    <row r="237" spans="1:10" ht="15">
      <c r="A237" s="111"/>
      <c r="B237"/>
      <c r="C237"/>
      <c r="D237"/>
      <c r="E237"/>
      <c r="F237"/>
      <c r="G237"/>
      <c r="H237"/>
      <c r="I237"/>
      <c r="J237"/>
    </row>
    <row r="238" spans="1:10" ht="15">
      <c r="A238" s="111"/>
      <c r="B238"/>
      <c r="C238"/>
      <c r="D238"/>
      <c r="E238"/>
      <c r="F238"/>
      <c r="G238"/>
      <c r="H238"/>
      <c r="I238"/>
      <c r="J238"/>
    </row>
    <row r="239" spans="1:10" ht="15">
      <c r="A239" s="111"/>
      <c r="B239"/>
      <c r="C239"/>
      <c r="D239"/>
      <c r="E239"/>
      <c r="F239"/>
      <c r="G239"/>
      <c r="H239"/>
      <c r="I239"/>
      <c r="J239"/>
    </row>
    <row r="240" spans="1:10" ht="15">
      <c r="A240" s="111"/>
      <c r="B240"/>
      <c r="C240"/>
      <c r="D240"/>
      <c r="E240"/>
      <c r="F240"/>
      <c r="G240"/>
      <c r="H240"/>
      <c r="I240"/>
      <c r="J240"/>
    </row>
    <row r="241" spans="1:10" ht="15">
      <c r="A241" s="111"/>
      <c r="B241"/>
      <c r="C241"/>
      <c r="D241"/>
      <c r="E241"/>
      <c r="F241"/>
      <c r="G241"/>
      <c r="H241"/>
      <c r="I241"/>
      <c r="J241"/>
    </row>
    <row r="242" spans="1:10" ht="15">
      <c r="A242" s="111"/>
      <c r="B242"/>
      <c r="C242"/>
      <c r="D242"/>
      <c r="E242"/>
      <c r="F242"/>
      <c r="G242"/>
      <c r="H242"/>
      <c r="I242"/>
      <c r="J242"/>
    </row>
    <row r="243" spans="1:10" ht="15">
      <c r="A243" s="111"/>
      <c r="B243"/>
      <c r="C243"/>
      <c r="D243"/>
      <c r="E243"/>
      <c r="F243"/>
      <c r="G243"/>
      <c r="H243"/>
      <c r="I243"/>
      <c r="J243"/>
    </row>
    <row r="244" spans="1:10" ht="15">
      <c r="A244" s="111"/>
      <c r="B244"/>
      <c r="C244"/>
      <c r="D244"/>
      <c r="E244"/>
      <c r="F244"/>
      <c r="G244"/>
      <c r="H244"/>
      <c r="I244"/>
      <c r="J244"/>
    </row>
  </sheetData>
  <mergeCells count="3">
    <mergeCell ref="A5:C5"/>
    <mergeCell ref="A3:C3"/>
    <mergeCell ref="A1:C1"/>
  </mergeCells>
  <printOptions horizontalCentered="1"/>
  <pageMargins left="0.5" right="0.5" top="1" bottom="0.5" header="0.5" footer="0.5"/>
  <pageSetup fitToHeight="0" fitToWidth="1" horizontalDpi="600" verticalDpi="600" orientation="portrait" scale="92" r:id="rId1"/>
  <rowBreaks count="1" manualBreakCount="1">
    <brk id="4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V36"/>
  <sheetViews>
    <sheetView zoomScale="75" zoomScaleNormal="75" workbookViewId="0" topLeftCell="A1">
      <selection activeCell="H14" sqref="H14"/>
    </sheetView>
  </sheetViews>
  <sheetFormatPr defaultColWidth="8.88671875" defaultRowHeight="12.75"/>
  <cols>
    <col min="1" max="1" width="14.10546875" style="0" customWidth="1"/>
    <col min="2" max="2" width="15.99609375" style="0" customWidth="1"/>
    <col min="3" max="3" width="1.5625" style="0" customWidth="1"/>
    <col min="4" max="4" width="13.4453125" style="0" customWidth="1"/>
    <col min="5" max="5" width="1.4375" style="0" customWidth="1"/>
    <col min="7" max="7" width="2.4453125" style="0" customWidth="1"/>
    <col min="8" max="8" width="12.99609375" style="0" customWidth="1"/>
    <col min="9" max="9" width="1.2265625" style="0" customWidth="1"/>
    <col min="11" max="11" width="2.6640625" style="0" customWidth="1"/>
    <col min="12" max="12" width="12.21484375" style="0" customWidth="1"/>
    <col min="13" max="13" width="1.1171875" style="0" customWidth="1"/>
    <col min="15" max="15" width="2.21484375" style="0" customWidth="1"/>
    <col min="16" max="16" width="12.10546875" style="0" customWidth="1"/>
    <col min="17" max="17" width="1.99609375" style="0" customWidth="1"/>
    <col min="18" max="18" width="8.3359375" style="0" customWidth="1"/>
    <col min="20" max="20" width="14.99609375" style="0" customWidth="1"/>
  </cols>
  <sheetData>
    <row r="1" ht="15">
      <c r="Q1" s="345" t="s">
        <v>311</v>
      </c>
    </row>
    <row r="3" spans="2:18" ht="15">
      <c r="B3" s="484" t="s">
        <v>514</v>
      </c>
      <c r="C3" s="484"/>
      <c r="D3" s="484"/>
      <c r="E3" s="484"/>
      <c r="F3" s="484"/>
      <c r="G3" s="484"/>
      <c r="H3" s="484"/>
      <c r="I3" s="484"/>
      <c r="J3" s="484"/>
      <c r="K3" s="484"/>
      <c r="L3" s="484"/>
      <c r="M3" s="484"/>
      <c r="N3" s="484"/>
      <c r="O3" s="484"/>
      <c r="P3" s="484"/>
      <c r="Q3" s="484"/>
      <c r="R3" s="484"/>
    </row>
    <row r="4" spans="2:18" ht="15">
      <c r="B4" s="303"/>
      <c r="C4" s="303"/>
      <c r="D4" s="303"/>
      <c r="E4" s="303"/>
      <c r="F4" s="303"/>
      <c r="G4" s="303"/>
      <c r="H4" s="303"/>
      <c r="I4" s="303"/>
      <c r="J4" s="303"/>
      <c r="K4" s="303"/>
      <c r="L4" s="303"/>
      <c r="M4" s="304"/>
      <c r="N4" s="304"/>
      <c r="O4" s="304"/>
      <c r="P4" s="304"/>
      <c r="Q4" s="304"/>
      <c r="R4" s="304"/>
    </row>
    <row r="5" spans="2:18" ht="15">
      <c r="B5" s="484" t="s">
        <v>292</v>
      </c>
      <c r="C5" s="484"/>
      <c r="D5" s="484"/>
      <c r="E5" s="484"/>
      <c r="F5" s="484"/>
      <c r="G5" s="484"/>
      <c r="H5" s="484"/>
      <c r="I5" s="484"/>
      <c r="J5" s="484"/>
      <c r="K5" s="484"/>
      <c r="L5" s="484"/>
      <c r="M5" s="484"/>
      <c r="N5" s="484"/>
      <c r="O5" s="484"/>
      <c r="P5" s="484"/>
      <c r="Q5" s="484"/>
      <c r="R5" s="484"/>
    </row>
    <row r="6" spans="2:18" ht="15">
      <c r="B6" s="484" t="s">
        <v>313</v>
      </c>
      <c r="C6" s="484"/>
      <c r="D6" s="484"/>
      <c r="E6" s="484"/>
      <c r="F6" s="484"/>
      <c r="G6" s="484"/>
      <c r="H6" s="484"/>
      <c r="I6" s="484"/>
      <c r="J6" s="484"/>
      <c r="K6" s="484"/>
      <c r="L6" s="484"/>
      <c r="M6" s="484"/>
      <c r="N6" s="484"/>
      <c r="O6" s="484"/>
      <c r="P6" s="484"/>
      <c r="Q6" s="484"/>
      <c r="R6" s="484"/>
    </row>
    <row r="7" spans="2:18" ht="15">
      <c r="B7" s="303"/>
      <c r="C7" s="303"/>
      <c r="D7" s="303"/>
      <c r="E7" s="303"/>
      <c r="F7" s="303"/>
      <c r="G7" s="303"/>
      <c r="H7" s="303"/>
      <c r="I7" s="303"/>
      <c r="J7" s="303"/>
      <c r="K7" s="303"/>
      <c r="L7" s="303"/>
      <c r="M7" s="304"/>
      <c r="N7" s="304"/>
      <c r="O7" s="304"/>
      <c r="P7" s="304"/>
      <c r="Q7" s="304"/>
      <c r="R7" s="304"/>
    </row>
    <row r="8" spans="2:20" ht="15">
      <c r="B8" s="303"/>
      <c r="C8" s="303"/>
      <c r="D8" s="303"/>
      <c r="E8" s="303"/>
      <c r="F8" s="303"/>
      <c r="G8" s="303"/>
      <c r="H8" s="303"/>
      <c r="I8" s="303"/>
      <c r="J8" s="303"/>
      <c r="K8" s="303"/>
      <c r="L8" s="303"/>
      <c r="M8" s="304"/>
      <c r="N8" s="304"/>
      <c r="O8" s="304"/>
      <c r="P8" s="304"/>
      <c r="Q8" s="304"/>
      <c r="R8" s="304"/>
      <c r="T8" s="380"/>
    </row>
    <row r="9" spans="2:18" ht="15">
      <c r="B9" s="305"/>
      <c r="C9" s="305"/>
      <c r="D9" s="483" t="s">
        <v>293</v>
      </c>
      <c r="E9" s="483"/>
      <c r="F9" s="483"/>
      <c r="G9" s="303"/>
      <c r="H9" s="303"/>
      <c r="I9" s="303"/>
      <c r="J9" s="303"/>
      <c r="K9" s="303"/>
      <c r="L9" s="303"/>
      <c r="M9" s="304"/>
      <c r="N9" s="304"/>
      <c r="O9" s="304"/>
      <c r="P9" s="483" t="s">
        <v>294</v>
      </c>
      <c r="Q9" s="483"/>
      <c r="R9" s="483"/>
    </row>
    <row r="10" spans="2:18" ht="15">
      <c r="B10" s="302" t="s">
        <v>550</v>
      </c>
      <c r="C10" s="302"/>
      <c r="D10" s="302" t="s">
        <v>295</v>
      </c>
      <c r="E10" s="304"/>
      <c r="F10" s="304"/>
      <c r="G10" s="303"/>
      <c r="H10" s="483" t="s">
        <v>296</v>
      </c>
      <c r="I10" s="483"/>
      <c r="J10" s="483"/>
      <c r="K10" s="303"/>
      <c r="L10" s="483" t="s">
        <v>297</v>
      </c>
      <c r="M10" s="483"/>
      <c r="N10" s="483"/>
      <c r="O10" s="304"/>
      <c r="P10" s="304"/>
      <c r="Q10" s="304"/>
      <c r="R10" s="302" t="s">
        <v>568</v>
      </c>
    </row>
    <row r="11" spans="2:22" ht="15">
      <c r="B11" s="306" t="s">
        <v>522</v>
      </c>
      <c r="C11" s="305"/>
      <c r="D11" s="307" t="s">
        <v>298</v>
      </c>
      <c r="E11" s="303"/>
      <c r="F11" s="306" t="s">
        <v>568</v>
      </c>
      <c r="G11" s="303"/>
      <c r="H11" s="306" t="s">
        <v>295</v>
      </c>
      <c r="I11" s="303"/>
      <c r="J11" s="306" t="s">
        <v>568</v>
      </c>
      <c r="K11" s="303"/>
      <c r="L11" s="306" t="s">
        <v>295</v>
      </c>
      <c r="M11" s="303"/>
      <c r="N11" s="306" t="s">
        <v>568</v>
      </c>
      <c r="O11" s="304"/>
      <c r="P11" s="306" t="s">
        <v>295</v>
      </c>
      <c r="Q11" s="303"/>
      <c r="R11" s="306" t="s">
        <v>299</v>
      </c>
      <c r="S11" s="14"/>
      <c r="T11" s="14"/>
      <c r="U11" s="14"/>
      <c r="V11" s="14"/>
    </row>
    <row r="12" spans="1:22" ht="15">
      <c r="A12" s="473"/>
      <c r="B12" s="308" t="s">
        <v>524</v>
      </c>
      <c r="C12" s="309"/>
      <c r="D12" s="308" t="s">
        <v>535</v>
      </c>
      <c r="E12" s="309"/>
      <c r="F12" s="308" t="s">
        <v>525</v>
      </c>
      <c r="G12" s="309"/>
      <c r="H12" s="308" t="s">
        <v>300</v>
      </c>
      <c r="I12" s="309"/>
      <c r="J12" s="308" t="s">
        <v>301</v>
      </c>
      <c r="K12" s="303"/>
      <c r="L12" s="308" t="s">
        <v>302</v>
      </c>
      <c r="M12" s="309"/>
      <c r="N12" s="308" t="s">
        <v>303</v>
      </c>
      <c r="O12" s="304"/>
      <c r="P12" s="308" t="s">
        <v>304</v>
      </c>
      <c r="Q12" s="309"/>
      <c r="R12" s="308" t="s">
        <v>305</v>
      </c>
      <c r="S12" s="14"/>
      <c r="T12" s="14"/>
      <c r="U12" s="14"/>
      <c r="V12" s="14"/>
    </row>
    <row r="13" spans="1:22" ht="15">
      <c r="A13" s="474"/>
      <c r="B13" s="303"/>
      <c r="C13" s="303"/>
      <c r="D13" s="303"/>
      <c r="E13" s="303"/>
      <c r="F13" s="303"/>
      <c r="G13" s="303"/>
      <c r="H13" s="303"/>
      <c r="I13" s="303"/>
      <c r="J13" s="303"/>
      <c r="K13" s="303"/>
      <c r="L13" s="303"/>
      <c r="M13" s="303"/>
      <c r="N13" s="303"/>
      <c r="O13" s="304"/>
      <c r="P13" s="303"/>
      <c r="Q13" s="303"/>
      <c r="R13" s="303"/>
      <c r="S13" s="14"/>
      <c r="T13" s="14"/>
      <c r="U13" s="14"/>
      <c r="V13" s="14"/>
    </row>
    <row r="14" spans="1:22" ht="15">
      <c r="A14" s="475">
        <v>26854095</v>
      </c>
      <c r="B14" s="303" t="s">
        <v>526</v>
      </c>
      <c r="C14" s="303"/>
      <c r="D14" s="318">
        <f>'Schedule B'!G31</f>
        <v>32837582</v>
      </c>
      <c r="E14" s="303"/>
      <c r="F14" s="311">
        <f>ROUND(D14/D$28,3)+0.001</f>
        <v>0.531</v>
      </c>
      <c r="G14" s="303"/>
      <c r="H14" s="323">
        <f>+A14</f>
        <v>26854095</v>
      </c>
      <c r="I14" s="303"/>
      <c r="J14" s="311">
        <f>ROUND(H14/H$28,3)</f>
        <v>0.55</v>
      </c>
      <c r="K14" s="303"/>
      <c r="L14" s="323">
        <v>33701972</v>
      </c>
      <c r="M14" s="303"/>
      <c r="N14" s="311">
        <f>ROUND(L14/L$28,3)</f>
        <v>0.544</v>
      </c>
      <c r="O14" s="304"/>
      <c r="P14" s="310">
        <f>+L14-H14</f>
        <v>6847877</v>
      </c>
      <c r="Q14" s="303"/>
      <c r="R14" s="311">
        <f>+P14/H14</f>
        <v>0.2550030823976753</v>
      </c>
      <c r="S14" s="14"/>
      <c r="T14" s="377"/>
      <c r="U14" s="14"/>
      <c r="V14" s="14"/>
    </row>
    <row r="15" spans="1:22" ht="15">
      <c r="A15" s="475"/>
      <c r="B15" s="303"/>
      <c r="C15" s="303"/>
      <c r="D15" s="319"/>
      <c r="E15" s="303"/>
      <c r="F15" s="311"/>
      <c r="G15" s="303"/>
      <c r="H15" s="323"/>
      <c r="I15" s="303"/>
      <c r="J15" s="311"/>
      <c r="K15" s="303"/>
      <c r="L15" s="323"/>
      <c r="M15" s="303"/>
      <c r="N15" s="311"/>
      <c r="O15" s="304"/>
      <c r="P15" s="303"/>
      <c r="Q15" s="303"/>
      <c r="R15" s="311"/>
      <c r="S15" s="14"/>
      <c r="T15" s="377"/>
      <c r="U15" s="14"/>
      <c r="V15" s="14"/>
    </row>
    <row r="16" spans="1:22" ht="15">
      <c r="A16" s="475">
        <v>12739187</v>
      </c>
      <c r="B16" s="303" t="s">
        <v>527</v>
      </c>
      <c r="C16" s="303"/>
      <c r="D16" s="320">
        <f>'Schedule B'!I31</f>
        <v>16490986</v>
      </c>
      <c r="E16" s="303"/>
      <c r="F16" s="311">
        <f>ROUND(D16/D$28,3)</f>
        <v>0.266</v>
      </c>
      <c r="G16" s="303"/>
      <c r="H16" s="398">
        <f>+A16</f>
        <v>12739187</v>
      </c>
      <c r="I16" s="303"/>
      <c r="J16" s="311">
        <f>ROUND(H16/H$28,3)</f>
        <v>0.261</v>
      </c>
      <c r="K16" s="303"/>
      <c r="L16" s="398">
        <v>16306301</v>
      </c>
      <c r="M16" s="303"/>
      <c r="N16" s="311">
        <f>ROUND(L16/L$28,3)</f>
        <v>0.263</v>
      </c>
      <c r="O16" s="304"/>
      <c r="P16" s="309">
        <f>+L16-H16</f>
        <v>3567114</v>
      </c>
      <c r="Q16" s="303"/>
      <c r="R16" s="311">
        <f aca="true" t="shared" si="0" ref="R16:R32">+P16/H16</f>
        <v>0.28001111844892457</v>
      </c>
      <c r="S16" s="14"/>
      <c r="T16" s="377"/>
      <c r="U16" s="14"/>
      <c r="V16" s="14"/>
    </row>
    <row r="17" spans="1:22" ht="15">
      <c r="A17" s="475"/>
      <c r="B17" s="303"/>
      <c r="C17" s="303"/>
      <c r="D17" s="321"/>
      <c r="E17" s="303"/>
      <c r="F17" s="311"/>
      <c r="G17" s="303"/>
      <c r="H17" s="398"/>
      <c r="I17" s="303"/>
      <c r="J17" s="311"/>
      <c r="K17" s="303"/>
      <c r="L17" s="398"/>
      <c r="M17" s="303"/>
      <c r="N17" s="311"/>
      <c r="O17" s="304"/>
      <c r="P17" s="309"/>
      <c r="Q17" s="303"/>
      <c r="R17" s="311"/>
      <c r="S17" s="14"/>
      <c r="T17" s="377"/>
      <c r="U17" s="14"/>
      <c r="V17" s="14"/>
    </row>
    <row r="18" spans="1:22" ht="15">
      <c r="A18" s="475">
        <v>1522907</v>
      </c>
      <c r="B18" s="303" t="s">
        <v>528</v>
      </c>
      <c r="C18" s="303"/>
      <c r="D18" s="320">
        <f>'Schedule B'!K31</f>
        <v>2442262</v>
      </c>
      <c r="E18" s="303"/>
      <c r="F18" s="311">
        <f>ROUND(D18/D$28,3)</f>
        <v>0.039</v>
      </c>
      <c r="G18" s="303"/>
      <c r="H18" s="398">
        <f>+A18</f>
        <v>1522907</v>
      </c>
      <c r="I18" s="303"/>
      <c r="J18" s="311">
        <f>ROUND(H18/H$28,3)</f>
        <v>0.031</v>
      </c>
      <c r="K18" s="303"/>
      <c r="L18" s="398">
        <v>2025504</v>
      </c>
      <c r="M18" s="303"/>
      <c r="N18" s="311">
        <f>ROUND(L18/L$28,3)</f>
        <v>0.033</v>
      </c>
      <c r="O18" s="304"/>
      <c r="P18" s="309">
        <f>+L18-H18</f>
        <v>502597</v>
      </c>
      <c r="Q18" s="303"/>
      <c r="R18" s="311">
        <f t="shared" si="0"/>
        <v>0.33002474872070325</v>
      </c>
      <c r="S18" s="14"/>
      <c r="T18" s="377"/>
      <c r="U18" s="14"/>
      <c r="V18" s="14"/>
    </row>
    <row r="19" spans="1:22" ht="15">
      <c r="A19" s="475"/>
      <c r="B19" s="303"/>
      <c r="C19" s="303"/>
      <c r="D19" s="321"/>
      <c r="E19" s="303"/>
      <c r="F19" s="311"/>
      <c r="G19" s="303"/>
      <c r="H19" s="398"/>
      <c r="I19" s="303"/>
      <c r="J19" s="311"/>
      <c r="K19" s="303"/>
      <c r="L19" s="398"/>
      <c r="M19" s="303"/>
      <c r="N19" s="311"/>
      <c r="O19" s="304"/>
      <c r="P19" s="309"/>
      <c r="Q19" s="303"/>
      <c r="R19" s="311"/>
      <c r="S19" s="14"/>
      <c r="T19" s="377"/>
      <c r="U19" s="14"/>
      <c r="V19" s="14"/>
    </row>
    <row r="20" spans="1:22" ht="15">
      <c r="A20" s="475">
        <v>3781085</v>
      </c>
      <c r="B20" s="303" t="s">
        <v>306</v>
      </c>
      <c r="C20" s="303"/>
      <c r="D20" s="320">
        <f>'Schedule B'!M31</f>
        <v>4843819</v>
      </c>
      <c r="E20" s="303"/>
      <c r="F20" s="311">
        <f>ROUND(D20/D$28,3)</f>
        <v>0.078</v>
      </c>
      <c r="G20" s="303"/>
      <c r="H20" s="398">
        <f>+A20</f>
        <v>3781085</v>
      </c>
      <c r="I20" s="303"/>
      <c r="J20" s="311">
        <f>ROUND(H20/H$28,3)+0.001</f>
        <v>0.078</v>
      </c>
      <c r="K20" s="303"/>
      <c r="L20" s="398">
        <v>4801994</v>
      </c>
      <c r="M20" s="303"/>
      <c r="N20" s="311">
        <f>ROUND(L20/L$28,3)</f>
        <v>0.078</v>
      </c>
      <c r="O20" s="304"/>
      <c r="P20" s="309">
        <f>+L20-H20</f>
        <v>1020909</v>
      </c>
      <c r="Q20" s="303"/>
      <c r="R20" s="311">
        <f t="shared" si="0"/>
        <v>0.2700042448133274</v>
      </c>
      <c r="S20" s="14"/>
      <c r="T20" s="377"/>
      <c r="U20" s="14"/>
      <c r="V20" s="14"/>
    </row>
    <row r="21" spans="1:22" ht="15">
      <c r="A21" s="475"/>
      <c r="B21" s="303"/>
      <c r="C21" s="303"/>
      <c r="D21" s="321"/>
      <c r="E21" s="303"/>
      <c r="F21" s="311"/>
      <c r="G21" s="303"/>
      <c r="H21" s="398"/>
      <c r="I21" s="303"/>
      <c r="J21" s="311"/>
      <c r="K21" s="303"/>
      <c r="L21" s="398"/>
      <c r="M21" s="303"/>
      <c r="N21" s="311"/>
      <c r="O21" s="304"/>
      <c r="P21" s="309"/>
      <c r="Q21" s="303"/>
      <c r="R21" s="311"/>
      <c r="S21" s="14"/>
      <c r="T21" s="377"/>
      <c r="U21" s="14"/>
      <c r="V21" s="14"/>
    </row>
    <row r="22" spans="1:22" ht="15">
      <c r="A22" s="475">
        <v>1018444</v>
      </c>
      <c r="B22" s="303" t="s">
        <v>307</v>
      </c>
      <c r="C22" s="303"/>
      <c r="D22" s="320">
        <f>'Schedule B'!O31</f>
        <v>1341423</v>
      </c>
      <c r="E22" s="303"/>
      <c r="F22" s="311">
        <f>ROUND(D22/D$28,3)</f>
        <v>0.022</v>
      </c>
      <c r="G22" s="303"/>
      <c r="H22" s="398">
        <f>+A22</f>
        <v>1018444</v>
      </c>
      <c r="I22" s="303"/>
      <c r="J22" s="311">
        <f>ROUND(H22/H$28,3)</f>
        <v>0.021</v>
      </c>
      <c r="K22" s="303"/>
      <c r="L22" s="398">
        <v>1346371</v>
      </c>
      <c r="M22" s="303"/>
      <c r="N22" s="311">
        <f>ROUND(L22/L$28,3)</f>
        <v>0.022</v>
      </c>
      <c r="O22" s="304"/>
      <c r="P22" s="309">
        <f>+L22-H22</f>
        <v>327927</v>
      </c>
      <c r="Q22" s="303"/>
      <c r="R22" s="311">
        <f t="shared" si="0"/>
        <v>0.32198824874023513</v>
      </c>
      <c r="S22" s="14"/>
      <c r="T22" s="377"/>
      <c r="U22" s="14"/>
      <c r="V22" s="14"/>
    </row>
    <row r="23" spans="1:22" ht="15">
      <c r="A23" s="475"/>
      <c r="B23" s="303"/>
      <c r="C23" s="303"/>
      <c r="D23" s="321"/>
      <c r="E23" s="303"/>
      <c r="F23" s="311"/>
      <c r="G23" s="303"/>
      <c r="H23" s="398"/>
      <c r="I23" s="303"/>
      <c r="J23" s="311"/>
      <c r="K23" s="303"/>
      <c r="L23" s="398"/>
      <c r="M23" s="303"/>
      <c r="N23" s="311"/>
      <c r="O23" s="304"/>
      <c r="P23" s="309"/>
      <c r="Q23" s="303"/>
      <c r="R23" s="311"/>
      <c r="S23" s="14"/>
      <c r="T23" s="377"/>
      <c r="U23" s="14"/>
      <c r="V23" s="14"/>
    </row>
    <row r="24" spans="1:22" ht="15">
      <c r="A24" s="475">
        <v>912978</v>
      </c>
      <c r="B24" s="303" t="s">
        <v>44</v>
      </c>
      <c r="C24" s="303"/>
      <c r="D24" s="320">
        <f>'Schedule B'!Q31</f>
        <v>1365825</v>
      </c>
      <c r="E24" s="303"/>
      <c r="F24" s="311">
        <f>ROUND(D24/D$28,3)</f>
        <v>0.022</v>
      </c>
      <c r="G24" s="303"/>
      <c r="H24" s="398">
        <f>+A24</f>
        <v>912978</v>
      </c>
      <c r="I24" s="303"/>
      <c r="J24" s="311">
        <f>ROUND(H24/H$28,3)</f>
        <v>0.019</v>
      </c>
      <c r="K24" s="303"/>
      <c r="L24" s="398">
        <v>1231859</v>
      </c>
      <c r="M24" s="303"/>
      <c r="N24" s="311">
        <f>ROUND(L24/L$28,3)</f>
        <v>0.02</v>
      </c>
      <c r="O24" s="304"/>
      <c r="P24" s="309">
        <f>+L24-H24</f>
        <v>318881</v>
      </c>
      <c r="Q24" s="303"/>
      <c r="R24" s="311">
        <f t="shared" si="0"/>
        <v>0.3492756671026027</v>
      </c>
      <c r="S24" s="14"/>
      <c r="T24" s="377"/>
      <c r="U24" s="14"/>
      <c r="V24" s="14"/>
    </row>
    <row r="25" spans="1:22" ht="15">
      <c r="A25" s="475">
        <v>0</v>
      </c>
      <c r="B25" s="303"/>
      <c r="C25" s="303"/>
      <c r="D25" s="321"/>
      <c r="E25" s="303"/>
      <c r="F25" s="311"/>
      <c r="G25" s="303"/>
      <c r="H25" s="398"/>
      <c r="I25" s="303"/>
      <c r="J25" s="311"/>
      <c r="K25" s="303"/>
      <c r="L25" s="398"/>
      <c r="M25" s="303"/>
      <c r="N25" s="311"/>
      <c r="O25" s="304"/>
      <c r="P25" s="309"/>
      <c r="Q25" s="303"/>
      <c r="R25" s="311"/>
      <c r="S25" s="14"/>
      <c r="T25" s="377"/>
      <c r="U25" s="14"/>
      <c r="V25" s="14"/>
    </row>
    <row r="26" spans="1:22" ht="15">
      <c r="A26" s="475">
        <v>1961069</v>
      </c>
      <c r="B26" s="303" t="s">
        <v>45</v>
      </c>
      <c r="C26" s="303"/>
      <c r="D26" s="322">
        <f>'Schedule B'!S31</f>
        <v>2582548</v>
      </c>
      <c r="E26" s="303"/>
      <c r="F26" s="313">
        <f>ROUND(D26/D$28,3)</f>
        <v>0.042</v>
      </c>
      <c r="G26" s="303"/>
      <c r="H26" s="405">
        <f>+A26</f>
        <v>1961069</v>
      </c>
      <c r="I26" s="303"/>
      <c r="J26" s="313">
        <f>ROUND(H26/H$28,3)</f>
        <v>0.04</v>
      </c>
      <c r="K26" s="303"/>
      <c r="L26" s="405">
        <v>2490402</v>
      </c>
      <c r="M26" s="303"/>
      <c r="N26" s="313">
        <f>ROUND(L26/L$28,3)</f>
        <v>0.04</v>
      </c>
      <c r="O26" s="304"/>
      <c r="P26" s="312">
        <f>+L26-H26</f>
        <v>529333</v>
      </c>
      <c r="Q26" s="303"/>
      <c r="R26" s="311">
        <f t="shared" si="0"/>
        <v>0.26992064022224616</v>
      </c>
      <c r="S26" s="14"/>
      <c r="T26" s="377"/>
      <c r="U26" s="14"/>
      <c r="V26" s="14"/>
    </row>
    <row r="27" spans="1:22" ht="15">
      <c r="A27" s="476"/>
      <c r="B27" s="303"/>
      <c r="C27" s="303"/>
      <c r="D27" s="309"/>
      <c r="E27" s="303"/>
      <c r="F27" s="303"/>
      <c r="G27" s="303"/>
      <c r="H27" s="309"/>
      <c r="I27" s="303"/>
      <c r="J27" s="303"/>
      <c r="K27" s="303"/>
      <c r="L27" s="309"/>
      <c r="M27" s="303"/>
      <c r="N27" s="303"/>
      <c r="O27" s="304"/>
      <c r="P27" s="309"/>
      <c r="Q27" s="303"/>
      <c r="R27" s="311"/>
      <c r="S27" s="14"/>
      <c r="T27" s="14"/>
      <c r="U27" s="14"/>
      <c r="V27" s="14"/>
    </row>
    <row r="28" spans="1:22" ht="15.75" thickBot="1">
      <c r="A28" s="477">
        <v>48789765</v>
      </c>
      <c r="B28" s="303" t="s">
        <v>308</v>
      </c>
      <c r="C28" s="303"/>
      <c r="D28" s="309">
        <f>SUM(D14:D26)</f>
        <v>61904445</v>
      </c>
      <c r="E28" s="303"/>
      <c r="F28" s="314">
        <f>SUM(F14:F26)</f>
        <v>1</v>
      </c>
      <c r="G28" s="303"/>
      <c r="H28" s="309">
        <f>SUM(H14:H26)</f>
        <v>48789765</v>
      </c>
      <c r="I28" s="303"/>
      <c r="J28" s="314">
        <f>SUM(J14:J26)</f>
        <v>1</v>
      </c>
      <c r="K28" s="303"/>
      <c r="L28" s="309">
        <f>SUM(L14:L26)</f>
        <v>61904403</v>
      </c>
      <c r="M28" s="303"/>
      <c r="N28" s="314">
        <f>SUM(N14:N26)</f>
        <v>1</v>
      </c>
      <c r="O28" s="304"/>
      <c r="P28" s="309">
        <f>SUM(P14:P26)</f>
        <v>13114638</v>
      </c>
      <c r="Q28" s="303"/>
      <c r="R28" s="311">
        <f t="shared" si="0"/>
        <v>0.2687989581421431</v>
      </c>
      <c r="S28" s="14"/>
      <c r="T28" s="309"/>
      <c r="U28" s="14"/>
      <c r="V28" s="14"/>
    </row>
    <row r="29" spans="2:22" ht="15.75" thickTop="1">
      <c r="B29" s="303"/>
      <c r="C29" s="303"/>
      <c r="D29" s="303"/>
      <c r="E29" s="303"/>
      <c r="F29" s="303"/>
      <c r="G29" s="303"/>
      <c r="H29" s="303"/>
      <c r="I29" s="303"/>
      <c r="J29" s="303"/>
      <c r="K29" s="303"/>
      <c r="L29" s="303"/>
      <c r="M29" s="303"/>
      <c r="N29" s="303"/>
      <c r="O29" s="304"/>
      <c r="P29" s="309"/>
      <c r="Q29" s="303"/>
      <c r="R29" s="311"/>
      <c r="S29" s="14"/>
      <c r="T29" s="14"/>
      <c r="U29" s="14"/>
      <c r="V29" s="14"/>
    </row>
    <row r="30" spans="2:22" ht="15">
      <c r="B30" s="315" t="s">
        <v>309</v>
      </c>
      <c r="C30" s="315"/>
      <c r="D30" s="322">
        <f>+'Schedule D'!F280</f>
        <v>3834620</v>
      </c>
      <c r="E30" s="315"/>
      <c r="F30" s="315"/>
      <c r="G30" s="315"/>
      <c r="H30" s="405">
        <f>86345+903528+21588+667152+223582+1858197</f>
        <v>3760392</v>
      </c>
      <c r="I30" s="315"/>
      <c r="J30" s="315"/>
      <c r="K30" s="315"/>
      <c r="L30" s="405">
        <v>3834620</v>
      </c>
      <c r="M30" s="315"/>
      <c r="N30" s="315"/>
      <c r="O30" s="316"/>
      <c r="P30" s="312">
        <f>+L30-H30</f>
        <v>74228</v>
      </c>
      <c r="Q30" s="315"/>
      <c r="R30" s="311">
        <f t="shared" si="0"/>
        <v>0.019739431420979513</v>
      </c>
      <c r="S30" s="14"/>
      <c r="T30" s="14"/>
      <c r="U30" s="14"/>
      <c r="V30" s="14"/>
    </row>
    <row r="31" spans="2:22" ht="15">
      <c r="B31" s="303"/>
      <c r="C31" s="303"/>
      <c r="D31" s="303"/>
      <c r="E31" s="303"/>
      <c r="F31" s="303"/>
      <c r="G31" s="303"/>
      <c r="H31" s="303"/>
      <c r="I31" s="303"/>
      <c r="J31" s="303"/>
      <c r="K31" s="303"/>
      <c r="L31" s="303"/>
      <c r="M31" s="303"/>
      <c r="N31" s="303"/>
      <c r="O31" s="304"/>
      <c r="P31" s="303"/>
      <c r="Q31" s="303"/>
      <c r="R31" s="311"/>
      <c r="S31" s="14"/>
      <c r="T31" s="14"/>
      <c r="U31" s="14"/>
      <c r="V31" s="14"/>
    </row>
    <row r="32" spans="2:22" ht="15.75" thickBot="1">
      <c r="B32" s="303" t="s">
        <v>310</v>
      </c>
      <c r="C32" s="303"/>
      <c r="D32" s="317">
        <f>+D30+D28</f>
        <v>65739065</v>
      </c>
      <c r="E32" s="303"/>
      <c r="F32" s="303"/>
      <c r="G32" s="303"/>
      <c r="H32" s="317">
        <f>+H30+H28</f>
        <v>52550157</v>
      </c>
      <c r="I32" s="303"/>
      <c r="J32" s="303"/>
      <c r="K32" s="303"/>
      <c r="L32" s="317">
        <f>+L30+L28</f>
        <v>65739023</v>
      </c>
      <c r="M32" s="303"/>
      <c r="N32" s="303"/>
      <c r="O32" s="304"/>
      <c r="P32" s="317">
        <f>+L32-H32</f>
        <v>13188866</v>
      </c>
      <c r="Q32" s="303"/>
      <c r="R32" s="311">
        <f t="shared" si="0"/>
        <v>0.25097671925128595</v>
      </c>
      <c r="S32" s="14"/>
      <c r="T32" s="14"/>
      <c r="U32" s="14"/>
      <c r="V32" s="14"/>
    </row>
    <row r="33" spans="19:22" ht="15.75" thickTop="1">
      <c r="S33" s="14"/>
      <c r="T33" s="14"/>
      <c r="U33" s="14"/>
      <c r="V33" s="14"/>
    </row>
    <row r="34" spans="12:22" ht="15">
      <c r="L34" s="14"/>
      <c r="S34" s="14"/>
      <c r="T34" s="14"/>
      <c r="U34" s="14"/>
      <c r="V34" s="14"/>
    </row>
    <row r="35" spans="12:22" ht="15">
      <c r="L35" s="404"/>
      <c r="S35" s="14"/>
      <c r="T35" s="14"/>
      <c r="U35" s="14"/>
      <c r="V35" s="14"/>
    </row>
    <row r="36" spans="19:22" ht="15">
      <c r="S36" s="14"/>
      <c r="T36" s="14"/>
      <c r="U36" s="14"/>
      <c r="V36" s="14"/>
    </row>
  </sheetData>
  <mergeCells count="7">
    <mergeCell ref="H10:J10"/>
    <mergeCell ref="L10:N10"/>
    <mergeCell ref="B3:R3"/>
    <mergeCell ref="B5:R5"/>
    <mergeCell ref="B6:R6"/>
    <mergeCell ref="D9:F9"/>
    <mergeCell ref="P9:R9"/>
  </mergeCells>
  <printOptions horizontalCentered="1"/>
  <pageMargins left="0.75" right="0.75" top="1" bottom="1" header="0.5" footer="0.5"/>
  <pageSetup fitToHeight="1" fitToWidth="1" horizontalDpi="600" verticalDpi="600" orientation="landscape" scale="87" r:id="rId1"/>
</worksheet>
</file>

<file path=xl/worksheets/sheet4.xml><?xml version="1.0" encoding="utf-8"?>
<worksheet xmlns="http://schemas.openxmlformats.org/spreadsheetml/2006/main" xmlns:r="http://schemas.openxmlformats.org/officeDocument/2006/relationships">
  <dimension ref="A1:U39"/>
  <sheetViews>
    <sheetView zoomScale="87" zoomScaleNormal="87" workbookViewId="0" topLeftCell="B1">
      <selection activeCell="K38" sqref="K38"/>
    </sheetView>
  </sheetViews>
  <sheetFormatPr defaultColWidth="8.88671875" defaultRowHeight="12.75"/>
  <cols>
    <col min="1" max="1" width="21.77734375" style="0" customWidth="1"/>
    <col min="2" max="2" width="1.66796875" style="0" customWidth="1"/>
    <col min="3" max="3" width="4.6640625" style="0" customWidth="1"/>
    <col min="4" max="4" width="1.77734375" style="0" customWidth="1"/>
    <col min="5" max="5" width="10.6640625" style="0" customWidth="1"/>
    <col min="6" max="6" width="1.77734375" style="0" customWidth="1"/>
    <col min="7" max="7" width="10.10546875" style="0" customWidth="1"/>
    <col min="8" max="8" width="1.5625" style="0" customWidth="1"/>
    <col min="9" max="9" width="10.21484375" style="0" customWidth="1"/>
    <col min="10" max="10" width="1.66796875" style="0" customWidth="1"/>
    <col min="11" max="11" width="9.4453125" style="0" customWidth="1"/>
    <col min="12" max="12" width="1.77734375" style="0" customWidth="1"/>
    <col min="13" max="13" width="9.21484375" style="0" customWidth="1"/>
    <col min="14" max="14" width="1.66796875" style="0" customWidth="1"/>
    <col min="15" max="15" width="9.6640625" style="0" customWidth="1"/>
    <col min="16" max="16" width="1.4375" style="0" customWidth="1"/>
    <col min="17" max="17" width="9.21484375" style="0" customWidth="1"/>
    <col min="18" max="18" width="1.5625" style="0" customWidth="1"/>
    <col min="19" max="19" width="9.21484375" style="0" customWidth="1"/>
    <col min="20" max="20" width="2.99609375" style="0" customWidth="1"/>
    <col min="21" max="21" width="6.10546875" style="0" customWidth="1"/>
  </cols>
  <sheetData>
    <row r="1" ht="15">
      <c r="R1" s="108" t="s">
        <v>260</v>
      </c>
    </row>
    <row r="3" spans="1:21" ht="15">
      <c r="A3" s="479" t="s">
        <v>514</v>
      </c>
      <c r="B3" s="479"/>
      <c r="C3" s="479"/>
      <c r="D3" s="479"/>
      <c r="E3" s="479"/>
      <c r="F3" s="479"/>
      <c r="G3" s="479"/>
      <c r="H3" s="479"/>
      <c r="I3" s="479"/>
      <c r="J3" s="479"/>
      <c r="K3" s="479"/>
      <c r="L3" s="479"/>
      <c r="M3" s="479"/>
      <c r="N3" s="479"/>
      <c r="O3" s="479"/>
      <c r="P3" s="479"/>
      <c r="Q3" s="479"/>
      <c r="R3" s="479"/>
      <c r="S3" s="479"/>
      <c r="T3" s="108"/>
      <c r="U3" s="108"/>
    </row>
    <row r="4" spans="1:21" ht="15">
      <c r="A4" s="187"/>
      <c r="B4" s="187"/>
      <c r="C4" s="187"/>
      <c r="D4" s="187"/>
      <c r="E4" s="187"/>
      <c r="F4" s="187"/>
      <c r="G4" s="187"/>
      <c r="H4" s="187"/>
      <c r="I4" s="187"/>
      <c r="J4" s="187"/>
      <c r="K4" s="187"/>
      <c r="L4" s="187"/>
      <c r="M4" s="187"/>
      <c r="N4" s="187"/>
      <c r="O4" s="187"/>
      <c r="P4" s="187"/>
      <c r="Q4" s="187"/>
      <c r="R4" s="187"/>
      <c r="S4" s="187"/>
      <c r="T4" s="108"/>
      <c r="U4" s="108"/>
    </row>
    <row r="5" spans="1:21" ht="15">
      <c r="A5" s="479" t="s">
        <v>433</v>
      </c>
      <c r="B5" s="479"/>
      <c r="C5" s="479"/>
      <c r="D5" s="479"/>
      <c r="E5" s="479"/>
      <c r="F5" s="479"/>
      <c r="G5" s="479"/>
      <c r="H5" s="479"/>
      <c r="I5" s="479"/>
      <c r="J5" s="479"/>
      <c r="K5" s="479"/>
      <c r="L5" s="479"/>
      <c r="M5" s="479"/>
      <c r="N5" s="479"/>
      <c r="O5" s="479"/>
      <c r="P5" s="479"/>
      <c r="Q5" s="479"/>
      <c r="R5" s="479"/>
      <c r="S5" s="479"/>
      <c r="T5" s="108"/>
      <c r="U5" s="108"/>
    </row>
    <row r="6" spans="1:21" ht="15">
      <c r="A6" s="187"/>
      <c r="B6" s="187"/>
      <c r="C6" s="187"/>
      <c r="D6" s="187"/>
      <c r="E6" s="187"/>
      <c r="F6" s="187"/>
      <c r="G6" s="187"/>
      <c r="H6" s="187"/>
      <c r="I6" s="187"/>
      <c r="J6" s="187"/>
      <c r="K6" s="187"/>
      <c r="L6" s="187"/>
      <c r="M6" s="187"/>
      <c r="N6" s="187"/>
      <c r="O6" s="187"/>
      <c r="P6" s="187"/>
      <c r="Q6" s="187"/>
      <c r="R6" s="187"/>
      <c r="S6" s="187"/>
      <c r="T6" s="108"/>
      <c r="U6" s="108"/>
    </row>
    <row r="7" spans="1:21" ht="12.75">
      <c r="A7" s="106"/>
      <c r="B7" s="106"/>
      <c r="C7" s="117"/>
      <c r="D7" s="106"/>
      <c r="E7" s="113"/>
      <c r="F7" s="106"/>
      <c r="G7" s="113"/>
      <c r="H7" s="121"/>
      <c r="I7" s="121"/>
      <c r="J7" s="121"/>
      <c r="K7" s="121"/>
      <c r="L7" s="121"/>
      <c r="M7" s="121"/>
      <c r="N7" s="121"/>
      <c r="O7" s="121"/>
      <c r="P7" s="121"/>
      <c r="Q7" s="121"/>
      <c r="R7" s="121"/>
      <c r="S7" s="121"/>
      <c r="T7" s="65"/>
      <c r="U7" s="65"/>
    </row>
    <row r="8" spans="1:21" ht="12.75">
      <c r="A8" s="109"/>
      <c r="B8" s="109"/>
      <c r="C8" s="117"/>
      <c r="D8" s="109"/>
      <c r="E8" s="122" t="s">
        <v>395</v>
      </c>
      <c r="F8" s="109"/>
      <c r="G8" s="122"/>
      <c r="H8" s="123"/>
      <c r="I8" s="123"/>
      <c r="J8" s="123"/>
      <c r="K8" s="123"/>
      <c r="L8" s="123"/>
      <c r="M8" s="123"/>
      <c r="N8" s="123"/>
      <c r="O8" s="123"/>
      <c r="P8" s="123"/>
      <c r="Q8" s="485" t="s">
        <v>402</v>
      </c>
      <c r="R8" s="485"/>
      <c r="S8" s="485"/>
      <c r="T8" s="103"/>
      <c r="U8" s="103"/>
    </row>
    <row r="9" spans="1:21" ht="12.75">
      <c r="A9" s="109"/>
      <c r="B9" s="109"/>
      <c r="C9" s="117" t="s">
        <v>523</v>
      </c>
      <c r="D9" s="109"/>
      <c r="E9" s="231" t="s">
        <v>601</v>
      </c>
      <c r="F9" s="109"/>
      <c r="G9" s="122"/>
      <c r="H9" s="123"/>
      <c r="M9" s="111" t="s">
        <v>627</v>
      </c>
      <c r="N9" s="111"/>
      <c r="O9" s="111" t="s">
        <v>268</v>
      </c>
      <c r="P9" s="123"/>
      <c r="Q9" s="123" t="s">
        <v>403</v>
      </c>
      <c r="R9" s="123"/>
      <c r="S9" s="123" t="s">
        <v>627</v>
      </c>
      <c r="T9" s="103"/>
      <c r="U9" s="103"/>
    </row>
    <row r="10" spans="1:21" ht="12.75">
      <c r="A10" s="112" t="s">
        <v>421</v>
      </c>
      <c r="B10" s="110"/>
      <c r="C10" s="120" t="s">
        <v>429</v>
      </c>
      <c r="D10" s="109"/>
      <c r="E10" s="135" t="s">
        <v>428</v>
      </c>
      <c r="F10" s="109"/>
      <c r="G10" s="125" t="s">
        <v>526</v>
      </c>
      <c r="H10" s="123"/>
      <c r="I10" s="124" t="s">
        <v>527</v>
      </c>
      <c r="J10" s="123"/>
      <c r="K10" s="124" t="s">
        <v>528</v>
      </c>
      <c r="L10" s="123"/>
      <c r="M10" s="124" t="s">
        <v>420</v>
      </c>
      <c r="N10" s="123"/>
      <c r="O10" s="124" t="s">
        <v>269</v>
      </c>
      <c r="P10" s="123"/>
      <c r="Q10" s="124" t="s">
        <v>404</v>
      </c>
      <c r="R10" s="123"/>
      <c r="S10" s="124" t="s">
        <v>404</v>
      </c>
      <c r="T10" s="111"/>
      <c r="U10" s="111"/>
    </row>
    <row r="11" spans="1:21" ht="12.75">
      <c r="A11" s="115">
        <v>-1</v>
      </c>
      <c r="B11" s="116"/>
      <c r="C11" s="115">
        <v>-2</v>
      </c>
      <c r="D11" s="117"/>
      <c r="E11" s="122">
        <v>-3</v>
      </c>
      <c r="F11" s="117"/>
      <c r="G11" s="122">
        <v>-4</v>
      </c>
      <c r="H11" s="123"/>
      <c r="I11" s="123">
        <v>-5</v>
      </c>
      <c r="J11" s="123"/>
      <c r="K11" s="123">
        <v>-6</v>
      </c>
      <c r="L11" s="123"/>
      <c r="M11" s="123">
        <v>-7</v>
      </c>
      <c r="N11" s="123"/>
      <c r="O11" s="123">
        <v>-8</v>
      </c>
      <c r="P11" s="123"/>
      <c r="Q11" s="123">
        <v>-9</v>
      </c>
      <c r="R11" s="123"/>
      <c r="S11" s="123">
        <v>-10</v>
      </c>
      <c r="T11" s="119"/>
      <c r="U11" s="119"/>
    </row>
    <row r="12" spans="1:21" ht="12.75">
      <c r="A12" s="110"/>
      <c r="B12" s="110"/>
      <c r="C12" s="115"/>
      <c r="D12" s="109"/>
      <c r="E12" s="122"/>
      <c r="F12" s="109"/>
      <c r="G12" s="122"/>
      <c r="H12" s="123"/>
      <c r="I12" s="123"/>
      <c r="J12" s="123"/>
      <c r="K12" s="123"/>
      <c r="L12" s="123"/>
      <c r="M12" s="123"/>
      <c r="N12" s="123"/>
      <c r="O12" s="123"/>
      <c r="P12" s="123"/>
      <c r="Q12" s="123"/>
      <c r="R12" s="123"/>
      <c r="S12" s="123"/>
      <c r="T12" s="111"/>
      <c r="U12" s="111"/>
    </row>
    <row r="13" spans="1:21" ht="12.75">
      <c r="A13" t="s">
        <v>25</v>
      </c>
      <c r="C13" s="111" t="s">
        <v>17</v>
      </c>
      <c r="E13" s="250">
        <f>ROUND('Schedule D'!H283,0)</f>
        <v>26742091</v>
      </c>
      <c r="F13" s="228"/>
      <c r="G13" s="376">
        <f>ROUND(E13*'Schedule C'!I17,0)+1</f>
        <v>12475186</v>
      </c>
      <c r="H13" s="228"/>
      <c r="I13" s="228">
        <f>ROUND(E13*'Schedule C'!I18,0)</f>
        <v>8763383</v>
      </c>
      <c r="J13" s="228"/>
      <c r="K13" s="228">
        <f>ROUND(E13*'Schedule C'!I19,0)</f>
        <v>1548367</v>
      </c>
      <c r="L13" s="228"/>
      <c r="M13" s="228">
        <f>ROUND(E13*'Schedule C'!I20,0)</f>
        <v>2963024</v>
      </c>
      <c r="N13" s="228"/>
      <c r="O13" s="228">
        <f>ROUND(E13*'Schedule C'!I21,0)</f>
        <v>882489</v>
      </c>
      <c r="P13" s="228"/>
      <c r="Q13" s="228">
        <f>ROUND(E13*'Schedule C'!I22,0)</f>
        <v>26742</v>
      </c>
      <c r="R13" s="228"/>
      <c r="S13" s="228">
        <f>ROUND(E13*'Schedule C'!I23,0)</f>
        <v>82900</v>
      </c>
      <c r="U13" s="373" t="str">
        <f>IF(SUM(G13:S13)=E13,"OK",IF(SUM(G13:S13)&gt;E13,"ROUND DOWN","ROUND UP"))</f>
        <v>OK</v>
      </c>
    </row>
    <row r="14" spans="3:21" ht="12.75">
      <c r="C14" s="111"/>
      <c r="E14" s="251"/>
      <c r="F14" s="126"/>
      <c r="G14" s="126"/>
      <c r="H14" s="126"/>
      <c r="I14" s="126"/>
      <c r="J14" s="126"/>
      <c r="K14" s="126"/>
      <c r="L14" s="126"/>
      <c r="M14" s="126"/>
      <c r="N14" s="126"/>
      <c r="O14" s="126"/>
      <c r="P14" s="126"/>
      <c r="Q14" s="126"/>
      <c r="R14" s="126"/>
      <c r="S14" s="126"/>
      <c r="U14" s="373"/>
    </row>
    <row r="15" spans="1:21" ht="12.75">
      <c r="A15" t="s">
        <v>431</v>
      </c>
      <c r="C15" s="111" t="s">
        <v>504</v>
      </c>
      <c r="E15" s="251">
        <f>ROUND('Schedule D'!J283,0)</f>
        <v>9741599</v>
      </c>
      <c r="F15" s="126"/>
      <c r="G15" s="121">
        <f>ROUND(E15*'Schedule C'!I39,0)</f>
        <v>4838652</v>
      </c>
      <c r="H15" s="126"/>
      <c r="I15" s="126">
        <f>ROUND(E15*'Schedule C'!I40,0)</f>
        <v>3210831</v>
      </c>
      <c r="J15" s="126"/>
      <c r="K15" s="126">
        <f>ROUND(E15*'Schedule C'!I41,0)</f>
        <v>467597</v>
      </c>
      <c r="L15" s="126"/>
      <c r="M15" s="126">
        <f>ROUND(E15*'Schedule C'!I42,0)</f>
        <v>958573</v>
      </c>
      <c r="N15" s="126"/>
      <c r="O15" s="126">
        <f>ROUND(E15*'Schedule C'!I43,0)</f>
        <v>265946</v>
      </c>
      <c r="P15" s="126"/>
      <c r="Q15" s="126"/>
      <c r="R15" s="126"/>
      <c r="S15" s="126"/>
      <c r="U15" s="373" t="str">
        <f aca="true" t="shared" si="0" ref="U15:U29">IF(SUM(G15:S15)=E15,"OK",IF(SUM(G15:S15)&gt;E15,"ROUND DOWN","ROUND UP"))</f>
        <v>OK</v>
      </c>
    </row>
    <row r="16" spans="3:21" ht="12.75">
      <c r="C16" s="111"/>
      <c r="E16" s="251"/>
      <c r="F16" s="126"/>
      <c r="G16" s="126"/>
      <c r="H16" s="126"/>
      <c r="I16" s="126"/>
      <c r="J16" s="126"/>
      <c r="K16" s="126"/>
      <c r="L16" s="126"/>
      <c r="M16" s="126"/>
      <c r="N16" s="126"/>
      <c r="O16" s="126"/>
      <c r="P16" s="126"/>
      <c r="Q16" s="126"/>
      <c r="R16" s="126"/>
      <c r="S16" s="126"/>
      <c r="U16" s="373"/>
    </row>
    <row r="17" spans="1:21" ht="12.75">
      <c r="A17" t="s">
        <v>432</v>
      </c>
      <c r="C17" s="111" t="s">
        <v>505</v>
      </c>
      <c r="E17" s="251">
        <f>ROUND('Schedule D'!L283,0)</f>
        <v>9358687</v>
      </c>
      <c r="F17" s="126"/>
      <c r="G17" s="121">
        <f>ROUND(E17*'Schedule C'!I58,0)-1</f>
        <v>4832825</v>
      </c>
      <c r="H17" s="126"/>
      <c r="I17" s="126">
        <f>ROUND(E17*'Schedule C'!I59,0)</f>
        <v>3195992</v>
      </c>
      <c r="J17" s="126"/>
      <c r="K17" s="126">
        <f>ROUND(E17*'Schedule C'!I60,0)</f>
        <v>406167</v>
      </c>
      <c r="L17" s="126"/>
      <c r="M17" s="126">
        <f>ROUND(E17*'Schedule C'!I61,0)</f>
        <v>743080</v>
      </c>
      <c r="N17" s="126"/>
      <c r="O17" s="126">
        <f>ROUND(E17*'Schedule C'!I62,0)</f>
        <v>180623</v>
      </c>
      <c r="P17" s="126"/>
      <c r="Q17" s="126"/>
      <c r="R17" s="126"/>
      <c r="S17" s="126"/>
      <c r="U17" s="373" t="str">
        <f t="shared" si="0"/>
        <v>OK</v>
      </c>
    </row>
    <row r="18" spans="3:21" ht="12.75">
      <c r="C18" s="111"/>
      <c r="E18" s="251"/>
      <c r="F18" s="126"/>
      <c r="G18" s="126"/>
      <c r="H18" s="126"/>
      <c r="I18" s="126"/>
      <c r="J18" s="126"/>
      <c r="K18" s="126"/>
      <c r="L18" s="126"/>
      <c r="M18" s="126"/>
      <c r="N18" s="126"/>
      <c r="O18" s="126"/>
      <c r="P18" s="126"/>
      <c r="Q18" s="126"/>
      <c r="R18" s="126"/>
      <c r="S18" s="126"/>
      <c r="U18" s="373"/>
    </row>
    <row r="19" spans="1:21" ht="12.75">
      <c r="A19" t="s">
        <v>422</v>
      </c>
      <c r="C19" s="111" t="s">
        <v>506</v>
      </c>
      <c r="E19" s="251">
        <f>ROUND('Schedule D'!N283,0)</f>
        <v>3417363</v>
      </c>
      <c r="F19" s="126"/>
      <c r="G19" s="121">
        <f>ROUND(E19*'Schedule C'!I81,0)-1</f>
        <v>2618041</v>
      </c>
      <c r="H19" s="126"/>
      <c r="I19" s="126">
        <f>ROUND(E19*'Schedule C'!I82,0)</f>
        <v>618543</v>
      </c>
      <c r="J19" s="126"/>
      <c r="K19" s="126">
        <f>ROUND(E19*'Schedule C'!I83,0)</f>
        <v>16062</v>
      </c>
      <c r="L19" s="126"/>
      <c r="M19" s="126">
        <f>ROUND(E19*'Schedule C'!I84,0)</f>
        <v>120633</v>
      </c>
      <c r="N19" s="126"/>
      <c r="O19" s="126">
        <f>ROUND(E19*'Schedule C'!I85,0)</f>
        <v>10252</v>
      </c>
      <c r="P19" s="126"/>
      <c r="Q19" s="126">
        <f>ROUND('Schedule C'!I86*E19,0)</f>
        <v>33832</v>
      </c>
      <c r="R19" s="126"/>
      <c r="S19" s="126"/>
      <c r="U19" s="373" t="str">
        <f t="shared" si="0"/>
        <v>OK</v>
      </c>
    </row>
    <row r="20" spans="3:21" ht="12.75">
      <c r="C20" s="111"/>
      <c r="E20" s="251"/>
      <c r="F20" s="126"/>
      <c r="G20" s="126"/>
      <c r="H20" s="126"/>
      <c r="I20" s="126"/>
      <c r="J20" s="126"/>
      <c r="K20" s="126"/>
      <c r="L20" s="126"/>
      <c r="M20" s="126"/>
      <c r="N20" s="126"/>
      <c r="O20" s="126"/>
      <c r="P20" s="126"/>
      <c r="Q20" s="126"/>
      <c r="R20" s="126"/>
      <c r="S20" s="126"/>
      <c r="U20" s="373"/>
    </row>
    <row r="21" spans="1:21" ht="12.75">
      <c r="A21" t="s">
        <v>423</v>
      </c>
      <c r="C21" s="111" t="s">
        <v>507</v>
      </c>
      <c r="E21" s="251">
        <f>ROUND('Schedule D'!P283,0)</f>
        <v>1581029</v>
      </c>
      <c r="F21" s="126"/>
      <c r="G21" s="126">
        <f>ROUND(E21*'Schedule C'!I100,0)</f>
        <v>1366800</v>
      </c>
      <c r="H21" s="126"/>
      <c r="I21" s="126">
        <f>ROUND(E21*'Schedule C'!I101,0)</f>
        <v>146561</v>
      </c>
      <c r="J21" s="126"/>
      <c r="K21" s="126">
        <f>ROUND(E21*'Schedule C'!I102,0)</f>
        <v>1107</v>
      </c>
      <c r="L21" s="126"/>
      <c r="M21" s="126">
        <f>ROUND(E21*'Schedule C'!I103,0)</f>
        <v>14071</v>
      </c>
      <c r="N21" s="126"/>
      <c r="O21" s="126">
        <f>ROUND(E21*'Schedule C'!I104,0)</f>
        <v>632</v>
      </c>
      <c r="P21" s="126"/>
      <c r="Q21" s="126">
        <f>ROUND(E21*'Schedule C'!I105,0)</f>
        <v>51858</v>
      </c>
      <c r="R21" s="126"/>
      <c r="S21" s="126"/>
      <c r="U21" s="373" t="str">
        <f t="shared" si="0"/>
        <v>OK</v>
      </c>
    </row>
    <row r="22" spans="3:21" ht="12.75">
      <c r="C22" s="111"/>
      <c r="E22" s="251"/>
      <c r="F22" s="126"/>
      <c r="G22" s="126"/>
      <c r="H22" s="126"/>
      <c r="I22" s="126"/>
      <c r="J22" s="126"/>
      <c r="K22" s="126"/>
      <c r="L22" s="126"/>
      <c r="M22" s="126"/>
      <c r="N22" s="126"/>
      <c r="O22" s="126"/>
      <c r="P22" s="126"/>
      <c r="Q22" s="126"/>
      <c r="R22" s="126"/>
      <c r="S22" s="126"/>
      <c r="U22" s="373"/>
    </row>
    <row r="23" spans="1:21" ht="12.75">
      <c r="A23" t="s">
        <v>408</v>
      </c>
      <c r="C23" s="111" t="s">
        <v>508</v>
      </c>
      <c r="E23" s="251">
        <f>ROUND('Schedule D'!R283,0)</f>
        <v>5420689</v>
      </c>
      <c r="F23" s="126"/>
      <c r="G23" s="126">
        <f>ROUND(E23*'Schedule C'!I121,0)</f>
        <v>4906266</v>
      </c>
      <c r="H23" s="126"/>
      <c r="I23" s="126">
        <f>ROUND(E23*'Schedule C'!I122,0)</f>
        <v>406552</v>
      </c>
      <c r="J23" s="126"/>
      <c r="K23" s="126">
        <f>ROUND(E23*'Schedule C'!I123,0)</f>
        <v>2168</v>
      </c>
      <c r="L23" s="126"/>
      <c r="M23" s="126">
        <f>ROUND(E23*'Schedule C'!I124,0)</f>
        <v>32524</v>
      </c>
      <c r="N23" s="126"/>
      <c r="O23" s="126">
        <f>ROUND(E23*'Schedule C'!I125,0)</f>
        <v>1084</v>
      </c>
      <c r="P23" s="126"/>
      <c r="Q23" s="126">
        <f>ROUND(E23*'Schedule C'!I126,0)</f>
        <v>70469</v>
      </c>
      <c r="R23" s="126"/>
      <c r="S23" s="126">
        <f>ROUND(E23*'Schedule C'!I127,0)</f>
        <v>1626</v>
      </c>
      <c r="U23" s="373" t="str">
        <f t="shared" si="0"/>
        <v>OK</v>
      </c>
    </row>
    <row r="24" spans="3:21" ht="12.75">
      <c r="C24" s="111"/>
      <c r="E24" s="251"/>
      <c r="F24" s="126"/>
      <c r="G24" s="126"/>
      <c r="H24" s="126"/>
      <c r="I24" s="126"/>
      <c r="J24" s="126"/>
      <c r="K24" s="126"/>
      <c r="L24" s="126"/>
      <c r="M24" s="126"/>
      <c r="N24" s="126"/>
      <c r="O24" s="126"/>
      <c r="P24" s="126"/>
      <c r="Q24" s="126"/>
      <c r="R24" s="126"/>
      <c r="S24" s="126"/>
      <c r="U24" s="373"/>
    </row>
    <row r="25" spans="1:21" ht="12.75">
      <c r="A25" t="s">
        <v>409</v>
      </c>
      <c r="C25" s="111" t="s">
        <v>509</v>
      </c>
      <c r="E25" s="251">
        <f>ROUND('Schedule D'!T283,0)</f>
        <v>1985670</v>
      </c>
      <c r="F25" s="126"/>
      <c r="G25" s="121">
        <f>ROUND(E25*'Schedule C'!I140,0)+1</f>
        <v>1799812</v>
      </c>
      <c r="H25" s="126"/>
      <c r="I25" s="126">
        <f>ROUND(E25*'Schedule C'!I141,0)</f>
        <v>149124</v>
      </c>
      <c r="J25" s="126"/>
      <c r="K25" s="126">
        <f>ROUND(E25*'Schedule C'!I142,0)</f>
        <v>794</v>
      </c>
      <c r="L25" s="126"/>
      <c r="M25" s="126">
        <f>ROUND(E25*'Schedule C'!I143,0)</f>
        <v>11914</v>
      </c>
      <c r="N25" s="126"/>
      <c r="O25" s="126">
        <f>ROUND(E25*'Schedule C'!I144,0)</f>
        <v>397</v>
      </c>
      <c r="P25" s="126"/>
      <c r="Q25" s="126">
        <f>ROUND(E25*'Schedule C'!I145,0)</f>
        <v>23629</v>
      </c>
      <c r="R25" s="126"/>
      <c r="S25" s="126"/>
      <c r="U25" s="373" t="str">
        <f t="shared" si="0"/>
        <v>OK</v>
      </c>
    </row>
    <row r="26" spans="3:21" ht="12.75">
      <c r="C26" s="111"/>
      <c r="E26" s="251"/>
      <c r="F26" s="126"/>
      <c r="G26" s="126"/>
      <c r="H26" s="126"/>
      <c r="I26" s="126"/>
      <c r="J26" s="126"/>
      <c r="K26" s="126"/>
      <c r="L26" s="126"/>
      <c r="M26" s="126"/>
      <c r="N26" s="126"/>
      <c r="O26" s="126"/>
      <c r="P26" s="126"/>
      <c r="Q26" s="126"/>
      <c r="R26" s="126"/>
      <c r="S26" s="126"/>
      <c r="U26" s="373"/>
    </row>
    <row r="27" spans="1:21" ht="12.75">
      <c r="A27" t="s">
        <v>406</v>
      </c>
      <c r="C27" s="111" t="s">
        <v>510</v>
      </c>
      <c r="E27" s="251">
        <f>ROUND('Schedule D'!V283,0)</f>
        <v>1159295</v>
      </c>
      <c r="F27" s="126"/>
      <c r="G27" s="126"/>
      <c r="H27" s="126"/>
      <c r="I27" s="126"/>
      <c r="J27" s="126"/>
      <c r="K27" s="126"/>
      <c r="L27" s="126"/>
      <c r="M27" s="126"/>
      <c r="N27" s="126"/>
      <c r="O27" s="126"/>
      <c r="P27" s="126"/>
      <c r="Q27" s="126">
        <f>E27</f>
        <v>1159295</v>
      </c>
      <c r="R27" s="126"/>
      <c r="S27" s="126"/>
      <c r="U27" s="373" t="str">
        <f t="shared" si="0"/>
        <v>OK</v>
      </c>
    </row>
    <row r="28" spans="3:21" ht="12.75">
      <c r="C28" s="111"/>
      <c r="E28" s="251"/>
      <c r="F28" s="126"/>
      <c r="G28" s="126"/>
      <c r="H28" s="126"/>
      <c r="I28" s="126"/>
      <c r="J28" s="126"/>
      <c r="K28" s="126"/>
      <c r="L28" s="126"/>
      <c r="M28" s="126"/>
      <c r="N28" s="126"/>
      <c r="O28" s="126"/>
      <c r="P28" s="126"/>
      <c r="Q28" s="126"/>
      <c r="R28" s="126"/>
      <c r="S28" s="126"/>
      <c r="U28" s="373"/>
    </row>
    <row r="29" spans="1:21" ht="12.75">
      <c r="A29" t="s">
        <v>407</v>
      </c>
      <c r="C29" s="111" t="s">
        <v>511</v>
      </c>
      <c r="E29" s="252">
        <f>ROUND('Schedule D'!X283,0)</f>
        <v>2498022</v>
      </c>
      <c r="F29" s="126"/>
      <c r="G29" s="146"/>
      <c r="H29" s="126"/>
      <c r="I29" s="146"/>
      <c r="J29" s="126"/>
      <c r="K29" s="146"/>
      <c r="L29" s="126"/>
      <c r="M29" s="146"/>
      <c r="N29" s="126"/>
      <c r="O29" s="146"/>
      <c r="P29" s="126"/>
      <c r="Q29" s="146"/>
      <c r="R29" s="126"/>
      <c r="S29" s="146">
        <f>E29</f>
        <v>2498022</v>
      </c>
      <c r="U29" s="373" t="str">
        <f t="shared" si="0"/>
        <v>OK</v>
      </c>
    </row>
    <row r="30" spans="3:21" ht="12.75">
      <c r="C30" s="111"/>
      <c r="E30" s="126"/>
      <c r="F30" s="126"/>
      <c r="G30" s="126"/>
      <c r="H30" s="126"/>
      <c r="I30" s="126"/>
      <c r="J30" s="126"/>
      <c r="K30" s="126"/>
      <c r="L30" s="126"/>
      <c r="M30" s="126"/>
      <c r="N30" s="126"/>
      <c r="O30" s="126"/>
      <c r="P30" s="126"/>
      <c r="Q30" s="126"/>
      <c r="R30" s="126"/>
      <c r="S30" s="126"/>
      <c r="U30" s="126"/>
    </row>
    <row r="31" spans="1:21" ht="13.5" thickBot="1">
      <c r="A31" s="227" t="s">
        <v>532</v>
      </c>
      <c r="C31" s="111"/>
      <c r="E31" s="229">
        <f>SUM(E13:E30)</f>
        <v>61904445</v>
      </c>
      <c r="F31" s="228"/>
      <c r="G31" s="229">
        <f>SUM(G13:G30)</f>
        <v>32837582</v>
      </c>
      <c r="H31" s="228"/>
      <c r="I31" s="229">
        <f>SUM(I13:I30)</f>
        <v>16490986</v>
      </c>
      <c r="J31" s="228"/>
      <c r="K31" s="229">
        <f>SUM(K13:K30)</f>
        <v>2442262</v>
      </c>
      <c r="L31" s="228"/>
      <c r="M31" s="229">
        <f>SUM(M13:M30)</f>
        <v>4843819</v>
      </c>
      <c r="N31" s="228"/>
      <c r="O31" s="229">
        <f>SUM(O13:O30)</f>
        <v>1341423</v>
      </c>
      <c r="P31" s="228"/>
      <c r="Q31" s="229">
        <f>SUM(Q13:Q30)</f>
        <v>1365825</v>
      </c>
      <c r="R31" s="228"/>
      <c r="S31" s="229">
        <f>SUM(S13:S30)</f>
        <v>2582548</v>
      </c>
      <c r="U31" s="126"/>
    </row>
    <row r="32" spans="3:19" ht="13.5" thickTop="1">
      <c r="C32" s="111"/>
      <c r="E32" s="126"/>
      <c r="F32" s="126"/>
      <c r="G32" s="126"/>
      <c r="H32" s="126"/>
      <c r="I32" s="126"/>
      <c r="J32" s="126"/>
      <c r="K32" s="126"/>
      <c r="L32" s="126"/>
      <c r="M32" s="126"/>
      <c r="N32" s="126"/>
      <c r="O32" s="126"/>
      <c r="P32" s="126"/>
      <c r="Q32" s="126"/>
      <c r="R32" s="126"/>
      <c r="S32" s="126"/>
    </row>
    <row r="33" spans="3:19" ht="12.75">
      <c r="C33" s="111"/>
      <c r="E33" s="126"/>
      <c r="F33" s="126"/>
      <c r="G33" s="126"/>
      <c r="H33" s="126"/>
      <c r="I33" s="126"/>
      <c r="J33" s="126"/>
      <c r="K33" s="126"/>
      <c r="L33" s="126"/>
      <c r="M33" s="126"/>
      <c r="N33" s="126"/>
      <c r="O33" s="126"/>
      <c r="P33" s="126"/>
      <c r="Q33" s="126"/>
      <c r="R33" s="126"/>
      <c r="S33" s="126"/>
    </row>
    <row r="34" spans="1:19" ht="12.75">
      <c r="A34" s="180"/>
      <c r="C34" s="111"/>
      <c r="E34" s="126"/>
      <c r="F34" s="126"/>
      <c r="G34" s="126"/>
      <c r="H34" s="126"/>
      <c r="I34" s="126"/>
      <c r="J34" s="126"/>
      <c r="K34" s="126"/>
      <c r="L34" s="126"/>
      <c r="M34" s="126"/>
      <c r="N34" s="126"/>
      <c r="O34" s="126"/>
      <c r="P34" s="126"/>
      <c r="Q34" s="126"/>
      <c r="R34" s="126"/>
      <c r="S34" s="126"/>
    </row>
    <row r="35" spans="1:19" ht="12.75">
      <c r="A35" t="s">
        <v>430</v>
      </c>
      <c r="C35" s="111"/>
      <c r="E35" s="126"/>
      <c r="F35" s="126"/>
      <c r="G35" s="126"/>
      <c r="H35" s="126"/>
      <c r="I35" s="126"/>
      <c r="J35" s="126"/>
      <c r="K35" s="126"/>
      <c r="L35" s="126"/>
      <c r="M35" s="126"/>
      <c r="N35" s="126"/>
      <c r="O35" s="126"/>
      <c r="P35" s="126"/>
      <c r="Q35" s="126"/>
      <c r="R35" s="126"/>
      <c r="S35" s="126"/>
    </row>
    <row r="36" spans="3:19" ht="12.75">
      <c r="C36" s="111"/>
      <c r="E36" s="126"/>
      <c r="F36" s="126"/>
      <c r="G36" s="126"/>
      <c r="H36" s="126"/>
      <c r="I36" s="126"/>
      <c r="J36" s="126"/>
      <c r="K36" s="126"/>
      <c r="L36" s="126"/>
      <c r="M36" s="126"/>
      <c r="N36" s="126"/>
      <c r="O36" s="126"/>
      <c r="P36" s="126"/>
      <c r="Q36" s="126"/>
      <c r="R36" s="126"/>
      <c r="S36" s="126"/>
    </row>
    <row r="38" ht="12.75">
      <c r="E38" s="228"/>
    </row>
    <row r="39" ht="12.75">
      <c r="E39" s="126"/>
    </row>
  </sheetData>
  <mergeCells count="3">
    <mergeCell ref="A3:S3"/>
    <mergeCell ref="A5:S5"/>
    <mergeCell ref="Q8:S8"/>
  </mergeCells>
  <printOptions/>
  <pageMargins left="0.75" right="0.5" top="1" bottom="1" header="0.5" footer="0.5"/>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O174"/>
  <sheetViews>
    <sheetView zoomScale="87" zoomScaleNormal="87" workbookViewId="0" topLeftCell="A111">
      <selection activeCell="K119" sqref="K119"/>
    </sheetView>
  </sheetViews>
  <sheetFormatPr defaultColWidth="8.88671875" defaultRowHeight="12.75"/>
  <cols>
    <col min="1" max="1" width="16.77734375" style="0" customWidth="1"/>
    <col min="2" max="2" width="2.6640625" style="0" customWidth="1"/>
    <col min="3" max="3" width="10.21484375" style="0" customWidth="1"/>
    <col min="4" max="4" width="2.6640625" style="0" customWidth="1"/>
    <col min="5" max="5" width="9.99609375" style="0" customWidth="1"/>
    <col min="6" max="6" width="2.6640625" style="0" customWidth="1"/>
    <col min="7" max="7" width="10.4453125" style="0" customWidth="1"/>
    <col min="8" max="8" width="2.6640625" style="0" customWidth="1"/>
    <col min="9" max="9" width="10.77734375" style="0" customWidth="1"/>
    <col min="11" max="11" width="11.10546875" style="0" bestFit="1" customWidth="1"/>
    <col min="12" max="12" width="11.99609375" style="0" bestFit="1" customWidth="1"/>
    <col min="13" max="13" width="13.10546875" style="0" customWidth="1"/>
    <col min="14" max="14" width="10.6640625" style="0" customWidth="1"/>
  </cols>
  <sheetData>
    <row r="1" ht="15">
      <c r="I1" s="346" t="s">
        <v>261</v>
      </c>
    </row>
    <row r="3" spans="1:9" ht="12.75">
      <c r="A3" s="488" t="s">
        <v>514</v>
      </c>
      <c r="B3" s="488"/>
      <c r="C3" s="488"/>
      <c r="D3" s="488"/>
      <c r="E3" s="488"/>
      <c r="F3" s="488"/>
      <c r="G3" s="488"/>
      <c r="H3" s="488"/>
      <c r="I3" s="488"/>
    </row>
    <row r="5" spans="1:9" ht="12.75">
      <c r="A5" s="488" t="s">
        <v>487</v>
      </c>
      <c r="B5" s="488"/>
      <c r="C5" s="488"/>
      <c r="D5" s="488"/>
      <c r="E5" s="488"/>
      <c r="F5" s="488"/>
      <c r="G5" s="488"/>
      <c r="H5" s="488"/>
      <c r="I5" s="488"/>
    </row>
    <row r="6" spans="1:9" ht="12.75">
      <c r="A6" s="111"/>
      <c r="B6" s="111"/>
      <c r="C6" s="111"/>
      <c r="D6" s="111"/>
      <c r="E6" s="111"/>
      <c r="F6" s="111"/>
      <c r="G6" s="111"/>
      <c r="H6" s="111"/>
      <c r="I6" s="111"/>
    </row>
    <row r="8" spans="1:9" ht="12.75">
      <c r="A8" s="2" t="s">
        <v>488</v>
      </c>
      <c r="B8" s="2"/>
      <c r="C8" s="2"/>
      <c r="D8" s="2"/>
      <c r="E8" s="2"/>
      <c r="F8" s="2"/>
      <c r="G8" s="2"/>
      <c r="H8" s="2"/>
      <c r="I8" s="2"/>
    </row>
    <row r="9" spans="1:9" ht="12.75">
      <c r="A9" s="2"/>
      <c r="B9" s="2"/>
      <c r="C9" s="2"/>
      <c r="D9" s="2"/>
      <c r="E9" s="2"/>
      <c r="F9" s="2"/>
      <c r="G9" s="2"/>
      <c r="H9" s="2"/>
      <c r="I9" s="2"/>
    </row>
    <row r="10" spans="1:9" ht="27" customHeight="1">
      <c r="A10" s="489" t="s">
        <v>517</v>
      </c>
      <c r="B10" s="489"/>
      <c r="C10" s="489"/>
      <c r="D10" s="489"/>
      <c r="E10" s="489"/>
      <c r="F10" s="489"/>
      <c r="G10" s="489"/>
      <c r="H10" s="489"/>
      <c r="I10" s="489"/>
    </row>
    <row r="11" spans="1:9" ht="12.75">
      <c r="A11" s="200"/>
      <c r="B11" s="200"/>
      <c r="C11" s="200"/>
      <c r="D11" s="200"/>
      <c r="E11" s="200"/>
      <c r="F11" s="200"/>
      <c r="G11" s="200"/>
      <c r="H11" s="200"/>
      <c r="I11" s="200"/>
    </row>
    <row r="12" spans="1:9" ht="12.75">
      <c r="A12" s="139"/>
      <c r="B12" s="139"/>
      <c r="C12" s="139"/>
      <c r="D12" s="139"/>
      <c r="E12" s="1" t="s">
        <v>518</v>
      </c>
      <c r="F12" s="139"/>
      <c r="G12" s="139"/>
      <c r="H12" s="139"/>
      <c r="I12" s="139"/>
    </row>
    <row r="13" spans="1:9" ht="12.75">
      <c r="A13" s="2"/>
      <c r="B13" s="2"/>
      <c r="C13" s="2"/>
      <c r="D13" s="2"/>
      <c r="E13" s="1" t="s">
        <v>520</v>
      </c>
      <c r="F13" s="2"/>
      <c r="H13" s="2"/>
      <c r="I13" s="111" t="s">
        <v>521</v>
      </c>
    </row>
    <row r="14" spans="1:9" ht="12.75">
      <c r="A14" s="1" t="s">
        <v>522</v>
      </c>
      <c r="E14" s="111" t="s">
        <v>370</v>
      </c>
      <c r="I14" s="135" t="s">
        <v>523</v>
      </c>
    </row>
    <row r="15" spans="1:9" ht="12.75">
      <c r="A15" s="3" t="s">
        <v>524</v>
      </c>
      <c r="E15" s="140">
        <v>-2</v>
      </c>
      <c r="I15" s="111" t="s">
        <v>525</v>
      </c>
    </row>
    <row r="16" spans="1:12" ht="12.75">
      <c r="A16" s="2"/>
      <c r="K16" s="111"/>
      <c r="L16" s="111" t="s">
        <v>280</v>
      </c>
    </row>
    <row r="17" spans="1:15" ht="12.75">
      <c r="A17" s="2" t="s">
        <v>526</v>
      </c>
      <c r="E17" s="253">
        <f>ROUND(SUM(L17:O17)/365,0)</f>
        <v>23398</v>
      </c>
      <c r="I17" s="198">
        <f>ROUND(E17/$E$25,4)</f>
        <v>0.4665</v>
      </c>
      <c r="K17" s="370"/>
      <c r="L17" s="126">
        <v>8264488</v>
      </c>
      <c r="M17" s="126">
        <v>174563</v>
      </c>
      <c r="N17" s="126">
        <v>23929</v>
      </c>
      <c r="O17" s="126">
        <v>77405</v>
      </c>
    </row>
    <row r="18" spans="1:15" ht="12.75">
      <c r="A18" s="2" t="s">
        <v>527</v>
      </c>
      <c r="E18" s="253">
        <f>ROUND(SUM(L18:O18)/365,0)</f>
        <v>16437</v>
      </c>
      <c r="I18" s="129">
        <f aca="true" t="shared" si="0" ref="I18:I23">ROUND(E18/$E$25,4)</f>
        <v>0.3277</v>
      </c>
      <c r="K18" s="370"/>
      <c r="L18" s="126">
        <v>5893968</v>
      </c>
      <c r="M18" s="126">
        <v>30796</v>
      </c>
      <c r="N18" s="126">
        <v>0</v>
      </c>
      <c r="O18" s="126">
        <v>74741</v>
      </c>
    </row>
    <row r="19" spans="1:13" ht="12.75">
      <c r="A19" s="2" t="s">
        <v>528</v>
      </c>
      <c r="E19" s="253">
        <f>ROUND(SUM(L19:O19)/365,0)</f>
        <v>2904</v>
      </c>
      <c r="I19" s="129">
        <f t="shared" si="0"/>
        <v>0.0579</v>
      </c>
      <c r="K19" s="370"/>
      <c r="L19" s="126">
        <v>1059832</v>
      </c>
      <c r="M19" s="126">
        <v>0</v>
      </c>
    </row>
    <row r="20" spans="1:13" ht="12.75">
      <c r="A20" s="2" t="s">
        <v>529</v>
      </c>
      <c r="E20" s="253">
        <f>ROUND(SUM(L20:O20)/365,0)</f>
        <v>5560</v>
      </c>
      <c r="I20" s="129">
        <f t="shared" si="0"/>
        <v>0.1108</v>
      </c>
      <c r="K20" s="370"/>
      <c r="L20" s="126">
        <v>2020163</v>
      </c>
      <c r="M20" s="126">
        <v>9223</v>
      </c>
    </row>
    <row r="21" spans="1:13" ht="12.75">
      <c r="A21" s="2" t="s">
        <v>307</v>
      </c>
      <c r="E21" s="253">
        <f>ROUND(SUM(L21:O21)/365,0)</f>
        <v>1653</v>
      </c>
      <c r="I21" s="129">
        <f t="shared" si="0"/>
        <v>0.033</v>
      </c>
      <c r="K21" s="370"/>
      <c r="L21" s="126">
        <v>603242</v>
      </c>
      <c r="M21" s="126">
        <v>0</v>
      </c>
    </row>
    <row r="22" spans="1:11" ht="12.75">
      <c r="A22" s="2" t="s">
        <v>530</v>
      </c>
      <c r="E22" s="253">
        <f>+L$24/1000*'Schedule E'!F105/'Schedule E'!F$113</f>
        <v>51.22404609427247</v>
      </c>
      <c r="I22" s="129">
        <f t="shared" si="0"/>
        <v>0.001</v>
      </c>
      <c r="K22" s="370"/>
    </row>
    <row r="23" spans="1:12" ht="12.75">
      <c r="A23" s="2" t="s">
        <v>531</v>
      </c>
      <c r="E23" s="374">
        <f>+L$24/1000*'Schedule E'!F111/'Schedule E'!F$113</f>
        <v>157.43066890572754</v>
      </c>
      <c r="I23" s="142">
        <f t="shared" si="0"/>
        <v>0.0031</v>
      </c>
      <c r="L23" s="370">
        <f>+'Schedule E'!F49</f>
        <v>41730943</v>
      </c>
    </row>
    <row r="24" spans="1:12" ht="12.75">
      <c r="A24" s="2"/>
      <c r="E24" s="126"/>
      <c r="I24" s="129"/>
      <c r="L24" s="353">
        <f>+L23*0.005</f>
        <v>208654.715</v>
      </c>
    </row>
    <row r="25" spans="1:9" ht="13.5" thickBot="1">
      <c r="A25" s="2" t="s">
        <v>532</v>
      </c>
      <c r="E25" s="204">
        <f>SUM(E17:E24)</f>
        <v>50160.654715</v>
      </c>
      <c r="F25" s="141"/>
      <c r="I25" s="209">
        <f>SUM(I17:I24)</f>
        <v>1</v>
      </c>
    </row>
    <row r="26" ht="13.5" thickTop="1"/>
    <row r="30" ht="12.75">
      <c r="A30" s="11" t="s">
        <v>489</v>
      </c>
    </row>
    <row r="31" spans="1:7" ht="12.75">
      <c r="A31" s="11"/>
      <c r="G31" s="149"/>
    </row>
    <row r="32" spans="1:7" ht="12.75" customHeight="1">
      <c r="A32" s="11" t="s">
        <v>490</v>
      </c>
      <c r="G32" s="149"/>
    </row>
    <row r="33" spans="1:7" ht="12.75">
      <c r="A33" s="11"/>
      <c r="G33" s="149"/>
    </row>
    <row r="34" spans="3:7" ht="12.75">
      <c r="C34" s="111" t="s">
        <v>518</v>
      </c>
      <c r="G34" s="148" t="s">
        <v>540</v>
      </c>
    </row>
    <row r="35" spans="1:9" ht="12.75">
      <c r="A35" s="1" t="s">
        <v>519</v>
      </c>
      <c r="C35" s="111" t="s">
        <v>520</v>
      </c>
      <c r="G35" s="12" t="s">
        <v>370</v>
      </c>
      <c r="I35" s="111" t="s">
        <v>521</v>
      </c>
    </row>
    <row r="36" spans="1:9" ht="12.75">
      <c r="A36" s="143" t="s">
        <v>522</v>
      </c>
      <c r="C36" s="135" t="s">
        <v>370</v>
      </c>
      <c r="E36" s="12" t="s">
        <v>541</v>
      </c>
      <c r="G36" s="12" t="s">
        <v>542</v>
      </c>
      <c r="I36" s="135" t="s">
        <v>523</v>
      </c>
    </row>
    <row r="37" spans="1:9" ht="12.75">
      <c r="A37" s="111" t="s">
        <v>524</v>
      </c>
      <c r="C37" s="144" t="s">
        <v>535</v>
      </c>
      <c r="E37" s="13" t="s">
        <v>525</v>
      </c>
      <c r="G37" s="13" t="s">
        <v>543</v>
      </c>
      <c r="I37" s="119">
        <v>-5</v>
      </c>
    </row>
    <row r="38" spans="1:5" ht="12.75">
      <c r="A38" s="2"/>
      <c r="E38" s="11"/>
    </row>
    <row r="39" spans="1:11" ht="12.75">
      <c r="A39" s="2" t="s">
        <v>526</v>
      </c>
      <c r="C39" s="251">
        <f>E17</f>
        <v>23398</v>
      </c>
      <c r="E39" s="378">
        <v>0.9</v>
      </c>
      <c r="G39" s="126">
        <f>ROUND(C39*E39,0)</f>
        <v>21058</v>
      </c>
      <c r="H39" s="138"/>
      <c r="I39" s="138">
        <f>ROUND(G39/$G$45,4)-0.0001</f>
        <v>0.49670000000000003</v>
      </c>
      <c r="K39" s="254"/>
    </row>
    <row r="40" spans="1:11" ht="12.75">
      <c r="A40" s="2" t="s">
        <v>527</v>
      </c>
      <c r="C40" s="251">
        <f>E18</f>
        <v>16437</v>
      </c>
      <c r="E40" s="378">
        <v>0.85</v>
      </c>
      <c r="G40" s="126">
        <f>ROUND(C40*E40,0)</f>
        <v>13971</v>
      </c>
      <c r="H40" s="138"/>
      <c r="I40" s="138">
        <f>ROUND(G40/$G$45,4)</f>
        <v>0.3296</v>
      </c>
      <c r="K40" s="254"/>
    </row>
    <row r="41" spans="1:11" ht="12.75">
      <c r="A41" s="2" t="s">
        <v>528</v>
      </c>
      <c r="C41" s="251">
        <f>E19</f>
        <v>2904</v>
      </c>
      <c r="E41" s="378">
        <v>0.7</v>
      </c>
      <c r="G41" s="126">
        <f>ROUND(C41*E41,0)</f>
        <v>2033</v>
      </c>
      <c r="H41" s="138"/>
      <c r="I41" s="138">
        <f>ROUND(G41/$G$45,4)</f>
        <v>0.048</v>
      </c>
      <c r="K41" s="254"/>
    </row>
    <row r="42" spans="1:11" ht="12.75">
      <c r="A42" s="2" t="s">
        <v>529</v>
      </c>
      <c r="C42" s="251">
        <f>E20</f>
        <v>5560</v>
      </c>
      <c r="E42" s="378">
        <v>0.75</v>
      </c>
      <c r="G42" s="126">
        <f>ROUND(C42*E42,0)</f>
        <v>4170</v>
      </c>
      <c r="H42" s="138"/>
      <c r="I42" s="138">
        <f>ROUND(G42/$G$45,4)</f>
        <v>0.0984</v>
      </c>
      <c r="K42" s="254"/>
    </row>
    <row r="43" spans="1:11" ht="12.75">
      <c r="A43" s="2" t="s">
        <v>307</v>
      </c>
      <c r="C43" s="252">
        <f>E21</f>
        <v>1653</v>
      </c>
      <c r="E43" s="378">
        <v>0.7</v>
      </c>
      <c r="G43" s="146">
        <f>ROUND(C43*E43,0)</f>
        <v>1157</v>
      </c>
      <c r="H43" s="138"/>
      <c r="I43" s="145">
        <f>ROUND(G43/$G$45,4)</f>
        <v>0.0273</v>
      </c>
      <c r="K43" s="254"/>
    </row>
    <row r="44" spans="3:9" ht="12.75">
      <c r="C44" s="126"/>
      <c r="E44" s="111"/>
      <c r="G44" s="126"/>
      <c r="H44" s="138"/>
      <c r="I44" s="138"/>
    </row>
    <row r="45" spans="1:9" ht="13.5" thickBot="1">
      <c r="A45" t="s">
        <v>532</v>
      </c>
      <c r="C45" s="204">
        <f>SUM(C39:C44)</f>
        <v>49952</v>
      </c>
      <c r="G45" s="204">
        <f>SUM(G39:G44)</f>
        <v>42389</v>
      </c>
      <c r="H45" s="138"/>
      <c r="I45" s="209">
        <f>SUM(I39:I44)</f>
        <v>1.0000000000000002</v>
      </c>
    </row>
    <row r="46" spans="3:9" ht="13.5" thickTop="1">
      <c r="C46" s="126"/>
      <c r="G46" s="126"/>
      <c r="H46" s="138"/>
      <c r="I46" s="138"/>
    </row>
    <row r="47" spans="1:9" ht="12.75">
      <c r="A47" s="180"/>
      <c r="B47" s="180"/>
      <c r="C47" s="126"/>
      <c r="G47" s="126"/>
      <c r="H47" s="138"/>
      <c r="I47" s="138"/>
    </row>
    <row r="48" spans="1:9" ht="12.75">
      <c r="A48" s="16" t="s">
        <v>491</v>
      </c>
      <c r="B48" s="16"/>
      <c r="C48" s="16"/>
      <c r="D48" s="16"/>
      <c r="E48" s="16"/>
      <c r="F48" s="16"/>
      <c r="G48" s="16"/>
      <c r="H48" s="138"/>
      <c r="I48" s="138"/>
    </row>
    <row r="49" spans="1:9" ht="12.75">
      <c r="A49" s="487" t="s">
        <v>492</v>
      </c>
      <c r="B49" s="487"/>
      <c r="C49" s="487"/>
      <c r="D49" s="487"/>
      <c r="E49" s="487"/>
      <c r="F49" s="487"/>
      <c r="G49" s="487"/>
      <c r="H49" s="487"/>
      <c r="I49" s="487"/>
    </row>
    <row r="50" ht="12.75">
      <c r="A50" s="2"/>
    </row>
    <row r="51" ht="12.75">
      <c r="A51" s="2" t="s">
        <v>493</v>
      </c>
    </row>
    <row r="52" ht="12.75">
      <c r="G52" s="149"/>
    </row>
    <row r="53" spans="3:7" ht="12.75">
      <c r="C53" s="111" t="s">
        <v>424</v>
      </c>
      <c r="G53" s="148" t="s">
        <v>540</v>
      </c>
    </row>
    <row r="54" spans="1:9" ht="12.75">
      <c r="A54" s="1" t="s">
        <v>519</v>
      </c>
      <c r="C54" s="111" t="s">
        <v>520</v>
      </c>
      <c r="G54" s="12" t="s">
        <v>370</v>
      </c>
      <c r="I54" s="111" t="s">
        <v>521</v>
      </c>
    </row>
    <row r="55" spans="1:9" ht="12.75">
      <c r="A55" s="143" t="s">
        <v>522</v>
      </c>
      <c r="C55" s="135" t="s">
        <v>370</v>
      </c>
      <c r="E55" s="12" t="s">
        <v>541</v>
      </c>
      <c r="G55" s="12" t="s">
        <v>558</v>
      </c>
      <c r="I55" s="135" t="s">
        <v>523</v>
      </c>
    </row>
    <row r="56" spans="1:9" ht="12.75">
      <c r="A56" s="111" t="s">
        <v>524</v>
      </c>
      <c r="C56" s="144" t="s">
        <v>535</v>
      </c>
      <c r="E56" s="13" t="s">
        <v>525</v>
      </c>
      <c r="G56" s="13" t="s">
        <v>543</v>
      </c>
      <c r="I56" s="119">
        <v>-5</v>
      </c>
    </row>
    <row r="57" ht="12.75">
      <c r="A57" s="2"/>
    </row>
    <row r="58" spans="1:11" ht="12.75">
      <c r="A58" s="2" t="s">
        <v>526</v>
      </c>
      <c r="C58" s="202">
        <f>ROUND(+C39/24,1)</f>
        <v>974.9</v>
      </c>
      <c r="E58" s="379">
        <v>1.7</v>
      </c>
      <c r="G58" s="202">
        <f>ROUND(E58*C58,1)</f>
        <v>1657.3</v>
      </c>
      <c r="I58" s="270">
        <f>ROUND(G58/$G$64,4)</f>
        <v>0.5164</v>
      </c>
      <c r="K58" s="255"/>
    </row>
    <row r="59" spans="1:11" ht="12.75">
      <c r="A59" s="2" t="s">
        <v>527</v>
      </c>
      <c r="C59" s="202">
        <f>ROUND(+C40/24,1)</f>
        <v>684.9</v>
      </c>
      <c r="E59" s="379">
        <v>1.6</v>
      </c>
      <c r="G59" s="202">
        <f>ROUND(E59*C59,1)</f>
        <v>1095.8</v>
      </c>
      <c r="I59" s="270">
        <f>ROUND(G59/$G$64,4)</f>
        <v>0.3415</v>
      </c>
      <c r="K59" s="255"/>
    </row>
    <row r="60" spans="1:11" ht="12.75">
      <c r="A60" s="2" t="s">
        <v>528</v>
      </c>
      <c r="C60" s="202">
        <f>ROUND(+C41/24,1)</f>
        <v>121</v>
      </c>
      <c r="E60" s="379">
        <v>1.15</v>
      </c>
      <c r="G60" s="202">
        <f>ROUND(E60*C60,1)</f>
        <v>139.2</v>
      </c>
      <c r="I60" s="270">
        <f>ROUND(G60/$G$64,4)</f>
        <v>0.0434</v>
      </c>
      <c r="K60" s="255"/>
    </row>
    <row r="61" spans="1:11" ht="12.75">
      <c r="A61" s="2" t="s">
        <v>529</v>
      </c>
      <c r="C61" s="202">
        <f>ROUND(+C42/24,1)</f>
        <v>231.7</v>
      </c>
      <c r="E61" s="379">
        <v>1.1</v>
      </c>
      <c r="G61" s="202">
        <f>ROUND(E61*C61,1)</f>
        <v>254.9</v>
      </c>
      <c r="I61" s="248">
        <f>ROUND(G61/$G$64,4)</f>
        <v>0.0794</v>
      </c>
      <c r="K61" s="255"/>
    </row>
    <row r="62" spans="1:11" ht="12.75">
      <c r="A62" s="2" t="s">
        <v>307</v>
      </c>
      <c r="C62" s="203">
        <f>ROUND(+C43/24,1)</f>
        <v>68.9</v>
      </c>
      <c r="E62" s="379">
        <v>0.9</v>
      </c>
      <c r="G62" s="203">
        <f>ROUND(E62*C62,1)</f>
        <v>62</v>
      </c>
      <c r="I62" s="145">
        <f>ROUND(G62/$G$64,4)</f>
        <v>0.0193</v>
      </c>
      <c r="K62" s="255"/>
    </row>
    <row r="63" spans="3:9" ht="12.75">
      <c r="C63" s="126"/>
      <c r="G63" s="202"/>
      <c r="I63" s="129"/>
    </row>
    <row r="64" spans="1:9" ht="13.5" thickBot="1">
      <c r="A64" t="s">
        <v>532</v>
      </c>
      <c r="C64" s="207">
        <f>SUM(C58:C63)</f>
        <v>2081.4</v>
      </c>
      <c r="G64" s="207">
        <f>SUM(G58:G63)</f>
        <v>3209.2</v>
      </c>
      <c r="I64" s="249">
        <f>SUM(I58:I63)</f>
        <v>1</v>
      </c>
    </row>
    <row r="65" spans="3:9" ht="13.5" thickTop="1">
      <c r="C65" s="202"/>
      <c r="G65" s="202"/>
      <c r="I65" s="129"/>
    </row>
    <row r="66" spans="1:9" ht="12.75">
      <c r="A66" s="180"/>
      <c r="B66" s="180"/>
      <c r="C66" s="126"/>
      <c r="G66" s="202"/>
      <c r="I66" s="129"/>
    </row>
    <row r="67" spans="1:7" ht="12.75">
      <c r="A67" s="16" t="s">
        <v>559</v>
      </c>
      <c r="B67" s="16"/>
      <c r="C67" s="16"/>
      <c r="D67" s="16"/>
      <c r="E67" s="16"/>
      <c r="G67" s="126"/>
    </row>
    <row r="68" spans="1:7" ht="12.75">
      <c r="A68" s="16"/>
      <c r="B68" s="16"/>
      <c r="C68" s="16"/>
      <c r="D68" s="16"/>
      <c r="E68" s="16"/>
      <c r="G68" s="126"/>
    </row>
    <row r="69" spans="1:7" ht="12.75">
      <c r="A69" s="16"/>
      <c r="B69" s="16"/>
      <c r="C69" s="16"/>
      <c r="D69" s="16"/>
      <c r="E69" s="16"/>
      <c r="G69" s="126"/>
    </row>
    <row r="70" spans="1:7" ht="12.75">
      <c r="A70" s="16"/>
      <c r="B70" s="16"/>
      <c r="C70" s="16"/>
      <c r="D70" s="16"/>
      <c r="E70" s="16"/>
      <c r="G70" s="126"/>
    </row>
    <row r="72" ht="12.75">
      <c r="A72" s="28" t="s">
        <v>498</v>
      </c>
    </row>
    <row r="73" ht="12.75">
      <c r="A73" s="28"/>
    </row>
    <row r="74" spans="1:9" ht="27" customHeight="1">
      <c r="A74" s="486" t="s">
        <v>591</v>
      </c>
      <c r="B74" s="486"/>
      <c r="C74" s="486"/>
      <c r="D74" s="486"/>
      <c r="E74" s="486"/>
      <c r="F74" s="486"/>
      <c r="G74" s="486"/>
      <c r="H74" s="486"/>
      <c r="I74" s="486"/>
    </row>
    <row r="77" spans="1:9" ht="12.75">
      <c r="A77" s="1" t="s">
        <v>519</v>
      </c>
      <c r="E77" s="29" t="s">
        <v>592</v>
      </c>
      <c r="I77" s="111" t="s">
        <v>521</v>
      </c>
    </row>
    <row r="78" spans="1:9" ht="12.75">
      <c r="A78" s="143" t="s">
        <v>522</v>
      </c>
      <c r="E78" s="29" t="s">
        <v>593</v>
      </c>
      <c r="I78" s="135" t="s">
        <v>523</v>
      </c>
    </row>
    <row r="79" spans="1:9" ht="12.75">
      <c r="A79" s="111" t="s">
        <v>524</v>
      </c>
      <c r="E79" s="30" t="s">
        <v>535</v>
      </c>
      <c r="I79" s="119">
        <v>-3</v>
      </c>
    </row>
    <row r="80" spans="1:5" ht="12.75">
      <c r="A80" s="2"/>
      <c r="E80" s="28"/>
    </row>
    <row r="81" spans="1:9" ht="12.75">
      <c r="A81" s="2" t="s">
        <v>526</v>
      </c>
      <c r="E81" s="256">
        <f>'Meters &amp; Services'!$H$27</f>
        <v>110196</v>
      </c>
      <c r="I81" s="129">
        <f>ROUND(E81/$E$88,4)-0.0001</f>
        <v>0.7661</v>
      </c>
    </row>
    <row r="82" spans="1:9" ht="12.75">
      <c r="A82" s="2" t="s">
        <v>527</v>
      </c>
      <c r="E82" s="256">
        <f>'Meters &amp; Services'!$L$27</f>
        <v>26032</v>
      </c>
      <c r="I82" s="129">
        <f>ROUND(E82/$E$88,4)</f>
        <v>0.181</v>
      </c>
    </row>
    <row r="83" spans="1:9" ht="12.75">
      <c r="A83" s="2" t="s">
        <v>528</v>
      </c>
      <c r="E83" s="256">
        <f>'Meters &amp; Services'!$P$27</f>
        <v>669</v>
      </c>
      <c r="I83" s="129">
        <f>ROUND(E83/$E$88,4)</f>
        <v>0.0047</v>
      </c>
    </row>
    <row r="84" spans="1:9" ht="12.75">
      <c r="A84" s="2" t="s">
        <v>529</v>
      </c>
      <c r="E84" s="256">
        <f>'Meters &amp; Services'!$T$27</f>
        <v>5077</v>
      </c>
      <c r="I84" s="129">
        <f>ROUND(E84/$E$88,4)</f>
        <v>0.0353</v>
      </c>
    </row>
    <row r="85" spans="1:9" ht="12.75">
      <c r="A85" s="2" t="s">
        <v>307</v>
      </c>
      <c r="E85" s="256">
        <f>'Meters &amp; Services'!$X$27</f>
        <v>427</v>
      </c>
      <c r="I85" s="197">
        <f>ROUND(E85/$E$88,4)</f>
        <v>0.003</v>
      </c>
    </row>
    <row r="86" spans="1:9" ht="12.75">
      <c r="A86" s="2" t="s">
        <v>530</v>
      </c>
      <c r="E86" s="256">
        <f>'Meters &amp; Services'!$AB$27</f>
        <v>1419</v>
      </c>
      <c r="I86" s="142">
        <f>ROUND(E86/$E$88,4)</f>
        <v>0.0099</v>
      </c>
    </row>
    <row r="87" ht="12.75">
      <c r="E87" s="33"/>
    </row>
    <row r="88" spans="1:9" ht="13.5" thickBot="1">
      <c r="A88" t="s">
        <v>532</v>
      </c>
      <c r="E88" s="230">
        <f>SUM(E81:E87)</f>
        <v>143820</v>
      </c>
      <c r="I88" s="208">
        <f>SUM(I81:I87)</f>
        <v>1</v>
      </c>
    </row>
    <row r="89" ht="13.5" thickTop="1">
      <c r="I89" s="129"/>
    </row>
    <row r="90" ht="12.75">
      <c r="G90" s="129"/>
    </row>
    <row r="91" ht="12.75">
      <c r="A91" s="28" t="s">
        <v>499</v>
      </c>
    </row>
    <row r="92" ht="12.75">
      <c r="A92" s="28"/>
    </row>
    <row r="93" spans="1:9" ht="27" customHeight="1">
      <c r="A93" s="486" t="s">
        <v>596</v>
      </c>
      <c r="B93" s="486"/>
      <c r="C93" s="486"/>
      <c r="D93" s="486"/>
      <c r="E93" s="486"/>
      <c r="F93" s="486"/>
      <c r="G93" s="486"/>
      <c r="H93" s="486"/>
      <c r="I93" s="486"/>
    </row>
    <row r="96" spans="1:9" ht="12.75">
      <c r="A96" s="1" t="s">
        <v>519</v>
      </c>
      <c r="E96" s="29" t="s">
        <v>597</v>
      </c>
      <c r="F96" s="29"/>
      <c r="I96" s="29" t="s">
        <v>521</v>
      </c>
    </row>
    <row r="97" spans="1:9" ht="12.75">
      <c r="A97" s="143" t="s">
        <v>522</v>
      </c>
      <c r="E97" s="29" t="s">
        <v>593</v>
      </c>
      <c r="F97" s="29"/>
      <c r="I97" s="29" t="s">
        <v>523</v>
      </c>
    </row>
    <row r="98" spans="1:9" ht="12.75">
      <c r="A98" s="111" t="s">
        <v>524</v>
      </c>
      <c r="E98" s="30" t="s">
        <v>535</v>
      </c>
      <c r="F98" s="29" t="s">
        <v>594</v>
      </c>
      <c r="I98" s="30" t="s">
        <v>525</v>
      </c>
    </row>
    <row r="99" spans="1:9" ht="12.75">
      <c r="A99" s="2"/>
      <c r="E99" s="28"/>
      <c r="F99" s="28"/>
      <c r="I99" s="32"/>
    </row>
    <row r="100" spans="1:9" ht="12.75">
      <c r="A100" s="2" t="s">
        <v>526</v>
      </c>
      <c r="E100" s="256">
        <f>'Meters &amp; Services'!$H$59</f>
        <v>96209</v>
      </c>
      <c r="F100" s="28"/>
      <c r="I100" s="34">
        <f>ROUND(E100/E$107,4)-0.0001</f>
        <v>0.8645</v>
      </c>
    </row>
    <row r="101" spans="1:9" ht="12.75">
      <c r="A101" s="2" t="s">
        <v>527</v>
      </c>
      <c r="E101" s="256">
        <f>'Meters &amp; Services'!$L$59</f>
        <v>10312</v>
      </c>
      <c r="F101" s="28"/>
      <c r="I101" s="34">
        <f>ROUND(E101/E$107,4)</f>
        <v>0.0927</v>
      </c>
    </row>
    <row r="102" spans="1:9" ht="12.75">
      <c r="A102" s="2" t="s">
        <v>528</v>
      </c>
      <c r="E102" s="256">
        <f>'Meters &amp; Services'!$P$59</f>
        <v>75</v>
      </c>
      <c r="F102" s="28"/>
      <c r="I102" s="34">
        <f>ROUND(E102/E$107,4)</f>
        <v>0.0007</v>
      </c>
    </row>
    <row r="103" spans="1:9" ht="12.75">
      <c r="A103" s="2" t="s">
        <v>529</v>
      </c>
      <c r="E103" s="256">
        <f>'Meters &amp; Services'!$T$59</f>
        <v>993</v>
      </c>
      <c r="F103" s="28"/>
      <c r="I103" s="34">
        <f>ROUND(E103/E$107,4)</f>
        <v>0.0089</v>
      </c>
    </row>
    <row r="104" spans="1:9" ht="12.75">
      <c r="A104" s="2" t="s">
        <v>307</v>
      </c>
      <c r="E104" s="256">
        <f>'Meters &amp; Services'!$X$59</f>
        <v>40</v>
      </c>
      <c r="F104" s="28"/>
      <c r="I104" s="34">
        <f>ROUND(E104/E$107,4)</f>
        <v>0.0004</v>
      </c>
    </row>
    <row r="105" spans="1:9" ht="12.75">
      <c r="A105" s="2" t="s">
        <v>530</v>
      </c>
      <c r="E105" s="256">
        <f>'Meters &amp; Services'!$AB$59</f>
        <v>3645</v>
      </c>
      <c r="F105" s="28"/>
      <c r="I105" s="34">
        <f>ROUND(E105/E$107,4)</f>
        <v>0.0328</v>
      </c>
    </row>
    <row r="106" spans="1:9" ht="12.75">
      <c r="A106" s="2"/>
      <c r="E106" s="33"/>
      <c r="F106" s="28"/>
      <c r="I106" s="35"/>
    </row>
    <row r="107" spans="1:9" ht="13.5" thickBot="1">
      <c r="A107" t="s">
        <v>532</v>
      </c>
      <c r="E107" s="31">
        <f>SUM(E100:E106)</f>
        <v>111274</v>
      </c>
      <c r="F107" s="28"/>
      <c r="G107" s="149"/>
      <c r="I107" s="184">
        <f>SUM(I100:I106)</f>
        <v>1</v>
      </c>
    </row>
    <row r="108" spans="5:7" ht="13.5" thickTop="1">
      <c r="E108" s="36"/>
      <c r="F108" s="37"/>
      <c r="G108" s="183"/>
    </row>
    <row r="109" spans="5:7" ht="12.75">
      <c r="E109" s="206"/>
      <c r="F109" s="183"/>
      <c r="G109" s="183"/>
    </row>
    <row r="110" spans="5:7" ht="12.75">
      <c r="E110" s="206"/>
      <c r="F110" s="37"/>
      <c r="G110" s="183"/>
    </row>
    <row r="112" ht="12.75">
      <c r="A112" s="2" t="s">
        <v>500</v>
      </c>
    </row>
    <row r="114" spans="1:6" ht="12.75">
      <c r="A114" s="487" t="s">
        <v>620</v>
      </c>
      <c r="B114" s="487"/>
      <c r="C114" s="487"/>
      <c r="D114" s="487"/>
      <c r="E114" s="487"/>
      <c r="F114" s="487"/>
    </row>
    <row r="117" spans="1:9" ht="12.75">
      <c r="A117" s="1" t="s">
        <v>519</v>
      </c>
      <c r="E117" s="8" t="s">
        <v>600</v>
      </c>
      <c r="F117" s="8"/>
      <c r="I117" s="8" t="s">
        <v>521</v>
      </c>
    </row>
    <row r="118" spans="1:9" ht="12.75">
      <c r="A118" s="143" t="s">
        <v>522</v>
      </c>
      <c r="E118" s="8" t="s">
        <v>621</v>
      </c>
      <c r="F118" s="8"/>
      <c r="I118" s="8" t="s">
        <v>523</v>
      </c>
    </row>
    <row r="119" spans="1:9" ht="12.75">
      <c r="A119" s="111" t="s">
        <v>524</v>
      </c>
      <c r="E119" s="98" t="s">
        <v>535</v>
      </c>
      <c r="F119" s="38"/>
      <c r="I119" s="98" t="s">
        <v>525</v>
      </c>
    </row>
    <row r="120" spans="1:9" ht="12.75">
      <c r="A120" s="2"/>
      <c r="E120" s="2"/>
      <c r="F120" s="2"/>
      <c r="I120" s="4"/>
    </row>
    <row r="121" spans="1:9" ht="12.75">
      <c r="A121" s="2" t="s">
        <v>526</v>
      </c>
      <c r="E121" s="301">
        <f>ROUND('Meters &amp; Services'!F27,0)</f>
        <v>107795</v>
      </c>
      <c r="F121" s="7"/>
      <c r="I121" s="34">
        <f>ROUND(E121/$E$129,4)-0.0001</f>
        <v>0.9051</v>
      </c>
    </row>
    <row r="122" spans="1:9" ht="12.75">
      <c r="A122" s="2" t="s">
        <v>527</v>
      </c>
      <c r="E122" s="301">
        <f>ROUND('Meters &amp; Services'!J27,0)</f>
        <v>8926</v>
      </c>
      <c r="F122" s="7"/>
      <c r="I122" s="34">
        <f aca="true" t="shared" si="1" ref="I122:I127">ROUND(E122/$E$129,4)</f>
        <v>0.075</v>
      </c>
    </row>
    <row r="123" spans="1:9" ht="12.75">
      <c r="A123" s="2" t="s">
        <v>528</v>
      </c>
      <c r="E123" s="301">
        <f>ROUND('Meters &amp; Services'!N27,0)</f>
        <v>44</v>
      </c>
      <c r="F123" s="7"/>
      <c r="I123" s="34">
        <f t="shared" si="1"/>
        <v>0.0004</v>
      </c>
    </row>
    <row r="124" spans="1:9" ht="12.75">
      <c r="A124" s="2" t="s">
        <v>529</v>
      </c>
      <c r="E124" s="301">
        <f>ROUND('Meters &amp; Services'!R27,0)</f>
        <v>719</v>
      </c>
      <c r="F124" s="7"/>
      <c r="I124" s="34">
        <f t="shared" si="1"/>
        <v>0.006</v>
      </c>
    </row>
    <row r="125" spans="1:9" ht="12.75">
      <c r="A125" s="2" t="s">
        <v>307</v>
      </c>
      <c r="E125" s="301">
        <f>+'Meters &amp; Services'!V27</f>
        <v>21</v>
      </c>
      <c r="F125" s="7"/>
      <c r="I125" s="201">
        <f t="shared" si="1"/>
        <v>0.0002</v>
      </c>
    </row>
    <row r="126" spans="1:9" ht="12.75">
      <c r="A126" s="2" t="s">
        <v>530</v>
      </c>
      <c r="E126" s="257">
        <f>1583-E127</f>
        <v>1545</v>
      </c>
      <c r="F126" s="7"/>
      <c r="I126" s="34">
        <f t="shared" si="1"/>
        <v>0.013</v>
      </c>
    </row>
    <row r="127" spans="1:9" ht="12.75">
      <c r="A127" s="2" t="s">
        <v>531</v>
      </c>
      <c r="E127" s="257">
        <v>38</v>
      </c>
      <c r="F127" s="39"/>
      <c r="I127" s="150">
        <f t="shared" si="1"/>
        <v>0.0003</v>
      </c>
    </row>
    <row r="128" spans="5:9" ht="12.75">
      <c r="E128" s="5"/>
      <c r="F128" s="7"/>
      <c r="I128" s="32"/>
    </row>
    <row r="129" spans="1:9" ht="13.5" thickBot="1">
      <c r="A129" t="s">
        <v>532</v>
      </c>
      <c r="E129" s="156">
        <f>SUM(E121:E128)</f>
        <v>119088</v>
      </c>
      <c r="F129" s="7"/>
      <c r="I129" s="155">
        <f>SUM(I121:I128)</f>
        <v>0.9999999999999999</v>
      </c>
    </row>
    <row r="130" ht="13.5" thickTop="1"/>
    <row r="132" ht="12.75">
      <c r="A132" s="2" t="s">
        <v>501</v>
      </c>
    </row>
    <row r="134" spans="1:6" ht="15">
      <c r="A134" s="2" t="s">
        <v>18</v>
      </c>
      <c r="B134" s="2"/>
      <c r="C134" s="14"/>
      <c r="D134" s="2"/>
      <c r="E134" s="2"/>
      <c r="F134" s="2"/>
    </row>
    <row r="135" spans="1:6" ht="15">
      <c r="A135" s="2"/>
      <c r="B135" s="2"/>
      <c r="C135" s="14"/>
      <c r="D135" s="2"/>
      <c r="E135" s="2"/>
      <c r="F135" s="2"/>
    </row>
    <row r="136" spans="1:9" ht="15">
      <c r="A136" s="111" t="s">
        <v>550</v>
      </c>
      <c r="B136" s="1"/>
      <c r="C136" s="14"/>
      <c r="E136" s="348" t="s">
        <v>622</v>
      </c>
      <c r="I136" s="8" t="s">
        <v>521</v>
      </c>
    </row>
    <row r="137" spans="1:9" ht="15">
      <c r="A137" s="135" t="s">
        <v>522</v>
      </c>
      <c r="C137" s="14"/>
      <c r="E137" s="348" t="s">
        <v>621</v>
      </c>
      <c r="I137" s="8" t="s">
        <v>523</v>
      </c>
    </row>
    <row r="138" spans="1:9" ht="15">
      <c r="A138" s="111" t="s">
        <v>524</v>
      </c>
      <c r="C138" s="14"/>
      <c r="E138" s="349" t="s">
        <v>535</v>
      </c>
      <c r="I138" s="98" t="s">
        <v>535</v>
      </c>
    </row>
    <row r="139" spans="1:11" ht="15">
      <c r="A139" s="2"/>
      <c r="B139" s="2"/>
      <c r="C139" s="14"/>
      <c r="E139" s="350"/>
      <c r="K139" s="2"/>
    </row>
    <row r="140" spans="1:11" ht="15">
      <c r="A140" s="2" t="s">
        <v>526</v>
      </c>
      <c r="B140" s="2"/>
      <c r="C140" s="14"/>
      <c r="E140" s="478">
        <f>E121</f>
        <v>107795</v>
      </c>
      <c r="I140" s="34">
        <f aca="true" t="shared" si="2" ref="I140:I145">ROUND(E140/$E$147,4)</f>
        <v>0.9064</v>
      </c>
      <c r="K140" s="34"/>
    </row>
    <row r="141" spans="1:11" ht="15">
      <c r="A141" s="2" t="s">
        <v>527</v>
      </c>
      <c r="B141" s="2"/>
      <c r="C141" s="14"/>
      <c r="E141" s="478">
        <f>E122</f>
        <v>8926</v>
      </c>
      <c r="I141" s="34">
        <f t="shared" si="2"/>
        <v>0.0751</v>
      </c>
      <c r="K141" s="34"/>
    </row>
    <row r="142" spans="1:11" ht="15">
      <c r="A142" s="2" t="s">
        <v>528</v>
      </c>
      <c r="B142" s="2"/>
      <c r="C142" s="14"/>
      <c r="E142" s="478">
        <f>E123</f>
        <v>44</v>
      </c>
      <c r="I142" s="34">
        <f t="shared" si="2"/>
        <v>0.0004</v>
      </c>
      <c r="K142" s="34"/>
    </row>
    <row r="143" spans="1:11" ht="15">
      <c r="A143" s="2" t="s">
        <v>529</v>
      </c>
      <c r="B143" s="2"/>
      <c r="C143" s="14"/>
      <c r="E143" s="478">
        <f>E124</f>
        <v>719</v>
      </c>
      <c r="I143" s="34">
        <f t="shared" si="2"/>
        <v>0.006</v>
      </c>
      <c r="K143" s="34"/>
    </row>
    <row r="144" spans="1:9" ht="15">
      <c r="A144" s="2" t="s">
        <v>307</v>
      </c>
      <c r="B144" s="2"/>
      <c r="C144" s="14"/>
      <c r="E144" s="478">
        <f>E125</f>
        <v>21</v>
      </c>
      <c r="I144" s="34">
        <f t="shared" si="2"/>
        <v>0.0002</v>
      </c>
    </row>
    <row r="145" spans="1:9" ht="15">
      <c r="A145" s="2" t="s">
        <v>530</v>
      </c>
      <c r="B145" s="2"/>
      <c r="C145" s="14"/>
      <c r="E145" s="478">
        <f>+'Meters &amp; Services'!Z27</f>
        <v>1419</v>
      </c>
      <c r="I145" s="34">
        <f t="shared" si="2"/>
        <v>0.0119</v>
      </c>
    </row>
    <row r="146" spans="1:9" ht="15">
      <c r="A146" s="2"/>
      <c r="B146" s="2"/>
      <c r="C146" s="14"/>
      <c r="E146" s="351"/>
      <c r="I146" s="6"/>
    </row>
    <row r="147" spans="1:9" ht="15.75" thickBot="1">
      <c r="A147" s="2" t="s">
        <v>532</v>
      </c>
      <c r="B147" s="2"/>
      <c r="C147" s="14"/>
      <c r="E147" s="156">
        <f>SUM(E140:E146)</f>
        <v>118924</v>
      </c>
      <c r="I147" s="4">
        <f>SUM(I140:I146)</f>
        <v>1</v>
      </c>
    </row>
    <row r="148" spans="1:9" ht="15.75" thickTop="1">
      <c r="A148" s="14"/>
      <c r="B148" s="14"/>
      <c r="C148" s="14"/>
      <c r="F148" s="14"/>
      <c r="I148" s="9"/>
    </row>
    <row r="152" spans="1:8" ht="12.75">
      <c r="A152" s="68" t="s">
        <v>502</v>
      </c>
      <c r="B152" s="68"/>
      <c r="C152" s="68"/>
      <c r="D152" s="68"/>
      <c r="E152" s="68"/>
      <c r="F152" s="68"/>
      <c r="G152" s="68"/>
      <c r="H152" s="68"/>
    </row>
    <row r="153" spans="1:8" ht="12.75">
      <c r="A153" s="68"/>
      <c r="B153" s="68"/>
      <c r="C153" s="68"/>
      <c r="D153" s="68"/>
      <c r="E153" s="68"/>
      <c r="F153" s="68"/>
      <c r="G153" s="68"/>
      <c r="H153" s="68"/>
    </row>
    <row r="154" spans="1:8" ht="12.75">
      <c r="A154" s="68" t="s">
        <v>425</v>
      </c>
      <c r="B154" s="65"/>
      <c r="C154" s="68"/>
      <c r="D154" s="68"/>
      <c r="E154" s="68"/>
      <c r="F154" s="68"/>
      <c r="G154" s="68"/>
      <c r="H154" s="68"/>
    </row>
    <row r="155" spans="1:8" ht="12.75">
      <c r="A155" s="68"/>
      <c r="B155" s="68"/>
      <c r="C155" s="68"/>
      <c r="D155" s="68"/>
      <c r="E155" s="68"/>
      <c r="F155" s="68"/>
      <c r="G155" s="68"/>
      <c r="H155" s="68"/>
    </row>
    <row r="156" spans="1:9" ht="12.75">
      <c r="A156" s="69" t="s">
        <v>23</v>
      </c>
      <c r="C156" s="67"/>
      <c r="D156" s="68"/>
      <c r="E156" s="68"/>
      <c r="F156" s="67"/>
      <c r="H156" s="68"/>
      <c r="I156" s="69" t="s">
        <v>521</v>
      </c>
    </row>
    <row r="157" spans="1:9" ht="12.75">
      <c r="A157" s="69" t="s">
        <v>24</v>
      </c>
      <c r="C157" s="67"/>
      <c r="D157" s="68"/>
      <c r="E157" s="68"/>
      <c r="F157" s="67"/>
      <c r="H157" s="68"/>
      <c r="I157" s="69" t="s">
        <v>523</v>
      </c>
    </row>
    <row r="158" spans="1:9" ht="12.75">
      <c r="A158" s="97" t="s">
        <v>524</v>
      </c>
      <c r="C158" s="67"/>
      <c r="D158" s="68"/>
      <c r="E158" s="68"/>
      <c r="F158" s="67"/>
      <c r="H158" s="68"/>
      <c r="I158" s="97" t="s">
        <v>535</v>
      </c>
    </row>
    <row r="159" spans="1:9" ht="12.75">
      <c r="A159" s="68"/>
      <c r="C159" s="67"/>
      <c r="D159" s="68"/>
      <c r="E159" s="68"/>
      <c r="F159" s="68"/>
      <c r="H159" s="68"/>
      <c r="I159" s="68"/>
    </row>
    <row r="160" spans="1:9" ht="13.5" thickBot="1">
      <c r="A160" s="68" t="s">
        <v>530</v>
      </c>
      <c r="C160" s="67"/>
      <c r="D160" s="68"/>
      <c r="E160" s="68"/>
      <c r="F160" s="67"/>
      <c r="H160" s="68"/>
      <c r="I160" s="205">
        <v>1</v>
      </c>
    </row>
    <row r="161" spans="1:9" ht="13.5" thickTop="1">
      <c r="A161" s="68"/>
      <c r="B161" s="68"/>
      <c r="C161" s="68"/>
      <c r="D161" s="68"/>
      <c r="E161" s="68"/>
      <c r="F161" s="68"/>
      <c r="H161" s="68"/>
      <c r="I161" s="68"/>
    </row>
    <row r="164" spans="1:9" ht="12.75">
      <c r="A164" s="68" t="s">
        <v>503</v>
      </c>
      <c r="B164" s="68"/>
      <c r="C164" s="68"/>
      <c r="D164" s="68"/>
      <c r="E164" s="68"/>
      <c r="F164" s="68"/>
      <c r="G164" s="68"/>
      <c r="H164" s="68"/>
      <c r="I164" s="68"/>
    </row>
    <row r="165" spans="1:9" ht="12.75">
      <c r="A165" s="68"/>
      <c r="B165" s="68"/>
      <c r="C165" s="68"/>
      <c r="D165" s="68"/>
      <c r="E165" s="68"/>
      <c r="F165" s="68"/>
      <c r="G165" s="68"/>
      <c r="H165" s="68"/>
      <c r="I165" s="68"/>
    </row>
    <row r="166" spans="1:9" ht="12.75">
      <c r="A166" s="68" t="s">
        <v>47</v>
      </c>
      <c r="B166" s="65"/>
      <c r="C166" s="68"/>
      <c r="D166" s="68"/>
      <c r="E166" s="68"/>
      <c r="F166" s="68"/>
      <c r="G166" s="68"/>
      <c r="H166" s="68"/>
      <c r="I166" s="68"/>
    </row>
    <row r="167" spans="1:9" ht="12.75">
      <c r="A167" s="68"/>
      <c r="B167" s="68"/>
      <c r="C167" s="68"/>
      <c r="D167" s="68"/>
      <c r="E167" s="68"/>
      <c r="F167" s="68"/>
      <c r="G167" s="68"/>
      <c r="H167" s="68"/>
      <c r="I167" s="68"/>
    </row>
    <row r="168" spans="1:9" ht="12.75">
      <c r="A168" s="69" t="s">
        <v>23</v>
      </c>
      <c r="C168" s="67"/>
      <c r="D168" s="68"/>
      <c r="E168" s="68"/>
      <c r="F168" s="67"/>
      <c r="H168" s="68"/>
      <c r="I168" s="69" t="s">
        <v>521</v>
      </c>
    </row>
    <row r="169" spans="1:9" ht="12.75">
      <c r="A169" s="69" t="s">
        <v>24</v>
      </c>
      <c r="C169" s="67"/>
      <c r="D169" s="68"/>
      <c r="E169" s="68"/>
      <c r="F169" s="67"/>
      <c r="H169" s="68"/>
      <c r="I169" s="69" t="s">
        <v>523</v>
      </c>
    </row>
    <row r="170" spans="1:9" ht="12.75">
      <c r="A170" s="97" t="s">
        <v>524</v>
      </c>
      <c r="C170" s="67"/>
      <c r="D170" s="68"/>
      <c r="E170" s="68"/>
      <c r="F170" s="67"/>
      <c r="H170" s="68"/>
      <c r="I170" s="97" t="s">
        <v>535</v>
      </c>
    </row>
    <row r="171" spans="1:9" ht="12.75">
      <c r="A171" s="68"/>
      <c r="C171" s="67"/>
      <c r="D171" s="68"/>
      <c r="E171" s="68"/>
      <c r="F171" s="68"/>
      <c r="H171" s="68"/>
      <c r="I171" s="68"/>
    </row>
    <row r="172" spans="1:9" ht="13.5" thickBot="1">
      <c r="A172" s="68" t="s">
        <v>531</v>
      </c>
      <c r="C172" s="67"/>
      <c r="D172" s="68"/>
      <c r="E172" s="68"/>
      <c r="F172" s="67"/>
      <c r="H172" s="68"/>
      <c r="I172" s="205">
        <v>1</v>
      </c>
    </row>
    <row r="173" spans="1:9" ht="13.5" thickTop="1">
      <c r="A173" s="68"/>
      <c r="B173" s="68"/>
      <c r="C173" s="68"/>
      <c r="D173" s="68"/>
      <c r="E173" s="68"/>
      <c r="F173" s="68"/>
      <c r="H173" s="68"/>
      <c r="I173" s="68"/>
    </row>
    <row r="174" spans="1:9" ht="12.75">
      <c r="A174" s="68"/>
      <c r="B174" s="68"/>
      <c r="C174" s="68"/>
      <c r="D174" s="68"/>
      <c r="E174" s="68"/>
      <c r="F174" s="68"/>
      <c r="G174" s="68"/>
      <c r="H174" s="68"/>
      <c r="I174" s="68"/>
    </row>
  </sheetData>
  <mergeCells count="7">
    <mergeCell ref="A93:I93"/>
    <mergeCell ref="A114:F114"/>
    <mergeCell ref="A3:I3"/>
    <mergeCell ref="A5:I5"/>
    <mergeCell ref="A10:I10"/>
    <mergeCell ref="A74:I74"/>
    <mergeCell ref="A49:I49"/>
  </mergeCells>
  <printOptions horizontalCentered="1"/>
  <pageMargins left="0.75" right="0.75" top="1" bottom="1" header="0.5" footer="0.5"/>
  <pageSetup horizontalDpi="600" verticalDpi="600" orientation="portrait" r:id="rId1"/>
  <rowBreaks count="3" manualBreakCount="3">
    <brk id="48" max="255" man="1"/>
    <brk id="90" max="255" man="1"/>
    <brk id="131" max="255" man="1"/>
  </rowBreaks>
</worksheet>
</file>

<file path=xl/worksheets/sheet6.xml><?xml version="1.0" encoding="utf-8"?>
<worksheet xmlns="http://schemas.openxmlformats.org/spreadsheetml/2006/main" xmlns:r="http://schemas.openxmlformats.org/officeDocument/2006/relationships">
  <dimension ref="A1:AT84"/>
  <sheetViews>
    <sheetView zoomScale="87" zoomScaleNormal="87" workbookViewId="0" topLeftCell="A1">
      <selection activeCell="F11" sqref="F11"/>
    </sheetView>
  </sheetViews>
  <sheetFormatPr defaultColWidth="8.88671875" defaultRowHeight="12.75"/>
  <cols>
    <col min="2" max="2" width="6.77734375" style="0" customWidth="1"/>
    <col min="3" max="3" width="1.77734375" style="0" customWidth="1"/>
    <col min="4" max="4" width="7.77734375" style="0" customWidth="1"/>
    <col min="5" max="5" width="1.77734375" style="0" customWidth="1"/>
    <col min="6" max="6" width="7.77734375" style="0" customWidth="1"/>
    <col min="7" max="7" width="1.77734375" style="0" customWidth="1"/>
    <col min="9" max="9" width="1.77734375" style="0" customWidth="1"/>
    <col min="10" max="10" width="7.77734375" style="0" customWidth="1"/>
    <col min="11" max="11" width="1.77734375" style="0" customWidth="1"/>
    <col min="12" max="12" width="7.77734375" style="0" customWidth="1"/>
    <col min="13" max="13" width="1.77734375" style="0" customWidth="1"/>
    <col min="14" max="14" width="7.77734375" style="0" customWidth="1"/>
    <col min="15" max="15" width="1.77734375" style="0" customWidth="1"/>
    <col min="16" max="16" width="7.77734375" style="0" customWidth="1"/>
    <col min="17" max="17" width="1.77734375" style="0" customWidth="1"/>
    <col min="18" max="18" width="7.77734375" style="0" customWidth="1"/>
    <col min="19" max="19" width="1.77734375" style="0" customWidth="1"/>
    <col min="20" max="20" width="7.77734375" style="0" customWidth="1"/>
    <col min="21" max="21" width="1.77734375" style="0" customWidth="1"/>
    <col min="22" max="22" width="7.77734375" style="0" customWidth="1"/>
    <col min="23" max="23" width="1.77734375" style="0" customWidth="1"/>
    <col min="24" max="24" width="7.77734375" style="0" customWidth="1"/>
    <col min="25" max="25" width="1.77734375" style="0" customWidth="1"/>
    <col min="26" max="26" width="7.77734375" style="0" customWidth="1"/>
    <col min="27" max="27" width="1.77734375" style="0" customWidth="1"/>
    <col min="28" max="28" width="7.77734375" style="0" customWidth="1"/>
    <col min="29" max="29" width="1.77734375" style="0" customWidth="1"/>
    <col min="30" max="30" width="7.77734375" style="0" customWidth="1"/>
    <col min="31" max="31" width="1.77734375" style="0" customWidth="1"/>
    <col min="33" max="33" width="9.77734375" style="0" customWidth="1"/>
    <col min="38" max="38" width="1.77734375" style="0" customWidth="1"/>
    <col min="43" max="43" width="1.88671875" style="0" customWidth="1"/>
    <col min="45" max="45" width="10.10546875" style="0" customWidth="1"/>
  </cols>
  <sheetData>
    <row r="1" spans="2:33" ht="15">
      <c r="B1" s="102" t="s">
        <v>514</v>
      </c>
      <c r="C1" s="44"/>
      <c r="D1" s="45"/>
      <c r="E1" s="44"/>
      <c r="F1" s="44"/>
      <c r="G1" s="44"/>
      <c r="H1" s="44"/>
      <c r="I1" s="44"/>
      <c r="J1" s="44"/>
      <c r="K1" s="44"/>
      <c r="L1" s="44"/>
      <c r="M1" s="44"/>
      <c r="N1" s="43"/>
      <c r="O1" s="44"/>
      <c r="P1" s="44"/>
      <c r="Q1" s="44"/>
      <c r="R1" s="44"/>
      <c r="S1" s="44"/>
      <c r="T1" s="44"/>
      <c r="U1" s="44"/>
      <c r="V1" s="44"/>
      <c r="W1" s="44"/>
      <c r="X1" s="44"/>
      <c r="Y1" s="44"/>
      <c r="Z1" s="44"/>
      <c r="AA1" s="44"/>
      <c r="AB1" s="44"/>
      <c r="AC1" s="44"/>
      <c r="AD1" s="44"/>
      <c r="AE1" s="44"/>
      <c r="AF1" s="44"/>
      <c r="AG1" s="42"/>
    </row>
    <row r="2" spans="2:33" ht="15">
      <c r="B2" s="43" t="s">
        <v>515</v>
      </c>
      <c r="C2" s="44"/>
      <c r="D2" s="45"/>
      <c r="E2" s="44"/>
      <c r="F2" s="44"/>
      <c r="G2" s="44"/>
      <c r="H2" s="44"/>
      <c r="I2" s="44"/>
      <c r="J2" s="44"/>
      <c r="K2" s="44"/>
      <c r="L2" s="44"/>
      <c r="M2" s="44"/>
      <c r="N2" s="43"/>
      <c r="O2" s="44"/>
      <c r="P2" s="44"/>
      <c r="Q2" s="44"/>
      <c r="R2" s="44"/>
      <c r="S2" s="44"/>
      <c r="T2" s="44"/>
      <c r="U2" s="44"/>
      <c r="V2" s="44"/>
      <c r="W2" s="44"/>
      <c r="X2" s="44"/>
      <c r="Y2" s="44"/>
      <c r="Z2" s="44"/>
      <c r="AA2" s="44"/>
      <c r="AB2" s="44"/>
      <c r="AC2" s="44"/>
      <c r="AD2" s="44"/>
      <c r="AE2" s="44"/>
      <c r="AF2" s="44"/>
      <c r="AG2" s="42"/>
    </row>
    <row r="3" spans="2:33" ht="15">
      <c r="B3" s="44" t="s">
        <v>0</v>
      </c>
      <c r="C3" s="44"/>
      <c r="D3" s="45"/>
      <c r="E3" s="44"/>
      <c r="F3" s="44"/>
      <c r="G3" s="44"/>
      <c r="H3" s="44"/>
      <c r="I3" s="44"/>
      <c r="J3" s="43"/>
      <c r="K3" s="44"/>
      <c r="L3" s="44"/>
      <c r="M3" s="44"/>
      <c r="N3" s="44"/>
      <c r="O3" s="44"/>
      <c r="P3" s="44"/>
      <c r="Q3" s="44"/>
      <c r="R3" s="44"/>
      <c r="S3" s="44"/>
      <c r="T3" s="44"/>
      <c r="U3" s="44"/>
      <c r="V3" s="44"/>
      <c r="W3" s="44"/>
      <c r="X3" s="44"/>
      <c r="Y3" s="44"/>
      <c r="Z3" s="44"/>
      <c r="AA3" s="44"/>
      <c r="AB3" s="44"/>
      <c r="AC3" s="44"/>
      <c r="AD3" s="44"/>
      <c r="AE3" s="44"/>
      <c r="AF3" s="44"/>
      <c r="AG3" s="42"/>
    </row>
    <row r="4" spans="2:33" ht="15">
      <c r="B4" s="46"/>
      <c r="C4" s="46"/>
      <c r="D4" s="47"/>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2"/>
    </row>
    <row r="5" spans="2:33" ht="15">
      <c r="B5" s="46"/>
      <c r="C5" s="46"/>
      <c r="D5" s="47"/>
      <c r="E5" s="46"/>
      <c r="F5" s="42"/>
      <c r="G5" s="46"/>
      <c r="H5" s="46"/>
      <c r="I5" s="46"/>
      <c r="J5" s="42"/>
      <c r="K5" s="46"/>
      <c r="L5" s="46"/>
      <c r="M5" s="46"/>
      <c r="N5" s="42"/>
      <c r="O5" s="46"/>
      <c r="P5" s="46"/>
      <c r="Q5" s="46"/>
      <c r="R5" s="42"/>
      <c r="S5" s="46"/>
      <c r="T5" s="46"/>
      <c r="U5" s="46"/>
      <c r="V5" s="42"/>
      <c r="W5" s="46"/>
      <c r="X5" s="46"/>
      <c r="Y5" s="46"/>
      <c r="Z5" s="42"/>
      <c r="AA5" s="46"/>
      <c r="AB5" s="46"/>
      <c r="AC5" s="46"/>
      <c r="AD5" s="42"/>
      <c r="AE5" s="46"/>
      <c r="AF5" s="46"/>
      <c r="AG5" s="42"/>
    </row>
    <row r="6" spans="2:33" ht="15">
      <c r="B6" s="48"/>
      <c r="C6" s="48"/>
      <c r="D6" s="49" t="s">
        <v>1</v>
      </c>
      <c r="E6" s="48"/>
      <c r="F6" s="44" t="s">
        <v>526</v>
      </c>
      <c r="G6" s="44"/>
      <c r="H6" s="44"/>
      <c r="I6" s="48"/>
      <c r="J6" s="44" t="s">
        <v>527</v>
      </c>
      <c r="K6" s="44"/>
      <c r="L6" s="44"/>
      <c r="M6" s="48"/>
      <c r="N6" s="44" t="s">
        <v>528</v>
      </c>
      <c r="O6" s="44"/>
      <c r="P6" s="44"/>
      <c r="Q6" s="48"/>
      <c r="R6" s="44" t="s">
        <v>529</v>
      </c>
      <c r="S6" s="44"/>
      <c r="T6" s="44"/>
      <c r="U6" s="48"/>
      <c r="V6" s="44" t="s">
        <v>307</v>
      </c>
      <c r="W6" s="44"/>
      <c r="X6" s="44"/>
      <c r="Y6" s="48"/>
      <c r="Z6" s="44" t="s">
        <v>530</v>
      </c>
      <c r="AA6" s="44"/>
      <c r="AB6" s="44"/>
      <c r="AC6" s="48"/>
      <c r="AD6" s="44" t="s">
        <v>600</v>
      </c>
      <c r="AE6" s="44"/>
      <c r="AF6" s="44"/>
      <c r="AG6" s="42"/>
    </row>
    <row r="7" spans="2:33" ht="15">
      <c r="B7" s="48" t="s">
        <v>2</v>
      </c>
      <c r="C7" s="48"/>
      <c r="D7" s="49" t="s">
        <v>602</v>
      </c>
      <c r="E7" s="48"/>
      <c r="F7" s="261" t="s">
        <v>589</v>
      </c>
      <c r="G7" s="50"/>
      <c r="H7" s="50"/>
      <c r="I7" s="48"/>
      <c r="J7" s="261" t="s">
        <v>589</v>
      </c>
      <c r="K7" s="50"/>
      <c r="L7" s="50"/>
      <c r="M7" s="48"/>
      <c r="N7" s="261" t="s">
        <v>589</v>
      </c>
      <c r="O7" s="50"/>
      <c r="P7" s="50"/>
      <c r="Q7" s="48"/>
      <c r="R7" s="261" t="s">
        <v>589</v>
      </c>
      <c r="S7" s="50"/>
      <c r="T7" s="50"/>
      <c r="U7" s="48"/>
      <c r="V7" s="261" t="s">
        <v>589</v>
      </c>
      <c r="W7" s="50"/>
      <c r="X7" s="50"/>
      <c r="Y7" s="48"/>
      <c r="Z7" s="261" t="s">
        <v>589</v>
      </c>
      <c r="AA7" s="50"/>
      <c r="AB7" s="50"/>
      <c r="AC7" s="48"/>
      <c r="AD7" s="324" t="s">
        <v>589</v>
      </c>
      <c r="AE7" s="50"/>
      <c r="AF7" s="50"/>
      <c r="AG7" s="42"/>
    </row>
    <row r="8" spans="2:33" ht="15">
      <c r="B8" s="48" t="s">
        <v>603</v>
      </c>
      <c r="C8" s="48"/>
      <c r="D8" s="49" t="s">
        <v>604</v>
      </c>
      <c r="E8" s="48"/>
      <c r="F8" s="262" t="s">
        <v>3</v>
      </c>
      <c r="G8" s="48"/>
      <c r="H8" s="48" t="s">
        <v>606</v>
      </c>
      <c r="I8" s="48"/>
      <c r="J8" s="262" t="s">
        <v>3</v>
      </c>
      <c r="K8" s="48"/>
      <c r="L8" s="48" t="s">
        <v>606</v>
      </c>
      <c r="M8" s="48"/>
      <c r="N8" s="262" t="s">
        <v>3</v>
      </c>
      <c r="O8" s="48"/>
      <c r="P8" s="48" t="s">
        <v>606</v>
      </c>
      <c r="Q8" s="48"/>
      <c r="R8" s="262" t="s">
        <v>3</v>
      </c>
      <c r="S8" s="48"/>
      <c r="T8" s="48" t="s">
        <v>606</v>
      </c>
      <c r="U8" s="48"/>
      <c r="V8" s="262" t="s">
        <v>3</v>
      </c>
      <c r="W8" s="48"/>
      <c r="X8" s="48" t="s">
        <v>606</v>
      </c>
      <c r="Y8" s="48"/>
      <c r="Z8" s="262" t="s">
        <v>3</v>
      </c>
      <c r="AA8" s="48"/>
      <c r="AB8" s="48" t="s">
        <v>606</v>
      </c>
      <c r="AC8" s="48"/>
      <c r="AD8" s="325" t="s">
        <v>3</v>
      </c>
      <c r="AE8" s="48"/>
      <c r="AF8" s="48" t="s">
        <v>606</v>
      </c>
      <c r="AG8" s="42"/>
    </row>
    <row r="9" spans="2:46" ht="15">
      <c r="B9" s="99">
        <v>-1</v>
      </c>
      <c r="C9" s="100"/>
      <c r="D9" s="101">
        <v>-2</v>
      </c>
      <c r="E9" s="100"/>
      <c r="F9" s="263">
        <v>-3</v>
      </c>
      <c r="G9" s="52"/>
      <c r="H9" s="51" t="s">
        <v>607</v>
      </c>
      <c r="I9" s="52"/>
      <c r="J9" s="263">
        <v>-5</v>
      </c>
      <c r="K9" s="100"/>
      <c r="L9" s="99" t="s">
        <v>608</v>
      </c>
      <c r="M9" s="100"/>
      <c r="N9" s="263">
        <v>-7</v>
      </c>
      <c r="O9" s="100"/>
      <c r="P9" s="99" t="s">
        <v>609</v>
      </c>
      <c r="Q9" s="100"/>
      <c r="R9" s="263">
        <v>-9</v>
      </c>
      <c r="S9" s="100"/>
      <c r="T9" s="99" t="s">
        <v>610</v>
      </c>
      <c r="U9" s="100"/>
      <c r="V9" s="263">
        <v>-11</v>
      </c>
      <c r="W9" s="100"/>
      <c r="X9" s="99" t="s">
        <v>611</v>
      </c>
      <c r="Y9" s="100"/>
      <c r="Z9" s="263">
        <v>-13</v>
      </c>
      <c r="AA9" s="100"/>
      <c r="AB9" s="99" t="s">
        <v>612</v>
      </c>
      <c r="AC9" s="100"/>
      <c r="AD9" s="326">
        <v>-15</v>
      </c>
      <c r="AE9" s="100"/>
      <c r="AF9" s="99">
        <v>-16</v>
      </c>
      <c r="AG9" s="42"/>
      <c r="AH9" s="490" t="s">
        <v>526</v>
      </c>
      <c r="AI9" s="490"/>
      <c r="AJ9" s="490"/>
      <c r="AK9" s="490"/>
      <c r="AM9" s="490" t="s">
        <v>527</v>
      </c>
      <c r="AN9" s="490"/>
      <c r="AO9" s="490"/>
      <c r="AP9" s="490"/>
      <c r="AR9" s="111" t="s">
        <v>528</v>
      </c>
      <c r="AS9" s="111" t="s">
        <v>285</v>
      </c>
      <c r="AT9" s="111" t="s">
        <v>286</v>
      </c>
    </row>
    <row r="10" spans="2:42" ht="15">
      <c r="B10" s="46"/>
      <c r="C10" s="46"/>
      <c r="D10" s="47"/>
      <c r="E10" s="46"/>
      <c r="F10" s="46"/>
      <c r="G10" s="46"/>
      <c r="H10" s="46"/>
      <c r="I10" s="46"/>
      <c r="J10" s="46"/>
      <c r="K10" s="46"/>
      <c r="L10" s="46"/>
      <c r="M10" s="46"/>
      <c r="N10" s="260"/>
      <c r="O10" s="46"/>
      <c r="P10" s="46"/>
      <c r="Q10" s="46"/>
      <c r="R10" s="260"/>
      <c r="S10" s="46"/>
      <c r="T10" s="46"/>
      <c r="U10" s="46"/>
      <c r="V10" s="260"/>
      <c r="W10" s="46"/>
      <c r="X10" s="46"/>
      <c r="Y10" s="46"/>
      <c r="Z10" s="260"/>
      <c r="AA10" s="46"/>
      <c r="AB10" s="46"/>
      <c r="AC10" s="46"/>
      <c r="AD10" s="327"/>
      <c r="AE10" s="46"/>
      <c r="AF10" s="46"/>
      <c r="AG10" s="42"/>
      <c r="AH10" s="111" t="s">
        <v>281</v>
      </c>
      <c r="AI10" s="111" t="s">
        <v>282</v>
      </c>
      <c r="AJ10" s="111" t="s">
        <v>283</v>
      </c>
      <c r="AK10" s="111" t="s">
        <v>284</v>
      </c>
      <c r="AM10" s="111" t="s">
        <v>281</v>
      </c>
      <c r="AN10" s="111" t="s">
        <v>282</v>
      </c>
      <c r="AO10" s="111" t="s">
        <v>283</v>
      </c>
      <c r="AP10" s="111" t="s">
        <v>284</v>
      </c>
    </row>
    <row r="11" spans="1:46" ht="15">
      <c r="A11" s="258"/>
      <c r="B11" s="48" t="s">
        <v>4</v>
      </c>
      <c r="C11" s="46"/>
      <c r="D11" s="258">
        <v>1</v>
      </c>
      <c r="E11" s="46"/>
      <c r="F11" s="259">
        <f>ROUND(SUM(AH11:AK11)/12,0)+1</f>
        <v>105910</v>
      </c>
      <c r="G11" s="46"/>
      <c r="H11" s="54">
        <f>ROUND(+F11*$D11,0)</f>
        <v>105910</v>
      </c>
      <c r="I11" s="46"/>
      <c r="J11" s="259">
        <f>ROUND(SUM(AM11:AP11)/12,0)</f>
        <v>4858</v>
      </c>
      <c r="K11" s="46"/>
      <c r="L11" s="54">
        <f>ROUND(+J11*$D11,0)</f>
        <v>4858</v>
      </c>
      <c r="M11" s="46"/>
      <c r="N11" s="259">
        <f>ROUND(AR11/12,0)</f>
        <v>2</v>
      </c>
      <c r="P11" s="54">
        <f>ROUND(+N11*$D11,0)</f>
        <v>2</v>
      </c>
      <c r="Q11" s="46"/>
      <c r="R11" s="259">
        <f>ROUND(AS11/12,0)</f>
        <v>141</v>
      </c>
      <c r="S11" s="46"/>
      <c r="T11" s="54">
        <f>ROUND(+R11*$D11,0)</f>
        <v>141</v>
      </c>
      <c r="U11" s="46"/>
      <c r="V11" s="259">
        <f>ROUND(AT11/12,0)</f>
        <v>0</v>
      </c>
      <c r="W11" s="46"/>
      <c r="X11" s="54">
        <f>ROUND(+V11*$D11,0)</f>
        <v>0</v>
      </c>
      <c r="Y11" s="46"/>
      <c r="Z11" s="259">
        <f>+Z59</f>
        <v>1419</v>
      </c>
      <c r="AA11" s="46"/>
      <c r="AB11" s="54">
        <f>ROUND(+Z11*$D11,0)</f>
        <v>1419</v>
      </c>
      <c r="AC11" s="46"/>
      <c r="AD11" s="328">
        <f>F11+J11+N11+R11+V11+Z11</f>
        <v>112330</v>
      </c>
      <c r="AE11" s="46"/>
      <c r="AF11" s="54">
        <f>H11+L11+P11+T11+X11+AB11</f>
        <v>112330</v>
      </c>
      <c r="AG11" s="42"/>
      <c r="AH11" s="126">
        <v>1229400</v>
      </c>
      <c r="AI11" s="126">
        <v>26235</v>
      </c>
      <c r="AJ11" s="126">
        <v>3612</v>
      </c>
      <c r="AK11">
        <v>11664</v>
      </c>
      <c r="AM11" s="126">
        <v>56725</v>
      </c>
      <c r="AN11" s="126">
        <v>443</v>
      </c>
      <c r="AO11" s="126">
        <v>12</v>
      </c>
      <c r="AP11">
        <v>1116</v>
      </c>
      <c r="AR11" s="126">
        <v>24</v>
      </c>
      <c r="AS11" s="126">
        <v>1692</v>
      </c>
      <c r="AT11" s="126">
        <v>0</v>
      </c>
    </row>
    <row r="12" spans="1:46" ht="15">
      <c r="A12" s="258"/>
      <c r="B12" s="48"/>
      <c r="C12" s="46"/>
      <c r="D12" s="258"/>
      <c r="E12" s="46"/>
      <c r="F12" s="259"/>
      <c r="G12" s="46"/>
      <c r="H12" s="54"/>
      <c r="I12" s="46"/>
      <c r="J12" s="259"/>
      <c r="K12" s="46"/>
      <c r="L12" s="54"/>
      <c r="M12" s="46"/>
      <c r="N12" s="259"/>
      <c r="O12" s="46"/>
      <c r="P12" s="54"/>
      <c r="Q12" s="46"/>
      <c r="R12" s="259"/>
      <c r="S12" s="46"/>
      <c r="T12" s="54"/>
      <c r="U12" s="46"/>
      <c r="V12" s="259"/>
      <c r="W12" s="46"/>
      <c r="X12" s="54"/>
      <c r="Y12" s="46"/>
      <c r="Z12" s="259"/>
      <c r="AA12" s="46"/>
      <c r="AB12" s="54"/>
      <c r="AC12" s="46"/>
      <c r="AD12" s="328"/>
      <c r="AE12" s="46"/>
      <c r="AF12" s="54"/>
      <c r="AG12" s="42"/>
      <c r="AH12" s="126">
        <v>0</v>
      </c>
      <c r="AI12" s="126">
        <v>0</v>
      </c>
      <c r="AJ12" s="126">
        <v>0</v>
      </c>
      <c r="AM12" s="126">
        <v>0</v>
      </c>
      <c r="AN12" s="126">
        <v>0</v>
      </c>
      <c r="AO12" s="126">
        <v>0</v>
      </c>
      <c r="AR12" s="126">
        <v>0</v>
      </c>
      <c r="AS12" s="126">
        <v>0</v>
      </c>
      <c r="AT12" s="126">
        <v>0</v>
      </c>
    </row>
    <row r="13" spans="1:46" ht="15">
      <c r="A13" s="258"/>
      <c r="B13" s="48" t="s">
        <v>5</v>
      </c>
      <c r="C13" s="46"/>
      <c r="D13" s="258">
        <v>1.8</v>
      </c>
      <c r="E13" s="46"/>
      <c r="F13" s="259">
        <f aca="true" t="shared" si="0" ref="F13:F25">ROUND(SUM(AH13:AK13)/12,0)</f>
        <v>1760</v>
      </c>
      <c r="G13" s="46"/>
      <c r="H13" s="54">
        <f>ROUND(+F13*$D13,0)</f>
        <v>3168</v>
      </c>
      <c r="I13" s="46"/>
      <c r="J13" s="259">
        <f>ROUND(SUM(AM13:AP13)/12,0)</f>
        <v>2191</v>
      </c>
      <c r="K13" s="46"/>
      <c r="L13" s="54">
        <f>ROUND(+J13*$D13,0)</f>
        <v>3944</v>
      </c>
      <c r="M13" s="46"/>
      <c r="N13" s="259">
        <f>ROUND(AR13/12,0)</f>
        <v>2</v>
      </c>
      <c r="O13" s="46"/>
      <c r="P13" s="54">
        <f>ROUND(+N13*$D13,0)</f>
        <v>4</v>
      </c>
      <c r="Q13" s="46"/>
      <c r="R13" s="259">
        <f>ROUND(AS13/12,0)</f>
        <v>167</v>
      </c>
      <c r="S13" s="46"/>
      <c r="T13" s="54">
        <f>ROUND(+R13*$D13,0)</f>
        <v>301</v>
      </c>
      <c r="U13" s="46"/>
      <c r="V13" s="259">
        <f>ROUND(AT13/12,0)</f>
        <v>0</v>
      </c>
      <c r="W13" s="46"/>
      <c r="X13" s="54">
        <f>ROUND(+V13*$D13,0)</f>
        <v>0</v>
      </c>
      <c r="Y13" s="46"/>
      <c r="Z13" s="260">
        <v>0</v>
      </c>
      <c r="AA13" s="46"/>
      <c r="AB13" s="54">
        <f>ROUND(+Z13*$D13,0)</f>
        <v>0</v>
      </c>
      <c r="AC13" s="46"/>
      <c r="AD13" s="328">
        <f>F13+J13+N13+R13+V13+Z13</f>
        <v>4120</v>
      </c>
      <c r="AE13" s="46"/>
      <c r="AF13" s="54">
        <f>H13+L13+P13+T13+X13+AB13</f>
        <v>7417</v>
      </c>
      <c r="AG13" s="42"/>
      <c r="AH13" s="126">
        <v>20876</v>
      </c>
      <c r="AI13" s="126">
        <v>156</v>
      </c>
      <c r="AJ13" s="126">
        <v>12</v>
      </c>
      <c r="AK13">
        <v>72</v>
      </c>
      <c r="AM13" s="126">
        <v>26123</v>
      </c>
      <c r="AN13" s="126">
        <v>36</v>
      </c>
      <c r="AO13" s="126">
        <v>0</v>
      </c>
      <c r="AP13">
        <v>132</v>
      </c>
      <c r="AR13" s="126">
        <v>24</v>
      </c>
      <c r="AS13" s="126">
        <v>2004</v>
      </c>
      <c r="AT13" s="126">
        <v>0</v>
      </c>
    </row>
    <row r="14" spans="1:46" ht="15">
      <c r="A14" s="258"/>
      <c r="B14" s="48"/>
      <c r="C14" s="46"/>
      <c r="D14" s="258"/>
      <c r="E14" s="46"/>
      <c r="F14" s="259"/>
      <c r="G14" s="46"/>
      <c r="H14" s="46"/>
      <c r="I14" s="46"/>
      <c r="J14" s="260"/>
      <c r="K14" s="46"/>
      <c r="L14" s="46"/>
      <c r="M14" s="46"/>
      <c r="N14" s="260"/>
      <c r="O14" s="46"/>
      <c r="P14" s="46"/>
      <c r="Q14" s="46"/>
      <c r="R14" s="260"/>
      <c r="S14" s="46"/>
      <c r="T14" s="46"/>
      <c r="U14" s="46"/>
      <c r="V14" s="260"/>
      <c r="W14" s="46"/>
      <c r="X14" s="46"/>
      <c r="Y14" s="46"/>
      <c r="Z14" s="260"/>
      <c r="AA14" s="46"/>
      <c r="AB14" s="46"/>
      <c r="AC14" s="46"/>
      <c r="AD14" s="327"/>
      <c r="AE14" s="46"/>
      <c r="AF14" s="46"/>
      <c r="AG14" s="42"/>
      <c r="AH14" s="126">
        <v>0</v>
      </c>
      <c r="AI14" s="126">
        <v>0</v>
      </c>
      <c r="AJ14" s="126">
        <v>0</v>
      </c>
      <c r="AM14" s="126">
        <v>0</v>
      </c>
      <c r="AN14" s="126">
        <v>0</v>
      </c>
      <c r="AO14" s="126">
        <v>0</v>
      </c>
      <c r="AR14" s="126">
        <v>0</v>
      </c>
      <c r="AS14" s="126">
        <v>0</v>
      </c>
      <c r="AT14" s="126">
        <v>0</v>
      </c>
    </row>
    <row r="15" spans="1:46" ht="15">
      <c r="A15" s="258"/>
      <c r="B15" s="48" t="s">
        <v>6</v>
      </c>
      <c r="C15" s="46"/>
      <c r="D15" s="258">
        <v>5.4</v>
      </c>
      <c r="E15" s="46"/>
      <c r="F15" s="259">
        <f t="shared" si="0"/>
        <v>16</v>
      </c>
      <c r="G15" s="46"/>
      <c r="H15" s="54">
        <f>ROUND(+F15*$D15,0)</f>
        <v>86</v>
      </c>
      <c r="I15" s="46"/>
      <c r="J15" s="259">
        <f>ROUND(SUM(AM15:AP15)/12,0)</f>
        <v>168</v>
      </c>
      <c r="K15" s="46"/>
      <c r="L15" s="54">
        <f>ROUND(+J15*$D15,0)</f>
        <v>907</v>
      </c>
      <c r="M15" s="46"/>
      <c r="N15" s="259">
        <f>ROUND(AR15/12,0)</f>
        <v>1</v>
      </c>
      <c r="O15" s="46"/>
      <c r="P15" s="54">
        <f>ROUND(+N15*$D15,0)</f>
        <v>5</v>
      </c>
      <c r="Q15" s="46"/>
      <c r="R15" s="259">
        <f>ROUND(AS15/12,0)</f>
        <v>26</v>
      </c>
      <c r="S15" s="46"/>
      <c r="T15" s="54">
        <f>ROUND(+R15*$D15,0)</f>
        <v>140</v>
      </c>
      <c r="U15" s="46"/>
      <c r="V15" s="259">
        <f>ROUND(AT15/12,0)</f>
        <v>3</v>
      </c>
      <c r="W15" s="46"/>
      <c r="X15" s="54">
        <f>ROUND(+V15*$D15,0)</f>
        <v>16</v>
      </c>
      <c r="Y15" s="46"/>
      <c r="Z15" s="260">
        <v>0</v>
      </c>
      <c r="AA15" s="46"/>
      <c r="AB15" s="54">
        <f>ROUND(+Z15*$D15,0)</f>
        <v>0</v>
      </c>
      <c r="AC15" s="46"/>
      <c r="AD15" s="328">
        <f>F15+J15+N15+R15+V15+Z15</f>
        <v>214</v>
      </c>
      <c r="AE15" s="46"/>
      <c r="AF15" s="54">
        <f>H15+L15+P15+T15+X15+AB15</f>
        <v>1154</v>
      </c>
      <c r="AG15" s="42"/>
      <c r="AH15" s="126">
        <v>192</v>
      </c>
      <c r="AI15" s="126">
        <v>0</v>
      </c>
      <c r="AJ15" s="126">
        <v>0</v>
      </c>
      <c r="AM15" s="126">
        <v>2016</v>
      </c>
      <c r="AN15" s="126">
        <v>0</v>
      </c>
      <c r="AO15" s="126">
        <v>0</v>
      </c>
      <c r="AR15" s="126">
        <v>12</v>
      </c>
      <c r="AS15" s="126">
        <v>312</v>
      </c>
      <c r="AT15" s="126">
        <v>36</v>
      </c>
    </row>
    <row r="16" spans="1:46" ht="15">
      <c r="A16" s="258"/>
      <c r="B16" s="48"/>
      <c r="C16" s="46"/>
      <c r="D16" s="258"/>
      <c r="E16" s="46"/>
      <c r="F16" s="259"/>
      <c r="G16" s="46"/>
      <c r="H16" s="46"/>
      <c r="I16" s="46"/>
      <c r="J16" s="260"/>
      <c r="K16" s="46"/>
      <c r="L16" s="46"/>
      <c r="M16" s="46"/>
      <c r="N16" s="260"/>
      <c r="O16" s="46"/>
      <c r="P16" s="46"/>
      <c r="Q16" s="46"/>
      <c r="R16" s="260"/>
      <c r="S16" s="46"/>
      <c r="T16" s="46"/>
      <c r="U16" s="46"/>
      <c r="V16" s="260"/>
      <c r="W16" s="46"/>
      <c r="X16" s="46"/>
      <c r="Y16" s="46"/>
      <c r="Z16" s="260"/>
      <c r="AA16" s="46"/>
      <c r="AB16" s="46"/>
      <c r="AC16" s="46"/>
      <c r="AD16" s="327"/>
      <c r="AE16" s="46"/>
      <c r="AF16" s="46"/>
      <c r="AG16" s="42"/>
      <c r="AH16" s="126">
        <v>0</v>
      </c>
      <c r="AI16" s="126">
        <v>0</v>
      </c>
      <c r="AJ16" s="126">
        <v>0</v>
      </c>
      <c r="AM16" s="126">
        <v>0</v>
      </c>
      <c r="AN16" s="126">
        <v>0</v>
      </c>
      <c r="AO16" s="126">
        <v>0</v>
      </c>
      <c r="AR16" s="126">
        <v>0</v>
      </c>
      <c r="AS16" s="126">
        <v>0</v>
      </c>
      <c r="AT16" s="126">
        <v>0</v>
      </c>
    </row>
    <row r="17" spans="1:46" ht="15">
      <c r="A17" s="258"/>
      <c r="B17" s="48" t="s">
        <v>7</v>
      </c>
      <c r="C17" s="46"/>
      <c r="D17" s="258">
        <v>8.9</v>
      </c>
      <c r="E17" s="46"/>
      <c r="F17" s="259">
        <f t="shared" si="0"/>
        <v>107</v>
      </c>
      <c r="G17" s="46"/>
      <c r="H17" s="54">
        <f>ROUND(+F17*$D17,0)</f>
        <v>952</v>
      </c>
      <c r="I17" s="46"/>
      <c r="J17" s="259">
        <f>ROUND(SUM(AM17:AP17)/12,0)</f>
        <v>1660</v>
      </c>
      <c r="K17" s="46"/>
      <c r="L17" s="54">
        <f>ROUND(+J17*$D17,0)</f>
        <v>14774</v>
      </c>
      <c r="M17" s="46"/>
      <c r="N17" s="259">
        <f>ROUND(AR17/12,0)</f>
        <v>24</v>
      </c>
      <c r="O17" s="46"/>
      <c r="P17" s="54">
        <f>ROUND(+N17*$D17,0)</f>
        <v>214</v>
      </c>
      <c r="Q17" s="46"/>
      <c r="R17" s="259">
        <f>ROUND(AS17/12,0)</f>
        <v>335</v>
      </c>
      <c r="S17" s="46"/>
      <c r="T17" s="54">
        <f>ROUND(+R17*$D17,0)</f>
        <v>2982</v>
      </c>
      <c r="U17" s="46"/>
      <c r="V17" s="259">
        <f>ROUND(AT17/12,0)</f>
        <v>7</v>
      </c>
      <c r="W17" s="46"/>
      <c r="X17" s="54">
        <f>ROUND(+V17*$D17,0)</f>
        <v>62</v>
      </c>
      <c r="Y17" s="46"/>
      <c r="Z17" s="260">
        <v>0</v>
      </c>
      <c r="AA17" s="46"/>
      <c r="AB17" s="54">
        <f>ROUND(+Z17*$D17,0)</f>
        <v>0</v>
      </c>
      <c r="AC17" s="46"/>
      <c r="AD17" s="328">
        <f>F17+J17+N17+R17+V17+Z17</f>
        <v>2133</v>
      </c>
      <c r="AE17" s="46"/>
      <c r="AF17" s="54">
        <f>H17+L17+P17+T17+X17+AB17</f>
        <v>18984</v>
      </c>
      <c r="AG17" s="42"/>
      <c r="AH17" s="126">
        <v>1236</v>
      </c>
      <c r="AI17" s="126">
        <v>48</v>
      </c>
      <c r="AJ17" s="126">
        <v>0</v>
      </c>
      <c r="AM17" s="126">
        <v>19848</v>
      </c>
      <c r="AN17" s="126">
        <v>60</v>
      </c>
      <c r="AO17" s="126">
        <v>0</v>
      </c>
      <c r="AP17">
        <v>12</v>
      </c>
      <c r="AR17" s="126">
        <v>288</v>
      </c>
      <c r="AS17" s="126">
        <v>4020</v>
      </c>
      <c r="AT17" s="126">
        <v>84</v>
      </c>
    </row>
    <row r="18" spans="1:46" ht="15">
      <c r="A18" s="258"/>
      <c r="B18" s="48"/>
      <c r="C18" s="46"/>
      <c r="D18" s="258"/>
      <c r="E18" s="46"/>
      <c r="F18" s="259"/>
      <c r="G18" s="46"/>
      <c r="H18" s="46"/>
      <c r="I18" s="46"/>
      <c r="J18" s="260"/>
      <c r="K18" s="46"/>
      <c r="L18" s="46"/>
      <c r="M18" s="46"/>
      <c r="N18" s="260"/>
      <c r="O18" s="46"/>
      <c r="P18" s="46"/>
      <c r="Q18" s="46"/>
      <c r="R18" s="260"/>
      <c r="S18" s="46"/>
      <c r="T18" s="46"/>
      <c r="U18" s="46"/>
      <c r="V18" s="260"/>
      <c r="W18" s="46"/>
      <c r="X18" s="46"/>
      <c r="Y18" s="46"/>
      <c r="Z18" s="260"/>
      <c r="AA18" s="46"/>
      <c r="AB18" s="46"/>
      <c r="AC18" s="46"/>
      <c r="AD18" s="327"/>
      <c r="AE18" s="46"/>
      <c r="AF18" s="46"/>
      <c r="AG18" s="42"/>
      <c r="AH18" s="126">
        <v>0</v>
      </c>
      <c r="AI18" s="126">
        <v>0</v>
      </c>
      <c r="AJ18" s="126">
        <v>0</v>
      </c>
      <c r="AM18" s="126">
        <v>0</v>
      </c>
      <c r="AN18" s="126">
        <v>0</v>
      </c>
      <c r="AO18" s="126">
        <v>0</v>
      </c>
      <c r="AR18" s="126">
        <v>0</v>
      </c>
      <c r="AS18" s="126">
        <v>0</v>
      </c>
      <c r="AT18" s="126">
        <v>0</v>
      </c>
    </row>
    <row r="19" spans="1:46" ht="15">
      <c r="A19" s="258"/>
      <c r="B19" s="48" t="s">
        <v>8</v>
      </c>
      <c r="C19" s="46"/>
      <c r="D19" s="258">
        <v>14</v>
      </c>
      <c r="E19" s="46"/>
      <c r="F19" s="259">
        <f t="shared" si="0"/>
        <v>0</v>
      </c>
      <c r="G19" s="46"/>
      <c r="H19" s="54">
        <f>ROUND(+F19*$D19,0)</f>
        <v>0</v>
      </c>
      <c r="I19" s="46"/>
      <c r="J19" s="259">
        <f>ROUND(SUM(AM19:AP19)/12,0)</f>
        <v>5</v>
      </c>
      <c r="K19" s="46"/>
      <c r="L19" s="54">
        <f>ROUND(+J19*$D19,0)</f>
        <v>70</v>
      </c>
      <c r="M19" s="46"/>
      <c r="N19" s="259">
        <f>ROUND(AR19/12,0)</f>
        <v>0</v>
      </c>
      <c r="O19" s="46"/>
      <c r="P19" s="54">
        <f>ROUND(+N19*$D19,0)</f>
        <v>0</v>
      </c>
      <c r="Q19" s="46"/>
      <c r="R19" s="259">
        <f>ROUND(AS19/12,0)</f>
        <v>0</v>
      </c>
      <c r="S19" s="46"/>
      <c r="T19" s="54">
        <f>ROUND(+R19*$D19,0)</f>
        <v>0</v>
      </c>
      <c r="U19" s="46"/>
      <c r="V19" s="259">
        <f>ROUND(AT19/12,0)</f>
        <v>0</v>
      </c>
      <c r="W19" s="46"/>
      <c r="X19" s="54">
        <f>ROUND(+V19*$D19,0)</f>
        <v>0</v>
      </c>
      <c r="Y19" s="46"/>
      <c r="Z19" s="260">
        <v>0</v>
      </c>
      <c r="AA19" s="46"/>
      <c r="AB19" s="54">
        <f>ROUND(+Z19*$D19,0)</f>
        <v>0</v>
      </c>
      <c r="AC19" s="46"/>
      <c r="AD19" s="328">
        <f>F19+J19+N19+R19+V19+Z19</f>
        <v>5</v>
      </c>
      <c r="AE19" s="46"/>
      <c r="AF19" s="54">
        <f>H19+L19+P19+T19+X19+AB19</f>
        <v>70</v>
      </c>
      <c r="AG19" s="42"/>
      <c r="AH19" s="126">
        <v>0</v>
      </c>
      <c r="AI19" s="126">
        <v>0</v>
      </c>
      <c r="AJ19" s="126">
        <v>0</v>
      </c>
      <c r="AM19" s="126">
        <v>60</v>
      </c>
      <c r="AN19" s="126">
        <v>0</v>
      </c>
      <c r="AO19" s="126">
        <v>0</v>
      </c>
      <c r="AR19" s="126">
        <v>0</v>
      </c>
      <c r="AS19" s="126">
        <v>0</v>
      </c>
      <c r="AT19" s="126">
        <v>0</v>
      </c>
    </row>
    <row r="20" spans="1:46" ht="15">
      <c r="A20" s="258"/>
      <c r="B20" s="48"/>
      <c r="C20" s="46"/>
      <c r="D20" s="258"/>
      <c r="E20" s="46"/>
      <c r="F20" s="259"/>
      <c r="G20" s="46"/>
      <c r="H20" s="46"/>
      <c r="I20" s="46"/>
      <c r="J20" s="260"/>
      <c r="K20" s="46"/>
      <c r="L20" s="46"/>
      <c r="M20" s="46"/>
      <c r="N20" s="260"/>
      <c r="O20" s="46"/>
      <c r="P20" s="46"/>
      <c r="Q20" s="46"/>
      <c r="R20" s="260"/>
      <c r="S20" s="46"/>
      <c r="T20" s="46"/>
      <c r="U20" s="46"/>
      <c r="V20" s="260"/>
      <c r="W20" s="46"/>
      <c r="X20" s="46"/>
      <c r="Y20" s="46"/>
      <c r="Z20" s="260"/>
      <c r="AA20" s="46"/>
      <c r="AB20" s="46"/>
      <c r="AC20" s="46"/>
      <c r="AD20" s="327"/>
      <c r="AE20" s="46"/>
      <c r="AF20" s="46"/>
      <c r="AG20" s="42"/>
      <c r="AH20" s="126">
        <v>0</v>
      </c>
      <c r="AI20" s="126">
        <v>0</v>
      </c>
      <c r="AJ20" s="126">
        <v>0</v>
      </c>
      <c r="AM20" s="126">
        <v>0</v>
      </c>
      <c r="AN20" s="126">
        <v>0</v>
      </c>
      <c r="AO20" s="126">
        <v>0</v>
      </c>
      <c r="AR20" s="126">
        <v>0</v>
      </c>
      <c r="AS20" s="126">
        <v>0</v>
      </c>
      <c r="AT20" s="126">
        <v>0</v>
      </c>
    </row>
    <row r="21" spans="1:46" ht="15">
      <c r="A21" s="258"/>
      <c r="B21" s="48" t="s">
        <v>9</v>
      </c>
      <c r="C21" s="46"/>
      <c r="D21" s="258">
        <v>27</v>
      </c>
      <c r="E21" s="46"/>
      <c r="F21" s="259">
        <f t="shared" si="0"/>
        <v>0</v>
      </c>
      <c r="G21" s="46"/>
      <c r="H21" s="54">
        <f>ROUND(+F21*$D21,0)</f>
        <v>0</v>
      </c>
      <c r="I21" s="46"/>
      <c r="J21" s="259">
        <f>ROUND(SUM(AM21:AP21)/12,0)</f>
        <v>27</v>
      </c>
      <c r="K21" s="46"/>
      <c r="L21" s="54">
        <f>ROUND(+J21*$D21,0)</f>
        <v>729</v>
      </c>
      <c r="M21" s="46"/>
      <c r="N21" s="259">
        <f>ROUND(AR21/12,0)</f>
        <v>12</v>
      </c>
      <c r="O21" s="46"/>
      <c r="P21" s="54">
        <f>ROUND(+N21*$D21,0)</f>
        <v>324</v>
      </c>
      <c r="Q21" s="46"/>
      <c r="R21" s="259">
        <f>ROUND(AS21/12,0)</f>
        <v>39</v>
      </c>
      <c r="S21" s="46"/>
      <c r="T21" s="54">
        <f>ROUND(+R21*$D21,0)</f>
        <v>1053</v>
      </c>
      <c r="U21" s="46"/>
      <c r="V21" s="259">
        <f>ROUND(AT21/12,0)</f>
        <v>7</v>
      </c>
      <c r="W21" s="46"/>
      <c r="X21" s="54">
        <f>ROUND(+V21*$D21,0)</f>
        <v>189</v>
      </c>
      <c r="Y21" s="46"/>
      <c r="Z21" s="260">
        <v>0</v>
      </c>
      <c r="AA21" s="46"/>
      <c r="AB21" s="54">
        <f>ROUND(+Z21*$D21,0)</f>
        <v>0</v>
      </c>
      <c r="AC21" s="46"/>
      <c r="AD21" s="328">
        <f>F21+J21+N21+R21+V21+Z21</f>
        <v>85</v>
      </c>
      <c r="AE21" s="46"/>
      <c r="AF21" s="54">
        <f>H21+L21+P21+T21+X21+AB21</f>
        <v>2295</v>
      </c>
      <c r="AG21" s="42"/>
      <c r="AH21" s="126">
        <v>0</v>
      </c>
      <c r="AI21" s="126">
        <v>0</v>
      </c>
      <c r="AJ21" s="126">
        <v>0</v>
      </c>
      <c r="AM21" s="126">
        <v>324</v>
      </c>
      <c r="AN21" s="126">
        <v>0</v>
      </c>
      <c r="AO21" s="126">
        <v>0</v>
      </c>
      <c r="AR21" s="126">
        <v>144</v>
      </c>
      <c r="AS21" s="126">
        <v>468</v>
      </c>
      <c r="AT21" s="126">
        <v>84</v>
      </c>
    </row>
    <row r="22" spans="1:46" ht="15">
      <c r="A22" s="258"/>
      <c r="B22" s="48"/>
      <c r="C22" s="46"/>
      <c r="D22" s="258"/>
      <c r="E22" s="46"/>
      <c r="F22" s="259"/>
      <c r="G22" s="46"/>
      <c r="H22" s="46"/>
      <c r="I22" s="46"/>
      <c r="J22" s="260"/>
      <c r="K22" s="46"/>
      <c r="L22" s="46"/>
      <c r="M22" s="46"/>
      <c r="N22" s="260"/>
      <c r="O22" s="46"/>
      <c r="P22" s="46"/>
      <c r="Q22" s="46"/>
      <c r="R22" s="260"/>
      <c r="S22" s="46"/>
      <c r="T22" s="46"/>
      <c r="U22" s="46"/>
      <c r="V22" s="260"/>
      <c r="W22" s="46"/>
      <c r="X22" s="46"/>
      <c r="Y22" s="46"/>
      <c r="Z22" s="260"/>
      <c r="AA22" s="46"/>
      <c r="AB22" s="46"/>
      <c r="AC22" s="46"/>
      <c r="AD22" s="327"/>
      <c r="AE22" s="46"/>
      <c r="AF22" s="46"/>
      <c r="AG22" s="42"/>
      <c r="AH22" s="126">
        <v>0</v>
      </c>
      <c r="AI22" s="126">
        <v>0</v>
      </c>
      <c r="AJ22" s="126">
        <v>0</v>
      </c>
      <c r="AM22" s="126">
        <v>0</v>
      </c>
      <c r="AN22" s="126">
        <v>0</v>
      </c>
      <c r="AO22" s="126">
        <v>0</v>
      </c>
      <c r="AR22" s="126">
        <v>0</v>
      </c>
      <c r="AS22" s="126">
        <v>0</v>
      </c>
      <c r="AT22" s="126">
        <v>0</v>
      </c>
    </row>
    <row r="23" spans="1:46" ht="15">
      <c r="A23" s="258"/>
      <c r="B23" s="48" t="s">
        <v>10</v>
      </c>
      <c r="C23" s="46"/>
      <c r="D23" s="258">
        <v>40</v>
      </c>
      <c r="E23" s="46"/>
      <c r="F23" s="259">
        <f t="shared" si="0"/>
        <v>2</v>
      </c>
      <c r="G23" s="46"/>
      <c r="H23" s="54">
        <f>ROUND(+F23*$D23,0)</f>
        <v>80</v>
      </c>
      <c r="I23" s="46"/>
      <c r="J23" s="259">
        <f>ROUND(SUM(AM23:AP23)/12,0)</f>
        <v>10</v>
      </c>
      <c r="K23" s="46"/>
      <c r="L23" s="54">
        <f>ROUND(+J23*$D23,0)</f>
        <v>400</v>
      </c>
      <c r="M23" s="46"/>
      <c r="N23" s="259">
        <f>ROUND(AR23/12,0)</f>
        <v>3</v>
      </c>
      <c r="O23" s="46"/>
      <c r="P23" s="54">
        <f>ROUND(+N23*$D23,0)</f>
        <v>120</v>
      </c>
      <c r="Q23" s="46"/>
      <c r="R23" s="259">
        <f>ROUND(AS23/12,0)</f>
        <v>9</v>
      </c>
      <c r="S23" s="46"/>
      <c r="T23" s="54">
        <f>ROUND(+R23*$D23,0)</f>
        <v>360</v>
      </c>
      <c r="U23" s="46"/>
      <c r="V23" s="259">
        <f>ROUND(AT23/12,0)</f>
        <v>4</v>
      </c>
      <c r="W23" s="46"/>
      <c r="X23" s="54">
        <f>ROUND(+V23*$D23,0)</f>
        <v>160</v>
      </c>
      <c r="Y23" s="46"/>
      <c r="Z23" s="260">
        <v>0</v>
      </c>
      <c r="AA23" s="46"/>
      <c r="AB23" s="54">
        <f>ROUND(+Z23*$D23,0)</f>
        <v>0</v>
      </c>
      <c r="AC23" s="46"/>
      <c r="AD23" s="328">
        <f>F23+J23+N23+R23+V23+Z23</f>
        <v>28</v>
      </c>
      <c r="AE23" s="46"/>
      <c r="AF23" s="54">
        <f>H23+L23+P23+T23+X23+AB23</f>
        <v>1120</v>
      </c>
      <c r="AG23" s="42"/>
      <c r="AH23" s="126">
        <v>24</v>
      </c>
      <c r="AI23" s="126">
        <v>0</v>
      </c>
      <c r="AJ23" s="126">
        <v>0</v>
      </c>
      <c r="AM23" s="126">
        <v>72</v>
      </c>
      <c r="AN23" s="126">
        <v>0</v>
      </c>
      <c r="AO23" s="126">
        <v>0</v>
      </c>
      <c r="AP23">
        <v>48</v>
      </c>
      <c r="AR23" s="126">
        <v>36</v>
      </c>
      <c r="AS23" s="126">
        <v>108</v>
      </c>
      <c r="AT23" s="126">
        <v>48</v>
      </c>
    </row>
    <row r="24" spans="1:46" ht="15">
      <c r="A24" s="258"/>
      <c r="B24" s="48"/>
      <c r="C24" s="46"/>
      <c r="D24" s="258"/>
      <c r="E24" s="46"/>
      <c r="F24" s="259"/>
      <c r="G24" s="46"/>
      <c r="H24" s="46"/>
      <c r="I24" s="46"/>
      <c r="J24" s="260"/>
      <c r="K24" s="46"/>
      <c r="L24" s="46"/>
      <c r="M24" s="46"/>
      <c r="N24" s="260"/>
      <c r="O24" s="46"/>
      <c r="P24" s="46"/>
      <c r="Q24" s="46"/>
      <c r="R24" s="260"/>
      <c r="S24" s="46"/>
      <c r="T24" s="46"/>
      <c r="U24" s="46"/>
      <c r="V24" s="260"/>
      <c r="W24" s="46"/>
      <c r="X24" s="46"/>
      <c r="Y24" s="46"/>
      <c r="Z24" s="260"/>
      <c r="AA24" s="46"/>
      <c r="AB24" s="46"/>
      <c r="AC24" s="46"/>
      <c r="AD24" s="327"/>
      <c r="AE24" s="46"/>
      <c r="AF24" s="46"/>
      <c r="AG24" s="42"/>
      <c r="AH24" s="126">
        <v>0</v>
      </c>
      <c r="AI24" s="126">
        <v>0</v>
      </c>
      <c r="AJ24" s="126">
        <v>0</v>
      </c>
      <c r="AM24" s="126">
        <v>0</v>
      </c>
      <c r="AN24" s="126">
        <v>0</v>
      </c>
      <c r="AO24" s="126">
        <v>0</v>
      </c>
      <c r="AR24" s="126">
        <v>0</v>
      </c>
      <c r="AS24" s="126">
        <v>0</v>
      </c>
      <c r="AT24" s="126">
        <v>0</v>
      </c>
    </row>
    <row r="25" spans="1:46" ht="15">
      <c r="A25" s="258"/>
      <c r="B25" s="48" t="s">
        <v>11</v>
      </c>
      <c r="C25" s="46"/>
      <c r="D25" s="258">
        <v>50</v>
      </c>
      <c r="E25" s="46"/>
      <c r="F25" s="259">
        <f t="shared" si="0"/>
        <v>0</v>
      </c>
      <c r="G25" s="46"/>
      <c r="H25" s="54">
        <f>ROUND(+F25*$D25,0)</f>
        <v>0</v>
      </c>
      <c r="I25" s="46"/>
      <c r="J25" s="259">
        <f>ROUND(SUM(AM25:AP25)/12,0)</f>
        <v>7</v>
      </c>
      <c r="K25" s="46"/>
      <c r="L25" s="54">
        <f>ROUND(+J25*$D25,0)</f>
        <v>350</v>
      </c>
      <c r="M25" s="46"/>
      <c r="N25" s="259">
        <f>ROUND(AR25/12,0)</f>
        <v>0</v>
      </c>
      <c r="O25" s="46"/>
      <c r="P25" s="54">
        <f>ROUND(+N25*$D25,0)</f>
        <v>0</v>
      </c>
      <c r="Q25" s="46"/>
      <c r="R25" s="259">
        <f>ROUND(AS25/12,0)</f>
        <v>2</v>
      </c>
      <c r="S25" s="46"/>
      <c r="T25" s="54">
        <f>ROUND(+R25*$D25,0)</f>
        <v>100</v>
      </c>
      <c r="U25" s="46"/>
      <c r="V25" s="259">
        <f>ROUND(AT25/12,0)</f>
        <v>0</v>
      </c>
      <c r="W25" s="46"/>
      <c r="X25" s="54">
        <f>ROUND(+V25*$D25,0)</f>
        <v>0</v>
      </c>
      <c r="Y25" s="46"/>
      <c r="Z25" s="260">
        <v>0</v>
      </c>
      <c r="AA25" s="46"/>
      <c r="AB25" s="54">
        <f>ROUND(+Z25*$D25,0)</f>
        <v>0</v>
      </c>
      <c r="AC25" s="46"/>
      <c r="AD25" s="328">
        <f>F25+J25+N25+R25+V25+Z25</f>
        <v>9</v>
      </c>
      <c r="AE25" s="46"/>
      <c r="AF25" s="54">
        <f>H25+L25+P25+T25+X25+AB25</f>
        <v>450</v>
      </c>
      <c r="AG25" s="42"/>
      <c r="AH25" s="126">
        <v>0</v>
      </c>
      <c r="AI25" s="126">
        <v>0</v>
      </c>
      <c r="AJ25" s="126">
        <v>0</v>
      </c>
      <c r="AM25" s="126">
        <v>84</v>
      </c>
      <c r="AN25" s="126">
        <v>0</v>
      </c>
      <c r="AO25" s="126">
        <v>0</v>
      </c>
      <c r="AR25" s="126">
        <v>0</v>
      </c>
      <c r="AS25" s="126">
        <v>24</v>
      </c>
      <c r="AT25" s="126">
        <v>0</v>
      </c>
    </row>
    <row r="26" spans="1:33" ht="15">
      <c r="A26" s="47"/>
      <c r="B26" s="46"/>
      <c r="C26" s="46"/>
      <c r="D26" s="47"/>
      <c r="E26" s="46"/>
      <c r="F26" s="55"/>
      <c r="G26" s="46"/>
      <c r="H26" s="55"/>
      <c r="I26" s="46"/>
      <c r="J26" s="55"/>
      <c r="K26" s="46"/>
      <c r="L26" s="55"/>
      <c r="M26" s="46"/>
      <c r="N26" s="55"/>
      <c r="O26" s="46"/>
      <c r="P26" s="55"/>
      <c r="Q26" s="46"/>
      <c r="R26" s="55"/>
      <c r="S26" s="46"/>
      <c r="T26" s="55"/>
      <c r="U26" s="46"/>
      <c r="V26" s="55"/>
      <c r="W26" s="46"/>
      <c r="X26" s="55"/>
      <c r="Y26" s="46"/>
      <c r="Z26" s="55"/>
      <c r="AA26" s="46"/>
      <c r="AB26" s="55"/>
      <c r="AC26" s="46"/>
      <c r="AD26" s="55"/>
      <c r="AE26" s="46"/>
      <c r="AF26" s="55"/>
      <c r="AG26" s="42"/>
    </row>
    <row r="27" spans="2:36" ht="15.75" thickBot="1">
      <c r="B27" s="46" t="s">
        <v>600</v>
      </c>
      <c r="C27" s="46"/>
      <c r="D27" s="47"/>
      <c r="E27" s="46"/>
      <c r="F27" s="54">
        <f>SUM(F11:F25)</f>
        <v>107795</v>
      </c>
      <c r="G27" s="46"/>
      <c r="H27" s="54">
        <f>SUM(H11:H25)</f>
        <v>110196</v>
      </c>
      <c r="I27" s="46"/>
      <c r="J27" s="54">
        <f>SUM(J11:J25)</f>
        <v>8926</v>
      </c>
      <c r="K27" s="46"/>
      <c r="L27" s="165">
        <f>SUM(L11:L25)</f>
        <v>26032</v>
      </c>
      <c r="M27" s="46"/>
      <c r="N27" s="54">
        <f>SUM(N11:N25)</f>
        <v>44</v>
      </c>
      <c r="O27" s="46"/>
      <c r="P27" s="54">
        <f>SUM(P11:P25)</f>
        <v>669</v>
      </c>
      <c r="Q27" s="46"/>
      <c r="R27" s="54">
        <f>SUM(R11:R25)</f>
        <v>719</v>
      </c>
      <c r="S27" s="46"/>
      <c r="T27" s="54">
        <f>SUM(T11:T25)</f>
        <v>5077</v>
      </c>
      <c r="U27" s="46"/>
      <c r="V27" s="54">
        <f>SUM(V11:V25)</f>
        <v>21</v>
      </c>
      <c r="W27" s="46"/>
      <c r="X27" s="54">
        <f>SUM(X11:X25)</f>
        <v>427</v>
      </c>
      <c r="Y27" s="46"/>
      <c r="Z27" s="54">
        <f>SUM(Z11:Z25)</f>
        <v>1419</v>
      </c>
      <c r="AA27" s="46"/>
      <c r="AB27" s="54">
        <f>SUM(AB11:AB25)</f>
        <v>1419</v>
      </c>
      <c r="AC27" s="46"/>
      <c r="AD27" s="54">
        <f>SUM(AD11:AD25)</f>
        <v>118924</v>
      </c>
      <c r="AE27" s="46"/>
      <c r="AF27" s="54">
        <f>SUM(AF11:AF25)</f>
        <v>143820</v>
      </c>
      <c r="AG27" s="42"/>
      <c r="AH27" s="54">
        <f>SUM(AH11:AH23)</f>
        <v>1251728</v>
      </c>
      <c r="AI27" s="54">
        <f>SUM(AI11:AI23)</f>
        <v>26439</v>
      </c>
      <c r="AJ27" s="54">
        <f>SUM(AJ11:AJ23)</f>
        <v>3624</v>
      </c>
    </row>
    <row r="28" spans="2:33" ht="15.75" thickTop="1">
      <c r="B28" s="46"/>
      <c r="C28" s="46"/>
      <c r="D28" s="47"/>
      <c r="E28" s="46"/>
      <c r="F28" s="56"/>
      <c r="G28" s="46"/>
      <c r="H28" s="56"/>
      <c r="I28" s="46"/>
      <c r="J28" s="56"/>
      <c r="K28" s="46"/>
      <c r="L28" s="164"/>
      <c r="M28" s="46"/>
      <c r="N28" s="56"/>
      <c r="O28" s="46"/>
      <c r="P28" s="56"/>
      <c r="Q28" s="46"/>
      <c r="R28" s="56"/>
      <c r="S28" s="46"/>
      <c r="T28" s="56"/>
      <c r="U28" s="46"/>
      <c r="V28" s="56"/>
      <c r="W28" s="46"/>
      <c r="X28" s="56"/>
      <c r="Y28" s="46"/>
      <c r="Z28" s="56"/>
      <c r="AA28" s="46"/>
      <c r="AB28" s="56"/>
      <c r="AC28" s="46"/>
      <c r="AD28" s="56"/>
      <c r="AE28" s="46"/>
      <c r="AF28" s="56"/>
      <c r="AG28" s="42"/>
    </row>
    <row r="29" spans="2:33" ht="15">
      <c r="B29" s="43" t="s">
        <v>514</v>
      </c>
      <c r="C29" s="44"/>
      <c r="D29" s="45"/>
      <c r="E29" s="44"/>
      <c r="F29" s="44"/>
      <c r="G29" s="44"/>
      <c r="H29" s="44"/>
      <c r="I29" s="44"/>
      <c r="J29" s="44"/>
      <c r="K29" s="44"/>
      <c r="L29" s="44"/>
      <c r="M29" s="44"/>
      <c r="N29" s="43"/>
      <c r="O29" s="44"/>
      <c r="P29" s="44"/>
      <c r="Q29" s="44"/>
      <c r="R29" s="44"/>
      <c r="S29" s="44"/>
      <c r="T29" s="44"/>
      <c r="U29" s="44"/>
      <c r="V29" s="44"/>
      <c r="W29" s="44"/>
      <c r="X29" s="44"/>
      <c r="Y29" s="44"/>
      <c r="Z29" s="44"/>
      <c r="AA29" s="44"/>
      <c r="AB29" s="44"/>
      <c r="AC29" s="44"/>
      <c r="AD29" s="44"/>
      <c r="AE29" s="44"/>
      <c r="AF29" s="44"/>
      <c r="AG29" s="42"/>
    </row>
    <row r="30" spans="2:33" ht="15">
      <c r="B30" s="43" t="s">
        <v>515</v>
      </c>
      <c r="C30" s="44"/>
      <c r="D30" s="45"/>
      <c r="E30" s="44"/>
      <c r="F30" s="44"/>
      <c r="G30" s="44"/>
      <c r="H30" s="44"/>
      <c r="I30" s="44"/>
      <c r="J30" s="44"/>
      <c r="K30" s="44"/>
      <c r="L30" s="44"/>
      <c r="M30" s="44"/>
      <c r="N30" s="43"/>
      <c r="O30" s="44"/>
      <c r="P30" s="44"/>
      <c r="Q30" s="44"/>
      <c r="R30" s="44"/>
      <c r="S30" s="44"/>
      <c r="T30" s="44"/>
      <c r="U30" s="44"/>
      <c r="V30" s="44"/>
      <c r="W30" s="44"/>
      <c r="X30" s="44"/>
      <c r="Y30" s="44"/>
      <c r="Z30" s="44"/>
      <c r="AA30" s="44"/>
      <c r="AB30" s="44"/>
      <c r="AC30" s="44"/>
      <c r="AD30" s="44"/>
      <c r="AE30" s="44"/>
      <c r="AF30" s="44"/>
      <c r="AG30" s="42"/>
    </row>
    <row r="31" spans="2:33" ht="15">
      <c r="B31" s="44" t="s">
        <v>598</v>
      </c>
      <c r="C31" s="44"/>
      <c r="D31" s="45"/>
      <c r="E31" s="44"/>
      <c r="F31" s="44"/>
      <c r="G31" s="44"/>
      <c r="H31" s="44"/>
      <c r="I31" s="44"/>
      <c r="J31" s="44"/>
      <c r="K31" s="44"/>
      <c r="L31" s="43"/>
      <c r="M31" s="44"/>
      <c r="N31" s="44"/>
      <c r="O31" s="44"/>
      <c r="P31" s="44"/>
      <c r="Q31" s="44"/>
      <c r="R31" s="44"/>
      <c r="S31" s="44"/>
      <c r="T31" s="44"/>
      <c r="U31" s="44"/>
      <c r="V31" s="44"/>
      <c r="W31" s="44"/>
      <c r="X31" s="44"/>
      <c r="Y31" s="44"/>
      <c r="Z31" s="44"/>
      <c r="AA31" s="44"/>
      <c r="AB31" s="44"/>
      <c r="AC31" s="44"/>
      <c r="AD31" s="44"/>
      <c r="AE31" s="44"/>
      <c r="AF31" s="44"/>
      <c r="AG31" s="42"/>
    </row>
    <row r="32" spans="2:33" ht="15">
      <c r="B32" s="46"/>
      <c r="C32" s="46"/>
      <c r="D32" s="47"/>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2"/>
    </row>
    <row r="33" spans="2:33" ht="15">
      <c r="B33" s="46"/>
      <c r="C33" s="46"/>
      <c r="D33" s="47"/>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2"/>
    </row>
    <row r="34" spans="2:33" ht="15">
      <c r="B34" s="48"/>
      <c r="C34" s="48"/>
      <c r="D34" s="49" t="s">
        <v>599</v>
      </c>
      <c r="E34" s="48"/>
      <c r="F34" s="44" t="s">
        <v>526</v>
      </c>
      <c r="G34" s="44"/>
      <c r="H34" s="44"/>
      <c r="I34" s="48"/>
      <c r="J34" s="44" t="s">
        <v>527</v>
      </c>
      <c r="K34" s="44"/>
      <c r="L34" s="44"/>
      <c r="M34" s="48"/>
      <c r="N34" s="44" t="s">
        <v>528</v>
      </c>
      <c r="O34" s="44"/>
      <c r="P34" s="44"/>
      <c r="Q34" s="48"/>
      <c r="R34" s="44" t="s">
        <v>529</v>
      </c>
      <c r="S34" s="44"/>
      <c r="T34" s="44"/>
      <c r="U34" s="48"/>
      <c r="V34" s="44" t="s">
        <v>307</v>
      </c>
      <c r="W34" s="44"/>
      <c r="X34" s="44"/>
      <c r="Y34" s="48"/>
      <c r="Z34" s="44" t="s">
        <v>530</v>
      </c>
      <c r="AA34" s="44"/>
      <c r="AB34" s="44"/>
      <c r="AC34" s="48"/>
      <c r="AD34" s="44" t="s">
        <v>600</v>
      </c>
      <c r="AE34" s="44"/>
      <c r="AF34" s="44"/>
      <c r="AG34" s="42"/>
    </row>
    <row r="35" spans="2:33" ht="15">
      <c r="B35" s="48" t="s">
        <v>601</v>
      </c>
      <c r="C35" s="48"/>
      <c r="D35" s="49" t="s">
        <v>602</v>
      </c>
      <c r="E35" s="48"/>
      <c r="F35" s="265" t="s">
        <v>589</v>
      </c>
      <c r="G35" s="50"/>
      <c r="H35" s="50"/>
      <c r="I35" s="48"/>
      <c r="J35" s="265" t="s">
        <v>589</v>
      </c>
      <c r="K35" s="50"/>
      <c r="L35" s="50"/>
      <c r="M35" s="48"/>
      <c r="N35" s="265" t="s">
        <v>589</v>
      </c>
      <c r="O35" s="50"/>
      <c r="P35" s="50"/>
      <c r="Q35" s="48"/>
      <c r="R35" s="265" t="s">
        <v>589</v>
      </c>
      <c r="S35" s="50"/>
      <c r="T35" s="50"/>
      <c r="U35" s="48"/>
      <c r="V35" s="265" t="s">
        <v>589</v>
      </c>
      <c r="W35" s="50"/>
      <c r="X35" s="50"/>
      <c r="Y35" s="48"/>
      <c r="Z35" s="265" t="s">
        <v>589</v>
      </c>
      <c r="AA35" s="50"/>
      <c r="AB35" s="50"/>
      <c r="AC35" s="48"/>
      <c r="AD35" s="324" t="s">
        <v>589</v>
      </c>
      <c r="AE35" s="50"/>
      <c r="AF35" s="50"/>
      <c r="AG35" s="42"/>
    </row>
    <row r="36" spans="2:33" ht="15">
      <c r="B36" s="48" t="s">
        <v>603</v>
      </c>
      <c r="C36" s="48"/>
      <c r="D36" s="49" t="s">
        <v>604</v>
      </c>
      <c r="E36" s="48"/>
      <c r="F36" s="266" t="s">
        <v>605</v>
      </c>
      <c r="G36" s="48"/>
      <c r="H36" s="48" t="s">
        <v>606</v>
      </c>
      <c r="I36" s="48"/>
      <c r="J36" s="266" t="s">
        <v>605</v>
      </c>
      <c r="K36" s="48"/>
      <c r="L36" s="48" t="s">
        <v>606</v>
      </c>
      <c r="M36" s="48"/>
      <c r="N36" s="266" t="s">
        <v>605</v>
      </c>
      <c r="O36" s="48"/>
      <c r="P36" s="48" t="s">
        <v>606</v>
      </c>
      <c r="Q36" s="48"/>
      <c r="R36" s="266" t="s">
        <v>605</v>
      </c>
      <c r="S36" s="48"/>
      <c r="T36" s="48" t="s">
        <v>606</v>
      </c>
      <c r="U36" s="48"/>
      <c r="V36" s="266" t="s">
        <v>605</v>
      </c>
      <c r="W36" s="48"/>
      <c r="X36" s="48" t="s">
        <v>606</v>
      </c>
      <c r="Y36" s="48"/>
      <c r="Z36" s="266" t="s">
        <v>605</v>
      </c>
      <c r="AA36" s="48"/>
      <c r="AB36" s="48" t="s">
        <v>606</v>
      </c>
      <c r="AC36" s="48"/>
      <c r="AD36" s="325" t="s">
        <v>605</v>
      </c>
      <c r="AE36" s="48"/>
      <c r="AF36" s="48" t="s">
        <v>606</v>
      </c>
      <c r="AG36" s="42"/>
    </row>
    <row r="37" spans="2:33" ht="15">
      <c r="B37" s="99">
        <v>-1</v>
      </c>
      <c r="C37" s="100"/>
      <c r="D37" s="101">
        <v>-2</v>
      </c>
      <c r="E37" s="100"/>
      <c r="F37" s="267">
        <v>-3</v>
      </c>
      <c r="G37" s="100"/>
      <c r="H37" s="99" t="s">
        <v>607</v>
      </c>
      <c r="I37" s="100"/>
      <c r="J37" s="267">
        <v>-5</v>
      </c>
      <c r="K37" s="100"/>
      <c r="L37" s="99" t="s">
        <v>608</v>
      </c>
      <c r="M37" s="100"/>
      <c r="N37" s="267">
        <v>-7</v>
      </c>
      <c r="O37" s="100"/>
      <c r="P37" s="99" t="s">
        <v>609</v>
      </c>
      <c r="Q37" s="100"/>
      <c r="R37" s="267">
        <v>-9</v>
      </c>
      <c r="S37" s="100"/>
      <c r="T37" s="99" t="s">
        <v>610</v>
      </c>
      <c r="U37" s="100"/>
      <c r="V37" s="267">
        <v>-11</v>
      </c>
      <c r="W37" s="100"/>
      <c r="X37" s="99" t="s">
        <v>611</v>
      </c>
      <c r="Y37" s="100"/>
      <c r="Z37" s="267">
        <v>-13</v>
      </c>
      <c r="AA37" s="100"/>
      <c r="AB37" s="99" t="s">
        <v>612</v>
      </c>
      <c r="AC37" s="100"/>
      <c r="AD37" s="326">
        <v>-15</v>
      </c>
      <c r="AE37" s="100"/>
      <c r="AF37" s="99">
        <v>-16</v>
      </c>
      <c r="AG37" s="42"/>
    </row>
    <row r="38" spans="2:33" ht="15">
      <c r="B38" s="46"/>
      <c r="C38" s="46"/>
      <c r="D38" s="47"/>
      <c r="E38" s="46"/>
      <c r="F38" s="268"/>
      <c r="G38" s="46"/>
      <c r="H38" s="46"/>
      <c r="I38" s="46"/>
      <c r="J38" s="268"/>
      <c r="K38" s="46"/>
      <c r="L38" s="46"/>
      <c r="M38" s="46"/>
      <c r="N38" s="268"/>
      <c r="O38" s="46"/>
      <c r="P38" s="46"/>
      <c r="Q38" s="46"/>
      <c r="R38" s="268"/>
      <c r="S38" s="46"/>
      <c r="T38" s="46"/>
      <c r="U38" s="46"/>
      <c r="V38" s="268"/>
      <c r="W38" s="46"/>
      <c r="X38" s="46"/>
      <c r="Y38" s="46"/>
      <c r="Z38" s="268"/>
      <c r="AA38" s="46"/>
      <c r="AB38" s="46"/>
      <c r="AC38" s="46"/>
      <c r="AD38" s="327"/>
      <c r="AE38" s="46"/>
      <c r="AF38" s="46"/>
      <c r="AG38" s="42"/>
    </row>
    <row r="39" spans="1:33" ht="15">
      <c r="A39" s="264"/>
      <c r="B39" s="46" t="s">
        <v>613</v>
      </c>
      <c r="C39" s="46"/>
      <c r="D39" s="264">
        <v>1</v>
      </c>
      <c r="E39" s="46"/>
      <c r="F39" s="401">
        <f>F11-30000</f>
        <v>75910</v>
      </c>
      <c r="G39" s="46" t="s">
        <v>232</v>
      </c>
      <c r="H39" s="54">
        <f>ROUND(+F39*$D39,0)</f>
        <v>75910</v>
      </c>
      <c r="I39" s="46"/>
      <c r="J39" s="269">
        <f>J11</f>
        <v>4858</v>
      </c>
      <c r="K39" s="46"/>
      <c r="L39" s="54">
        <f>ROUND(+J39*$D39,0)</f>
        <v>4858</v>
      </c>
      <c r="M39" s="46"/>
      <c r="N39" s="269">
        <f>N11</f>
        <v>2</v>
      </c>
      <c r="O39" s="46"/>
      <c r="P39" s="54">
        <f>ROUND(+N39*$D39,0)</f>
        <v>2</v>
      </c>
      <c r="Q39" s="46"/>
      <c r="R39" s="269">
        <f>R11</f>
        <v>141</v>
      </c>
      <c r="S39" s="46"/>
      <c r="T39" s="54">
        <f>ROUND(+R39*$D39,0)</f>
        <v>141</v>
      </c>
      <c r="U39" s="46"/>
      <c r="V39" s="269">
        <f>V11</f>
        <v>0</v>
      </c>
      <c r="W39" s="46"/>
      <c r="X39" s="54">
        <f>ROUND(+V39*$D39,0)</f>
        <v>0</v>
      </c>
      <c r="Y39" s="46"/>
      <c r="Z39" s="269">
        <v>0</v>
      </c>
      <c r="AA39" s="46"/>
      <c r="AB39" s="54">
        <f>ROUND(+Z39*$D39,0)</f>
        <v>0</v>
      </c>
      <c r="AC39" s="46"/>
      <c r="AD39" s="328">
        <f>F39+J39+N39+R39+V39+Z39</f>
        <v>80911</v>
      </c>
      <c r="AE39" s="46"/>
      <c r="AF39" s="54">
        <f>H39+L39+P39+T39+X39+AB39</f>
        <v>80911</v>
      </c>
      <c r="AG39" s="42"/>
    </row>
    <row r="40" spans="1:33" ht="10.5" customHeight="1">
      <c r="A40" s="264"/>
      <c r="B40" s="46"/>
      <c r="C40" s="46"/>
      <c r="D40" s="264"/>
      <c r="E40" s="46"/>
      <c r="F40" s="402"/>
      <c r="G40" s="46"/>
      <c r="H40" s="54"/>
      <c r="I40" s="46"/>
      <c r="J40" s="268"/>
      <c r="K40" s="46"/>
      <c r="L40" s="54"/>
      <c r="M40" s="46"/>
      <c r="N40" s="268"/>
      <c r="O40" s="46"/>
      <c r="P40" s="54"/>
      <c r="Q40" s="46"/>
      <c r="R40" s="268"/>
      <c r="S40" s="46"/>
      <c r="T40" s="54"/>
      <c r="U40" s="46"/>
      <c r="V40" s="268"/>
      <c r="W40" s="46"/>
      <c r="X40" s="54"/>
      <c r="Y40" s="46"/>
      <c r="Z40" s="260"/>
      <c r="AA40" s="46"/>
      <c r="AB40" s="54"/>
      <c r="AC40" s="46"/>
      <c r="AD40" s="327"/>
      <c r="AE40" s="46"/>
      <c r="AF40" s="46"/>
      <c r="AG40" s="42"/>
    </row>
    <row r="41" spans="1:33" ht="15">
      <c r="A41" s="264"/>
      <c r="B41" s="46" t="s">
        <v>614</v>
      </c>
      <c r="C41" s="46"/>
      <c r="D41" s="264">
        <v>1.2</v>
      </c>
      <c r="E41" s="46"/>
      <c r="F41" s="401">
        <f>F13+15000</f>
        <v>16760</v>
      </c>
      <c r="G41" s="46" t="s">
        <v>232</v>
      </c>
      <c r="H41" s="54">
        <f>ROUND(+F41*$D41,0)</f>
        <v>20112</v>
      </c>
      <c r="I41" s="46"/>
      <c r="J41" s="269">
        <f>J13</f>
        <v>2191</v>
      </c>
      <c r="K41" s="46"/>
      <c r="L41" s="54">
        <f>ROUND(+J41*$D41,0)</f>
        <v>2629</v>
      </c>
      <c r="M41" s="46"/>
      <c r="N41" s="269">
        <f>N13</f>
        <v>2</v>
      </c>
      <c r="O41" s="46"/>
      <c r="P41" s="54">
        <f>ROUND(+N41*$D41,0)</f>
        <v>2</v>
      </c>
      <c r="Q41" s="46"/>
      <c r="R41" s="269">
        <f>R13</f>
        <v>167</v>
      </c>
      <c r="S41" s="46"/>
      <c r="T41" s="54">
        <f>ROUND(+R41*$D41,0)</f>
        <v>200</v>
      </c>
      <c r="U41" s="46"/>
      <c r="V41" s="269">
        <f>V13</f>
        <v>0</v>
      </c>
      <c r="W41" s="46"/>
      <c r="X41" s="54">
        <f>ROUND(+V41*$D41,0)</f>
        <v>0</v>
      </c>
      <c r="Y41" s="46"/>
      <c r="Z41" s="259">
        <f>Z13</f>
        <v>0</v>
      </c>
      <c r="AA41" s="46"/>
      <c r="AB41" s="54">
        <f>ROUND(+Z41*$D41,0)</f>
        <v>0</v>
      </c>
      <c r="AC41" s="46"/>
      <c r="AD41" s="328">
        <f>F41+J41+N41+R41+V41+Z41</f>
        <v>19120</v>
      </c>
      <c r="AE41" s="46"/>
      <c r="AF41" s="54">
        <f>H41+L41+P41+T41+X41+AB41</f>
        <v>22943</v>
      </c>
      <c r="AG41" s="42"/>
    </row>
    <row r="42" spans="1:33" ht="10.5" customHeight="1">
      <c r="A42" s="264"/>
      <c r="B42" s="46"/>
      <c r="C42" s="46"/>
      <c r="D42" s="264"/>
      <c r="E42" s="46"/>
      <c r="F42" s="269"/>
      <c r="G42" s="46"/>
      <c r="H42" s="54"/>
      <c r="I42" s="46"/>
      <c r="J42" s="269"/>
      <c r="K42" s="46"/>
      <c r="L42" s="54"/>
      <c r="M42" s="46"/>
      <c r="N42" s="269"/>
      <c r="O42" s="46"/>
      <c r="P42" s="54"/>
      <c r="Q42" s="46"/>
      <c r="R42" s="269"/>
      <c r="S42" s="46"/>
      <c r="T42" s="54"/>
      <c r="U42" s="46"/>
      <c r="V42" s="269"/>
      <c r="W42" s="46"/>
      <c r="X42" s="54"/>
      <c r="Y42" s="46"/>
      <c r="Z42" s="259"/>
      <c r="AA42" s="46"/>
      <c r="AB42" s="54"/>
      <c r="AC42" s="46"/>
      <c r="AD42" s="328"/>
      <c r="AE42" s="46"/>
      <c r="AF42" s="46"/>
      <c r="AG42" s="42"/>
    </row>
    <row r="43" spans="1:33" ht="15">
      <c r="A43" s="264"/>
      <c r="B43" s="46" t="s">
        <v>615</v>
      </c>
      <c r="C43" s="46"/>
      <c r="D43" s="264">
        <v>1.3</v>
      </c>
      <c r="E43" s="46"/>
      <c r="F43" s="269">
        <f>F15</f>
        <v>16</v>
      </c>
      <c r="G43" s="46"/>
      <c r="H43" s="54">
        <f>ROUND(+F43*$D43,0)</f>
        <v>21</v>
      </c>
      <c r="I43" s="46"/>
      <c r="J43" s="269">
        <f>J15</f>
        <v>168</v>
      </c>
      <c r="K43" s="46"/>
      <c r="L43" s="54">
        <f>ROUND(+J43*$D43,0)</f>
        <v>218</v>
      </c>
      <c r="M43" s="46"/>
      <c r="N43" s="269">
        <f>N15</f>
        <v>1</v>
      </c>
      <c r="O43" s="46"/>
      <c r="P43" s="54">
        <f>ROUND(+N43*$D43,0)</f>
        <v>1</v>
      </c>
      <c r="Q43" s="46"/>
      <c r="R43" s="269">
        <f>R15</f>
        <v>26</v>
      </c>
      <c r="S43" s="46"/>
      <c r="T43" s="54">
        <f>ROUND(+R43*$D43,0)</f>
        <v>34</v>
      </c>
      <c r="U43" s="46"/>
      <c r="V43" s="269">
        <f>V15</f>
        <v>3</v>
      </c>
      <c r="W43" s="46"/>
      <c r="X43" s="54">
        <f>ROUND(+V43*$D43,0)</f>
        <v>4</v>
      </c>
      <c r="Y43" s="46"/>
      <c r="Z43" s="259">
        <f>Z15</f>
        <v>0</v>
      </c>
      <c r="AA43" s="46"/>
      <c r="AB43" s="54">
        <f>ROUND(+Z43*$D43,0)</f>
        <v>0</v>
      </c>
      <c r="AC43" s="46"/>
      <c r="AD43" s="328">
        <f>F43+J43+N43+R43+V43+Z43</f>
        <v>214</v>
      </c>
      <c r="AE43" s="46"/>
      <c r="AF43" s="54">
        <f>H43+L43+P43+T43+X43+AB43</f>
        <v>278</v>
      </c>
      <c r="AG43" s="42"/>
    </row>
    <row r="44" spans="1:33" ht="9.75" customHeight="1">
      <c r="A44" s="264"/>
      <c r="B44" s="46"/>
      <c r="C44" s="46"/>
      <c r="D44" s="264"/>
      <c r="E44" s="46"/>
      <c r="F44" s="269"/>
      <c r="G44" s="46"/>
      <c r="H44" s="54"/>
      <c r="I44" s="46"/>
      <c r="J44" s="269"/>
      <c r="K44" s="46"/>
      <c r="L44" s="54"/>
      <c r="M44" s="46"/>
      <c r="N44" s="269"/>
      <c r="O44" s="46"/>
      <c r="P44" s="54"/>
      <c r="Q44" s="46"/>
      <c r="R44" s="269"/>
      <c r="S44" s="46"/>
      <c r="T44" s="54"/>
      <c r="U44" s="46"/>
      <c r="V44" s="269"/>
      <c r="W44" s="46"/>
      <c r="X44" s="54"/>
      <c r="Y44" s="46"/>
      <c r="Z44" s="259"/>
      <c r="AA44" s="46"/>
      <c r="AB44" s="54"/>
      <c r="AC44" s="46"/>
      <c r="AD44" s="328"/>
      <c r="AE44" s="46"/>
      <c r="AF44" s="46"/>
      <c r="AG44" s="42"/>
    </row>
    <row r="45" spans="1:33" ht="15">
      <c r="A45" s="264"/>
      <c r="B45" s="46" t="s">
        <v>616</v>
      </c>
      <c r="C45" s="46"/>
      <c r="D45" s="264">
        <v>1.5</v>
      </c>
      <c r="E45" s="46"/>
      <c r="F45" s="269">
        <f>F17</f>
        <v>107</v>
      </c>
      <c r="G45" s="46"/>
      <c r="H45" s="54">
        <f>ROUND(+F45*$D45,0)</f>
        <v>161</v>
      </c>
      <c r="I45" s="46"/>
      <c r="J45" s="269">
        <f>J17</f>
        <v>1660</v>
      </c>
      <c r="K45" s="46"/>
      <c r="L45" s="54">
        <f>ROUND(+J45*$D45,0)</f>
        <v>2490</v>
      </c>
      <c r="M45" s="46"/>
      <c r="N45" s="269">
        <f>N17</f>
        <v>24</v>
      </c>
      <c r="O45" s="46"/>
      <c r="P45" s="54">
        <f>ROUND(+N45*$D45,0)</f>
        <v>36</v>
      </c>
      <c r="Q45" s="46"/>
      <c r="R45" s="269">
        <f>R17</f>
        <v>335</v>
      </c>
      <c r="S45" s="46"/>
      <c r="T45" s="54">
        <f>ROUND(+R45*$D45,0)</f>
        <v>503</v>
      </c>
      <c r="U45" s="46"/>
      <c r="V45" s="269">
        <f>V17</f>
        <v>7</v>
      </c>
      <c r="W45" s="46"/>
      <c r="X45" s="54">
        <f>ROUND(+V45*$D45,0)</f>
        <v>11</v>
      </c>
      <c r="Y45" s="46"/>
      <c r="Z45" s="259">
        <f>+'Schedule E'!F94</f>
        <v>45</v>
      </c>
      <c r="AA45" s="46"/>
      <c r="AB45" s="54">
        <f>ROUND(+Z45*$D45,0)</f>
        <v>68</v>
      </c>
      <c r="AC45" s="46"/>
      <c r="AD45" s="328">
        <f>F45+J45+N45+R45+V45+Z45</f>
        <v>2178</v>
      </c>
      <c r="AE45" s="46"/>
      <c r="AF45" s="54">
        <f>H45+L45+P45+T45+X45+AB45</f>
        <v>3269</v>
      </c>
      <c r="AG45" s="42"/>
    </row>
    <row r="46" spans="1:33" ht="9.75" customHeight="1">
      <c r="A46" s="264"/>
      <c r="B46" s="46"/>
      <c r="C46" s="46"/>
      <c r="D46" s="264"/>
      <c r="E46" s="46"/>
      <c r="F46" s="269"/>
      <c r="G46" s="46"/>
      <c r="H46" s="54"/>
      <c r="I46" s="46"/>
      <c r="J46" s="269"/>
      <c r="K46" s="46"/>
      <c r="L46" s="54"/>
      <c r="M46" s="46"/>
      <c r="N46" s="269"/>
      <c r="O46" s="46"/>
      <c r="P46" s="54"/>
      <c r="Q46" s="46"/>
      <c r="R46" s="269"/>
      <c r="S46" s="46"/>
      <c r="T46" s="54"/>
      <c r="U46" s="46"/>
      <c r="V46" s="269"/>
      <c r="W46" s="46"/>
      <c r="X46" s="54"/>
      <c r="Y46" s="46"/>
      <c r="Z46" s="259"/>
      <c r="AA46" s="46"/>
      <c r="AB46" s="54"/>
      <c r="AC46" s="46"/>
      <c r="AD46" s="328"/>
      <c r="AE46" s="46"/>
      <c r="AF46" s="46"/>
      <c r="AG46" s="42"/>
    </row>
    <row r="47" spans="1:33" ht="15">
      <c r="A47" s="264"/>
      <c r="B47" s="46" t="s">
        <v>617</v>
      </c>
      <c r="C47" s="46"/>
      <c r="D47" s="264">
        <v>2.2</v>
      </c>
      <c r="E47" s="46"/>
      <c r="F47" s="269">
        <f>F19+F21</f>
        <v>0</v>
      </c>
      <c r="G47" s="46"/>
      <c r="H47" s="54">
        <f>ROUND(+F47*$D47,0)</f>
        <v>0</v>
      </c>
      <c r="I47" s="46"/>
      <c r="J47" s="269">
        <f>J19+J21</f>
        <v>32</v>
      </c>
      <c r="K47" s="46"/>
      <c r="L47" s="54">
        <f>ROUND(+J47*$D47,0)</f>
        <v>70</v>
      </c>
      <c r="M47" s="46"/>
      <c r="N47" s="269">
        <f>N19+N21</f>
        <v>12</v>
      </c>
      <c r="O47" s="46"/>
      <c r="P47" s="54">
        <f>ROUND(+N47*$D47,0)</f>
        <v>26</v>
      </c>
      <c r="Q47" s="46"/>
      <c r="R47" s="269">
        <f>R19+R21</f>
        <v>39</v>
      </c>
      <c r="S47" s="46"/>
      <c r="T47" s="54">
        <f>ROUND(+R47*$D47,0)</f>
        <v>86</v>
      </c>
      <c r="U47" s="46"/>
      <c r="V47" s="269">
        <f>V19+V21</f>
        <v>7</v>
      </c>
      <c r="W47" s="46"/>
      <c r="X47" s="54">
        <f>ROUND(+V47*$D47,0)</f>
        <v>15</v>
      </c>
      <c r="Y47" s="46"/>
      <c r="Z47" s="259">
        <f>+'Schedule E'!F96</f>
        <v>313</v>
      </c>
      <c r="AA47" s="46"/>
      <c r="AB47" s="54">
        <f>ROUND(+Z47*$D47,0)</f>
        <v>689</v>
      </c>
      <c r="AC47" s="46"/>
      <c r="AD47" s="328">
        <f>F47+J47+N47+R47+V47+Z47</f>
        <v>403</v>
      </c>
      <c r="AE47" s="46"/>
      <c r="AF47" s="54">
        <f>H47+L47+P47+T47+X47+AB47</f>
        <v>886</v>
      </c>
      <c r="AG47" s="42"/>
    </row>
    <row r="48" spans="1:33" ht="9.75" customHeight="1">
      <c r="A48" s="264"/>
      <c r="B48" s="46"/>
      <c r="C48" s="46"/>
      <c r="D48" s="264"/>
      <c r="E48" s="46"/>
      <c r="F48" s="269"/>
      <c r="G48" s="46"/>
      <c r="H48" s="54"/>
      <c r="I48" s="46"/>
      <c r="J48" s="269"/>
      <c r="K48" s="46"/>
      <c r="L48" s="54"/>
      <c r="M48" s="46"/>
      <c r="N48" s="269"/>
      <c r="O48" s="46"/>
      <c r="P48" s="54"/>
      <c r="Q48" s="46"/>
      <c r="R48" s="269"/>
      <c r="S48" s="46"/>
      <c r="T48" s="54"/>
      <c r="U48" s="46"/>
      <c r="V48" s="269"/>
      <c r="W48" s="46"/>
      <c r="X48" s="54"/>
      <c r="Y48" s="46"/>
      <c r="Z48" s="259"/>
      <c r="AA48" s="46"/>
      <c r="AB48" s="54"/>
      <c r="AC48" s="46"/>
      <c r="AD48" s="328"/>
      <c r="AE48" s="46"/>
      <c r="AF48" s="46"/>
      <c r="AG48" s="42"/>
    </row>
    <row r="49" spans="1:33" ht="15">
      <c r="A49" s="264"/>
      <c r="B49" s="46" t="s">
        <v>618</v>
      </c>
      <c r="C49" s="46"/>
      <c r="D49" s="264">
        <v>2.5</v>
      </c>
      <c r="E49" s="46"/>
      <c r="F49" s="269">
        <f>F23</f>
        <v>2</v>
      </c>
      <c r="G49" s="46"/>
      <c r="H49" s="54">
        <f>ROUND(+F49*$D49,0)</f>
        <v>5</v>
      </c>
      <c r="I49" s="46"/>
      <c r="J49" s="269">
        <f>J23</f>
        <v>10</v>
      </c>
      <c r="K49" s="46"/>
      <c r="L49" s="54">
        <f>ROUND(+J49*$D49,0)</f>
        <v>25</v>
      </c>
      <c r="M49" s="46"/>
      <c r="N49" s="269">
        <f>N23</f>
        <v>3</v>
      </c>
      <c r="O49" s="46"/>
      <c r="P49" s="54">
        <f>ROUND(+N49*$D49,0)</f>
        <v>8</v>
      </c>
      <c r="Q49" s="46"/>
      <c r="R49" s="269">
        <f>R23</f>
        <v>9</v>
      </c>
      <c r="S49" s="46"/>
      <c r="T49" s="54">
        <f>ROUND(+R49*$D49,0)</f>
        <v>23</v>
      </c>
      <c r="U49" s="46"/>
      <c r="V49" s="269">
        <f>V23</f>
        <v>4</v>
      </c>
      <c r="W49" s="46"/>
      <c r="X49" s="54">
        <f>ROUND(+V49*$D49,0)</f>
        <v>10</v>
      </c>
      <c r="Y49" s="46"/>
      <c r="Z49" s="259">
        <f>+'Schedule E'!F97</f>
        <v>779</v>
      </c>
      <c r="AA49" s="46"/>
      <c r="AB49" s="54">
        <f>ROUND(+Z49*$D49,0)</f>
        <v>1948</v>
      </c>
      <c r="AC49" s="46"/>
      <c r="AD49" s="328">
        <f>F49+J49+N49+R49+V49+Z49</f>
        <v>807</v>
      </c>
      <c r="AE49" s="46"/>
      <c r="AF49" s="54">
        <f>H49+L49+P49+T49+X49+AB49</f>
        <v>2019</v>
      </c>
      <c r="AG49" s="42"/>
    </row>
    <row r="50" spans="1:33" ht="9.75" customHeight="1">
      <c r="A50" s="264"/>
      <c r="B50" s="46"/>
      <c r="C50" s="46"/>
      <c r="D50" s="264"/>
      <c r="E50" s="46"/>
      <c r="F50" s="269"/>
      <c r="G50" s="46"/>
      <c r="H50" s="54"/>
      <c r="I50" s="46"/>
      <c r="J50" s="269"/>
      <c r="K50" s="46"/>
      <c r="L50" s="54"/>
      <c r="M50" s="46"/>
      <c r="N50" s="269"/>
      <c r="O50" s="46"/>
      <c r="P50" s="54"/>
      <c r="Q50" s="46"/>
      <c r="R50" s="269"/>
      <c r="S50" s="46"/>
      <c r="T50" s="54"/>
      <c r="U50" s="46"/>
      <c r="V50" s="269"/>
      <c r="W50" s="46"/>
      <c r="X50" s="54"/>
      <c r="Y50" s="46"/>
      <c r="Z50" s="259"/>
      <c r="AA50" s="46"/>
      <c r="AB50" s="54"/>
      <c r="AC50" s="46"/>
      <c r="AD50" s="328"/>
      <c r="AE50" s="46"/>
      <c r="AF50" s="46"/>
      <c r="AG50" s="42"/>
    </row>
    <row r="51" spans="1:33" ht="15">
      <c r="A51" s="264"/>
      <c r="B51" s="46" t="s">
        <v>619</v>
      </c>
      <c r="C51" s="46"/>
      <c r="D51" s="264">
        <v>3.2</v>
      </c>
      <c r="E51" s="46"/>
      <c r="F51" s="269">
        <f>F25</f>
        <v>0</v>
      </c>
      <c r="G51" s="46"/>
      <c r="H51" s="54">
        <f>ROUND(+F51*$D51,0)</f>
        <v>0</v>
      </c>
      <c r="I51" s="46"/>
      <c r="J51" s="269">
        <f>J25</f>
        <v>7</v>
      </c>
      <c r="K51" s="46"/>
      <c r="L51" s="54">
        <f>ROUND(+J51*$D51,0)</f>
        <v>22</v>
      </c>
      <c r="M51" s="46"/>
      <c r="N51" s="269">
        <f>N25</f>
        <v>0</v>
      </c>
      <c r="O51" s="46"/>
      <c r="P51" s="54">
        <f>ROUND(+N51*$D51,0)</f>
        <v>0</v>
      </c>
      <c r="Q51" s="46"/>
      <c r="R51" s="269">
        <f>R25</f>
        <v>2</v>
      </c>
      <c r="S51" s="46"/>
      <c r="T51" s="54">
        <f>ROUND(+R51*$D51,0)</f>
        <v>6</v>
      </c>
      <c r="U51" s="46"/>
      <c r="V51" s="269">
        <f>V25</f>
        <v>0</v>
      </c>
      <c r="W51" s="46"/>
      <c r="X51" s="54">
        <f>ROUND(+V51*$D51,0)</f>
        <v>0</v>
      </c>
      <c r="Y51" s="46"/>
      <c r="Z51" s="259">
        <f>+'Schedule E'!F98</f>
        <v>269</v>
      </c>
      <c r="AA51" s="46"/>
      <c r="AB51" s="54">
        <f>ROUND(+Z51*$D51,0)</f>
        <v>861</v>
      </c>
      <c r="AC51" s="46"/>
      <c r="AD51" s="328">
        <f>F51+J51+N51+R51+V51+Z51</f>
        <v>278</v>
      </c>
      <c r="AE51" s="46"/>
      <c r="AF51" s="54">
        <f>H51+L51+P51+T51+X51+AB51</f>
        <v>889</v>
      </c>
      <c r="AG51" s="42"/>
    </row>
    <row r="52" spans="1:33" ht="9.75" customHeight="1">
      <c r="A52" s="53"/>
      <c r="B52" s="46"/>
      <c r="C52" s="46"/>
      <c r="D52" s="53"/>
      <c r="E52" s="46"/>
      <c r="F52" s="269"/>
      <c r="G52" s="46"/>
      <c r="H52" s="54"/>
      <c r="I52" s="46"/>
      <c r="J52" s="269"/>
      <c r="K52" s="46"/>
      <c r="L52" s="54"/>
      <c r="M52" s="46"/>
      <c r="N52" s="269"/>
      <c r="O52" s="46"/>
      <c r="P52" s="54"/>
      <c r="Q52" s="46"/>
      <c r="R52" s="269"/>
      <c r="S52" s="46"/>
      <c r="T52" s="54"/>
      <c r="U52" s="46"/>
      <c r="V52" s="269"/>
      <c r="W52" s="46"/>
      <c r="X52" s="54"/>
      <c r="Y52" s="46"/>
      <c r="Z52" s="259"/>
      <c r="AA52" s="46"/>
      <c r="AB52" s="54"/>
      <c r="AC52" s="46"/>
      <c r="AD52" s="328"/>
      <c r="AE52" s="46"/>
      <c r="AF52" s="54"/>
      <c r="AG52" s="42"/>
    </row>
    <row r="53" spans="1:33" ht="15">
      <c r="A53" s="264"/>
      <c r="B53" s="57">
        <v>10</v>
      </c>
      <c r="C53" s="46"/>
      <c r="D53" s="264">
        <v>5.6</v>
      </c>
      <c r="E53" s="46"/>
      <c r="F53" s="269">
        <v>0</v>
      </c>
      <c r="G53" s="46"/>
      <c r="H53" s="54">
        <v>0</v>
      </c>
      <c r="I53" s="46"/>
      <c r="J53" s="269">
        <v>0</v>
      </c>
      <c r="K53" s="46"/>
      <c r="L53" s="54">
        <v>0</v>
      </c>
      <c r="M53" s="46"/>
      <c r="N53" s="269">
        <v>0</v>
      </c>
      <c r="O53" s="46"/>
      <c r="P53" s="54">
        <v>0</v>
      </c>
      <c r="Q53" s="46"/>
      <c r="R53" s="269">
        <v>0</v>
      </c>
      <c r="S53" s="46"/>
      <c r="T53" s="54">
        <v>0</v>
      </c>
      <c r="U53" s="46"/>
      <c r="V53" s="269">
        <v>0</v>
      </c>
      <c r="W53" s="46"/>
      <c r="X53" s="54">
        <v>0</v>
      </c>
      <c r="Y53" s="46"/>
      <c r="Z53" s="259">
        <f>+'Schedule E'!F99</f>
        <v>7</v>
      </c>
      <c r="AA53" s="46"/>
      <c r="AB53" s="54">
        <f>ROUND(+Z53*$D53,0)</f>
        <v>39</v>
      </c>
      <c r="AC53" s="46"/>
      <c r="AD53" s="328">
        <f>F53+J53+N53+R53+V53+Z53</f>
        <v>7</v>
      </c>
      <c r="AE53" s="46"/>
      <c r="AF53" s="54">
        <f>H53+L53+P53+T53+X53+AB53</f>
        <v>39</v>
      </c>
      <c r="AG53" s="42"/>
    </row>
    <row r="54" spans="1:33" ht="10.5" customHeight="1">
      <c r="A54" s="264"/>
      <c r="B54" s="57"/>
      <c r="C54" s="46"/>
      <c r="D54" s="264"/>
      <c r="E54" s="46"/>
      <c r="F54" s="269"/>
      <c r="G54" s="46"/>
      <c r="H54" s="54"/>
      <c r="I54" s="46"/>
      <c r="J54" s="269"/>
      <c r="K54" s="46"/>
      <c r="L54" s="54"/>
      <c r="M54" s="46"/>
      <c r="N54" s="269"/>
      <c r="O54" s="46"/>
      <c r="P54" s="54"/>
      <c r="Q54" s="46"/>
      <c r="R54" s="269"/>
      <c r="S54" s="46"/>
      <c r="T54" s="54"/>
      <c r="U54" s="46"/>
      <c r="V54" s="269"/>
      <c r="W54" s="46"/>
      <c r="X54" s="54"/>
      <c r="Y54" s="46"/>
      <c r="Z54" s="259"/>
      <c r="AA54" s="46"/>
      <c r="AB54" s="54"/>
      <c r="AC54" s="46"/>
      <c r="AD54" s="328"/>
      <c r="AE54" s="46"/>
      <c r="AF54" s="54"/>
      <c r="AG54" s="42"/>
    </row>
    <row r="55" spans="1:33" ht="15">
      <c r="A55" s="264"/>
      <c r="B55" s="57">
        <v>12</v>
      </c>
      <c r="C55" s="46"/>
      <c r="D55" s="264">
        <v>6</v>
      </c>
      <c r="E55" s="46"/>
      <c r="F55" s="269">
        <v>0</v>
      </c>
      <c r="G55" s="46"/>
      <c r="H55" s="54">
        <v>0</v>
      </c>
      <c r="I55" s="46"/>
      <c r="J55" s="269">
        <v>0</v>
      </c>
      <c r="K55" s="46"/>
      <c r="L55" s="54">
        <v>0</v>
      </c>
      <c r="M55" s="46"/>
      <c r="N55" s="269">
        <v>0</v>
      </c>
      <c r="O55" s="46"/>
      <c r="P55" s="54">
        <v>0</v>
      </c>
      <c r="Q55" s="46"/>
      <c r="R55" s="269">
        <v>0</v>
      </c>
      <c r="S55" s="46"/>
      <c r="T55" s="54">
        <v>0</v>
      </c>
      <c r="U55" s="46"/>
      <c r="V55" s="269">
        <v>0</v>
      </c>
      <c r="W55" s="46"/>
      <c r="X55" s="54">
        <v>0</v>
      </c>
      <c r="Y55" s="46"/>
      <c r="Z55" s="259">
        <f>+'Schedule E'!F100</f>
        <v>4</v>
      </c>
      <c r="AA55" s="46"/>
      <c r="AB55" s="54">
        <f>ROUND(+Z55*$D55,0)</f>
        <v>24</v>
      </c>
      <c r="AC55" s="46"/>
      <c r="AD55" s="328">
        <f>F55+J55+N55+R55+V55+Z55</f>
        <v>4</v>
      </c>
      <c r="AE55" s="46"/>
      <c r="AF55" s="54">
        <f>H55+L55+P55+T55+X55+AB55</f>
        <v>24</v>
      </c>
      <c r="AG55" s="42"/>
    </row>
    <row r="56" spans="1:33" ht="10.5" customHeight="1">
      <c r="A56" s="264"/>
      <c r="B56" s="57"/>
      <c r="C56" s="46"/>
      <c r="D56" s="264"/>
      <c r="E56" s="46"/>
      <c r="F56" s="269"/>
      <c r="G56" s="46"/>
      <c r="H56" s="54"/>
      <c r="I56" s="46"/>
      <c r="J56" s="269"/>
      <c r="K56" s="46"/>
      <c r="L56" s="54"/>
      <c r="M56" s="46"/>
      <c r="N56" s="269"/>
      <c r="O56" s="46"/>
      <c r="P56" s="54"/>
      <c r="Q56" s="46"/>
      <c r="R56" s="269"/>
      <c r="S56" s="46"/>
      <c r="T56" s="54"/>
      <c r="U56" s="46"/>
      <c r="V56" s="269"/>
      <c r="W56" s="46"/>
      <c r="X56" s="54"/>
      <c r="Y56" s="46"/>
      <c r="Z56" s="259"/>
      <c r="AA56" s="46"/>
      <c r="AB56" s="54"/>
      <c r="AC56" s="46"/>
      <c r="AD56" s="328"/>
      <c r="AE56" s="46"/>
      <c r="AF56" s="54"/>
      <c r="AG56" s="42"/>
    </row>
    <row r="57" spans="1:33" ht="15">
      <c r="A57" s="264"/>
      <c r="B57" s="57" t="s">
        <v>272</v>
      </c>
      <c r="C57" s="46"/>
      <c r="D57" s="264">
        <v>8</v>
      </c>
      <c r="E57" s="46"/>
      <c r="F57" s="269">
        <v>0</v>
      </c>
      <c r="G57" s="46"/>
      <c r="H57" s="54">
        <v>0</v>
      </c>
      <c r="I57" s="46"/>
      <c r="J57" s="269">
        <v>0</v>
      </c>
      <c r="K57" s="46"/>
      <c r="L57" s="54">
        <v>0</v>
      </c>
      <c r="M57" s="46"/>
      <c r="N57" s="269">
        <v>0</v>
      </c>
      <c r="O57" s="46"/>
      <c r="P57" s="54">
        <v>0</v>
      </c>
      <c r="Q57" s="46"/>
      <c r="R57" s="269">
        <v>0</v>
      </c>
      <c r="S57" s="46"/>
      <c r="T57" s="54">
        <v>0</v>
      </c>
      <c r="U57" s="46"/>
      <c r="V57" s="269">
        <v>0</v>
      </c>
      <c r="W57" s="46"/>
      <c r="X57" s="54">
        <v>0</v>
      </c>
      <c r="Y57" s="46"/>
      <c r="Z57" s="259">
        <f>+'Schedule E'!F102+'Schedule E'!F101</f>
        <v>2</v>
      </c>
      <c r="AA57" s="46"/>
      <c r="AB57" s="54">
        <f>ROUND(+Z57*$D57,0)</f>
        <v>16</v>
      </c>
      <c r="AC57" s="46"/>
      <c r="AD57" s="328">
        <f>F57+J57+N57+R57+V57+Z57</f>
        <v>2</v>
      </c>
      <c r="AE57" s="46"/>
      <c r="AF57" s="54">
        <f>H57+L57+P57+T57+X57+AB57</f>
        <v>16</v>
      </c>
      <c r="AG57" s="42"/>
    </row>
    <row r="58" spans="2:33" ht="15">
      <c r="B58" s="46"/>
      <c r="C58" s="46"/>
      <c r="D58" s="47"/>
      <c r="E58" s="46"/>
      <c r="F58" s="55"/>
      <c r="G58" s="46"/>
      <c r="H58" s="55"/>
      <c r="I58" s="46"/>
      <c r="J58" s="55"/>
      <c r="K58" s="46"/>
      <c r="L58" s="55"/>
      <c r="M58" s="46"/>
      <c r="N58" s="55"/>
      <c r="O58" s="46"/>
      <c r="P58" s="55"/>
      <c r="Q58" s="46"/>
      <c r="R58" s="55"/>
      <c r="S58" s="46"/>
      <c r="T58" s="55"/>
      <c r="U58" s="46"/>
      <c r="V58" s="55"/>
      <c r="W58" s="46"/>
      <c r="X58" s="55"/>
      <c r="Y58" s="46"/>
      <c r="Z58" s="55"/>
      <c r="AA58" s="46"/>
      <c r="AB58" s="55"/>
      <c r="AC58" s="46"/>
      <c r="AD58" s="55"/>
      <c r="AE58" s="46"/>
      <c r="AF58" s="55"/>
      <c r="AG58" s="42"/>
    </row>
    <row r="59" spans="2:33" ht="15.75" thickBot="1">
      <c r="B59" s="46" t="s">
        <v>600</v>
      </c>
      <c r="C59" s="46"/>
      <c r="D59" s="47"/>
      <c r="E59" s="46"/>
      <c r="F59" s="54">
        <f>SUM(F39:F51)</f>
        <v>92795</v>
      </c>
      <c r="G59" s="46"/>
      <c r="H59" s="54">
        <f>SUM(H39:H51)</f>
        <v>96209</v>
      </c>
      <c r="I59" s="46"/>
      <c r="J59" s="54">
        <f>SUM(J39:J51)</f>
        <v>8926</v>
      </c>
      <c r="K59" s="46"/>
      <c r="L59" s="54">
        <f>SUM(L39:L51)</f>
        <v>10312</v>
      </c>
      <c r="M59" s="46"/>
      <c r="N59" s="54">
        <f>SUM(N39:N51)</f>
        <v>44</v>
      </c>
      <c r="O59" s="46"/>
      <c r="P59" s="54">
        <f>SUM(P39:P51)</f>
        <v>75</v>
      </c>
      <c r="Q59" s="46"/>
      <c r="R59" s="54">
        <f>SUM(R39:R51)</f>
        <v>719</v>
      </c>
      <c r="S59" s="46"/>
      <c r="T59" s="54">
        <f>SUM(T39:T51)</f>
        <v>993</v>
      </c>
      <c r="U59" s="46"/>
      <c r="V59" s="54">
        <f>SUM(V39:V51)</f>
        <v>21</v>
      </c>
      <c r="W59" s="46"/>
      <c r="X59" s="54">
        <f>SUM(X39:X51)</f>
        <v>40</v>
      </c>
      <c r="Y59" s="46"/>
      <c r="Z59" s="165">
        <f>SUM(Z39:Z58)</f>
        <v>1419</v>
      </c>
      <c r="AA59" s="46"/>
      <c r="AB59" s="54">
        <f>SUM(AB39:AB58)</f>
        <v>3645</v>
      </c>
      <c r="AC59" s="46"/>
      <c r="AD59" s="54">
        <f>SUM(AD39:AD58)</f>
        <v>103924</v>
      </c>
      <c r="AE59" s="46"/>
      <c r="AF59" s="54">
        <f>SUM(AF39:AF58)</f>
        <v>111274</v>
      </c>
      <c r="AG59" s="42"/>
    </row>
    <row r="60" spans="2:33" ht="15.75" thickTop="1">
      <c r="B60" s="46"/>
      <c r="C60" s="46"/>
      <c r="D60" s="47"/>
      <c r="E60" s="46"/>
      <c r="F60" s="56"/>
      <c r="G60" s="46"/>
      <c r="H60" s="56"/>
      <c r="I60" s="46"/>
      <c r="J60" s="56"/>
      <c r="K60" s="46"/>
      <c r="L60" s="56"/>
      <c r="M60" s="46"/>
      <c r="N60" s="56"/>
      <c r="O60" s="46"/>
      <c r="P60" s="56"/>
      <c r="Q60" s="46"/>
      <c r="R60" s="56"/>
      <c r="S60" s="46"/>
      <c r="T60" s="56"/>
      <c r="U60" s="46"/>
      <c r="V60" s="56"/>
      <c r="W60" s="46"/>
      <c r="X60" s="56"/>
      <c r="Y60" s="46"/>
      <c r="Z60" s="164"/>
      <c r="AA60" s="46"/>
      <c r="AB60" s="56"/>
      <c r="AC60" s="46"/>
      <c r="AD60" s="56"/>
      <c r="AE60" s="46"/>
      <c r="AF60" s="56"/>
      <c r="AG60" s="42"/>
    </row>
    <row r="61" spans="2:33" ht="15">
      <c r="B61" s="58"/>
      <c r="C61" s="58"/>
      <c r="D61" s="59"/>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41"/>
      <c r="AF61" s="41"/>
      <c r="AG61" s="42"/>
    </row>
    <row r="62" spans="2:33" ht="15">
      <c r="B62" s="58"/>
      <c r="C62" s="58"/>
      <c r="D62" s="59"/>
      <c r="E62" s="58"/>
      <c r="F62" s="403" t="s">
        <v>233</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42"/>
      <c r="AF62" s="42"/>
      <c r="AG62" s="42"/>
    </row>
    <row r="63" spans="2:33" ht="15">
      <c r="B63" s="58"/>
      <c r="C63" s="58"/>
      <c r="D63" s="59"/>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42"/>
      <c r="AF63" s="42"/>
      <c r="AG63" s="42"/>
    </row>
    <row r="64" spans="2:33" ht="15">
      <c r="B64" s="58"/>
      <c r="C64" s="58"/>
      <c r="D64" s="59"/>
      <c r="E64" s="58"/>
      <c r="F64" s="58"/>
      <c r="G64" s="58"/>
      <c r="H64" s="58"/>
      <c r="I64" s="58"/>
      <c r="J64" s="60"/>
      <c r="K64" s="58"/>
      <c r="L64" s="58"/>
      <c r="M64" s="58"/>
      <c r="N64" s="58"/>
      <c r="O64" s="58"/>
      <c r="P64" s="58"/>
      <c r="Q64" s="58"/>
      <c r="R64" s="58"/>
      <c r="S64" s="58"/>
      <c r="T64" s="58"/>
      <c r="U64" s="58"/>
      <c r="V64" s="58"/>
      <c r="W64" s="58"/>
      <c r="X64" s="58"/>
      <c r="Y64" s="58"/>
      <c r="Z64" s="58"/>
      <c r="AA64" s="58"/>
      <c r="AB64" s="58"/>
      <c r="AC64" s="58"/>
      <c r="AD64" s="58"/>
      <c r="AE64" s="42"/>
      <c r="AF64" s="42"/>
      <c r="AG64" s="42"/>
    </row>
    <row r="65" spans="2:33" ht="15">
      <c r="B65" s="58"/>
      <c r="C65" s="58"/>
      <c r="D65" s="59"/>
      <c r="E65" s="58"/>
      <c r="F65" s="44"/>
      <c r="G65" s="44"/>
      <c r="H65" s="44"/>
      <c r="I65" s="58"/>
      <c r="J65" s="48"/>
      <c r="K65" s="60"/>
      <c r="L65" s="48"/>
      <c r="M65" s="58"/>
      <c r="N65" s="58"/>
      <c r="O65" s="58"/>
      <c r="P65" s="58"/>
      <c r="Q65" s="58"/>
      <c r="R65" s="58"/>
      <c r="S65" s="58"/>
      <c r="T65" s="58"/>
      <c r="U65" s="58"/>
      <c r="V65" s="58"/>
      <c r="W65" s="58"/>
      <c r="X65" s="58"/>
      <c r="Y65" s="58"/>
      <c r="Z65" s="58"/>
      <c r="AA65" s="58"/>
      <c r="AB65" s="58"/>
      <c r="AC65" s="58"/>
      <c r="AD65" s="58"/>
      <c r="AE65" s="42"/>
      <c r="AF65" s="42"/>
      <c r="AG65" s="42"/>
    </row>
    <row r="66" spans="2:33" ht="15">
      <c r="B66" s="58"/>
      <c r="C66" s="58"/>
      <c r="D66" s="59"/>
      <c r="E66" s="58"/>
      <c r="F66" s="44"/>
      <c r="G66" s="44"/>
      <c r="H66" s="44"/>
      <c r="I66" s="58"/>
      <c r="J66" s="48"/>
      <c r="K66" s="60"/>
      <c r="L66" s="48"/>
      <c r="M66" s="58"/>
      <c r="N66" s="58"/>
      <c r="O66" s="58"/>
      <c r="P66" s="58"/>
      <c r="Q66" s="58"/>
      <c r="R66" s="58"/>
      <c r="S66" s="58"/>
      <c r="T66" s="58"/>
      <c r="U66" s="58"/>
      <c r="V66" s="58"/>
      <c r="W66" s="58"/>
      <c r="X66" s="58"/>
      <c r="Y66" s="58"/>
      <c r="Z66" s="58"/>
      <c r="AA66" s="58"/>
      <c r="AB66" s="58"/>
      <c r="AC66" s="58"/>
      <c r="AD66" s="58"/>
      <c r="AE66" s="42"/>
      <c r="AF66" s="42"/>
      <c r="AG66" s="42"/>
    </row>
    <row r="67" spans="2:33" ht="15">
      <c r="B67" s="58"/>
      <c r="C67" s="58"/>
      <c r="D67" s="59"/>
      <c r="E67" s="58"/>
      <c r="F67" s="61"/>
      <c r="G67" s="61"/>
      <c r="H67" s="61"/>
      <c r="I67" s="58"/>
      <c r="J67" s="61"/>
      <c r="K67" s="58"/>
      <c r="L67" s="61"/>
      <c r="M67" s="58"/>
      <c r="N67" s="58"/>
      <c r="O67" s="58"/>
      <c r="P67" s="58"/>
      <c r="Q67" s="58"/>
      <c r="R67" s="58"/>
      <c r="S67" s="58"/>
      <c r="T67" s="58"/>
      <c r="U67" s="58"/>
      <c r="V67" s="58"/>
      <c r="W67" s="58"/>
      <c r="X67" s="58"/>
      <c r="Y67" s="58"/>
      <c r="Z67" s="58"/>
      <c r="AA67" s="58"/>
      <c r="AB67" s="58"/>
      <c r="AC67" s="58"/>
      <c r="AD67" s="58"/>
      <c r="AE67" s="42"/>
      <c r="AF67" s="42"/>
      <c r="AG67" s="42"/>
    </row>
    <row r="68" spans="2:33" ht="15">
      <c r="B68" s="58"/>
      <c r="C68" s="58"/>
      <c r="D68" s="59"/>
      <c r="E68" s="58"/>
      <c r="F68" s="48"/>
      <c r="G68" s="58"/>
      <c r="H68" s="46"/>
      <c r="I68" s="58"/>
      <c r="J68" s="46"/>
      <c r="K68" s="58"/>
      <c r="L68" s="62"/>
      <c r="M68" s="58"/>
      <c r="N68" s="58"/>
      <c r="O68" s="58"/>
      <c r="P68" s="46"/>
      <c r="Q68" s="58"/>
      <c r="R68" s="58"/>
      <c r="S68" s="58"/>
      <c r="T68" s="58"/>
      <c r="U68" s="58"/>
      <c r="V68" s="58"/>
      <c r="W68" s="58"/>
      <c r="X68" s="58"/>
      <c r="Y68" s="58"/>
      <c r="Z68" s="58"/>
      <c r="AA68" s="58"/>
      <c r="AB68" s="58"/>
      <c r="AC68" s="58"/>
      <c r="AD68" s="58"/>
      <c r="AE68" s="42"/>
      <c r="AF68" s="42"/>
      <c r="AG68" s="42"/>
    </row>
    <row r="69" spans="2:33" ht="15">
      <c r="B69" s="58"/>
      <c r="C69" s="58"/>
      <c r="D69" s="59"/>
      <c r="E69" s="58"/>
      <c r="F69" s="48"/>
      <c r="G69" s="58"/>
      <c r="H69" s="46"/>
      <c r="I69" s="58"/>
      <c r="J69" s="46"/>
      <c r="K69" s="58"/>
      <c r="L69" s="62"/>
      <c r="M69" s="58"/>
      <c r="N69" s="58"/>
      <c r="O69" s="58"/>
      <c r="P69" s="46"/>
      <c r="Q69" s="58"/>
      <c r="R69" s="58"/>
      <c r="S69" s="58"/>
      <c r="T69" s="58"/>
      <c r="U69" s="58"/>
      <c r="V69" s="58"/>
      <c r="W69" s="58"/>
      <c r="X69" s="58"/>
      <c r="Y69" s="58"/>
      <c r="Z69" s="58"/>
      <c r="AA69" s="58"/>
      <c r="AB69" s="58"/>
      <c r="AC69" s="58"/>
      <c r="AD69" s="58"/>
      <c r="AE69" s="42"/>
      <c r="AF69" s="42"/>
      <c r="AG69" s="42"/>
    </row>
    <row r="70" spans="2:33" ht="15">
      <c r="B70" s="58"/>
      <c r="C70" s="58"/>
      <c r="D70" s="59"/>
      <c r="E70" s="58"/>
      <c r="F70" s="48"/>
      <c r="G70" s="58"/>
      <c r="H70" s="46"/>
      <c r="I70" s="58"/>
      <c r="J70" s="63"/>
      <c r="K70" s="58"/>
      <c r="L70" s="62"/>
      <c r="M70" s="58"/>
      <c r="N70" s="58"/>
      <c r="O70" s="58"/>
      <c r="P70" s="46"/>
      <c r="Q70" s="58"/>
      <c r="R70" s="58"/>
      <c r="S70" s="58"/>
      <c r="T70" s="58"/>
      <c r="U70" s="58"/>
      <c r="V70" s="58"/>
      <c r="W70" s="58"/>
      <c r="X70" s="58"/>
      <c r="Y70" s="58"/>
      <c r="Z70" s="58"/>
      <c r="AA70" s="58"/>
      <c r="AB70" s="58"/>
      <c r="AC70" s="58"/>
      <c r="AD70" s="58"/>
      <c r="AE70" s="42"/>
      <c r="AF70" s="42"/>
      <c r="AG70" s="42"/>
    </row>
    <row r="71" spans="2:33" ht="15">
      <c r="B71" s="58"/>
      <c r="C71" s="58"/>
      <c r="D71" s="59"/>
      <c r="E71" s="58"/>
      <c r="F71" s="48"/>
      <c r="G71" s="58"/>
      <c r="H71" s="46"/>
      <c r="I71" s="58"/>
      <c r="J71" s="63"/>
      <c r="K71" s="58"/>
      <c r="L71" s="62"/>
      <c r="M71" s="58"/>
      <c r="N71" s="58"/>
      <c r="O71" s="58"/>
      <c r="P71" s="46"/>
      <c r="Q71" s="58"/>
      <c r="R71" s="58"/>
      <c r="S71" s="58"/>
      <c r="T71" s="58"/>
      <c r="U71" s="58"/>
      <c r="V71" s="58"/>
      <c r="W71" s="58"/>
      <c r="X71" s="58"/>
      <c r="Y71" s="58"/>
      <c r="Z71" s="58"/>
      <c r="AA71" s="58"/>
      <c r="AB71" s="58"/>
      <c r="AC71" s="58"/>
      <c r="AD71" s="58"/>
      <c r="AE71" s="42"/>
      <c r="AF71" s="42"/>
      <c r="AG71" s="42"/>
    </row>
    <row r="72" spans="2:33" ht="15">
      <c r="B72" s="8"/>
      <c r="C72" s="2"/>
      <c r="D72" s="399"/>
      <c r="E72" s="58"/>
      <c r="F72" s="48"/>
      <c r="G72" s="58"/>
      <c r="H72" s="46"/>
      <c r="I72" s="58"/>
      <c r="J72" s="46"/>
      <c r="K72" s="58"/>
      <c r="L72" s="62"/>
      <c r="M72" s="58"/>
      <c r="N72" s="58"/>
      <c r="O72" s="58"/>
      <c r="P72" s="46"/>
      <c r="Q72" s="58"/>
      <c r="R72" s="58"/>
      <c r="S72" s="58"/>
      <c r="T72" s="58"/>
      <c r="U72" s="58"/>
      <c r="V72" s="58"/>
      <c r="W72" s="58"/>
      <c r="X72" s="58"/>
      <c r="Y72" s="58"/>
      <c r="Z72" s="58"/>
      <c r="AA72" s="58"/>
      <c r="AB72" s="58"/>
      <c r="AC72" s="58"/>
      <c r="AD72" s="58"/>
      <c r="AE72" s="42"/>
      <c r="AF72" s="42"/>
      <c r="AG72" s="42"/>
    </row>
    <row r="73" spans="2:33" ht="15">
      <c r="B73" s="8"/>
      <c r="C73" s="2"/>
      <c r="D73" s="2"/>
      <c r="E73" s="58"/>
      <c r="F73" s="48"/>
      <c r="G73" s="58"/>
      <c r="H73" s="46"/>
      <c r="I73" s="58"/>
      <c r="J73" s="46"/>
      <c r="K73" s="58"/>
      <c r="L73" s="62"/>
      <c r="M73" s="58"/>
      <c r="N73" s="58"/>
      <c r="O73" s="58"/>
      <c r="P73" s="46"/>
      <c r="Q73" s="58"/>
      <c r="R73" s="58"/>
      <c r="S73" s="58"/>
      <c r="T73" s="58"/>
      <c r="U73" s="58"/>
      <c r="V73" s="58"/>
      <c r="W73" s="58"/>
      <c r="X73" s="58"/>
      <c r="Y73" s="58"/>
      <c r="Z73" s="58"/>
      <c r="AA73" s="58"/>
      <c r="AB73" s="58"/>
      <c r="AC73" s="58"/>
      <c r="AD73" s="58"/>
      <c r="AE73" s="42"/>
      <c r="AF73" s="42"/>
      <c r="AG73" s="42"/>
    </row>
    <row r="74" spans="2:33" ht="15">
      <c r="B74" s="8"/>
      <c r="C74" s="2"/>
      <c r="D74" s="2"/>
      <c r="E74" s="58"/>
      <c r="F74" s="48"/>
      <c r="G74" s="58"/>
      <c r="H74" s="46"/>
      <c r="I74" s="58"/>
      <c r="J74" s="46"/>
      <c r="K74" s="58"/>
      <c r="L74" s="62"/>
      <c r="M74" s="58"/>
      <c r="N74" s="58"/>
      <c r="O74" s="58"/>
      <c r="P74" s="46"/>
      <c r="Q74" s="58"/>
      <c r="R74" s="58"/>
      <c r="S74" s="58"/>
      <c r="T74" s="58"/>
      <c r="U74" s="58"/>
      <c r="V74" s="58"/>
      <c r="W74" s="58"/>
      <c r="X74" s="58"/>
      <c r="Y74" s="58"/>
      <c r="Z74" s="58"/>
      <c r="AA74" s="58"/>
      <c r="AB74" s="58"/>
      <c r="AC74" s="58"/>
      <c r="AD74" s="58"/>
      <c r="AE74" s="42"/>
      <c r="AF74" s="42"/>
      <c r="AG74" s="42"/>
    </row>
    <row r="75" spans="2:33" ht="15">
      <c r="B75" s="8"/>
      <c r="C75" s="2"/>
      <c r="D75" s="399"/>
      <c r="E75" s="58"/>
      <c r="F75" s="48"/>
      <c r="G75" s="58"/>
      <c r="H75" s="46"/>
      <c r="I75" s="58"/>
      <c r="J75" s="46"/>
      <c r="K75" s="58"/>
      <c r="L75" s="62"/>
      <c r="M75" s="58"/>
      <c r="N75" s="58"/>
      <c r="O75" s="58"/>
      <c r="P75" s="46"/>
      <c r="Q75" s="58"/>
      <c r="R75" s="58"/>
      <c r="S75" s="58"/>
      <c r="T75" s="58"/>
      <c r="U75" s="58"/>
      <c r="V75" s="58"/>
      <c r="W75" s="58"/>
      <c r="X75" s="58"/>
      <c r="Y75" s="58"/>
      <c r="Z75" s="58"/>
      <c r="AA75" s="58"/>
      <c r="AB75" s="58"/>
      <c r="AC75" s="58"/>
      <c r="AD75" s="58"/>
      <c r="AE75" s="42"/>
      <c r="AF75" s="42"/>
      <c r="AG75" s="42"/>
    </row>
    <row r="76" spans="2:33" ht="15">
      <c r="B76" s="8"/>
      <c r="C76" s="2"/>
      <c r="D76" s="2"/>
      <c r="E76" s="58"/>
      <c r="F76" s="48"/>
      <c r="G76" s="58"/>
      <c r="H76" s="46"/>
      <c r="I76" s="58"/>
      <c r="J76" s="46"/>
      <c r="K76" s="58"/>
      <c r="L76" s="62"/>
      <c r="M76" s="58"/>
      <c r="N76" s="58"/>
      <c r="O76" s="58"/>
      <c r="P76" s="46"/>
      <c r="Q76" s="58"/>
      <c r="R76" s="58"/>
      <c r="S76" s="58"/>
      <c r="T76" s="58"/>
      <c r="U76" s="58"/>
      <c r="V76" s="58"/>
      <c r="W76" s="58"/>
      <c r="X76" s="58"/>
      <c r="Y76" s="58"/>
      <c r="Z76" s="58"/>
      <c r="AA76" s="58"/>
      <c r="AB76" s="58"/>
      <c r="AC76" s="58"/>
      <c r="AD76" s="58"/>
      <c r="AE76" s="42"/>
      <c r="AF76" s="42"/>
      <c r="AG76" s="42"/>
    </row>
    <row r="77" spans="2:33" ht="15">
      <c r="B77" s="8"/>
      <c r="C77" s="2"/>
      <c r="D77" s="2"/>
      <c r="E77" s="58"/>
      <c r="F77" s="48"/>
      <c r="G77" s="58"/>
      <c r="H77" s="46"/>
      <c r="I77" s="58"/>
      <c r="J77" s="64"/>
      <c r="K77" s="58"/>
      <c r="L77" s="62"/>
      <c r="M77" s="58"/>
      <c r="N77" s="58"/>
      <c r="O77" s="58"/>
      <c r="P77" s="58"/>
      <c r="Q77" s="58"/>
      <c r="R77" s="58"/>
      <c r="S77" s="58"/>
      <c r="T77" s="58"/>
      <c r="U77" s="58"/>
      <c r="V77" s="58"/>
      <c r="W77" s="58"/>
      <c r="X77" s="58"/>
      <c r="Y77" s="58"/>
      <c r="Z77" s="58"/>
      <c r="AA77" s="58"/>
      <c r="AB77" s="58"/>
      <c r="AC77" s="58"/>
      <c r="AD77" s="58"/>
      <c r="AE77" s="42"/>
      <c r="AF77" s="42"/>
      <c r="AG77" s="42"/>
    </row>
    <row r="78" spans="2:33" ht="15">
      <c r="B78" s="8"/>
      <c r="C78" s="2"/>
      <c r="D78" s="399"/>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42"/>
      <c r="AF78" s="42"/>
      <c r="AG78" s="42"/>
    </row>
    <row r="79" spans="2:33" ht="15">
      <c r="B79" s="8"/>
      <c r="C79" s="2"/>
      <c r="D79" s="2"/>
      <c r="E79" s="58"/>
      <c r="F79" s="58"/>
      <c r="G79" s="58"/>
      <c r="H79" s="58"/>
      <c r="I79" s="58"/>
      <c r="J79" s="58"/>
      <c r="K79" s="58"/>
      <c r="L79" s="58"/>
      <c r="M79" s="58"/>
      <c r="N79" s="58"/>
      <c r="O79" s="58"/>
      <c r="P79" s="46"/>
      <c r="Q79" s="58"/>
      <c r="R79" s="58"/>
      <c r="S79" s="58"/>
      <c r="T79" s="58"/>
      <c r="U79" s="58"/>
      <c r="V79" s="58"/>
      <c r="W79" s="58"/>
      <c r="X79" s="58"/>
      <c r="Y79" s="58"/>
      <c r="Z79" s="58"/>
      <c r="AA79" s="58"/>
      <c r="AB79" s="58"/>
      <c r="AC79" s="58"/>
      <c r="AD79" s="58"/>
      <c r="AE79" s="42"/>
      <c r="AF79" s="42"/>
      <c r="AG79" s="42"/>
    </row>
    <row r="80" spans="2:33" ht="15">
      <c r="B80" s="8"/>
      <c r="C80" s="2"/>
      <c r="D80" s="2"/>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42"/>
      <c r="AF80" s="42"/>
      <c r="AG80" s="42"/>
    </row>
    <row r="81" spans="2:33" ht="15">
      <c r="B81" s="8"/>
      <c r="C81" s="2"/>
      <c r="D81" s="399"/>
      <c r="E81" s="58"/>
      <c r="F81" s="58"/>
      <c r="G81" s="58"/>
      <c r="H81" s="58"/>
      <c r="I81" s="58"/>
      <c r="J81" s="58"/>
      <c r="K81" s="58"/>
      <c r="L81" s="58"/>
      <c r="M81" s="58"/>
      <c r="N81" s="58"/>
      <c r="O81" s="58"/>
      <c r="P81" s="46"/>
      <c r="Q81" s="58"/>
      <c r="R81" s="58"/>
      <c r="S81" s="58"/>
      <c r="T81" s="58"/>
      <c r="U81" s="58"/>
      <c r="V81" s="58"/>
      <c r="W81" s="58"/>
      <c r="X81" s="58"/>
      <c r="Y81" s="58"/>
      <c r="Z81" s="58"/>
      <c r="AA81" s="58"/>
      <c r="AB81" s="58"/>
      <c r="AC81" s="58"/>
      <c r="AD81" s="58"/>
      <c r="AE81" s="42"/>
      <c r="AF81" s="42"/>
      <c r="AG81" s="42"/>
    </row>
    <row r="82" spans="2:33" ht="15">
      <c r="B82" s="8"/>
      <c r="C82" s="2"/>
      <c r="D82" s="2"/>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42"/>
      <c r="AF82" s="42"/>
      <c r="AG82" s="42"/>
    </row>
    <row r="83" spans="2:33" ht="15">
      <c r="B83" s="8"/>
      <c r="C83" s="2"/>
      <c r="D83" s="2"/>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42"/>
      <c r="AF83" s="42"/>
      <c r="AG83" s="42"/>
    </row>
    <row r="84" spans="2:4" ht="12.75">
      <c r="B84" s="8"/>
      <c r="C84" s="2"/>
      <c r="D84" s="399"/>
    </row>
  </sheetData>
  <mergeCells count="2">
    <mergeCell ref="AH9:AK9"/>
    <mergeCell ref="AM9:AP9"/>
  </mergeCells>
  <printOptions horizontalCentered="1"/>
  <pageMargins left="0.5" right="0.5" top="1" bottom="1" header="0.5" footer="0.5"/>
  <pageSetup fitToHeight="0" horizontalDpi="600" verticalDpi="600" orientation="landscape" scale="70" r:id="rId1"/>
  <rowBreaks count="1" manualBreakCount="1">
    <brk id="28" min="1" max="31" man="1"/>
  </rowBreaks>
</worksheet>
</file>

<file path=xl/worksheets/sheet7.xml><?xml version="1.0" encoding="utf-8"?>
<worksheet xmlns="http://schemas.openxmlformats.org/spreadsheetml/2006/main" xmlns:r="http://schemas.openxmlformats.org/officeDocument/2006/relationships">
  <dimension ref="A1:AU444"/>
  <sheetViews>
    <sheetView zoomScale="87" zoomScaleNormal="87" workbookViewId="0" topLeftCell="A159">
      <selection activeCell="B6" sqref="B6"/>
    </sheetView>
  </sheetViews>
  <sheetFormatPr defaultColWidth="8.88671875" defaultRowHeight="12.75"/>
  <cols>
    <col min="1" max="1" width="10.99609375" style="0" customWidth="1"/>
    <col min="2" max="2" width="30.5546875" style="107" customWidth="1"/>
    <col min="3" max="3" width="1.66796875" style="107" customWidth="1"/>
    <col min="4" max="4" width="4.6640625" style="118" customWidth="1"/>
    <col min="5" max="5" width="0.88671875" style="65" customWidth="1"/>
    <col min="6" max="6" width="10.10546875" style="121" customWidth="1"/>
    <col min="7" max="7" width="0.88671875" style="65" customWidth="1"/>
    <col min="8" max="8" width="10.10546875" style="121" customWidth="1"/>
    <col min="9" max="9" width="0.88671875" style="121" customWidth="1"/>
    <col min="10" max="10" width="9.6640625" style="121" customWidth="1"/>
    <col min="11" max="11" width="0.88671875" style="121" customWidth="1"/>
    <col min="12" max="12" width="9.6640625" style="121" customWidth="1"/>
    <col min="13" max="13" width="0.88671875" style="121" customWidth="1"/>
    <col min="14" max="14" width="9.3359375" style="121" customWidth="1"/>
    <col min="15" max="15" width="0.88671875" style="121" customWidth="1"/>
    <col min="16" max="16" width="9.88671875" style="121" customWidth="1"/>
    <col min="17" max="17" width="0.88671875" style="121" customWidth="1"/>
    <col min="18" max="18" width="8.77734375" style="121" customWidth="1"/>
    <col min="19" max="19" width="0.88671875" style="121" customWidth="1"/>
    <col min="20" max="20" width="8.10546875" style="121" customWidth="1"/>
    <col min="21" max="21" width="0.78125" style="121" customWidth="1"/>
    <col min="22" max="22" width="9.21484375" style="121" customWidth="1"/>
    <col min="23" max="23" width="0.78125" style="121" customWidth="1"/>
    <col min="24" max="24" width="9.4453125" style="121" customWidth="1"/>
    <col min="25" max="25" width="2.4453125" style="0" customWidth="1"/>
    <col min="26" max="26" width="7.6640625" style="0" customWidth="1"/>
    <col min="27" max="27" width="10.3359375" style="0" customWidth="1"/>
    <col min="28" max="28" width="0.44140625" style="0" customWidth="1"/>
    <col min="29" max="29" width="9.4453125" style="0" bestFit="1" customWidth="1"/>
    <col min="30" max="30" width="0.3359375" style="0" customWidth="1"/>
    <col min="31" max="31" width="9.77734375" style="0" bestFit="1" customWidth="1"/>
    <col min="32" max="32" width="0.44140625" style="0" customWidth="1"/>
    <col min="33" max="33" width="9.77734375" style="0" customWidth="1"/>
    <col min="34" max="34" width="0.44140625" style="0" customWidth="1"/>
    <col min="35" max="35" width="9.3359375" style="0" customWidth="1"/>
    <col min="36" max="36" width="0.3359375" style="0" customWidth="1"/>
    <col min="37" max="37" width="10.3359375" style="0" customWidth="1"/>
    <col min="38" max="38" width="0.3359375" style="0" customWidth="1"/>
    <col min="40" max="40" width="0.44140625" style="0" customWidth="1"/>
    <col min="41" max="41" width="10.10546875" style="0" customWidth="1"/>
    <col min="42" max="42" width="7.3359375" style="0" customWidth="1"/>
    <col min="43" max="43" width="9.21484375" style="0" customWidth="1"/>
    <col min="44" max="44" width="0.44140625" style="0" customWidth="1"/>
    <col min="45" max="45" width="10.4453125" style="0" customWidth="1"/>
    <col min="46" max="46" width="11.5546875" style="0" customWidth="1"/>
  </cols>
  <sheetData>
    <row r="1" ht="15">
      <c r="W1" s="347" t="s">
        <v>262</v>
      </c>
    </row>
    <row r="3" spans="2:24" s="108" customFormat="1" ht="15">
      <c r="B3" s="479" t="s">
        <v>514</v>
      </c>
      <c r="C3" s="479"/>
      <c r="D3" s="479"/>
      <c r="E3" s="479"/>
      <c r="F3" s="479"/>
      <c r="G3" s="479"/>
      <c r="H3" s="479"/>
      <c r="I3" s="479"/>
      <c r="J3" s="479"/>
      <c r="K3" s="479"/>
      <c r="L3" s="479"/>
      <c r="M3" s="479"/>
      <c r="N3" s="479"/>
      <c r="O3" s="479"/>
      <c r="P3" s="479"/>
      <c r="Q3" s="479"/>
      <c r="R3" s="479"/>
      <c r="S3" s="479"/>
      <c r="T3" s="479"/>
      <c r="U3" s="479"/>
      <c r="V3" s="479"/>
      <c r="W3" s="479"/>
      <c r="X3" s="479"/>
    </row>
    <row r="4" spans="2:24" s="108" customFormat="1" ht="15">
      <c r="B4" s="479" t="s">
        <v>312</v>
      </c>
      <c r="C4" s="479"/>
      <c r="D4" s="479"/>
      <c r="E4" s="479"/>
      <c r="F4" s="479"/>
      <c r="G4" s="479"/>
      <c r="H4" s="479"/>
      <c r="I4" s="479"/>
      <c r="J4" s="479"/>
      <c r="K4" s="479"/>
      <c r="L4" s="479"/>
      <c r="M4" s="479"/>
      <c r="N4" s="479"/>
      <c r="O4" s="479"/>
      <c r="P4" s="479"/>
      <c r="Q4" s="479"/>
      <c r="R4" s="479"/>
      <c r="S4" s="479"/>
      <c r="T4" s="479"/>
      <c r="U4" s="479"/>
      <c r="V4" s="479"/>
      <c r="W4" s="479"/>
      <c r="X4" s="479"/>
    </row>
    <row r="5" spans="2:24" s="108" customFormat="1" ht="15">
      <c r="B5" s="187"/>
      <c r="C5" s="187"/>
      <c r="D5" s="187"/>
      <c r="E5" s="187"/>
      <c r="F5" s="187"/>
      <c r="G5" s="187"/>
      <c r="H5" s="187"/>
      <c r="I5" s="187"/>
      <c r="J5" s="187"/>
      <c r="K5" s="187"/>
      <c r="L5" s="187"/>
      <c r="M5" s="187"/>
      <c r="N5" s="187"/>
      <c r="O5" s="187"/>
      <c r="P5" s="187"/>
      <c r="Q5" s="187"/>
      <c r="R5" s="187"/>
      <c r="S5" s="187"/>
      <c r="T5" s="187"/>
      <c r="U5" s="187"/>
      <c r="V5" s="187"/>
      <c r="W5" s="187"/>
      <c r="X5" s="187"/>
    </row>
    <row r="6" spans="2:24" s="108" customFormat="1" ht="15">
      <c r="B6" s="187"/>
      <c r="C6" s="187"/>
      <c r="D6" s="187"/>
      <c r="E6" s="187"/>
      <c r="F6" s="187"/>
      <c r="G6" s="187"/>
      <c r="H6" s="187"/>
      <c r="I6" s="187"/>
      <c r="J6" s="187"/>
      <c r="K6" s="187"/>
      <c r="L6" s="187"/>
      <c r="M6" s="187"/>
      <c r="N6" s="187"/>
      <c r="O6" s="187"/>
      <c r="P6" s="187"/>
      <c r="Q6" s="187"/>
      <c r="R6" s="187"/>
      <c r="S6" s="187"/>
      <c r="T6" s="187"/>
      <c r="U6" s="187"/>
      <c r="V6" s="187"/>
      <c r="W6" s="187"/>
      <c r="X6" s="187"/>
    </row>
    <row r="7" spans="2:24" s="103" customFormat="1" ht="12.75">
      <c r="B7" s="109"/>
      <c r="C7" s="109"/>
      <c r="D7" s="117"/>
      <c r="E7" s="109"/>
      <c r="F7" s="122"/>
      <c r="G7" s="109"/>
      <c r="H7" s="122"/>
      <c r="I7" s="123"/>
      <c r="J7" s="123"/>
      <c r="K7" s="123"/>
      <c r="L7" s="123"/>
      <c r="M7" s="123"/>
      <c r="N7" s="123"/>
      <c r="O7" s="123"/>
      <c r="P7" s="123"/>
      <c r="Q7" s="123"/>
      <c r="R7" s="485" t="s">
        <v>46</v>
      </c>
      <c r="S7" s="485"/>
      <c r="T7" s="485"/>
      <c r="U7" s="123"/>
      <c r="V7" s="485" t="s">
        <v>402</v>
      </c>
      <c r="W7" s="485"/>
      <c r="X7" s="485"/>
    </row>
    <row r="8" spans="2:24" s="103" customFormat="1" ht="12.75">
      <c r="B8" s="109"/>
      <c r="C8" s="109"/>
      <c r="D8" s="356" t="s">
        <v>523</v>
      </c>
      <c r="E8" s="357"/>
      <c r="F8" s="358" t="s">
        <v>395</v>
      </c>
      <c r="G8" s="109"/>
      <c r="H8" s="122"/>
      <c r="I8" s="123"/>
      <c r="J8" s="485" t="s">
        <v>533</v>
      </c>
      <c r="K8" s="485"/>
      <c r="L8" s="485"/>
      <c r="M8" s="123"/>
      <c r="N8" s="485" t="s">
        <v>43</v>
      </c>
      <c r="O8" s="485"/>
      <c r="P8" s="485"/>
      <c r="Q8" s="123"/>
      <c r="R8" s="123" t="s">
        <v>399</v>
      </c>
      <c r="S8" s="123"/>
      <c r="T8" s="123" t="s">
        <v>2</v>
      </c>
      <c r="U8" s="123"/>
      <c r="V8" s="123" t="s">
        <v>403</v>
      </c>
      <c r="W8" s="123"/>
      <c r="X8" s="123" t="s">
        <v>627</v>
      </c>
    </row>
    <row r="9" spans="2:24" s="111" customFormat="1" ht="12.75">
      <c r="B9" s="112" t="s">
        <v>396</v>
      </c>
      <c r="C9" s="110"/>
      <c r="D9" s="359" t="s">
        <v>394</v>
      </c>
      <c r="E9" s="357"/>
      <c r="F9" s="360" t="s">
        <v>601</v>
      </c>
      <c r="G9" s="109"/>
      <c r="H9" s="125" t="s">
        <v>25</v>
      </c>
      <c r="I9" s="123"/>
      <c r="J9" s="124" t="s">
        <v>397</v>
      </c>
      <c r="K9" s="123"/>
      <c r="L9" s="124" t="s">
        <v>398</v>
      </c>
      <c r="M9" s="123"/>
      <c r="N9" s="124" t="s">
        <v>3</v>
      </c>
      <c r="O9" s="123"/>
      <c r="P9" s="124" t="s">
        <v>605</v>
      </c>
      <c r="Q9" s="123"/>
      <c r="R9" s="124" t="s">
        <v>400</v>
      </c>
      <c r="S9" s="123"/>
      <c r="T9" s="124" t="s">
        <v>401</v>
      </c>
      <c r="U9" s="123"/>
      <c r="V9" s="124" t="s">
        <v>404</v>
      </c>
      <c r="W9" s="123"/>
      <c r="X9" s="124" t="s">
        <v>404</v>
      </c>
    </row>
    <row r="10" spans="2:24" s="119" customFormat="1" ht="12.75">
      <c r="B10" s="115">
        <v>-1</v>
      </c>
      <c r="C10" s="116"/>
      <c r="D10" s="361">
        <v>-2</v>
      </c>
      <c r="E10" s="356"/>
      <c r="F10" s="358">
        <v>-3</v>
      </c>
      <c r="G10" s="117"/>
      <c r="H10" s="122">
        <v>-4</v>
      </c>
      <c r="I10" s="123"/>
      <c r="J10" s="123">
        <v>-5</v>
      </c>
      <c r="K10" s="123"/>
      <c r="L10" s="123">
        <v>-6</v>
      </c>
      <c r="M10" s="123"/>
      <c r="N10" s="123">
        <v>-7</v>
      </c>
      <c r="O10" s="123"/>
      <c r="P10" s="123">
        <v>-8</v>
      </c>
      <c r="Q10" s="123"/>
      <c r="R10" s="123">
        <v>-9</v>
      </c>
      <c r="S10" s="123"/>
      <c r="T10" s="123">
        <v>-10</v>
      </c>
      <c r="U10" s="123"/>
      <c r="V10" s="123">
        <v>-11</v>
      </c>
      <c r="W10" s="123"/>
      <c r="X10" s="123">
        <v>-12</v>
      </c>
    </row>
    <row r="11" spans="2:24" s="111" customFormat="1" ht="12.75">
      <c r="B11" s="110"/>
      <c r="C11" s="110"/>
      <c r="D11" s="361"/>
      <c r="E11" s="357"/>
      <c r="F11" s="358"/>
      <c r="G11" s="109"/>
      <c r="H11" s="122"/>
      <c r="I11" s="123"/>
      <c r="J11" s="123"/>
      <c r="K11" s="123"/>
      <c r="L11" s="123"/>
      <c r="M11" s="123"/>
      <c r="N11" s="123"/>
      <c r="O11" s="123"/>
      <c r="P11" s="123"/>
      <c r="Q11" s="123"/>
      <c r="R11" s="123"/>
      <c r="S11" s="123"/>
      <c r="T11" s="123"/>
      <c r="U11" s="123"/>
      <c r="V11" s="123"/>
      <c r="W11" s="123"/>
      <c r="X11" s="123"/>
    </row>
    <row r="12" spans="2:8" ht="12.75">
      <c r="B12" s="396" t="s">
        <v>252</v>
      </c>
      <c r="C12" s="105"/>
      <c r="D12" s="356"/>
      <c r="E12" s="362"/>
      <c r="F12" s="363"/>
      <c r="G12" s="106"/>
      <c r="H12" s="113"/>
    </row>
    <row r="13" spans="2:8" ht="12.75">
      <c r="B13" s="106" t="s">
        <v>126</v>
      </c>
      <c r="C13" s="105"/>
      <c r="D13" s="356"/>
      <c r="E13" s="362"/>
      <c r="F13" s="363"/>
      <c r="G13" s="106"/>
      <c r="H13" s="113"/>
    </row>
    <row r="14" spans="2:8" ht="12.75">
      <c r="B14" s="106" t="s">
        <v>251</v>
      </c>
      <c r="C14" s="105"/>
      <c r="D14" s="356"/>
      <c r="E14" s="362"/>
      <c r="F14" s="363"/>
      <c r="G14" s="106"/>
      <c r="H14" s="113"/>
    </row>
    <row r="15" spans="2:8" ht="12.75">
      <c r="B15" s="106" t="s">
        <v>145</v>
      </c>
      <c r="C15" s="105"/>
      <c r="D15" s="356"/>
      <c r="E15" s="362"/>
      <c r="F15" s="363"/>
      <c r="G15" s="106"/>
      <c r="H15" s="113"/>
    </row>
    <row r="16" spans="2:26" ht="12.75">
      <c r="B16" s="106" t="s">
        <v>250</v>
      </c>
      <c r="C16" s="105"/>
      <c r="D16" s="356">
        <v>2</v>
      </c>
      <c r="E16" s="362"/>
      <c r="F16" s="363">
        <f>+A16</f>
        <v>0</v>
      </c>
      <c r="G16" s="106"/>
      <c r="H16" s="113">
        <f>(VLOOKUP($D16,Factors,AA$394))*$F16</f>
        <v>0</v>
      </c>
      <c r="J16" s="113">
        <f>(VLOOKUP($D16,Factors,AC$394))*$F16</f>
        <v>0</v>
      </c>
      <c r="L16" s="113">
        <f>(VLOOKUP($D16,Factors,AE$394))*$F16</f>
        <v>0</v>
      </c>
      <c r="N16" s="113">
        <f>(VLOOKUP($D16,Factors,AG$394))*$F16</f>
        <v>0</v>
      </c>
      <c r="P16" s="113">
        <f>(VLOOKUP($D16,Factors,AI$394))*$F16</f>
        <v>0</v>
      </c>
      <c r="R16" s="113">
        <f>(VLOOKUP($D16,Factors,AK$394))*$F16</f>
        <v>0</v>
      </c>
      <c r="T16" s="113">
        <f>(VLOOKUP($D16,Factors,AM$394))*$F16</f>
        <v>0</v>
      </c>
      <c r="V16" s="113">
        <f>(VLOOKUP($D16,Factors,AO$394))*$F16</f>
        <v>0</v>
      </c>
      <c r="X16" s="113">
        <f>(VLOOKUP($D16,Factors,AQ$394))*$F16</f>
        <v>0</v>
      </c>
      <c r="Z16" s="126">
        <f>SUM(H16:X16)-F16</f>
        <v>0</v>
      </c>
    </row>
    <row r="17" spans="2:26" ht="12.75">
      <c r="B17" s="106" t="s">
        <v>249</v>
      </c>
      <c r="C17" s="105"/>
      <c r="D17" s="356"/>
      <c r="E17" s="362"/>
      <c r="F17" s="363"/>
      <c r="G17" s="106"/>
      <c r="H17" s="113"/>
      <c r="Z17" s="126">
        <f aca="true" t="shared" si="0" ref="Z17:Z80">SUM(H17:X17)-F17</f>
        <v>0</v>
      </c>
    </row>
    <row r="18" spans="1:26" ht="12.75">
      <c r="A18" s="126">
        <v>5350</v>
      </c>
      <c r="B18" s="106" t="s">
        <v>143</v>
      </c>
      <c r="C18" s="105"/>
      <c r="D18" s="356">
        <v>2</v>
      </c>
      <c r="E18" s="362"/>
      <c r="F18" s="363">
        <f>+A18</f>
        <v>5350</v>
      </c>
      <c r="G18" s="106"/>
      <c r="H18" s="113">
        <f>(VLOOKUP($D18,Factors,AA$394))*$F18</f>
        <v>3242.6349999999998</v>
      </c>
      <c r="J18" s="113">
        <f>(VLOOKUP($D18,Factors,AC$394))*$F18</f>
        <v>2107.365</v>
      </c>
      <c r="L18" s="113">
        <f>(VLOOKUP($D18,Factors,AE$394))*$F18</f>
        <v>0</v>
      </c>
      <c r="N18" s="113">
        <f>(VLOOKUP($D18,Factors,AG$394))*$F18</f>
        <v>0</v>
      </c>
      <c r="P18" s="113">
        <f>(VLOOKUP($D18,Factors,AI$394))*$F18</f>
        <v>0</v>
      </c>
      <c r="R18" s="113">
        <f>(VLOOKUP($D18,Factors,AK$394))*$F18</f>
        <v>0</v>
      </c>
      <c r="T18" s="113">
        <f>(VLOOKUP($D18,Factors,AM$394))*$F18</f>
        <v>0</v>
      </c>
      <c r="V18" s="113">
        <f>(VLOOKUP($D18,Factors,AO$394))*$F18</f>
        <v>0</v>
      </c>
      <c r="X18" s="113">
        <f>(VLOOKUP($D18,Factors,AQ$394))*$F18</f>
        <v>0</v>
      </c>
      <c r="Z18" s="126">
        <f t="shared" si="0"/>
        <v>0</v>
      </c>
    </row>
    <row r="19" spans="2:26" ht="12.75">
      <c r="B19" s="106" t="s">
        <v>142</v>
      </c>
      <c r="C19" s="105"/>
      <c r="D19" s="356">
        <v>2</v>
      </c>
      <c r="E19" s="362"/>
      <c r="F19" s="363">
        <f>+A19</f>
        <v>0</v>
      </c>
      <c r="G19" s="106"/>
      <c r="H19" s="113">
        <f>F19*'Schedule E'!$J$32</f>
        <v>0</v>
      </c>
      <c r="J19" s="121">
        <f>F19*'Schedule E'!$J$34</f>
        <v>0</v>
      </c>
      <c r="Z19" s="126">
        <f t="shared" si="0"/>
        <v>0</v>
      </c>
    </row>
    <row r="20" spans="1:26" ht="12.75">
      <c r="A20" s="126">
        <v>477462.973597864</v>
      </c>
      <c r="B20" s="106" t="s">
        <v>248</v>
      </c>
      <c r="C20" s="105"/>
      <c r="D20" s="356">
        <v>1</v>
      </c>
      <c r="E20" s="362"/>
      <c r="F20" s="363">
        <f>+A20</f>
        <v>477462.973597864</v>
      </c>
      <c r="G20" s="106"/>
      <c r="H20" s="113">
        <f>(VLOOKUP($D20,Factors,AA$394))*$F20</f>
        <v>477462.973597864</v>
      </c>
      <c r="J20" s="113">
        <f>(VLOOKUP($D20,Factors,AC$394))*$F20</f>
        <v>0</v>
      </c>
      <c r="L20" s="113">
        <f>(VLOOKUP($D20,Factors,AE$394))*$F20</f>
        <v>0</v>
      </c>
      <c r="N20" s="113">
        <f>(VLOOKUP($D20,Factors,AG$394))*$F20</f>
        <v>0</v>
      </c>
      <c r="P20" s="113">
        <f>(VLOOKUP($D20,Factors,AI$394))*$F20</f>
        <v>0</v>
      </c>
      <c r="R20" s="113">
        <f>(VLOOKUP($D20,Factors,AK$394))*$F20</f>
        <v>0</v>
      </c>
      <c r="T20" s="113">
        <f>(VLOOKUP($D20,Factors,AM$394))*$F20</f>
        <v>0</v>
      </c>
      <c r="V20" s="113">
        <f>(VLOOKUP($D20,Factors,AO$394))*$F20</f>
        <v>0</v>
      </c>
      <c r="X20" s="113">
        <f>(VLOOKUP($D20,Factors,AQ$394))*$F20</f>
        <v>0</v>
      </c>
      <c r="Z20" s="126">
        <f t="shared" si="0"/>
        <v>0</v>
      </c>
    </row>
    <row r="21" spans="1:26" ht="12.75">
      <c r="A21" s="126">
        <v>40435</v>
      </c>
      <c r="B21" s="106" t="s">
        <v>247</v>
      </c>
      <c r="C21" s="105"/>
      <c r="D21" s="356">
        <v>2</v>
      </c>
      <c r="E21" s="362"/>
      <c r="F21" s="363">
        <f>+A21</f>
        <v>40435</v>
      </c>
      <c r="G21" s="106"/>
      <c r="H21" s="113">
        <f>(VLOOKUP($D21,Factors,AA$394))*$F21</f>
        <v>24507.6535</v>
      </c>
      <c r="J21" s="113">
        <f>(VLOOKUP($D21,Factors,AC$394))*$F21</f>
        <v>15927.3465</v>
      </c>
      <c r="L21" s="113">
        <f>(VLOOKUP($D21,Factors,AE$394))*$F21</f>
        <v>0</v>
      </c>
      <c r="N21" s="113">
        <f>(VLOOKUP($D21,Factors,AG$394))*$F21</f>
        <v>0</v>
      </c>
      <c r="P21" s="113">
        <f>(VLOOKUP($D21,Factors,AI$394))*$F21</f>
        <v>0</v>
      </c>
      <c r="R21" s="113">
        <f>(VLOOKUP($D21,Factors,AK$394))*$F21</f>
        <v>0</v>
      </c>
      <c r="T21" s="113">
        <f>(VLOOKUP($D21,Factors,AM$394))*$F21</f>
        <v>0</v>
      </c>
      <c r="V21" s="113">
        <f>(VLOOKUP($D21,Factors,AO$394))*$F21</f>
        <v>0</v>
      </c>
      <c r="X21" s="113">
        <f>(VLOOKUP($D21,Factors,AQ$394))*$F21</f>
        <v>0</v>
      </c>
      <c r="Z21" s="126">
        <f t="shared" si="0"/>
        <v>0</v>
      </c>
    </row>
    <row r="22" spans="2:26" ht="12.75">
      <c r="B22" s="106" t="s">
        <v>246</v>
      </c>
      <c r="C22" s="105"/>
      <c r="D22" s="356">
        <v>2</v>
      </c>
      <c r="E22" s="362"/>
      <c r="F22" s="114">
        <f>+A22</f>
        <v>0</v>
      </c>
      <c r="G22" s="106"/>
      <c r="H22" s="114">
        <f>(VLOOKUP($D22,Factors,AA$394))*$F22</f>
        <v>0</v>
      </c>
      <c r="J22" s="114">
        <f>(VLOOKUP($D22,Factors,AC$394))*$F22</f>
        <v>0</v>
      </c>
      <c r="L22" s="114">
        <f>(VLOOKUP($D22,Factors,AE$394))*$F22</f>
        <v>0</v>
      </c>
      <c r="N22" s="114">
        <f>(VLOOKUP($D22,Factors,AG$394))*$F22</f>
        <v>0</v>
      </c>
      <c r="P22" s="114">
        <f>(VLOOKUP($D22,Factors,AI$394))*$F22</f>
        <v>0</v>
      </c>
      <c r="R22" s="114">
        <f>(VLOOKUP($D22,Factors,AK$394))*$F22</f>
        <v>0</v>
      </c>
      <c r="T22" s="114">
        <f>(VLOOKUP($D22,Factors,AM$394))*$F22</f>
        <v>0</v>
      </c>
      <c r="V22" s="114">
        <f>(VLOOKUP($D22,Factors,AO$394))*$F22</f>
        <v>0</v>
      </c>
      <c r="X22" s="114">
        <f>(VLOOKUP($D22,Factors,AQ$394))*$F22</f>
        <v>0</v>
      </c>
      <c r="Z22" s="126">
        <f t="shared" si="0"/>
        <v>0</v>
      </c>
    </row>
    <row r="23" spans="2:26" ht="7.5" customHeight="1">
      <c r="B23" s="106"/>
      <c r="C23" s="105"/>
      <c r="D23" s="356"/>
      <c r="E23" s="362"/>
      <c r="F23" s="113"/>
      <c r="G23" s="106"/>
      <c r="H23" s="113"/>
      <c r="Z23" s="126">
        <f t="shared" si="0"/>
        <v>0</v>
      </c>
    </row>
    <row r="24" spans="2:26" ht="12.75">
      <c r="B24" s="106" t="s">
        <v>134</v>
      </c>
      <c r="C24" s="105"/>
      <c r="D24" s="356"/>
      <c r="E24" s="362"/>
      <c r="F24" s="113">
        <f>SUM(F16:F22)</f>
        <v>523247.973597864</v>
      </c>
      <c r="G24" s="113"/>
      <c r="H24" s="113">
        <f aca="true" t="shared" si="1" ref="H24:X24">SUM(H16:H22)</f>
        <v>505213.262097864</v>
      </c>
      <c r="I24" s="113"/>
      <c r="J24" s="113">
        <f t="shared" si="1"/>
        <v>18034.711499999998</v>
      </c>
      <c r="K24" s="113"/>
      <c r="L24" s="113">
        <f t="shared" si="1"/>
        <v>0</v>
      </c>
      <c r="M24" s="113"/>
      <c r="N24" s="113">
        <f t="shared" si="1"/>
        <v>0</v>
      </c>
      <c r="O24" s="113"/>
      <c r="P24" s="113">
        <f t="shared" si="1"/>
        <v>0</v>
      </c>
      <c r="Q24" s="113"/>
      <c r="R24" s="113">
        <f t="shared" si="1"/>
        <v>0</v>
      </c>
      <c r="S24" s="113"/>
      <c r="T24" s="113">
        <f t="shared" si="1"/>
        <v>0</v>
      </c>
      <c r="U24" s="113"/>
      <c r="V24" s="113">
        <f t="shared" si="1"/>
        <v>0</v>
      </c>
      <c r="W24" s="113"/>
      <c r="X24" s="113">
        <f t="shared" si="1"/>
        <v>0</v>
      </c>
      <c r="Z24" s="126">
        <f t="shared" si="0"/>
        <v>0</v>
      </c>
    </row>
    <row r="25" spans="2:26" ht="12.75">
      <c r="B25" s="106"/>
      <c r="C25" s="105"/>
      <c r="D25" s="356"/>
      <c r="E25" s="362"/>
      <c r="F25" s="113"/>
      <c r="G25" s="106"/>
      <c r="H25" s="113"/>
      <c r="Z25" s="126">
        <f t="shared" si="0"/>
        <v>0</v>
      </c>
    </row>
    <row r="26" spans="2:26" ht="12.75">
      <c r="B26" s="106" t="s">
        <v>133</v>
      </c>
      <c r="C26" s="105"/>
      <c r="D26" s="356"/>
      <c r="E26" s="362"/>
      <c r="F26" s="113"/>
      <c r="G26" s="106"/>
      <c r="H26" s="113"/>
      <c r="Z26" s="126">
        <f t="shared" si="0"/>
        <v>0</v>
      </c>
    </row>
    <row r="27" spans="2:26" ht="12.75">
      <c r="B27" s="106" t="s">
        <v>245</v>
      </c>
      <c r="C27" s="105"/>
      <c r="D27" s="356">
        <v>2</v>
      </c>
      <c r="E27" s="362"/>
      <c r="F27" s="113">
        <f>+A27</f>
        <v>0</v>
      </c>
      <c r="G27" s="106"/>
      <c r="H27" s="113">
        <f aca="true" t="shared" si="2" ref="H27:H32">(VLOOKUP($D27,Factors,AA$394))*$F27</f>
        <v>0</v>
      </c>
      <c r="J27" s="113">
        <f aca="true" t="shared" si="3" ref="J27:J32">(VLOOKUP($D27,Factors,AC$394))*$F27</f>
        <v>0</v>
      </c>
      <c r="L27" s="113">
        <f aca="true" t="shared" si="4" ref="L27:L32">(VLOOKUP($D27,Factors,AE$394))*$F27</f>
        <v>0</v>
      </c>
      <c r="N27" s="113">
        <f aca="true" t="shared" si="5" ref="N27:N32">(VLOOKUP($D27,Factors,AG$394))*$F27</f>
        <v>0</v>
      </c>
      <c r="P27" s="113">
        <f aca="true" t="shared" si="6" ref="P27:P32">(VLOOKUP($D27,Factors,AI$394))*$F27</f>
        <v>0</v>
      </c>
      <c r="R27" s="113">
        <f aca="true" t="shared" si="7" ref="R27:R32">(VLOOKUP($D27,Factors,AK$394))*$F27</f>
        <v>0</v>
      </c>
      <c r="T27" s="113">
        <f aca="true" t="shared" si="8" ref="T27:T32">(VLOOKUP($D27,Factors,AM$394))*$F27</f>
        <v>0</v>
      </c>
      <c r="V27" s="113">
        <f aca="true" t="shared" si="9" ref="V27:V32">(VLOOKUP($D27,Factors,AO$394))*$F27</f>
        <v>0</v>
      </c>
      <c r="X27" s="113">
        <f aca="true" t="shared" si="10" ref="X27:X32">(VLOOKUP($D27,Factors,AQ$394))*$F27</f>
        <v>0</v>
      </c>
      <c r="Z27" s="126">
        <f t="shared" si="0"/>
        <v>0</v>
      </c>
    </row>
    <row r="28" spans="2:26" ht="12.75">
      <c r="B28" s="106" t="s">
        <v>244</v>
      </c>
      <c r="C28" s="105"/>
      <c r="D28" s="356">
        <v>1</v>
      </c>
      <c r="E28" s="362"/>
      <c r="F28" s="113">
        <f aca="true" t="shared" si="11" ref="F28:F35">+A28</f>
        <v>0</v>
      </c>
      <c r="G28" s="106"/>
      <c r="H28" s="113">
        <f t="shared" si="2"/>
        <v>0</v>
      </c>
      <c r="J28" s="113">
        <f t="shared" si="3"/>
        <v>0</v>
      </c>
      <c r="L28" s="113">
        <f t="shared" si="4"/>
        <v>0</v>
      </c>
      <c r="N28" s="113">
        <f t="shared" si="5"/>
        <v>0</v>
      </c>
      <c r="P28" s="113">
        <f t="shared" si="6"/>
        <v>0</v>
      </c>
      <c r="R28" s="113">
        <f t="shared" si="7"/>
        <v>0</v>
      </c>
      <c r="T28" s="113">
        <f t="shared" si="8"/>
        <v>0</v>
      </c>
      <c r="V28" s="113">
        <f t="shared" si="9"/>
        <v>0</v>
      </c>
      <c r="X28" s="113">
        <f t="shared" si="10"/>
        <v>0</v>
      </c>
      <c r="Z28" s="126">
        <f t="shared" si="0"/>
        <v>0</v>
      </c>
    </row>
    <row r="29" spans="2:26" ht="12.75">
      <c r="B29" s="106" t="s">
        <v>243</v>
      </c>
      <c r="C29" s="105"/>
      <c r="D29" s="356">
        <v>2</v>
      </c>
      <c r="E29" s="362"/>
      <c r="F29" s="113">
        <f t="shared" si="11"/>
        <v>0</v>
      </c>
      <c r="G29" s="106"/>
      <c r="H29" s="113">
        <f t="shared" si="2"/>
        <v>0</v>
      </c>
      <c r="J29" s="113">
        <f t="shared" si="3"/>
        <v>0</v>
      </c>
      <c r="L29" s="113">
        <f t="shared" si="4"/>
        <v>0</v>
      </c>
      <c r="N29" s="113">
        <f t="shared" si="5"/>
        <v>0</v>
      </c>
      <c r="P29" s="113">
        <f t="shared" si="6"/>
        <v>0</v>
      </c>
      <c r="R29" s="113">
        <f t="shared" si="7"/>
        <v>0</v>
      </c>
      <c r="T29" s="113">
        <f t="shared" si="8"/>
        <v>0</v>
      </c>
      <c r="V29" s="113">
        <f t="shared" si="9"/>
        <v>0</v>
      </c>
      <c r="X29" s="113">
        <f t="shared" si="10"/>
        <v>0</v>
      </c>
      <c r="Z29" s="126">
        <f t="shared" si="0"/>
        <v>0</v>
      </c>
    </row>
    <row r="30" spans="2:26" ht="12.75">
      <c r="B30" s="106" t="s">
        <v>242</v>
      </c>
      <c r="C30" s="105"/>
      <c r="D30" s="356">
        <v>2</v>
      </c>
      <c r="E30" s="362"/>
      <c r="F30" s="113">
        <f t="shared" si="11"/>
        <v>0</v>
      </c>
      <c r="G30" s="106"/>
      <c r="H30" s="113">
        <f t="shared" si="2"/>
        <v>0</v>
      </c>
      <c r="J30" s="113">
        <f t="shared" si="3"/>
        <v>0</v>
      </c>
      <c r="L30" s="113">
        <f t="shared" si="4"/>
        <v>0</v>
      </c>
      <c r="N30" s="113">
        <f t="shared" si="5"/>
        <v>0</v>
      </c>
      <c r="P30" s="113">
        <f t="shared" si="6"/>
        <v>0</v>
      </c>
      <c r="R30" s="113">
        <f t="shared" si="7"/>
        <v>0</v>
      </c>
      <c r="T30" s="113">
        <f t="shared" si="8"/>
        <v>0</v>
      </c>
      <c r="V30" s="113">
        <f t="shared" si="9"/>
        <v>0</v>
      </c>
      <c r="X30" s="113">
        <f t="shared" si="10"/>
        <v>0</v>
      </c>
      <c r="Z30" s="126">
        <f t="shared" si="0"/>
        <v>0</v>
      </c>
    </row>
    <row r="31" spans="2:26" ht="12.75">
      <c r="B31" s="106" t="s">
        <v>241</v>
      </c>
      <c r="C31" s="105"/>
      <c r="D31" s="356">
        <v>2</v>
      </c>
      <c r="E31" s="362"/>
      <c r="F31" s="113">
        <f t="shared" si="11"/>
        <v>0</v>
      </c>
      <c r="G31" s="106"/>
      <c r="H31" s="113">
        <f t="shared" si="2"/>
        <v>0</v>
      </c>
      <c r="J31" s="113">
        <f t="shared" si="3"/>
        <v>0</v>
      </c>
      <c r="L31" s="113">
        <f t="shared" si="4"/>
        <v>0</v>
      </c>
      <c r="N31" s="113">
        <f t="shared" si="5"/>
        <v>0</v>
      </c>
      <c r="P31" s="113">
        <f t="shared" si="6"/>
        <v>0</v>
      </c>
      <c r="R31" s="113">
        <f t="shared" si="7"/>
        <v>0</v>
      </c>
      <c r="T31" s="113">
        <f t="shared" si="8"/>
        <v>0</v>
      </c>
      <c r="V31" s="113">
        <f t="shared" si="9"/>
        <v>0</v>
      </c>
      <c r="X31" s="113">
        <f t="shared" si="10"/>
        <v>0</v>
      </c>
      <c r="Z31" s="126">
        <f t="shared" si="0"/>
        <v>0</v>
      </c>
    </row>
    <row r="32" spans="2:26" ht="12.75">
      <c r="B32" s="106" t="s">
        <v>240</v>
      </c>
      <c r="C32" s="105"/>
      <c r="D32" s="356">
        <v>2</v>
      </c>
      <c r="E32" s="362"/>
      <c r="F32" s="113">
        <f t="shared" si="11"/>
        <v>0</v>
      </c>
      <c r="G32" s="106"/>
      <c r="H32" s="113">
        <f t="shared" si="2"/>
        <v>0</v>
      </c>
      <c r="J32" s="113">
        <f t="shared" si="3"/>
        <v>0</v>
      </c>
      <c r="L32" s="113">
        <f t="shared" si="4"/>
        <v>0</v>
      </c>
      <c r="N32" s="113">
        <f t="shared" si="5"/>
        <v>0</v>
      </c>
      <c r="P32" s="113">
        <f t="shared" si="6"/>
        <v>0</v>
      </c>
      <c r="R32" s="113">
        <f t="shared" si="7"/>
        <v>0</v>
      </c>
      <c r="T32" s="113">
        <f t="shared" si="8"/>
        <v>0</v>
      </c>
      <c r="V32" s="113">
        <f t="shared" si="9"/>
        <v>0</v>
      </c>
      <c r="X32" s="113">
        <f t="shared" si="10"/>
        <v>0</v>
      </c>
      <c r="Z32" s="126">
        <f t="shared" si="0"/>
        <v>0</v>
      </c>
    </row>
    <row r="33" spans="2:26" ht="12.75">
      <c r="B33" s="106" t="s">
        <v>497</v>
      </c>
      <c r="C33" s="105"/>
      <c r="D33" s="356"/>
      <c r="E33" s="362"/>
      <c r="F33" s="113">
        <f t="shared" si="11"/>
        <v>0</v>
      </c>
      <c r="G33" s="106"/>
      <c r="H33" s="113"/>
      <c r="Z33" s="126">
        <f t="shared" si="0"/>
        <v>0</v>
      </c>
    </row>
    <row r="34" spans="1:26" ht="12.75">
      <c r="A34" s="126">
        <v>167580</v>
      </c>
      <c r="B34" s="106" t="s">
        <v>143</v>
      </c>
      <c r="C34" s="105"/>
      <c r="D34" s="356">
        <v>2</v>
      </c>
      <c r="E34" s="362"/>
      <c r="F34" s="113">
        <f t="shared" si="11"/>
        <v>167580</v>
      </c>
      <c r="G34" s="106"/>
      <c r="H34" s="113">
        <f>(VLOOKUP($D34,Factors,AA$394))*$F34</f>
        <v>101570.238</v>
      </c>
      <c r="J34" s="113">
        <f>(VLOOKUP($D34,Factors,AC$394))*$F34</f>
        <v>66009.762</v>
      </c>
      <c r="L34" s="113">
        <f>(VLOOKUP($D34,Factors,AE$394))*$F34</f>
        <v>0</v>
      </c>
      <c r="N34" s="113">
        <f>(VLOOKUP($D34,Factors,AG$394))*$F34</f>
        <v>0</v>
      </c>
      <c r="P34" s="113">
        <f>(VLOOKUP($D34,Factors,AI$394))*$F34</f>
        <v>0</v>
      </c>
      <c r="R34" s="113">
        <f>(VLOOKUP($D34,Factors,AK$394))*$F34</f>
        <v>0</v>
      </c>
      <c r="T34" s="113">
        <f>(VLOOKUP($D34,Factors,AM$394))*$F34</f>
        <v>0</v>
      </c>
      <c r="V34" s="113">
        <f>(VLOOKUP($D34,Factors,AO$394))*$F34</f>
        <v>0</v>
      </c>
      <c r="X34" s="113">
        <f>(VLOOKUP($D34,Factors,AQ$394))*$F34</f>
        <v>0</v>
      </c>
      <c r="Z34" s="126">
        <f t="shared" si="0"/>
        <v>0</v>
      </c>
    </row>
    <row r="35" spans="2:26" ht="12.75">
      <c r="B35" s="106" t="s">
        <v>142</v>
      </c>
      <c r="C35" s="105"/>
      <c r="D35" s="356">
        <v>2</v>
      </c>
      <c r="E35" s="362"/>
      <c r="F35" s="114">
        <f t="shared" si="11"/>
        <v>0</v>
      </c>
      <c r="G35" s="106"/>
      <c r="H35" s="114">
        <f>(VLOOKUP($D35,Factors,AA$394))*$F35</f>
        <v>0</v>
      </c>
      <c r="J35" s="114">
        <f>(VLOOKUP($D35,Factors,AC$394))*$F35</f>
        <v>0</v>
      </c>
      <c r="L35" s="114">
        <f>(VLOOKUP($D35,Factors,AE$394))*$F35</f>
        <v>0</v>
      </c>
      <c r="N35" s="114">
        <f>(VLOOKUP($D35,Factors,AG$394))*$F35</f>
        <v>0</v>
      </c>
      <c r="P35" s="114">
        <f>(VLOOKUP($D35,Factors,AI$394))*$F35</f>
        <v>0</v>
      </c>
      <c r="R35" s="114">
        <f>(VLOOKUP($D35,Factors,AK$394))*$F35</f>
        <v>0</v>
      </c>
      <c r="T35" s="114">
        <f>(VLOOKUP($D35,Factors,AM$394))*$F35</f>
        <v>0</v>
      </c>
      <c r="V35" s="114">
        <f>(VLOOKUP($D35,Factors,AO$394))*$F35</f>
        <v>0</v>
      </c>
      <c r="X35" s="114">
        <f>(VLOOKUP($D35,Factors,AQ$394))*$F35</f>
        <v>0</v>
      </c>
      <c r="Z35" s="126">
        <f t="shared" si="0"/>
        <v>0</v>
      </c>
    </row>
    <row r="36" spans="2:26" ht="7.5" customHeight="1">
      <c r="B36" s="106"/>
      <c r="C36" s="105"/>
      <c r="D36" s="356"/>
      <c r="E36" s="362"/>
      <c r="F36" s="113"/>
      <c r="G36" s="106"/>
      <c r="H36" s="113"/>
      <c r="Z36" s="126">
        <f t="shared" si="0"/>
        <v>0</v>
      </c>
    </row>
    <row r="37" spans="2:26" ht="12.75">
      <c r="B37" s="106" t="s">
        <v>131</v>
      </c>
      <c r="C37" s="105"/>
      <c r="D37" s="356"/>
      <c r="E37" s="362"/>
      <c r="F37" s="113">
        <f>SUM(F27:F35)</f>
        <v>167580</v>
      </c>
      <c r="G37" s="113"/>
      <c r="H37" s="113">
        <f aca="true" t="shared" si="12" ref="H37:X37">SUM(H27:H35)</f>
        <v>101570.238</v>
      </c>
      <c r="I37" s="113"/>
      <c r="J37" s="113">
        <f t="shared" si="12"/>
        <v>66009.762</v>
      </c>
      <c r="K37" s="113"/>
      <c r="L37" s="113">
        <f t="shared" si="12"/>
        <v>0</v>
      </c>
      <c r="M37" s="113"/>
      <c r="N37" s="113">
        <f t="shared" si="12"/>
        <v>0</v>
      </c>
      <c r="O37" s="113"/>
      <c r="P37" s="113">
        <f t="shared" si="12"/>
        <v>0</v>
      </c>
      <c r="Q37" s="113"/>
      <c r="R37" s="113">
        <f t="shared" si="12"/>
        <v>0</v>
      </c>
      <c r="S37" s="113"/>
      <c r="T37" s="113">
        <f t="shared" si="12"/>
        <v>0</v>
      </c>
      <c r="U37" s="113"/>
      <c r="V37" s="113">
        <f t="shared" si="12"/>
        <v>0</v>
      </c>
      <c r="W37" s="113"/>
      <c r="X37" s="113">
        <f t="shared" si="12"/>
        <v>0</v>
      </c>
      <c r="Z37" s="126">
        <f t="shared" si="0"/>
        <v>0</v>
      </c>
    </row>
    <row r="38" spans="2:26" ht="9" customHeight="1">
      <c r="B38" s="106"/>
      <c r="C38" s="105"/>
      <c r="D38" s="356"/>
      <c r="E38" s="362"/>
      <c r="F38" s="113"/>
      <c r="G38" s="106"/>
      <c r="H38" s="113"/>
      <c r="Z38" s="126">
        <f t="shared" si="0"/>
        <v>0</v>
      </c>
    </row>
    <row r="39" spans="2:26" ht="12.75">
      <c r="B39" s="106" t="s">
        <v>231</v>
      </c>
      <c r="C39" s="105"/>
      <c r="D39" s="356"/>
      <c r="E39" s="362"/>
      <c r="F39" s="113">
        <f>F24+F37</f>
        <v>690827.9735978639</v>
      </c>
      <c r="G39" s="113"/>
      <c r="H39" s="113">
        <f aca="true" t="shared" si="13" ref="H39:X39">H24+H37</f>
        <v>606783.500097864</v>
      </c>
      <c r="I39" s="113"/>
      <c r="J39" s="113">
        <f t="shared" si="13"/>
        <v>84044.4735</v>
      </c>
      <c r="K39" s="113"/>
      <c r="L39" s="113">
        <f t="shared" si="13"/>
        <v>0</v>
      </c>
      <c r="M39" s="113"/>
      <c r="N39" s="113">
        <f t="shared" si="13"/>
        <v>0</v>
      </c>
      <c r="O39" s="113"/>
      <c r="P39" s="113">
        <f t="shared" si="13"/>
        <v>0</v>
      </c>
      <c r="Q39" s="113"/>
      <c r="R39" s="113">
        <f t="shared" si="13"/>
        <v>0</v>
      </c>
      <c r="S39" s="113"/>
      <c r="T39" s="113">
        <f t="shared" si="13"/>
        <v>0</v>
      </c>
      <c r="U39" s="113"/>
      <c r="V39" s="113">
        <f t="shared" si="13"/>
        <v>0</v>
      </c>
      <c r="W39" s="113"/>
      <c r="X39" s="113">
        <f t="shared" si="13"/>
        <v>0</v>
      </c>
      <c r="Z39" s="126">
        <f t="shared" si="0"/>
        <v>0</v>
      </c>
    </row>
    <row r="40" spans="2:26" ht="12.75">
      <c r="B40" s="106"/>
      <c r="C40" s="105"/>
      <c r="D40" s="356"/>
      <c r="E40" s="362"/>
      <c r="F40" s="113"/>
      <c r="G40" s="106"/>
      <c r="H40" s="113"/>
      <c r="Z40" s="126">
        <f t="shared" si="0"/>
        <v>0</v>
      </c>
    </row>
    <row r="41" spans="2:26" ht="12.75">
      <c r="B41" s="106" t="s">
        <v>230</v>
      </c>
      <c r="C41" s="105"/>
      <c r="D41" s="356"/>
      <c r="E41" s="362"/>
      <c r="F41" s="113"/>
      <c r="G41" s="106"/>
      <c r="H41" s="113"/>
      <c r="Z41" s="126">
        <f t="shared" si="0"/>
        <v>0</v>
      </c>
    </row>
    <row r="42" spans="2:26" ht="12.75">
      <c r="B42" s="106" t="s">
        <v>229</v>
      </c>
      <c r="C42" s="105"/>
      <c r="D42" s="356">
        <v>6</v>
      </c>
      <c r="E42" s="362"/>
      <c r="F42" s="113">
        <f>+A42</f>
        <v>0</v>
      </c>
      <c r="G42" s="106"/>
      <c r="H42" s="113">
        <f>(VLOOKUP($D42,Factors,AA$394))*$F42</f>
        <v>0</v>
      </c>
      <c r="J42" s="113">
        <f>(VLOOKUP($D42,Factors,AC$394))*$F42</f>
        <v>0</v>
      </c>
      <c r="L42" s="113">
        <f>(VLOOKUP($D42,Factors,AE$394))*$F42</f>
        <v>0</v>
      </c>
      <c r="N42" s="113">
        <f>(VLOOKUP($D42,Factors,AG$394))*$F42</f>
        <v>0</v>
      </c>
      <c r="P42" s="113">
        <f>(VLOOKUP($D42,Factors,AI$394))*$F42</f>
        <v>0</v>
      </c>
      <c r="R42" s="113">
        <f>(VLOOKUP($D42,Factors,AK$394))*$F42</f>
        <v>0</v>
      </c>
      <c r="T42" s="113">
        <f>(VLOOKUP($D42,Factors,AM$394))*$F42</f>
        <v>0</v>
      </c>
      <c r="V42" s="113">
        <f>(VLOOKUP($D42,Factors,AO$394))*$F42</f>
        <v>0</v>
      </c>
      <c r="X42" s="113">
        <f>(VLOOKUP($D42,Factors,AQ$394))*$F42</f>
        <v>0</v>
      </c>
      <c r="Z42" s="126">
        <f t="shared" si="0"/>
        <v>0</v>
      </c>
    </row>
    <row r="43" spans="2:26" ht="12.75">
      <c r="B43" s="106" t="s">
        <v>228</v>
      </c>
      <c r="C43" s="105"/>
      <c r="D43" s="356"/>
      <c r="E43" s="362"/>
      <c r="F43" s="113"/>
      <c r="G43" s="106"/>
      <c r="H43" s="113"/>
      <c r="Z43" s="126">
        <f t="shared" si="0"/>
        <v>0</v>
      </c>
    </row>
    <row r="44" spans="2:26" ht="12.75">
      <c r="B44" s="106" t="s">
        <v>143</v>
      </c>
      <c r="C44" s="105"/>
      <c r="D44" s="356">
        <v>6</v>
      </c>
      <c r="E44" s="362"/>
      <c r="F44" s="113">
        <f aca="true" t="shared" si="14" ref="F44:F51">+A44</f>
        <v>0</v>
      </c>
      <c r="G44" s="106"/>
      <c r="H44" s="113">
        <f>(VLOOKUP($D44,Factors,AA$394))*$F44</f>
        <v>0</v>
      </c>
      <c r="J44" s="113">
        <f>(VLOOKUP($D44,Factors,AC$394))*$F44</f>
        <v>0</v>
      </c>
      <c r="L44" s="113">
        <f>(VLOOKUP($D44,Factors,AE$394))*$F44</f>
        <v>0</v>
      </c>
      <c r="N44" s="113">
        <f>(VLOOKUP($D44,Factors,AG$394))*$F44</f>
        <v>0</v>
      </c>
      <c r="P44" s="113">
        <f>(VLOOKUP($D44,Factors,AI$394))*$F44</f>
        <v>0</v>
      </c>
      <c r="R44" s="113">
        <f>(VLOOKUP($D44,Factors,AK$394))*$F44</f>
        <v>0</v>
      </c>
      <c r="T44" s="113">
        <f>(VLOOKUP($D44,Factors,AM$394))*$F44</f>
        <v>0</v>
      </c>
      <c r="V44" s="113">
        <f>(VLOOKUP($D44,Factors,AO$394))*$F44</f>
        <v>0</v>
      </c>
      <c r="X44" s="113">
        <f>(VLOOKUP($D44,Factors,AQ$394))*$F44</f>
        <v>0</v>
      </c>
      <c r="Z44" s="126">
        <f t="shared" si="0"/>
        <v>0</v>
      </c>
    </row>
    <row r="45" spans="2:26" ht="12.75">
      <c r="B45" s="106" t="s">
        <v>142</v>
      </c>
      <c r="C45" s="105"/>
      <c r="D45" s="356">
        <v>6</v>
      </c>
      <c r="E45" s="362"/>
      <c r="F45" s="113">
        <f t="shared" si="14"/>
        <v>0</v>
      </c>
      <c r="G45" s="106"/>
      <c r="H45" s="113">
        <f>(VLOOKUP($D45,Factors,AA$394))*$F45</f>
        <v>0</v>
      </c>
      <c r="J45" s="113">
        <f>(VLOOKUP($D45,Factors,AC$394))*$F45</f>
        <v>0</v>
      </c>
      <c r="L45" s="113">
        <f>(VLOOKUP($D45,Factors,AE$394))*$F45</f>
        <v>0</v>
      </c>
      <c r="N45" s="113">
        <f>(VLOOKUP($D45,Factors,AG$394))*$F45</f>
        <v>0</v>
      </c>
      <c r="P45" s="113">
        <f>(VLOOKUP($D45,Factors,AI$394))*$F45</f>
        <v>0</v>
      </c>
      <c r="R45" s="113">
        <f>(VLOOKUP($D45,Factors,AK$394))*$F45</f>
        <v>0</v>
      </c>
      <c r="T45" s="113">
        <f>(VLOOKUP($D45,Factors,AM$394))*$F45</f>
        <v>0</v>
      </c>
      <c r="V45" s="113">
        <f>(VLOOKUP($D45,Factors,AO$394))*$F45</f>
        <v>0</v>
      </c>
      <c r="X45" s="113">
        <f>(VLOOKUP($D45,Factors,AQ$394))*$F45</f>
        <v>0</v>
      </c>
      <c r="Z45" s="126">
        <f t="shared" si="0"/>
        <v>0</v>
      </c>
    </row>
    <row r="46" spans="1:26" ht="12.75">
      <c r="A46" s="126">
        <v>2986276.9749717405</v>
      </c>
      <c r="B46" s="106" t="s">
        <v>227</v>
      </c>
      <c r="C46" s="105"/>
      <c r="D46" s="356">
        <v>1</v>
      </c>
      <c r="E46" s="362"/>
      <c r="F46" s="113">
        <f t="shared" si="14"/>
        <v>2986276.9749717405</v>
      </c>
      <c r="G46" s="106"/>
      <c r="H46" s="113">
        <f>(VLOOKUP($D46,Factors,AA$394))*$F46</f>
        <v>2986276.9749717405</v>
      </c>
      <c r="J46" s="113">
        <f>(VLOOKUP($D46,Factors,AC$394))*$F46</f>
        <v>0</v>
      </c>
      <c r="L46" s="113">
        <f>(VLOOKUP($D46,Factors,AE$394))*$F46</f>
        <v>0</v>
      </c>
      <c r="N46" s="113">
        <f>(VLOOKUP($D46,Factors,AG$394))*$F46</f>
        <v>0</v>
      </c>
      <c r="P46" s="113">
        <f>(VLOOKUP($D46,Factors,AI$394))*$F46</f>
        <v>0</v>
      </c>
      <c r="R46" s="113">
        <f>(VLOOKUP($D46,Factors,AK$394))*$F46</f>
        <v>0</v>
      </c>
      <c r="T46" s="113">
        <f>(VLOOKUP($D46,Factors,AM$394))*$F46</f>
        <v>0</v>
      </c>
      <c r="V46" s="113">
        <f>(VLOOKUP($D46,Factors,AO$394))*$F46</f>
        <v>0</v>
      </c>
      <c r="X46" s="113">
        <f>(VLOOKUP($D46,Factors,AQ$394))*$F46</f>
        <v>0</v>
      </c>
      <c r="Z46" s="126">
        <f t="shared" si="0"/>
        <v>0</v>
      </c>
    </row>
    <row r="47" spans="2:26" ht="12.75">
      <c r="B47" s="106" t="s">
        <v>226</v>
      </c>
      <c r="C47" s="105"/>
      <c r="D47" s="356"/>
      <c r="E47" s="362"/>
      <c r="F47" s="113"/>
      <c r="G47" s="106"/>
      <c r="H47" s="113"/>
      <c r="Z47" s="126">
        <f t="shared" si="0"/>
        <v>0</v>
      </c>
    </row>
    <row r="48" spans="2:26" ht="12.75">
      <c r="B48" s="106" t="s">
        <v>143</v>
      </c>
      <c r="C48" s="105"/>
      <c r="D48" s="356">
        <v>6</v>
      </c>
      <c r="E48" s="362"/>
      <c r="F48" s="113">
        <f t="shared" si="14"/>
        <v>0</v>
      </c>
      <c r="G48" s="106"/>
      <c r="H48" s="113">
        <f>(VLOOKUP($D48,Factors,AA$394))*$F48</f>
        <v>0</v>
      </c>
      <c r="J48" s="113">
        <f>(VLOOKUP($D48,Factors,AC$394))*$F48</f>
        <v>0</v>
      </c>
      <c r="L48" s="113">
        <f>(VLOOKUP($D48,Factors,AE$394))*$F48</f>
        <v>0</v>
      </c>
      <c r="N48" s="113">
        <f>(VLOOKUP($D48,Factors,AG$394))*$F48</f>
        <v>0</v>
      </c>
      <c r="P48" s="113">
        <f>(VLOOKUP($D48,Factors,AI$394))*$F48</f>
        <v>0</v>
      </c>
      <c r="R48" s="113">
        <f>(VLOOKUP($D48,Factors,AK$394))*$F48</f>
        <v>0</v>
      </c>
      <c r="T48" s="113">
        <f>(VLOOKUP($D48,Factors,AM$394))*$F48</f>
        <v>0</v>
      </c>
      <c r="V48" s="113">
        <f>(VLOOKUP($D48,Factors,AO$394))*$F48</f>
        <v>0</v>
      </c>
      <c r="X48" s="113">
        <f>(VLOOKUP($D48,Factors,AQ$394))*$F48</f>
        <v>0</v>
      </c>
      <c r="Z48" s="126">
        <f t="shared" si="0"/>
        <v>0</v>
      </c>
    </row>
    <row r="49" spans="2:26" ht="12.75">
      <c r="B49" s="106" t="s">
        <v>142</v>
      </c>
      <c r="C49" s="105"/>
      <c r="D49" s="356">
        <v>6</v>
      </c>
      <c r="E49" s="362"/>
      <c r="F49" s="113">
        <f t="shared" si="14"/>
        <v>0</v>
      </c>
      <c r="G49" s="106"/>
      <c r="H49" s="113">
        <f>(VLOOKUP($D49,Factors,AA$394))*$F49</f>
        <v>0</v>
      </c>
      <c r="J49" s="113">
        <f>(VLOOKUP($D49,Factors,AC$394))*$F49</f>
        <v>0</v>
      </c>
      <c r="L49" s="113">
        <f>(VLOOKUP($D49,Factors,AE$394))*$F49</f>
        <v>0</v>
      </c>
      <c r="N49" s="113">
        <f>(VLOOKUP($D49,Factors,AG$394))*$F49</f>
        <v>0</v>
      </c>
      <c r="P49" s="113">
        <f>(VLOOKUP($D49,Factors,AI$394))*$F49</f>
        <v>0</v>
      </c>
      <c r="R49" s="113">
        <f>(VLOOKUP($D49,Factors,AK$394))*$F49</f>
        <v>0</v>
      </c>
      <c r="T49" s="113">
        <f>(VLOOKUP($D49,Factors,AM$394))*$F49</f>
        <v>0</v>
      </c>
      <c r="V49" s="113">
        <f>(VLOOKUP($D49,Factors,AO$394))*$F49</f>
        <v>0</v>
      </c>
      <c r="X49" s="113">
        <f>(VLOOKUP($D49,Factors,AQ$394))*$F49</f>
        <v>0</v>
      </c>
      <c r="Z49" s="126">
        <f t="shared" si="0"/>
        <v>0</v>
      </c>
    </row>
    <row r="50" spans="2:26" ht="12.75">
      <c r="B50" s="106" t="s">
        <v>225</v>
      </c>
      <c r="C50" s="105"/>
      <c r="D50" s="356">
        <v>6</v>
      </c>
      <c r="E50" s="362"/>
      <c r="F50" s="113">
        <f t="shared" si="14"/>
        <v>0</v>
      </c>
      <c r="G50" s="106"/>
      <c r="H50" s="113">
        <f>(VLOOKUP($D50,Factors,AA$394))*$F50</f>
        <v>0</v>
      </c>
      <c r="J50" s="113">
        <f>(VLOOKUP($D50,Factors,AC$394))*$F50</f>
        <v>0</v>
      </c>
      <c r="L50" s="113">
        <f>(VLOOKUP($D50,Factors,AE$394))*$F50</f>
        <v>0</v>
      </c>
      <c r="N50" s="113">
        <f>(VLOOKUP($D50,Factors,AG$394))*$F50</f>
        <v>0</v>
      </c>
      <c r="P50" s="113">
        <f>(VLOOKUP($D50,Factors,AI$394))*$F50</f>
        <v>0</v>
      </c>
      <c r="R50" s="113">
        <f>(VLOOKUP($D50,Factors,AK$394))*$F50</f>
        <v>0</v>
      </c>
      <c r="T50" s="113">
        <f>(VLOOKUP($D50,Factors,AM$394))*$F50</f>
        <v>0</v>
      </c>
      <c r="V50" s="113">
        <f>(VLOOKUP($D50,Factors,AO$394))*$F50</f>
        <v>0</v>
      </c>
      <c r="X50" s="113">
        <f>(VLOOKUP($D50,Factors,AQ$394))*$F50</f>
        <v>0</v>
      </c>
      <c r="Z50" s="126">
        <f t="shared" si="0"/>
        <v>0</v>
      </c>
    </row>
    <row r="51" spans="2:26" ht="12.75">
      <c r="B51" s="106" t="s">
        <v>379</v>
      </c>
      <c r="C51" s="105"/>
      <c r="D51" s="356">
        <v>6</v>
      </c>
      <c r="E51" s="362"/>
      <c r="F51" s="114">
        <f t="shared" si="14"/>
        <v>0</v>
      </c>
      <c r="G51" s="106"/>
      <c r="H51" s="114">
        <f>(VLOOKUP($D51,Factors,AA$394))*$F51</f>
        <v>0</v>
      </c>
      <c r="J51" s="114">
        <f>(VLOOKUP($D51,Factors,AC$394))*$F51</f>
        <v>0</v>
      </c>
      <c r="L51" s="114">
        <f>(VLOOKUP($D51,Factors,AE$394))*$F51</f>
        <v>0</v>
      </c>
      <c r="N51" s="114">
        <f>(VLOOKUP($D51,Factors,AG$394))*$F51</f>
        <v>0</v>
      </c>
      <c r="P51" s="114">
        <f>(VLOOKUP($D51,Factors,AI$394))*$F51</f>
        <v>0</v>
      </c>
      <c r="R51" s="114">
        <f>(VLOOKUP($D51,Factors,AK$394))*$F51</f>
        <v>0</v>
      </c>
      <c r="T51" s="114">
        <f>(VLOOKUP($D51,Factors,AM$394))*$F51</f>
        <v>0</v>
      </c>
      <c r="V51" s="114">
        <f>(VLOOKUP($D51,Factors,AO$394))*$F51</f>
        <v>0</v>
      </c>
      <c r="X51" s="114">
        <f>(VLOOKUP($D51,Factors,AQ$394))*$F51</f>
        <v>0</v>
      </c>
      <c r="Z51" s="126">
        <f t="shared" si="0"/>
        <v>0</v>
      </c>
    </row>
    <row r="52" spans="2:26" ht="6.75" customHeight="1">
      <c r="B52" s="106"/>
      <c r="C52" s="105"/>
      <c r="D52" s="356"/>
      <c r="E52" s="362"/>
      <c r="F52" s="113"/>
      <c r="G52" s="106"/>
      <c r="H52" s="113"/>
      <c r="Z52" s="126">
        <f t="shared" si="0"/>
        <v>0</v>
      </c>
    </row>
    <row r="53" spans="2:26" ht="12.75">
      <c r="B53" s="106" t="s">
        <v>134</v>
      </c>
      <c r="C53" s="105"/>
      <c r="D53" s="356"/>
      <c r="E53" s="362"/>
      <c r="F53" s="113">
        <f>SUM(F42:F51)</f>
        <v>2986276.9749717405</v>
      </c>
      <c r="G53" s="113"/>
      <c r="H53" s="113">
        <f aca="true" t="shared" si="15" ref="H53:X53">SUM(H42:H51)</f>
        <v>2986276.9749717405</v>
      </c>
      <c r="I53" s="113"/>
      <c r="J53" s="113">
        <f t="shared" si="15"/>
        <v>0</v>
      </c>
      <c r="K53" s="113"/>
      <c r="L53" s="113">
        <f t="shared" si="15"/>
        <v>0</v>
      </c>
      <c r="M53" s="113"/>
      <c r="N53" s="113">
        <f t="shared" si="15"/>
        <v>0</v>
      </c>
      <c r="O53" s="113"/>
      <c r="P53" s="113">
        <f t="shared" si="15"/>
        <v>0</v>
      </c>
      <c r="Q53" s="113"/>
      <c r="R53" s="113">
        <f t="shared" si="15"/>
        <v>0</v>
      </c>
      <c r="S53" s="113"/>
      <c r="T53" s="113">
        <f t="shared" si="15"/>
        <v>0</v>
      </c>
      <c r="U53" s="113"/>
      <c r="V53" s="113">
        <f t="shared" si="15"/>
        <v>0</v>
      </c>
      <c r="W53" s="113"/>
      <c r="X53" s="113">
        <f t="shared" si="15"/>
        <v>0</v>
      </c>
      <c r="Z53" s="126">
        <f t="shared" si="0"/>
        <v>0</v>
      </c>
    </row>
    <row r="54" spans="2:26" ht="12.75">
      <c r="B54" s="106" t="s">
        <v>133</v>
      </c>
      <c r="C54" s="105"/>
      <c r="D54" s="356"/>
      <c r="E54" s="362"/>
      <c r="F54" s="113"/>
      <c r="G54" s="106"/>
      <c r="H54" s="113"/>
      <c r="Z54" s="126">
        <f t="shared" si="0"/>
        <v>0</v>
      </c>
    </row>
    <row r="55" spans="1:26" ht="12.75">
      <c r="A55" s="126">
        <v>337154.47</v>
      </c>
      <c r="B55" s="106" t="s">
        <v>224</v>
      </c>
      <c r="C55" s="105"/>
      <c r="D55" s="356">
        <v>6</v>
      </c>
      <c r="E55" s="362"/>
      <c r="F55" s="113">
        <f>+A55</f>
        <v>337154.47</v>
      </c>
      <c r="G55" s="106"/>
      <c r="H55" s="113">
        <f>(VLOOKUP($D55,Factors,AA$394))*$F55</f>
        <v>189885.39750399996</v>
      </c>
      <c r="J55" s="113">
        <f>(VLOOKUP($D55,Factors,AC$394))*$F55</f>
        <v>113688.48728399999</v>
      </c>
      <c r="L55" s="113">
        <f>(VLOOKUP($D55,Factors,AE$394))*$F55</f>
        <v>22420.772255</v>
      </c>
      <c r="N55" s="113">
        <f>(VLOOKUP($D55,Factors,AG$394))*$F55</f>
        <v>0</v>
      </c>
      <c r="P55" s="113">
        <f>(VLOOKUP($D55,Factors,AI$394))*$F55</f>
        <v>0</v>
      </c>
      <c r="R55" s="113">
        <f>(VLOOKUP($D55,Factors,AK$394))*$F55</f>
        <v>0</v>
      </c>
      <c r="T55" s="113">
        <f>(VLOOKUP($D55,Factors,AM$394))*$F55</f>
        <v>0</v>
      </c>
      <c r="V55" s="113">
        <f>(VLOOKUP($D55,Factors,AO$394))*$F55</f>
        <v>4821.308921</v>
      </c>
      <c r="X55" s="113">
        <f>(VLOOKUP($D55,Factors,AQ$394))*$F55</f>
        <v>6338.504035999998</v>
      </c>
      <c r="Z55" s="126">
        <f t="shared" si="0"/>
        <v>0</v>
      </c>
    </row>
    <row r="56" spans="2:26" ht="12.75">
      <c r="B56" s="106" t="s">
        <v>223</v>
      </c>
      <c r="C56" s="105"/>
      <c r="D56" s="356"/>
      <c r="E56" s="362"/>
      <c r="F56" s="113"/>
      <c r="G56" s="106"/>
      <c r="H56" s="113"/>
      <c r="Z56" s="126">
        <f t="shared" si="0"/>
        <v>0</v>
      </c>
    </row>
    <row r="57" spans="2:26" ht="12.75">
      <c r="B57" s="106" t="s">
        <v>143</v>
      </c>
      <c r="C57" s="105"/>
      <c r="D57" s="356">
        <v>6</v>
      </c>
      <c r="E57" s="362"/>
      <c r="F57" s="113">
        <f>+A57</f>
        <v>0</v>
      </c>
      <c r="G57" s="106"/>
      <c r="H57" s="113">
        <f>(VLOOKUP($D57,Factors,AA$394))*$F57</f>
        <v>0</v>
      </c>
      <c r="J57" s="113">
        <f>(VLOOKUP($D57,Factors,AC$394))*$F57</f>
        <v>0</v>
      </c>
      <c r="L57" s="113">
        <f>(VLOOKUP($D57,Factors,AE$394))*$F57</f>
        <v>0</v>
      </c>
      <c r="N57" s="113">
        <f>(VLOOKUP($D57,Factors,AG$394))*$F57</f>
        <v>0</v>
      </c>
      <c r="P57" s="113">
        <f>(VLOOKUP($D57,Factors,AI$394))*$F57</f>
        <v>0</v>
      </c>
      <c r="R57" s="113">
        <f>(VLOOKUP($D57,Factors,AK$394))*$F57</f>
        <v>0</v>
      </c>
      <c r="T57" s="113">
        <f>(VLOOKUP($D57,Factors,AM$394))*$F57</f>
        <v>0</v>
      </c>
      <c r="V57" s="113">
        <f>(VLOOKUP($D57,Factors,AO$394))*$F57</f>
        <v>0</v>
      </c>
      <c r="X57" s="113">
        <f>(VLOOKUP($D57,Factors,AQ$394))*$F57</f>
        <v>0</v>
      </c>
      <c r="Z57" s="126">
        <f t="shared" si="0"/>
        <v>0</v>
      </c>
    </row>
    <row r="58" spans="2:26" ht="12.75">
      <c r="B58" s="106" t="s">
        <v>142</v>
      </c>
      <c r="C58" s="105"/>
      <c r="D58" s="356">
        <v>6</v>
      </c>
      <c r="E58" s="362"/>
      <c r="F58" s="113">
        <f>+A58</f>
        <v>0</v>
      </c>
      <c r="G58" s="106"/>
      <c r="H58" s="113">
        <f>(VLOOKUP($D58,Factors,AA$394))*$F58</f>
        <v>0</v>
      </c>
      <c r="J58" s="113">
        <f>(VLOOKUP($D58,Factors,AC$394))*$F58</f>
        <v>0</v>
      </c>
      <c r="L58" s="113">
        <f>(VLOOKUP($D58,Factors,AE$394))*$F58</f>
        <v>0</v>
      </c>
      <c r="N58" s="113">
        <f>(VLOOKUP($D58,Factors,AG$394))*$F58</f>
        <v>0</v>
      </c>
      <c r="P58" s="113">
        <f>(VLOOKUP($D58,Factors,AI$394))*$F58</f>
        <v>0</v>
      </c>
      <c r="R58" s="113">
        <f>(VLOOKUP($D58,Factors,AK$394))*$F58</f>
        <v>0</v>
      </c>
      <c r="T58" s="113">
        <f>(VLOOKUP($D58,Factors,AM$394))*$F58</f>
        <v>0</v>
      </c>
      <c r="V58" s="113">
        <f>(VLOOKUP($D58,Factors,AO$394))*$F58</f>
        <v>0</v>
      </c>
      <c r="X58" s="113">
        <f>(VLOOKUP($D58,Factors,AQ$394))*$F58</f>
        <v>0</v>
      </c>
      <c r="Z58" s="126">
        <f t="shared" si="0"/>
        <v>0</v>
      </c>
    </row>
    <row r="59" spans="2:26" ht="12.75">
      <c r="B59" s="106" t="s">
        <v>222</v>
      </c>
      <c r="C59" s="105"/>
      <c r="D59" s="356"/>
      <c r="E59" s="362"/>
      <c r="F59" s="113"/>
      <c r="G59" s="106"/>
      <c r="H59" s="113"/>
      <c r="Z59" s="126">
        <f t="shared" si="0"/>
        <v>0</v>
      </c>
    </row>
    <row r="60" spans="2:26" ht="12.75">
      <c r="B60" s="106" t="s">
        <v>143</v>
      </c>
      <c r="C60" s="105"/>
      <c r="D60" s="356">
        <v>6</v>
      </c>
      <c r="E60" s="362"/>
      <c r="F60" s="113">
        <f>+A60</f>
        <v>0</v>
      </c>
      <c r="G60" s="106"/>
      <c r="H60" s="113">
        <f>(VLOOKUP($D60,Factors,AA$394))*$F60</f>
        <v>0</v>
      </c>
      <c r="J60" s="113">
        <f>(VLOOKUP($D60,Factors,AC$394))*$F60</f>
        <v>0</v>
      </c>
      <c r="L60" s="113">
        <f>(VLOOKUP($D60,Factors,AE$394))*$F60</f>
        <v>0</v>
      </c>
      <c r="N60" s="113">
        <f>(VLOOKUP($D60,Factors,AG$394))*$F60</f>
        <v>0</v>
      </c>
      <c r="P60" s="113">
        <f>(VLOOKUP($D60,Factors,AI$394))*$F60</f>
        <v>0</v>
      </c>
      <c r="R60" s="113">
        <f>(VLOOKUP($D60,Factors,AK$394))*$F60</f>
        <v>0</v>
      </c>
      <c r="T60" s="113">
        <f>(VLOOKUP($D60,Factors,AM$394))*$F60</f>
        <v>0</v>
      </c>
      <c r="V60" s="113">
        <f>(VLOOKUP($D60,Factors,AO$394))*$F60</f>
        <v>0</v>
      </c>
      <c r="X60" s="113">
        <f>(VLOOKUP($D60,Factors,AQ$394))*$F60</f>
        <v>0</v>
      </c>
      <c r="Z60" s="126">
        <f t="shared" si="0"/>
        <v>0</v>
      </c>
    </row>
    <row r="61" spans="2:26" ht="12.75">
      <c r="B61" s="106" t="s">
        <v>142</v>
      </c>
      <c r="C61" s="105"/>
      <c r="D61" s="356">
        <v>6</v>
      </c>
      <c r="E61" s="362"/>
      <c r="F61" s="113">
        <f>+A61</f>
        <v>0</v>
      </c>
      <c r="G61" s="106"/>
      <c r="H61" s="113">
        <f>(VLOOKUP($D61,Factors,AA$394))*$F61</f>
        <v>0</v>
      </c>
      <c r="J61" s="113">
        <f>(VLOOKUP($D61,Factors,AC$394))*$F61</f>
        <v>0</v>
      </c>
      <c r="L61" s="113">
        <f>(VLOOKUP($D61,Factors,AE$394))*$F61</f>
        <v>0</v>
      </c>
      <c r="N61" s="113">
        <f>(VLOOKUP($D61,Factors,AG$394))*$F61</f>
        <v>0</v>
      </c>
      <c r="P61" s="113">
        <f>(VLOOKUP($D61,Factors,AI$394))*$F61</f>
        <v>0</v>
      </c>
      <c r="R61" s="113">
        <f>(VLOOKUP($D61,Factors,AK$394))*$F61</f>
        <v>0</v>
      </c>
      <c r="T61" s="113">
        <f>(VLOOKUP($D61,Factors,AM$394))*$F61</f>
        <v>0</v>
      </c>
      <c r="V61" s="113">
        <f>(VLOOKUP($D61,Factors,AO$394))*$F61</f>
        <v>0</v>
      </c>
      <c r="X61" s="113">
        <f>(VLOOKUP($D61,Factors,AQ$394))*$F61</f>
        <v>0</v>
      </c>
      <c r="Z61" s="126">
        <f t="shared" si="0"/>
        <v>0</v>
      </c>
    </row>
    <row r="62" spans="2:26" ht="12.75">
      <c r="B62" s="106" t="s">
        <v>426</v>
      </c>
      <c r="C62" s="105"/>
      <c r="D62" s="356"/>
      <c r="E62" s="362"/>
      <c r="F62" s="113"/>
      <c r="G62" s="106"/>
      <c r="H62" s="113"/>
      <c r="Z62" s="126">
        <f t="shared" si="0"/>
        <v>0</v>
      </c>
    </row>
    <row r="63" spans="2:26" ht="12.75">
      <c r="B63" s="106" t="s">
        <v>143</v>
      </c>
      <c r="C63" s="105"/>
      <c r="D63" s="356">
        <v>6</v>
      </c>
      <c r="E63" s="362"/>
      <c r="F63" s="113">
        <f>+A63</f>
        <v>0</v>
      </c>
      <c r="G63" s="106"/>
      <c r="H63" s="113">
        <f>(VLOOKUP($D63,Factors,AA$394))*$F63</f>
        <v>0</v>
      </c>
      <c r="J63" s="113">
        <f>(VLOOKUP($D63,Factors,AC$394))*$F63</f>
        <v>0</v>
      </c>
      <c r="L63" s="113">
        <f>(VLOOKUP($D63,Factors,AE$394))*$F63</f>
        <v>0</v>
      </c>
      <c r="N63" s="113">
        <f>(VLOOKUP($D63,Factors,AG$394))*$F63</f>
        <v>0</v>
      </c>
      <c r="P63" s="113">
        <f>(VLOOKUP($D63,Factors,AI$394))*$F63</f>
        <v>0</v>
      </c>
      <c r="R63" s="113">
        <f>(VLOOKUP($D63,Factors,AK$394))*$F63</f>
        <v>0</v>
      </c>
      <c r="T63" s="113">
        <f>(VLOOKUP($D63,Factors,AM$394))*$F63</f>
        <v>0</v>
      </c>
      <c r="V63" s="113">
        <f>(VLOOKUP($D63,Factors,AO$394))*$F63</f>
        <v>0</v>
      </c>
      <c r="X63" s="113">
        <f>(VLOOKUP($D63,Factors,AQ$394))*$F63</f>
        <v>0</v>
      </c>
      <c r="Z63" s="126">
        <f t="shared" si="0"/>
        <v>0</v>
      </c>
    </row>
    <row r="64" spans="2:26" ht="12.75">
      <c r="B64" s="106" t="s">
        <v>142</v>
      </c>
      <c r="C64" s="105"/>
      <c r="D64" s="356">
        <v>6</v>
      </c>
      <c r="E64" s="362"/>
      <c r="F64" s="114">
        <f>+A64</f>
        <v>0</v>
      </c>
      <c r="G64" s="106"/>
      <c r="H64" s="114">
        <f>(VLOOKUP($D64,Factors,AA$394))*$F64</f>
        <v>0</v>
      </c>
      <c r="J64" s="114">
        <f>(VLOOKUP($D64,Factors,AC$394))*$F64</f>
        <v>0</v>
      </c>
      <c r="L64" s="114">
        <f>(VLOOKUP($D64,Factors,AE$394))*$F64</f>
        <v>0</v>
      </c>
      <c r="N64" s="114">
        <f>(VLOOKUP($D64,Factors,AG$394))*$F64</f>
        <v>0</v>
      </c>
      <c r="P64" s="114">
        <f>(VLOOKUP($D64,Factors,AI$394))*$F64</f>
        <v>0</v>
      </c>
      <c r="R64" s="114">
        <f>(VLOOKUP($D64,Factors,AK$394))*$F64</f>
        <v>0</v>
      </c>
      <c r="T64" s="114">
        <f>(VLOOKUP($D64,Factors,AM$394))*$F64</f>
        <v>0</v>
      </c>
      <c r="V64" s="114">
        <f>(VLOOKUP($D64,Factors,AO$394))*$F64</f>
        <v>0</v>
      </c>
      <c r="X64" s="114">
        <f>(VLOOKUP($D64,Factors,AQ$394))*$F64</f>
        <v>0</v>
      </c>
      <c r="Z64" s="126">
        <f t="shared" si="0"/>
        <v>0</v>
      </c>
    </row>
    <row r="65" spans="2:26" ht="12.75">
      <c r="B65" s="106"/>
      <c r="C65" s="105"/>
      <c r="D65" s="356"/>
      <c r="E65" s="362"/>
      <c r="F65" s="113"/>
      <c r="G65" s="106"/>
      <c r="H65" s="113"/>
      <c r="Z65" s="126">
        <f t="shared" si="0"/>
        <v>0</v>
      </c>
    </row>
    <row r="66" spans="2:26" ht="12.75">
      <c r="B66" s="106" t="s">
        <v>131</v>
      </c>
      <c r="C66" s="105"/>
      <c r="D66" s="356"/>
      <c r="E66" s="362"/>
      <c r="F66" s="113">
        <f>SUM(F55:F64)</f>
        <v>337154.47</v>
      </c>
      <c r="G66" s="113"/>
      <c r="H66" s="113">
        <f>SUM(H54:H64)</f>
        <v>189885.39750399996</v>
      </c>
      <c r="I66" s="113"/>
      <c r="J66" s="113">
        <f>SUM(J54:J64)</f>
        <v>113688.48728399999</v>
      </c>
      <c r="K66" s="113"/>
      <c r="L66" s="113">
        <f>SUM(L54:L64)</f>
        <v>22420.772255</v>
      </c>
      <c r="M66" s="113"/>
      <c r="N66" s="113">
        <f>SUM(N54:N63)</f>
        <v>0</v>
      </c>
      <c r="O66" s="113"/>
      <c r="P66" s="113">
        <f>SUM(P54:P63)</f>
        <v>0</v>
      </c>
      <c r="Q66" s="113"/>
      <c r="R66" s="113">
        <f>SUM(R54:R63)</f>
        <v>0</v>
      </c>
      <c r="S66" s="113"/>
      <c r="T66" s="113">
        <f>SUM(T54:T63)</f>
        <v>0</v>
      </c>
      <c r="U66" s="113"/>
      <c r="V66" s="113">
        <f>SUM(V54:V64)</f>
        <v>4821.308921</v>
      </c>
      <c r="W66" s="113"/>
      <c r="X66" s="113">
        <f>SUM(X54:X64)</f>
        <v>6338.504035999998</v>
      </c>
      <c r="Z66" s="126">
        <f t="shared" si="0"/>
        <v>0</v>
      </c>
    </row>
    <row r="67" spans="2:26" ht="12.75">
      <c r="B67" s="106"/>
      <c r="C67" s="105"/>
      <c r="D67" s="356"/>
      <c r="E67" s="362"/>
      <c r="F67" s="113"/>
      <c r="G67" s="106"/>
      <c r="H67" s="113"/>
      <c r="Z67" s="126">
        <f t="shared" si="0"/>
        <v>0</v>
      </c>
    </row>
    <row r="68" spans="2:26" ht="12.75">
      <c r="B68" s="106" t="s">
        <v>221</v>
      </c>
      <c r="C68" s="105"/>
      <c r="D68" s="356"/>
      <c r="E68" s="362"/>
      <c r="F68" s="113">
        <f>F66+F53</f>
        <v>3323431.4449717402</v>
      </c>
      <c r="G68" s="113"/>
      <c r="H68" s="113">
        <f>H66+H53</f>
        <v>3176162.3724757405</v>
      </c>
      <c r="I68" s="113"/>
      <c r="J68" s="113">
        <f>J66+J53</f>
        <v>113688.48728399999</v>
      </c>
      <c r="K68" s="113"/>
      <c r="L68" s="113">
        <f>L66+L53</f>
        <v>22420.772255</v>
      </c>
      <c r="M68" s="113"/>
      <c r="N68" s="113">
        <f>N66+N53</f>
        <v>0</v>
      </c>
      <c r="O68" s="113"/>
      <c r="P68" s="113">
        <f>P66+P53</f>
        <v>0</v>
      </c>
      <c r="Q68" s="113"/>
      <c r="R68" s="113">
        <f>R66+R53</f>
        <v>0</v>
      </c>
      <c r="S68" s="113"/>
      <c r="T68" s="113">
        <f>T66+T53</f>
        <v>0</v>
      </c>
      <c r="U68" s="113"/>
      <c r="V68" s="113">
        <f>V66+V53</f>
        <v>4821.308921</v>
      </c>
      <c r="W68" s="113"/>
      <c r="X68" s="113">
        <f>X66+X53</f>
        <v>6338.504035999998</v>
      </c>
      <c r="Z68" s="126">
        <f t="shared" si="0"/>
        <v>0</v>
      </c>
    </row>
    <row r="69" spans="2:26" ht="12.75">
      <c r="B69" s="106"/>
      <c r="C69" s="105"/>
      <c r="D69" s="356"/>
      <c r="E69" s="362"/>
      <c r="F69" s="113"/>
      <c r="G69" s="106"/>
      <c r="H69" s="113"/>
      <c r="Z69" s="126">
        <f t="shared" si="0"/>
        <v>0</v>
      </c>
    </row>
    <row r="70" spans="2:26" ht="12.75">
      <c r="B70" s="106" t="s">
        <v>220</v>
      </c>
      <c r="C70" s="105"/>
      <c r="D70" s="356"/>
      <c r="E70" s="362"/>
      <c r="F70" s="113"/>
      <c r="G70" s="106"/>
      <c r="H70" s="113"/>
      <c r="Z70" s="126">
        <f t="shared" si="0"/>
        <v>0</v>
      </c>
    </row>
    <row r="71" spans="2:26" ht="12.75">
      <c r="B71" s="106" t="s">
        <v>145</v>
      </c>
      <c r="C71" s="105"/>
      <c r="D71" s="356"/>
      <c r="E71" s="362"/>
      <c r="F71" s="113"/>
      <c r="G71" s="106"/>
      <c r="H71" s="113"/>
      <c r="Z71" s="126">
        <f t="shared" si="0"/>
        <v>0</v>
      </c>
    </row>
    <row r="72" spans="2:26" ht="12.75">
      <c r="B72" s="65"/>
      <c r="C72" s="105"/>
      <c r="D72" s="356"/>
      <c r="E72" s="362"/>
      <c r="F72" s="113"/>
      <c r="G72" s="106"/>
      <c r="H72" s="113"/>
      <c r="Z72" s="126">
        <f t="shared" si="0"/>
        <v>0</v>
      </c>
    </row>
    <row r="73" spans="1:26" ht="12.75">
      <c r="A73" s="126">
        <v>694285.04</v>
      </c>
      <c r="B73" s="106" t="s">
        <v>219</v>
      </c>
      <c r="C73" s="105"/>
      <c r="D73" s="356">
        <v>2</v>
      </c>
      <c r="E73" s="362"/>
      <c r="F73" s="113">
        <f aca="true" t="shared" si="16" ref="F73:F82">+A73</f>
        <v>694285.04</v>
      </c>
      <c r="G73" s="106"/>
      <c r="H73" s="113">
        <f>(VLOOKUP($D73,Factors,AA$394))*$F73</f>
        <v>420806.16274400003</v>
      </c>
      <c r="J73" s="113">
        <f>(VLOOKUP($D73,Factors,AC$394))*$F73</f>
        <v>273478.877256</v>
      </c>
      <c r="L73" s="113">
        <f>(VLOOKUP($D73,Factors,AE$394))*$F73</f>
        <v>0</v>
      </c>
      <c r="N73" s="113">
        <f>(VLOOKUP($D73,Factors,AG$394))*$F73</f>
        <v>0</v>
      </c>
      <c r="P73" s="113">
        <f>(VLOOKUP($D73,Factors,AI$394))*$F73</f>
        <v>0</v>
      </c>
      <c r="R73" s="113">
        <f>(VLOOKUP($D73,Factors,AK$394))*$F73</f>
        <v>0</v>
      </c>
      <c r="T73" s="113">
        <f>(VLOOKUP($D73,Factors,AM$394))*$F73</f>
        <v>0</v>
      </c>
      <c r="V73" s="113">
        <f>(VLOOKUP($D73,Factors,AO$394))*$F73</f>
        <v>0</v>
      </c>
      <c r="X73" s="113">
        <f>(VLOOKUP($D73,Factors,AQ$394))*$F73</f>
        <v>0</v>
      </c>
      <c r="Z73" s="126">
        <f t="shared" si="0"/>
        <v>0</v>
      </c>
    </row>
    <row r="74" spans="1:26" ht="12.75">
      <c r="A74" s="126">
        <v>1505218.0783944097</v>
      </c>
      <c r="B74" s="106" t="s">
        <v>218</v>
      </c>
      <c r="C74" s="105"/>
      <c r="D74" s="356">
        <v>1</v>
      </c>
      <c r="E74" s="362"/>
      <c r="F74" s="113">
        <f t="shared" si="16"/>
        <v>1505218.0783944097</v>
      </c>
      <c r="G74" s="106"/>
      <c r="H74" s="113">
        <f>(VLOOKUP($D74,Factors,AA$394))*$F74</f>
        <v>1505218.0783944097</v>
      </c>
      <c r="J74" s="113">
        <f>(VLOOKUP($D74,Factors,AC$394))*$F74</f>
        <v>0</v>
      </c>
      <c r="L74" s="113">
        <f>(VLOOKUP($D74,Factors,AE$394))*$F74</f>
        <v>0</v>
      </c>
      <c r="N74" s="113">
        <f>(VLOOKUP($D74,Factors,AG$394))*$F74</f>
        <v>0</v>
      </c>
      <c r="P74" s="113">
        <f>(VLOOKUP($D74,Factors,AI$394))*$F74</f>
        <v>0</v>
      </c>
      <c r="R74" s="113">
        <f>(VLOOKUP($D74,Factors,AK$394))*$F74</f>
        <v>0</v>
      </c>
      <c r="T74" s="113">
        <f>(VLOOKUP($D74,Factors,AM$394))*$F74</f>
        <v>0</v>
      </c>
      <c r="V74" s="113">
        <f>(VLOOKUP($D74,Factors,AO$394))*$F74</f>
        <v>0</v>
      </c>
      <c r="X74" s="113">
        <f>(VLOOKUP($D74,Factors,AQ$394))*$F74</f>
        <v>0</v>
      </c>
      <c r="Z74" s="126">
        <f t="shared" si="0"/>
        <v>0</v>
      </c>
    </row>
    <row r="75" spans="2:26" ht="12.75">
      <c r="B75" s="106" t="s">
        <v>217</v>
      </c>
      <c r="C75" s="105"/>
      <c r="D75" s="356"/>
      <c r="E75" s="362"/>
      <c r="F75" s="113"/>
      <c r="G75" s="106"/>
      <c r="H75" s="113"/>
      <c r="Z75" s="126">
        <f t="shared" si="0"/>
        <v>0</v>
      </c>
    </row>
    <row r="76" spans="1:26" ht="12.75">
      <c r="A76" s="126">
        <v>167587</v>
      </c>
      <c r="B76" s="106" t="s">
        <v>143</v>
      </c>
      <c r="C76" s="105"/>
      <c r="D76" s="356">
        <v>2</v>
      </c>
      <c r="E76" s="362"/>
      <c r="F76" s="113">
        <f t="shared" si="16"/>
        <v>167587</v>
      </c>
      <c r="G76" s="106"/>
      <c r="H76" s="113">
        <f>(VLOOKUP($D76,Factors,AA$394))*$F76</f>
        <v>101574.4807</v>
      </c>
      <c r="J76" s="113">
        <f>(VLOOKUP($D76,Factors,AC$394))*$F76</f>
        <v>66012.5193</v>
      </c>
      <c r="L76" s="113">
        <f>(VLOOKUP($D76,Factors,AE$394))*$F76</f>
        <v>0</v>
      </c>
      <c r="N76" s="113">
        <f>(VLOOKUP($D76,Factors,AG$394))*$F76</f>
        <v>0</v>
      </c>
      <c r="P76" s="113">
        <f>(VLOOKUP($D76,Factors,AI$394))*$F76</f>
        <v>0</v>
      </c>
      <c r="R76" s="113">
        <f>(VLOOKUP($D76,Factors,AK$394))*$F76</f>
        <v>0</v>
      </c>
      <c r="T76" s="113">
        <f>(VLOOKUP($D76,Factors,AM$394))*$F76</f>
        <v>0</v>
      </c>
      <c r="V76" s="113">
        <f>(VLOOKUP($D76,Factors,AO$394))*$F76</f>
        <v>0</v>
      </c>
      <c r="X76" s="113">
        <f>(VLOOKUP($D76,Factors,AQ$394))*$F76</f>
        <v>0</v>
      </c>
      <c r="Z76" s="126">
        <f t="shared" si="0"/>
        <v>0</v>
      </c>
    </row>
    <row r="77" spans="1:26" ht="12.75">
      <c r="A77" s="126">
        <v>1080096.63</v>
      </c>
      <c r="B77" s="106" t="s">
        <v>142</v>
      </c>
      <c r="C77" s="105"/>
      <c r="D77" s="356">
        <v>2</v>
      </c>
      <c r="E77" s="362"/>
      <c r="F77" s="113">
        <f t="shared" si="16"/>
        <v>1080096.63</v>
      </c>
      <c r="G77" s="106"/>
      <c r="H77" s="113">
        <f>(VLOOKUP($D77,Factors,AA$394))*$F77</f>
        <v>654646.5674429999</v>
      </c>
      <c r="J77" s="113">
        <f>(VLOOKUP($D77,Factors,AC$394))*$F77</f>
        <v>425450.0625569999</v>
      </c>
      <c r="L77" s="113">
        <f>(VLOOKUP($D77,Factors,AE$394))*$F77</f>
        <v>0</v>
      </c>
      <c r="N77" s="113">
        <f>(VLOOKUP($D77,Factors,AG$394))*$F77</f>
        <v>0</v>
      </c>
      <c r="P77" s="113">
        <f>(VLOOKUP($D77,Factors,AI$394))*$F77</f>
        <v>0</v>
      </c>
      <c r="R77" s="113">
        <f>(VLOOKUP($D77,Factors,AK$394))*$F77</f>
        <v>0</v>
      </c>
      <c r="T77" s="113">
        <f>(VLOOKUP($D77,Factors,AM$394))*$F77</f>
        <v>0</v>
      </c>
      <c r="V77" s="113">
        <f>(VLOOKUP($D77,Factors,AO$394))*$F77</f>
        <v>0</v>
      </c>
      <c r="X77" s="113">
        <f>(VLOOKUP($D77,Factors,AQ$394))*$F77</f>
        <v>0</v>
      </c>
      <c r="Z77" s="126">
        <f t="shared" si="0"/>
        <v>0</v>
      </c>
    </row>
    <row r="78" spans="2:26" ht="12.75">
      <c r="B78" s="106" t="s">
        <v>216</v>
      </c>
      <c r="C78" s="105"/>
      <c r="D78" s="356"/>
      <c r="E78" s="362"/>
      <c r="F78" s="113"/>
      <c r="G78" s="106"/>
      <c r="H78" s="113"/>
      <c r="Z78" s="126">
        <f t="shared" si="0"/>
        <v>0</v>
      </c>
    </row>
    <row r="79" spans="1:26" ht="12.75">
      <c r="A79" s="126">
        <v>88321</v>
      </c>
      <c r="B79" s="106" t="s">
        <v>464</v>
      </c>
      <c r="C79" s="105"/>
      <c r="D79" s="356">
        <v>2</v>
      </c>
      <c r="E79" s="362"/>
      <c r="F79" s="113">
        <f t="shared" si="16"/>
        <v>88321</v>
      </c>
      <c r="G79" s="106"/>
      <c r="H79" s="113">
        <f>(VLOOKUP($D79,Factors,AA$394))*$F79</f>
        <v>53531.3581</v>
      </c>
      <c r="J79" s="113">
        <f>(VLOOKUP($D79,Factors,AC$394))*$F79</f>
        <v>34789.641899999995</v>
      </c>
      <c r="L79" s="113">
        <f>(VLOOKUP($D79,Factors,AE$394))*$F79</f>
        <v>0</v>
      </c>
      <c r="N79" s="113">
        <f>(VLOOKUP($D79,Factors,AG$394))*$F79</f>
        <v>0</v>
      </c>
      <c r="P79" s="113">
        <f>(VLOOKUP($D79,Factors,AI$394))*$F79</f>
        <v>0</v>
      </c>
      <c r="R79" s="113">
        <f>(VLOOKUP($D79,Factors,AK$394))*$F79</f>
        <v>0</v>
      </c>
      <c r="T79" s="113">
        <f>(VLOOKUP($D79,Factors,AM$394))*$F79</f>
        <v>0</v>
      </c>
      <c r="V79" s="113">
        <f>(VLOOKUP($D79,Factors,AO$394))*$F79</f>
        <v>0</v>
      </c>
      <c r="X79" s="113">
        <f>(VLOOKUP($D79,Factors,AQ$394))*$F79</f>
        <v>0</v>
      </c>
      <c r="Z79" s="126">
        <f t="shared" si="0"/>
        <v>0</v>
      </c>
    </row>
    <row r="80" spans="1:26" ht="12.75">
      <c r="A80" s="126">
        <v>262237</v>
      </c>
      <c r="B80" s="106" t="s">
        <v>465</v>
      </c>
      <c r="C80" s="105"/>
      <c r="D80" s="356">
        <v>1</v>
      </c>
      <c r="E80" s="362"/>
      <c r="F80" s="113">
        <f t="shared" si="16"/>
        <v>262237</v>
      </c>
      <c r="G80" s="106"/>
      <c r="H80" s="113">
        <f>(VLOOKUP($D80,Factors,AA$394))*$F80</f>
        <v>262237</v>
      </c>
      <c r="J80" s="113">
        <f>(VLOOKUP($D80,Factors,AC$394))*$F80</f>
        <v>0</v>
      </c>
      <c r="L80" s="113">
        <f>(VLOOKUP($D80,Factors,AE$394))*$F80</f>
        <v>0</v>
      </c>
      <c r="N80" s="113">
        <f>(VLOOKUP($D80,Factors,AG$394))*$F80</f>
        <v>0</v>
      </c>
      <c r="P80" s="113">
        <f>(VLOOKUP($D80,Factors,AI$394))*$F80</f>
        <v>0</v>
      </c>
      <c r="R80" s="113">
        <f>(VLOOKUP($D80,Factors,AK$394))*$F80</f>
        <v>0</v>
      </c>
      <c r="T80" s="113">
        <f>(VLOOKUP($D80,Factors,AM$394))*$F80</f>
        <v>0</v>
      </c>
      <c r="V80" s="113">
        <f>(VLOOKUP($D80,Factors,AO$394))*$F80</f>
        <v>0</v>
      </c>
      <c r="X80" s="113">
        <f>(VLOOKUP($D80,Factors,AQ$394))*$F80</f>
        <v>0</v>
      </c>
      <c r="Z80" s="126">
        <f t="shared" si="0"/>
        <v>0</v>
      </c>
    </row>
    <row r="81" spans="2:26" ht="12.75">
      <c r="B81" s="106" t="s">
        <v>142</v>
      </c>
      <c r="C81" s="105"/>
      <c r="D81" s="356">
        <v>1</v>
      </c>
      <c r="E81" s="362"/>
      <c r="F81" s="113">
        <f t="shared" si="16"/>
        <v>0</v>
      </c>
      <c r="G81" s="106"/>
      <c r="H81" s="113">
        <f>(VLOOKUP($D81,Factors,AA$394))*$F81</f>
        <v>0</v>
      </c>
      <c r="J81" s="113">
        <f>(VLOOKUP($D81,Factors,AC$394))*$F81</f>
        <v>0</v>
      </c>
      <c r="L81" s="113">
        <f>(VLOOKUP($D81,Factors,AE$394))*$F81</f>
        <v>0</v>
      </c>
      <c r="N81" s="113">
        <f>(VLOOKUP($D81,Factors,AG$394))*$F81</f>
        <v>0</v>
      </c>
      <c r="P81" s="113">
        <f>(VLOOKUP($D81,Factors,AI$394))*$F81</f>
        <v>0</v>
      </c>
      <c r="R81" s="113">
        <f>(VLOOKUP($D81,Factors,AK$394))*$F81</f>
        <v>0</v>
      </c>
      <c r="T81" s="113">
        <f>(VLOOKUP($D81,Factors,AM$394))*$F81</f>
        <v>0</v>
      </c>
      <c r="V81" s="113">
        <f>(VLOOKUP($D81,Factors,AO$394))*$F81</f>
        <v>0</v>
      </c>
      <c r="X81" s="113">
        <f>(VLOOKUP($D81,Factors,AQ$394))*$F81</f>
        <v>0</v>
      </c>
      <c r="Z81" s="126">
        <f aca="true" t="shared" si="17" ref="Z81:Z144">SUM(H81:X81)-F81</f>
        <v>0</v>
      </c>
    </row>
    <row r="82" spans="2:26" ht="12.75">
      <c r="B82" s="106" t="s">
        <v>215</v>
      </c>
      <c r="C82" s="105"/>
      <c r="D82" s="356">
        <v>2</v>
      </c>
      <c r="E82" s="362"/>
      <c r="F82" s="114">
        <f t="shared" si="16"/>
        <v>0</v>
      </c>
      <c r="G82" s="106"/>
      <c r="H82" s="114">
        <f>(VLOOKUP($D82,Factors,AA$394))*$F82</f>
        <v>0</v>
      </c>
      <c r="J82" s="114">
        <f>(VLOOKUP($D82,Factors,AC$394))*$F82</f>
        <v>0</v>
      </c>
      <c r="L82" s="114">
        <f>(VLOOKUP($D82,Factors,AE$394))*$F82</f>
        <v>0</v>
      </c>
      <c r="N82" s="114">
        <f>(VLOOKUP($D82,Factors,AG$394))*$F82</f>
        <v>0</v>
      </c>
      <c r="P82" s="114">
        <f>(VLOOKUP($D82,Factors,AI$394))*$F82</f>
        <v>0</v>
      </c>
      <c r="R82" s="114">
        <f>(VLOOKUP($D82,Factors,AK$394))*$F82</f>
        <v>0</v>
      </c>
      <c r="T82" s="114">
        <f>(VLOOKUP($D82,Factors,AM$394))*$F82</f>
        <v>0</v>
      </c>
      <c r="V82" s="114">
        <f>(VLOOKUP($D82,Factors,AO$394))*$F82</f>
        <v>0</v>
      </c>
      <c r="X82" s="114">
        <f>(VLOOKUP($D82,Factors,AQ$394))*$F82</f>
        <v>0</v>
      </c>
      <c r="Z82" s="126">
        <f t="shared" si="17"/>
        <v>0</v>
      </c>
    </row>
    <row r="83" spans="2:26" ht="12.75">
      <c r="B83" s="106"/>
      <c r="C83" s="105"/>
      <c r="D83" s="356"/>
      <c r="E83" s="362"/>
      <c r="F83" s="113"/>
      <c r="G83" s="106"/>
      <c r="H83" s="113"/>
      <c r="Z83" s="126">
        <f t="shared" si="17"/>
        <v>0</v>
      </c>
    </row>
    <row r="84" spans="2:26" ht="12.75">
      <c r="B84" s="106" t="s">
        <v>134</v>
      </c>
      <c r="C84" s="105"/>
      <c r="D84" s="356"/>
      <c r="E84" s="362"/>
      <c r="F84" s="113">
        <f>SUM(F73:F83)</f>
        <v>3797744.7483944097</v>
      </c>
      <c r="G84" s="113"/>
      <c r="H84" s="113">
        <f aca="true" t="shared" si="18" ref="H84:X84">SUM(H73:H83)</f>
        <v>2998013.6473814095</v>
      </c>
      <c r="I84" s="113"/>
      <c r="J84" s="113">
        <f t="shared" si="18"/>
        <v>799731.101013</v>
      </c>
      <c r="K84" s="113"/>
      <c r="L84" s="113">
        <f t="shared" si="18"/>
        <v>0</v>
      </c>
      <c r="M84" s="113"/>
      <c r="N84" s="113">
        <f t="shared" si="18"/>
        <v>0</v>
      </c>
      <c r="O84" s="113"/>
      <c r="P84" s="113">
        <f t="shared" si="18"/>
        <v>0</v>
      </c>
      <c r="Q84" s="113"/>
      <c r="R84" s="113">
        <f t="shared" si="18"/>
        <v>0</v>
      </c>
      <c r="S84" s="113"/>
      <c r="T84" s="113">
        <f t="shared" si="18"/>
        <v>0</v>
      </c>
      <c r="U84" s="113"/>
      <c r="V84" s="113">
        <f t="shared" si="18"/>
        <v>0</v>
      </c>
      <c r="W84" s="113"/>
      <c r="X84" s="113">
        <f t="shared" si="18"/>
        <v>0</v>
      </c>
      <c r="Z84" s="126">
        <f t="shared" si="17"/>
        <v>0</v>
      </c>
    </row>
    <row r="85" spans="2:26" ht="12.75">
      <c r="B85" s="106"/>
      <c r="C85" s="105"/>
      <c r="D85" s="356"/>
      <c r="E85" s="362"/>
      <c r="F85" s="113"/>
      <c r="G85" s="106"/>
      <c r="H85" s="113"/>
      <c r="Z85" s="126">
        <f t="shared" si="17"/>
        <v>0</v>
      </c>
    </row>
    <row r="86" spans="2:27" ht="12.75">
      <c r="B86" s="106" t="s">
        <v>133</v>
      </c>
      <c r="C86" s="105"/>
      <c r="D86" s="356"/>
      <c r="E86" s="362"/>
      <c r="F86" s="113"/>
      <c r="G86" s="106"/>
      <c r="H86" s="113"/>
      <c r="Z86" s="126">
        <f t="shared" si="17"/>
        <v>0</v>
      </c>
      <c r="AA86" s="154"/>
    </row>
    <row r="87" spans="2:27" ht="12.75">
      <c r="B87" s="106" t="s">
        <v>214</v>
      </c>
      <c r="C87" s="105"/>
      <c r="D87" s="356">
        <v>2</v>
      </c>
      <c r="E87" s="362"/>
      <c r="F87" s="113">
        <f aca="true" t="shared" si="19" ref="F87:F93">+A87</f>
        <v>0</v>
      </c>
      <c r="G87" s="106"/>
      <c r="H87" s="113">
        <f>(VLOOKUP($D87,Factors,AA$394))*$F87</f>
        <v>0</v>
      </c>
      <c r="J87" s="113">
        <f>(VLOOKUP($D87,Factors,AC$394))*$F87</f>
        <v>0</v>
      </c>
      <c r="L87" s="113">
        <f>(VLOOKUP($D87,Factors,AE$394))*$F87</f>
        <v>0</v>
      </c>
      <c r="N87" s="113">
        <f>(VLOOKUP($D87,Factors,AG$394))*$F87</f>
        <v>0</v>
      </c>
      <c r="P87" s="113">
        <f>(VLOOKUP($D87,Factors,AI$394))*$F87</f>
        <v>0</v>
      </c>
      <c r="R87" s="113">
        <f>(VLOOKUP($D87,Factors,AK$394))*$F87</f>
        <v>0</v>
      </c>
      <c r="T87" s="113">
        <f>(VLOOKUP($D87,Factors,AM$394))*$F87</f>
        <v>0</v>
      </c>
      <c r="V87" s="113">
        <f>(VLOOKUP($D87,Factors,AO$394))*$F87</f>
        <v>0</v>
      </c>
      <c r="X87" s="113">
        <f>(VLOOKUP($D87,Factors,AQ$394))*$F87</f>
        <v>0</v>
      </c>
      <c r="Z87" s="126">
        <f t="shared" si="17"/>
        <v>0</v>
      </c>
      <c r="AA87" s="154"/>
    </row>
    <row r="88" spans="2:27" ht="12.75">
      <c r="B88" s="106" t="s">
        <v>213</v>
      </c>
      <c r="C88" s="105"/>
      <c r="D88" s="356"/>
      <c r="E88" s="362"/>
      <c r="F88" s="113"/>
      <c r="G88" s="106"/>
      <c r="H88" s="113"/>
      <c r="Z88" s="126">
        <f t="shared" si="17"/>
        <v>0</v>
      </c>
      <c r="AA88" s="154"/>
    </row>
    <row r="89" spans="1:27" ht="12.75">
      <c r="A89" s="126">
        <v>323019</v>
      </c>
      <c r="B89" s="106" t="s">
        <v>143</v>
      </c>
      <c r="C89" s="105"/>
      <c r="D89" s="356">
        <v>2</v>
      </c>
      <c r="E89" s="362"/>
      <c r="F89" s="113">
        <f t="shared" si="19"/>
        <v>323019</v>
      </c>
      <c r="G89" s="106"/>
      <c r="H89" s="113">
        <f>(VLOOKUP($D89,Factors,AA$394))*$F89</f>
        <v>195781.8159</v>
      </c>
      <c r="J89" s="113">
        <f>(VLOOKUP($D89,Factors,AC$394))*$F89</f>
        <v>127237.18409999998</v>
      </c>
      <c r="L89" s="113">
        <f>(VLOOKUP($D89,Factors,AE$394))*$F89</f>
        <v>0</v>
      </c>
      <c r="N89" s="113">
        <f>(VLOOKUP($D89,Factors,AG$394))*$F89</f>
        <v>0</v>
      </c>
      <c r="P89" s="113">
        <f>(VLOOKUP($D89,Factors,AI$394))*$F89</f>
        <v>0</v>
      </c>
      <c r="R89" s="113">
        <f>(VLOOKUP($D89,Factors,AK$394))*$F89</f>
        <v>0</v>
      </c>
      <c r="T89" s="113">
        <f>(VLOOKUP($D89,Factors,AM$394))*$F89</f>
        <v>0</v>
      </c>
      <c r="V89" s="113">
        <f>(VLOOKUP($D89,Factors,AO$394))*$F89</f>
        <v>0</v>
      </c>
      <c r="X89" s="113">
        <f>(VLOOKUP($D89,Factors,AQ$394))*$F89</f>
        <v>0</v>
      </c>
      <c r="Z89" s="126">
        <f t="shared" si="17"/>
        <v>0</v>
      </c>
      <c r="AA89" s="154"/>
    </row>
    <row r="90" spans="2:27" ht="12.75">
      <c r="B90" s="106" t="s">
        <v>142</v>
      </c>
      <c r="C90" s="105"/>
      <c r="D90" s="356">
        <v>2</v>
      </c>
      <c r="E90" s="362"/>
      <c r="F90" s="113">
        <f t="shared" si="19"/>
        <v>0</v>
      </c>
      <c r="G90" s="106"/>
      <c r="H90" s="113">
        <f>(VLOOKUP($D90,Factors,AA$394))*$F90</f>
        <v>0</v>
      </c>
      <c r="J90" s="113">
        <f>(VLOOKUP($D90,Factors,AC$394))*$F90</f>
        <v>0</v>
      </c>
      <c r="L90" s="113">
        <f>(VLOOKUP($D90,Factors,AE$394))*$F90</f>
        <v>0</v>
      </c>
      <c r="N90" s="113">
        <f>(VLOOKUP($D90,Factors,AG$394))*$F90</f>
        <v>0</v>
      </c>
      <c r="P90" s="113">
        <f>(VLOOKUP($D90,Factors,AI$394))*$F90</f>
        <v>0</v>
      </c>
      <c r="R90" s="113">
        <f>(VLOOKUP($D90,Factors,AK$394))*$F90</f>
        <v>0</v>
      </c>
      <c r="T90" s="113">
        <f>(VLOOKUP($D90,Factors,AM$394))*$F90</f>
        <v>0</v>
      </c>
      <c r="V90" s="113">
        <f>(VLOOKUP($D90,Factors,AO$394))*$F90</f>
        <v>0</v>
      </c>
      <c r="X90" s="113">
        <f>(VLOOKUP($D90,Factors,AQ$394))*$F90</f>
        <v>0</v>
      </c>
      <c r="Z90" s="126">
        <f t="shared" si="17"/>
        <v>0</v>
      </c>
      <c r="AA90" s="154"/>
    </row>
    <row r="91" spans="2:27" ht="12.75">
      <c r="B91" s="106" t="s">
        <v>212</v>
      </c>
      <c r="C91" s="105"/>
      <c r="D91" s="356"/>
      <c r="E91" s="362"/>
      <c r="F91" s="113"/>
      <c r="G91" s="106"/>
      <c r="H91" s="113"/>
      <c r="Z91" s="126">
        <f t="shared" si="17"/>
        <v>0</v>
      </c>
      <c r="AA91" s="154"/>
    </row>
    <row r="92" spans="1:27" ht="12.75">
      <c r="A92" s="126">
        <v>90040</v>
      </c>
      <c r="B92" s="106" t="s">
        <v>143</v>
      </c>
      <c r="C92" s="105"/>
      <c r="D92" s="356">
        <v>2</v>
      </c>
      <c r="E92" s="362"/>
      <c r="F92" s="113">
        <f t="shared" si="19"/>
        <v>90040</v>
      </c>
      <c r="G92" s="106"/>
      <c r="H92" s="113">
        <f>(VLOOKUP($D92,Factors,AA$394))*$F92</f>
        <v>54573.244</v>
      </c>
      <c r="J92" s="113">
        <f>(VLOOKUP($D92,Factors,AC$394))*$F92</f>
        <v>35466.755999999994</v>
      </c>
      <c r="L92" s="113">
        <f>(VLOOKUP($D92,Factors,AE$394))*$F92</f>
        <v>0</v>
      </c>
      <c r="N92" s="113">
        <f>(VLOOKUP($D92,Factors,AG$394))*$F92</f>
        <v>0</v>
      </c>
      <c r="P92" s="113">
        <f>(VLOOKUP($D92,Factors,AI$394))*$F92</f>
        <v>0</v>
      </c>
      <c r="R92" s="113">
        <f>(VLOOKUP($D92,Factors,AK$394))*$F92</f>
        <v>0</v>
      </c>
      <c r="T92" s="113">
        <f>(VLOOKUP($D92,Factors,AM$394))*$F92</f>
        <v>0</v>
      </c>
      <c r="V92" s="113">
        <f>(VLOOKUP($D92,Factors,AO$394))*$F92</f>
        <v>0</v>
      </c>
      <c r="X92" s="113">
        <f>(VLOOKUP($D92,Factors,AQ$394))*$F92</f>
        <v>0</v>
      </c>
      <c r="Z92" s="126">
        <f t="shared" si="17"/>
        <v>0</v>
      </c>
      <c r="AA92" s="154"/>
    </row>
    <row r="93" spans="2:27" ht="12.75">
      <c r="B93" s="106" t="s">
        <v>142</v>
      </c>
      <c r="C93" s="105"/>
      <c r="D93" s="356">
        <v>2</v>
      </c>
      <c r="E93" s="362"/>
      <c r="F93" s="114">
        <f t="shared" si="19"/>
        <v>0</v>
      </c>
      <c r="G93" s="106"/>
      <c r="H93" s="114">
        <f>(VLOOKUP($D93,Factors,AA$394))*$F93</f>
        <v>0</v>
      </c>
      <c r="J93" s="114">
        <f>(VLOOKUP($D93,Factors,AC$394))*$F93</f>
        <v>0</v>
      </c>
      <c r="L93" s="114">
        <f>(VLOOKUP($D93,Factors,AE$394))*$F93</f>
        <v>0</v>
      </c>
      <c r="N93" s="114">
        <f>(VLOOKUP($D93,Factors,AG$394))*$F93</f>
        <v>0</v>
      </c>
      <c r="P93" s="114">
        <f>(VLOOKUP($D93,Factors,AI$394))*$F93</f>
        <v>0</v>
      </c>
      <c r="R93" s="114">
        <f>(VLOOKUP($D93,Factors,AK$394))*$F93</f>
        <v>0</v>
      </c>
      <c r="T93" s="114">
        <f>(VLOOKUP($D93,Factors,AM$394))*$F93</f>
        <v>0</v>
      </c>
      <c r="V93" s="114">
        <f>(VLOOKUP($D93,Factors,AO$394))*$F93</f>
        <v>0</v>
      </c>
      <c r="X93" s="114">
        <f>(VLOOKUP($D93,Factors,AQ$394))*$F93</f>
        <v>0</v>
      </c>
      <c r="Z93" s="126">
        <f t="shared" si="17"/>
        <v>0</v>
      </c>
      <c r="AA93" s="154"/>
    </row>
    <row r="94" spans="2:27" ht="12.75">
      <c r="B94" s="106"/>
      <c r="C94" s="105"/>
      <c r="D94" s="356"/>
      <c r="E94" s="362"/>
      <c r="F94" s="113"/>
      <c r="G94" s="106"/>
      <c r="H94" s="113"/>
      <c r="Z94" s="126">
        <f t="shared" si="17"/>
        <v>0</v>
      </c>
      <c r="AA94" s="154"/>
    </row>
    <row r="95" spans="2:27" ht="12.75">
      <c r="B95" s="106" t="s">
        <v>131</v>
      </c>
      <c r="C95" s="105"/>
      <c r="D95" s="356"/>
      <c r="E95" s="362"/>
      <c r="F95" s="113">
        <f>SUM(F87:F94)</f>
        <v>413059</v>
      </c>
      <c r="G95" s="113"/>
      <c r="H95" s="113">
        <f aca="true" t="shared" si="20" ref="H95:X95">SUM(H87:H94)</f>
        <v>250355.0599</v>
      </c>
      <c r="I95" s="113"/>
      <c r="J95" s="113">
        <f t="shared" si="20"/>
        <v>162703.94009999998</v>
      </c>
      <c r="K95" s="113"/>
      <c r="L95" s="113">
        <f t="shared" si="20"/>
        <v>0</v>
      </c>
      <c r="M95" s="113"/>
      <c r="N95" s="113">
        <f t="shared" si="20"/>
        <v>0</v>
      </c>
      <c r="O95" s="113"/>
      <c r="P95" s="113">
        <f t="shared" si="20"/>
        <v>0</v>
      </c>
      <c r="Q95" s="113"/>
      <c r="R95" s="113">
        <f t="shared" si="20"/>
        <v>0</v>
      </c>
      <c r="S95" s="113"/>
      <c r="T95" s="113">
        <f t="shared" si="20"/>
        <v>0</v>
      </c>
      <c r="U95" s="113"/>
      <c r="V95" s="113">
        <f t="shared" si="20"/>
        <v>0</v>
      </c>
      <c r="W95" s="113"/>
      <c r="X95" s="113">
        <f t="shared" si="20"/>
        <v>0</v>
      </c>
      <c r="Z95" s="126">
        <f t="shared" si="17"/>
        <v>0</v>
      </c>
      <c r="AA95" s="154"/>
    </row>
    <row r="96" spans="2:27" ht="12.75">
      <c r="B96" s="106"/>
      <c r="C96" s="105"/>
      <c r="D96" s="356"/>
      <c r="E96" s="362"/>
      <c r="F96" s="113"/>
      <c r="G96" s="106"/>
      <c r="H96" s="113"/>
      <c r="Z96" s="126">
        <f t="shared" si="17"/>
        <v>0</v>
      </c>
      <c r="AA96" s="154"/>
    </row>
    <row r="97" spans="2:27" ht="12.75">
      <c r="B97" s="106" t="s">
        <v>463</v>
      </c>
      <c r="C97" s="105"/>
      <c r="D97" s="356"/>
      <c r="E97" s="362"/>
      <c r="F97" s="113">
        <f>F84+F95</f>
        <v>4210803.748394409</v>
      </c>
      <c r="G97" s="113"/>
      <c r="H97" s="113">
        <f aca="true" t="shared" si="21" ref="H97:X97">H84+H95</f>
        <v>3248368.7072814098</v>
      </c>
      <c r="I97" s="113"/>
      <c r="J97" s="113">
        <f t="shared" si="21"/>
        <v>962435.041113</v>
      </c>
      <c r="K97" s="113"/>
      <c r="L97" s="113">
        <f t="shared" si="21"/>
        <v>0</v>
      </c>
      <c r="M97" s="113"/>
      <c r="N97" s="113">
        <f t="shared" si="21"/>
        <v>0</v>
      </c>
      <c r="O97" s="113"/>
      <c r="P97" s="113">
        <f t="shared" si="21"/>
        <v>0</v>
      </c>
      <c r="Q97" s="113"/>
      <c r="R97" s="113">
        <f t="shared" si="21"/>
        <v>0</v>
      </c>
      <c r="S97" s="113"/>
      <c r="T97" s="113">
        <f t="shared" si="21"/>
        <v>0</v>
      </c>
      <c r="U97" s="113"/>
      <c r="V97" s="113">
        <f t="shared" si="21"/>
        <v>0</v>
      </c>
      <c r="W97" s="113"/>
      <c r="X97" s="113">
        <f t="shared" si="21"/>
        <v>0</v>
      </c>
      <c r="Z97" s="126">
        <f t="shared" si="17"/>
        <v>0</v>
      </c>
      <c r="AA97" s="154"/>
    </row>
    <row r="98" spans="2:27" ht="12.75">
      <c r="B98" s="106" t="s">
        <v>211</v>
      </c>
      <c r="C98" s="105"/>
      <c r="D98" s="356"/>
      <c r="E98" s="362"/>
      <c r="F98" s="113"/>
      <c r="G98" s="106"/>
      <c r="H98" s="113"/>
      <c r="Z98" s="126">
        <f t="shared" si="17"/>
        <v>0</v>
      </c>
      <c r="AA98" s="154"/>
    </row>
    <row r="99" spans="2:27" ht="12.75">
      <c r="B99" s="106" t="s">
        <v>145</v>
      </c>
      <c r="C99" s="105"/>
      <c r="D99" s="356"/>
      <c r="E99" s="362"/>
      <c r="F99" s="113"/>
      <c r="G99" s="106"/>
      <c r="H99" s="113"/>
      <c r="Z99" s="126">
        <f t="shared" si="17"/>
        <v>0</v>
      </c>
      <c r="AA99" s="154"/>
    </row>
    <row r="100" spans="2:27" ht="12.75">
      <c r="B100" s="65"/>
      <c r="C100" s="105"/>
      <c r="D100" s="356"/>
      <c r="E100" s="362"/>
      <c r="F100" s="113"/>
      <c r="G100" s="106"/>
      <c r="H100" s="113"/>
      <c r="Z100" s="126">
        <f t="shared" si="17"/>
        <v>0</v>
      </c>
      <c r="AA100" s="154"/>
    </row>
    <row r="101" spans="1:27" ht="12.75">
      <c r="A101" s="126">
        <v>386078.64</v>
      </c>
      <c r="B101" s="106" t="s">
        <v>210</v>
      </c>
      <c r="C101" s="105"/>
      <c r="D101" s="356">
        <v>8</v>
      </c>
      <c r="E101" s="362"/>
      <c r="F101" s="113">
        <f>+A101</f>
        <v>386078.64</v>
      </c>
      <c r="G101" s="106"/>
      <c r="H101" s="113">
        <f>(VLOOKUP($D101,comp,AA$372))*$F101</f>
        <v>153196.004352</v>
      </c>
      <c r="J101" s="113">
        <f>(VLOOKUP($D101,comp,AC$372))*$F101</f>
        <v>29187.545184000002</v>
      </c>
      <c r="K101" s="113"/>
      <c r="L101" s="113">
        <f>(VLOOKUP($D101,comp,AE$372))*$F101</f>
        <v>162461.891712</v>
      </c>
      <c r="M101" s="113"/>
      <c r="N101" s="113">
        <f>(VLOOKUP($D101,comp,AG$372))*$F101</f>
        <v>0</v>
      </c>
      <c r="P101" s="113">
        <f>(VLOOKUP($D101,comp,AI$372))*$F101</f>
        <v>0</v>
      </c>
      <c r="Q101" s="113"/>
      <c r="R101" s="113">
        <f>(VLOOKUP($D101,comp,AK$372))*$F101</f>
        <v>0</v>
      </c>
      <c r="S101" s="113"/>
      <c r="T101" s="113">
        <f>(VLOOKUP($D101,comp,AM$372))*$F101</f>
        <v>0</v>
      </c>
      <c r="V101" s="113">
        <f>(VLOOKUP($D101,comp,AO$372))*$F101</f>
        <v>17836.833168</v>
      </c>
      <c r="W101" s="113"/>
      <c r="X101" s="113">
        <f>(VLOOKUP($D101,comp,AQ$372))*$F101</f>
        <v>23396.365584000003</v>
      </c>
      <c r="Z101" s="126">
        <f t="shared" si="17"/>
        <v>0</v>
      </c>
      <c r="AA101" s="154"/>
    </row>
    <row r="102" spans="2:27" ht="12.75">
      <c r="B102" s="106" t="s">
        <v>209</v>
      </c>
      <c r="C102" s="105"/>
      <c r="D102" s="356">
        <v>5</v>
      </c>
      <c r="E102" s="362"/>
      <c r="F102" s="113">
        <f aca="true" t="shared" si="22" ref="F102:F119">+A102</f>
        <v>0</v>
      </c>
      <c r="G102" s="106"/>
      <c r="H102" s="113">
        <f>(VLOOKUP($D102,Factors,AA$394))*$F102</f>
        <v>0</v>
      </c>
      <c r="J102" s="113">
        <f>(VLOOKUP($D102,Factors,AC$394))*$F102</f>
        <v>0</v>
      </c>
      <c r="L102" s="113">
        <f>(VLOOKUP($D102,Factors,AE$394))*$F102</f>
        <v>0</v>
      </c>
      <c r="N102" s="113">
        <f>(VLOOKUP($D102,Factors,AG$394))*$F102</f>
        <v>0</v>
      </c>
      <c r="P102" s="113">
        <f>(VLOOKUP($D102,Factors,AI$394))*$F102</f>
        <v>0</v>
      </c>
      <c r="R102" s="113">
        <f>(VLOOKUP($D102,Factors,AK$394))*$F102</f>
        <v>0</v>
      </c>
      <c r="T102" s="113">
        <f>(VLOOKUP($D102,Factors,AM$394))*$F102</f>
        <v>0</v>
      </c>
      <c r="V102" s="113">
        <f>(VLOOKUP($D102,Factors,AO$394))*$F102</f>
        <v>0</v>
      </c>
      <c r="X102" s="113">
        <f>(VLOOKUP($D102,Factors,AQ$394))*$F102</f>
        <v>0</v>
      </c>
      <c r="Z102" s="126">
        <f t="shared" si="17"/>
        <v>0</v>
      </c>
      <c r="AA102" s="154"/>
    </row>
    <row r="103" spans="2:27" ht="12.75">
      <c r="B103" s="106" t="s">
        <v>208</v>
      </c>
      <c r="C103" s="105"/>
      <c r="D103" s="356"/>
      <c r="E103" s="362"/>
      <c r="F103" s="113"/>
      <c r="G103" s="106"/>
      <c r="H103" s="113"/>
      <c r="Z103" s="126">
        <f t="shared" si="17"/>
        <v>0</v>
      </c>
      <c r="AA103" s="154"/>
    </row>
    <row r="104" spans="1:27" ht="12.75">
      <c r="A104" s="126">
        <v>23522</v>
      </c>
      <c r="B104" s="106" t="s">
        <v>143</v>
      </c>
      <c r="C104" s="105"/>
      <c r="D104" s="356">
        <v>7</v>
      </c>
      <c r="E104" s="362"/>
      <c r="F104" s="113">
        <f t="shared" si="22"/>
        <v>23522</v>
      </c>
      <c r="G104" s="106"/>
      <c r="H104" s="113">
        <f>(VLOOKUP($D104,Factors,AA$394))*$F104</f>
        <v>9333.199560975609</v>
      </c>
      <c r="J104" s="113">
        <f>(VLOOKUP($D104,Factors,AC$394))*$F104</f>
        <v>1777.2597167079684</v>
      </c>
      <c r="L104" s="113">
        <f>(VLOOKUP($D104,Factors,AE$394))*$F104</f>
        <v>9898.204055319335</v>
      </c>
      <c r="N104" s="113">
        <f>(VLOOKUP($D104,Factors,AG$394))*$F104</f>
        <v>0</v>
      </c>
      <c r="P104" s="113">
        <f>(VLOOKUP($D104,Factors,AI$394))*$F104</f>
        <v>0</v>
      </c>
      <c r="R104" s="113">
        <f>(VLOOKUP($D104,Factors,AK$394))*$F104</f>
        <v>0</v>
      </c>
      <c r="T104" s="113">
        <f>(VLOOKUP($D104,Factors,AM$394))*$F104</f>
        <v>0</v>
      </c>
      <c r="V104" s="113">
        <f>(VLOOKUP($D104,Factors,AO$394))*$F104</f>
        <v>1087.749414481979</v>
      </c>
      <c r="X104" s="113">
        <f>(VLOOKUP($D104,Factors,AQ$394))*$F104</f>
        <v>1425.5872525151078</v>
      </c>
      <c r="Z104" s="126">
        <f t="shared" si="17"/>
        <v>0</v>
      </c>
      <c r="AA104" s="154"/>
    </row>
    <row r="105" spans="1:27" ht="12.75">
      <c r="A105" s="126">
        <v>803783.77</v>
      </c>
      <c r="B105" s="106" t="s">
        <v>142</v>
      </c>
      <c r="C105" s="105"/>
      <c r="D105" s="356">
        <v>7</v>
      </c>
      <c r="E105" s="362"/>
      <c r="F105" s="113">
        <f t="shared" si="22"/>
        <v>803783.77</v>
      </c>
      <c r="G105" s="106"/>
      <c r="H105" s="113">
        <f>(VLOOKUP($D105,Factors,AA$394))*$F105</f>
        <v>318930.1219829657</v>
      </c>
      <c r="J105" s="113">
        <f>(VLOOKUP($D105,Factors,AC$394))*$F105</f>
        <v>60731.76240815674</v>
      </c>
      <c r="L105" s="113">
        <f>(VLOOKUP($D105,Factors,AE$394))*$F105</f>
        <v>338237.215024822</v>
      </c>
      <c r="N105" s="113">
        <f>(VLOOKUP($D105,Factors,AG$394))*$F105</f>
        <v>0</v>
      </c>
      <c r="P105" s="113">
        <f>(VLOOKUP($D105,Factors,AI$394))*$F105</f>
        <v>0</v>
      </c>
      <c r="R105" s="113">
        <f>(VLOOKUP($D105,Factors,AK$394))*$F105</f>
        <v>0</v>
      </c>
      <c r="T105" s="113">
        <f>(VLOOKUP($D105,Factors,AM$394))*$F105</f>
        <v>0</v>
      </c>
      <c r="V105" s="113">
        <f>(VLOOKUP($D105,Factors,AO$394))*$F105</f>
        <v>37170.10990509386</v>
      </c>
      <c r="X105" s="113">
        <f>(VLOOKUP($D105,Factors,AQ$394))*$F105</f>
        <v>48714.56067896163</v>
      </c>
      <c r="Z105" s="126">
        <f t="shared" si="17"/>
        <v>0</v>
      </c>
      <c r="AA105" s="154"/>
    </row>
    <row r="106" spans="2:27" ht="12.75">
      <c r="B106" s="106" t="s">
        <v>207</v>
      </c>
      <c r="C106" s="105"/>
      <c r="D106" s="356"/>
      <c r="E106" s="362"/>
      <c r="F106" s="113"/>
      <c r="G106" s="106"/>
      <c r="H106" s="113"/>
      <c r="Z106" s="126">
        <f t="shared" si="17"/>
        <v>0</v>
      </c>
      <c r="AA106" s="154"/>
    </row>
    <row r="107" spans="2:27" ht="12.75">
      <c r="B107" s="106" t="s">
        <v>143</v>
      </c>
      <c r="C107" s="105"/>
      <c r="D107" s="356">
        <v>9</v>
      </c>
      <c r="E107" s="362"/>
      <c r="F107" s="113">
        <f t="shared" si="22"/>
        <v>0</v>
      </c>
      <c r="G107" s="106"/>
      <c r="H107" s="113">
        <f>(VLOOKUP($D107,Factors,AA$394))*$F107</f>
        <v>0</v>
      </c>
      <c r="J107" s="113">
        <f>(VLOOKUP($D107,Factors,AC$394))*$F107</f>
        <v>0</v>
      </c>
      <c r="L107" s="113">
        <f>(VLOOKUP($D107,Factors,AE$394))*$F107</f>
        <v>0</v>
      </c>
      <c r="N107" s="113">
        <f>(VLOOKUP($D107,Factors,AG$394))*$F107</f>
        <v>0</v>
      </c>
      <c r="P107" s="113">
        <f>(VLOOKUP($D107,Factors,AI$394))*$F107</f>
        <v>0</v>
      </c>
      <c r="R107" s="113">
        <f>(VLOOKUP($D107,Factors,AK$394))*$F107</f>
        <v>0</v>
      </c>
      <c r="T107" s="113">
        <f>(VLOOKUP($D107,Factors,AM$394))*$F107</f>
        <v>0</v>
      </c>
      <c r="V107" s="113">
        <f>(VLOOKUP($D107,Factors,AO$394))*$F107</f>
        <v>0</v>
      </c>
      <c r="X107" s="113">
        <f>(VLOOKUP($D107,Factors,AQ$394))*$F107</f>
        <v>0</v>
      </c>
      <c r="Z107" s="126">
        <f t="shared" si="17"/>
        <v>0</v>
      </c>
      <c r="AA107" s="154"/>
    </row>
    <row r="108" spans="2:27" ht="12.75">
      <c r="B108" s="106" t="s">
        <v>142</v>
      </c>
      <c r="C108" s="105"/>
      <c r="D108" s="356">
        <v>9</v>
      </c>
      <c r="E108" s="362"/>
      <c r="F108" s="113">
        <f t="shared" si="22"/>
        <v>0</v>
      </c>
      <c r="G108" s="106"/>
      <c r="H108" s="113">
        <f>(VLOOKUP($D108,Factors,AA$394))*$F108</f>
        <v>0</v>
      </c>
      <c r="J108" s="113">
        <f>(VLOOKUP($D108,Factors,AC$394))*$F108</f>
        <v>0</v>
      </c>
      <c r="L108" s="113">
        <f>(VLOOKUP($D108,Factors,AE$394))*$F108</f>
        <v>0</v>
      </c>
      <c r="N108" s="113">
        <f>(VLOOKUP($D108,Factors,AG$394))*$F108</f>
        <v>0</v>
      </c>
      <c r="P108" s="113">
        <f>(VLOOKUP($D108,Factors,AI$394))*$F108</f>
        <v>0</v>
      </c>
      <c r="R108" s="113">
        <f>(VLOOKUP($D108,Factors,AK$394))*$F108</f>
        <v>0</v>
      </c>
      <c r="T108" s="113">
        <f>(VLOOKUP($D108,Factors,AM$394))*$F108</f>
        <v>0</v>
      </c>
      <c r="V108" s="113">
        <f>(VLOOKUP($D108,Factors,AO$394))*$F108</f>
        <v>0</v>
      </c>
      <c r="X108" s="113">
        <f>(VLOOKUP($D108,Factors,AQ$394))*$F108</f>
        <v>0</v>
      </c>
      <c r="Z108" s="126">
        <f t="shared" si="17"/>
        <v>0</v>
      </c>
      <c r="AA108" s="154"/>
    </row>
    <row r="109" spans="2:27" ht="12.75">
      <c r="B109" s="106" t="s">
        <v>206</v>
      </c>
      <c r="C109" s="105"/>
      <c r="D109" s="356"/>
      <c r="E109" s="362"/>
      <c r="F109" s="113"/>
      <c r="G109" s="106"/>
      <c r="H109" s="113"/>
      <c r="Z109" s="126">
        <f t="shared" si="17"/>
        <v>0</v>
      </c>
      <c r="AA109" s="154"/>
    </row>
    <row r="110" spans="2:27" ht="12.75">
      <c r="B110" s="106" t="s">
        <v>143</v>
      </c>
      <c r="C110" s="105"/>
      <c r="D110" s="356">
        <v>9</v>
      </c>
      <c r="E110" s="362"/>
      <c r="F110" s="113">
        <f t="shared" si="22"/>
        <v>0</v>
      </c>
      <c r="G110" s="106"/>
      <c r="H110" s="113">
        <f>(VLOOKUP($D110,Factors,AA$394))*$F110</f>
        <v>0</v>
      </c>
      <c r="J110" s="113">
        <f>(VLOOKUP($D110,Factors,AC$394))*$F110</f>
        <v>0</v>
      </c>
      <c r="L110" s="113">
        <f>(VLOOKUP($D110,Factors,AE$394))*$F110</f>
        <v>0</v>
      </c>
      <c r="N110" s="113">
        <f>(VLOOKUP($D110,Factors,AG$394))*$F110</f>
        <v>0</v>
      </c>
      <c r="P110" s="113">
        <f>(VLOOKUP($D110,Factors,AI$394))*$F110</f>
        <v>0</v>
      </c>
      <c r="R110" s="113">
        <f>(VLOOKUP($D110,Factors,AK$394))*$F110</f>
        <v>0</v>
      </c>
      <c r="T110" s="113">
        <f>(VLOOKUP($D110,Factors,AM$394))*$F110</f>
        <v>0</v>
      </c>
      <c r="V110" s="113">
        <f>(VLOOKUP($D110,Factors,AO$394))*$F110</f>
        <v>0</v>
      </c>
      <c r="X110" s="113">
        <f>(VLOOKUP($D110,Factors,AQ$394))*$F110</f>
        <v>0</v>
      </c>
      <c r="Z110" s="126">
        <f t="shared" si="17"/>
        <v>0</v>
      </c>
      <c r="AA110" s="154"/>
    </row>
    <row r="111" spans="2:27" ht="12.75">
      <c r="B111" s="106" t="s">
        <v>142</v>
      </c>
      <c r="C111" s="105"/>
      <c r="D111" s="356">
        <v>9</v>
      </c>
      <c r="E111" s="362"/>
      <c r="F111" s="113">
        <f t="shared" si="22"/>
        <v>0</v>
      </c>
      <c r="G111" s="106"/>
      <c r="H111" s="113">
        <f>(VLOOKUP($D111,Factors,AA$394))*$F111</f>
        <v>0</v>
      </c>
      <c r="J111" s="113">
        <f>(VLOOKUP($D111,Factors,AC$394))*$F111</f>
        <v>0</v>
      </c>
      <c r="L111" s="113">
        <f>(VLOOKUP($D111,Factors,AE$394))*$F111</f>
        <v>0</v>
      </c>
      <c r="N111" s="113">
        <f>(VLOOKUP($D111,Factors,AG$394))*$F111</f>
        <v>0</v>
      </c>
      <c r="P111" s="113">
        <f>(VLOOKUP($D111,Factors,AI$394))*$F111</f>
        <v>0</v>
      </c>
      <c r="R111" s="113">
        <f>(VLOOKUP($D111,Factors,AK$394))*$F111</f>
        <v>0</v>
      </c>
      <c r="T111" s="113">
        <f>(VLOOKUP($D111,Factors,AM$394))*$F111</f>
        <v>0</v>
      </c>
      <c r="V111" s="113">
        <f>(VLOOKUP($D111,Factors,AO$394))*$F111</f>
        <v>0</v>
      </c>
      <c r="X111" s="113">
        <f>(VLOOKUP($D111,Factors,AQ$394))*$F111</f>
        <v>0</v>
      </c>
      <c r="Z111" s="126">
        <f t="shared" si="17"/>
        <v>0</v>
      </c>
      <c r="AA111" s="154"/>
    </row>
    <row r="112" spans="2:27" ht="12.75">
      <c r="B112" s="106" t="s">
        <v>205</v>
      </c>
      <c r="C112" s="105"/>
      <c r="D112" s="356"/>
      <c r="E112" s="362"/>
      <c r="F112" s="113"/>
      <c r="G112" s="106"/>
      <c r="H112" s="113"/>
      <c r="Z112" s="126">
        <f t="shared" si="17"/>
        <v>0</v>
      </c>
      <c r="AA112" s="154"/>
    </row>
    <row r="113" spans="1:27" ht="12.75">
      <c r="A113" s="126">
        <v>0</v>
      </c>
      <c r="B113" s="106" t="s">
        <v>143</v>
      </c>
      <c r="C113" s="105"/>
      <c r="D113" s="356">
        <v>8</v>
      </c>
      <c r="E113" s="362"/>
      <c r="F113" s="113">
        <f t="shared" si="22"/>
        <v>0</v>
      </c>
      <c r="G113" s="106"/>
      <c r="H113" s="113">
        <f>(VLOOKUP($D113,comp,AA$372))*$F113</f>
        <v>0</v>
      </c>
      <c r="J113" s="113">
        <f>(VLOOKUP($D113,comp,AC$372))*$F113</f>
        <v>0</v>
      </c>
      <c r="K113" s="113"/>
      <c r="L113" s="113">
        <f>(VLOOKUP($D113,comp,AE$372))*$F113</f>
        <v>0</v>
      </c>
      <c r="M113" s="113"/>
      <c r="N113" s="113">
        <f>(VLOOKUP($D113,comp,AG$372))*$F113</f>
        <v>0</v>
      </c>
      <c r="P113" s="113">
        <f>(VLOOKUP($D113,comp,AI$372))*$F113</f>
        <v>0</v>
      </c>
      <c r="Q113" s="113"/>
      <c r="R113" s="113">
        <f>(VLOOKUP($D113,comp,AK$372))*$F113</f>
        <v>0</v>
      </c>
      <c r="S113" s="113"/>
      <c r="T113" s="113">
        <f>(VLOOKUP($D113,comp,AM$372))*$F113</f>
        <v>0</v>
      </c>
      <c r="V113" s="113">
        <f>(VLOOKUP($D113,comp,AO$372))*$F113</f>
        <v>0</v>
      </c>
      <c r="W113" s="113"/>
      <c r="X113" s="113">
        <f>(VLOOKUP($D113,comp,AQ$372))*$F113</f>
        <v>0</v>
      </c>
      <c r="Z113" s="126">
        <f t="shared" si="17"/>
        <v>0</v>
      </c>
      <c r="AA113" s="154"/>
    </row>
    <row r="114" spans="1:27" ht="12.75">
      <c r="A114" s="126">
        <v>41760.49</v>
      </c>
      <c r="B114" s="106" t="s">
        <v>142</v>
      </c>
      <c r="C114" s="105"/>
      <c r="D114" s="356">
        <v>8</v>
      </c>
      <c r="E114" s="362"/>
      <c r="F114" s="113">
        <f t="shared" si="22"/>
        <v>41760.49</v>
      </c>
      <c r="G114" s="106"/>
      <c r="H114" s="113">
        <f>(VLOOKUP($D114,comp,AA$372))*$F114</f>
        <v>16570.562432</v>
      </c>
      <c r="J114" s="113">
        <f>(VLOOKUP($D114,comp,AC$372))*$F114</f>
        <v>3157.0930439999997</v>
      </c>
      <c r="K114" s="113"/>
      <c r="L114" s="113">
        <f>(VLOOKUP($D114,comp,AE$372))*$F114</f>
        <v>17572.814191999998</v>
      </c>
      <c r="M114" s="113"/>
      <c r="N114" s="113">
        <f>(VLOOKUP($D114,comp,AG$372))*$F114</f>
        <v>0</v>
      </c>
      <c r="P114" s="113">
        <f>(VLOOKUP($D114,comp,AI$372))*$F114</f>
        <v>0</v>
      </c>
      <c r="Q114" s="113"/>
      <c r="R114" s="113">
        <f>(VLOOKUP($D114,comp,AK$372))*$F114</f>
        <v>0</v>
      </c>
      <c r="S114" s="113"/>
      <c r="T114" s="113">
        <f>(VLOOKUP($D114,comp,AM$372))*$F114</f>
        <v>0</v>
      </c>
      <c r="V114" s="113">
        <f>(VLOOKUP($D114,comp,AO$372))*$F114</f>
        <v>1929.3346379999998</v>
      </c>
      <c r="W114" s="113"/>
      <c r="X114" s="113">
        <f>(VLOOKUP($D114,comp,AQ$372))*$F114</f>
        <v>2530.685694</v>
      </c>
      <c r="Y114" s="126"/>
      <c r="Z114" s="126">
        <f t="shared" si="17"/>
        <v>0</v>
      </c>
      <c r="AA114" s="154"/>
    </row>
    <row r="115" spans="2:27" ht="12.75">
      <c r="B115" s="106" t="s">
        <v>204</v>
      </c>
      <c r="C115" s="105"/>
      <c r="D115" s="356"/>
      <c r="E115" s="362"/>
      <c r="F115" s="113"/>
      <c r="G115" s="106"/>
      <c r="H115" s="113"/>
      <c r="J115" s="113"/>
      <c r="K115" s="113"/>
      <c r="L115" s="113"/>
      <c r="M115" s="113"/>
      <c r="N115" s="113"/>
      <c r="P115" s="113"/>
      <c r="Q115" s="113"/>
      <c r="R115" s="113"/>
      <c r="S115" s="113"/>
      <c r="T115" s="113"/>
      <c r="V115" s="113"/>
      <c r="W115" s="113"/>
      <c r="X115" s="113"/>
      <c r="Z115" s="126">
        <f t="shared" si="17"/>
        <v>0</v>
      </c>
      <c r="AA115" s="154"/>
    </row>
    <row r="116" spans="1:27" ht="12.75">
      <c r="A116" s="126">
        <v>326912</v>
      </c>
      <c r="B116" s="106" t="s">
        <v>462</v>
      </c>
      <c r="C116" s="105"/>
      <c r="D116" s="356">
        <v>8</v>
      </c>
      <c r="E116" s="362"/>
      <c r="F116" s="113">
        <f t="shared" si="22"/>
        <v>326912</v>
      </c>
      <c r="G116" s="106"/>
      <c r="H116" s="113">
        <f>(VLOOKUP($D116,comp,AA$372))*$F116</f>
        <v>129718.6816</v>
      </c>
      <c r="J116" s="113">
        <f>(VLOOKUP($D116,comp,AC$372))*$F116</f>
        <v>24714.5472</v>
      </c>
      <c r="K116" s="113"/>
      <c r="L116" s="113">
        <f>(VLOOKUP($D116,comp,AE$372))*$F116</f>
        <v>137564.5696</v>
      </c>
      <c r="M116" s="113"/>
      <c r="N116" s="113">
        <f>(VLOOKUP($D116,comp,AG$372))*$F116</f>
        <v>0</v>
      </c>
      <c r="P116" s="113">
        <f>(VLOOKUP($D116,comp,AI$372))*$F116</f>
        <v>0</v>
      </c>
      <c r="Q116" s="113"/>
      <c r="R116" s="113">
        <f>(VLOOKUP($D116,comp,AK$372))*$F116</f>
        <v>0</v>
      </c>
      <c r="S116" s="113"/>
      <c r="T116" s="113">
        <f>(VLOOKUP($D116,comp,AM$372))*$F116</f>
        <v>0</v>
      </c>
      <c r="V116" s="113">
        <f>(VLOOKUP($D116,comp,AO$372))*$F116</f>
        <v>15103.3344</v>
      </c>
      <c r="W116" s="113"/>
      <c r="X116" s="113">
        <f>(VLOOKUP($D116,comp,AQ$372))*$F116</f>
        <v>19810.8672</v>
      </c>
      <c r="Z116" s="126">
        <f t="shared" si="17"/>
        <v>0</v>
      </c>
      <c r="AA116" s="154"/>
    </row>
    <row r="117" spans="2:27" ht="12.75">
      <c r="B117" s="106" t="s">
        <v>461</v>
      </c>
      <c r="C117" s="105"/>
      <c r="D117" s="356">
        <v>5</v>
      </c>
      <c r="E117" s="362"/>
      <c r="F117" s="113">
        <f t="shared" si="22"/>
        <v>0</v>
      </c>
      <c r="G117" s="106"/>
      <c r="H117" s="113">
        <f>(VLOOKUP($D117,Factors,AA$394))*$F117</f>
        <v>0</v>
      </c>
      <c r="J117" s="113">
        <f>(VLOOKUP($D117,Factors,AC$394))*$F117</f>
        <v>0</v>
      </c>
      <c r="L117" s="113">
        <f>(VLOOKUP($D117,Factors,AE$394))*$F117</f>
        <v>0</v>
      </c>
      <c r="N117" s="113">
        <f>(VLOOKUP($D117,Factors,AG$394))*$F117</f>
        <v>0</v>
      </c>
      <c r="P117" s="113">
        <f>(VLOOKUP($D117,Factors,AI$394))*$F117</f>
        <v>0</v>
      </c>
      <c r="R117" s="113">
        <f>(VLOOKUP($D117,Factors,AK$394))*$F117</f>
        <v>0</v>
      </c>
      <c r="T117" s="113">
        <f>(VLOOKUP($D117,Factors,AM$394))*$F117</f>
        <v>0</v>
      </c>
      <c r="V117" s="113">
        <f>(VLOOKUP($D117,Factors,AO$394))*$F117</f>
        <v>0</v>
      </c>
      <c r="X117" s="113">
        <f>(VLOOKUP($D117,Factors,AQ$394))*$F117</f>
        <v>0</v>
      </c>
      <c r="Z117" s="126">
        <f t="shared" si="17"/>
        <v>0</v>
      </c>
      <c r="AA117" s="154"/>
    </row>
    <row r="118" spans="2:27" ht="12.75">
      <c r="B118" s="106" t="s">
        <v>142</v>
      </c>
      <c r="C118" s="105"/>
      <c r="D118" s="356">
        <v>8</v>
      </c>
      <c r="E118" s="362"/>
      <c r="F118" s="113">
        <f t="shared" si="22"/>
        <v>0</v>
      </c>
      <c r="G118" s="106"/>
      <c r="H118" s="113">
        <f>(VLOOKUP($D118,comp,AA$372))*$F118</f>
        <v>0</v>
      </c>
      <c r="J118" s="113">
        <f>(VLOOKUP($D118,comp,AC$372))*$F118</f>
        <v>0</v>
      </c>
      <c r="K118" s="113"/>
      <c r="L118" s="113">
        <f>(VLOOKUP($D118,comp,AE$372))*$F118</f>
        <v>0</v>
      </c>
      <c r="M118" s="113"/>
      <c r="N118" s="113">
        <f>(VLOOKUP($D118,comp,AG$372))*$F118</f>
        <v>0</v>
      </c>
      <c r="P118" s="113">
        <f>(VLOOKUP($D118,comp,AI$372))*$F118</f>
        <v>0</v>
      </c>
      <c r="Q118" s="113"/>
      <c r="R118" s="113">
        <f>(VLOOKUP($D118,comp,AK$372))*$F118</f>
        <v>0</v>
      </c>
      <c r="S118" s="113"/>
      <c r="T118" s="113">
        <f>(VLOOKUP($D118,comp,AM$372))*$F118</f>
        <v>0</v>
      </c>
      <c r="V118" s="113">
        <f>(VLOOKUP($D118,comp,AO$372))*$F118</f>
        <v>0</v>
      </c>
      <c r="W118" s="113"/>
      <c r="X118" s="113">
        <f>(VLOOKUP($D118,comp,AQ$372))*$F118</f>
        <v>0</v>
      </c>
      <c r="Z118" s="126">
        <f t="shared" si="17"/>
        <v>0</v>
      </c>
      <c r="AA118" s="154"/>
    </row>
    <row r="119" spans="1:27" ht="12.75">
      <c r="A119" s="126">
        <v>23765</v>
      </c>
      <c r="B119" s="106" t="s">
        <v>203</v>
      </c>
      <c r="C119" s="105"/>
      <c r="D119" s="356">
        <v>8</v>
      </c>
      <c r="E119" s="362"/>
      <c r="F119" s="114">
        <f t="shared" si="22"/>
        <v>23765</v>
      </c>
      <c r="G119" s="106"/>
      <c r="H119" s="114">
        <f>(VLOOKUP($D119,comp,AA$372))*$F119</f>
        <v>9429.952</v>
      </c>
      <c r="J119" s="114">
        <f>(VLOOKUP($D119,comp,AC$372))*$F119</f>
        <v>1796.634</v>
      </c>
      <c r="L119" s="114">
        <f>(VLOOKUP($D119,comp,AE$372))*$F119</f>
        <v>10000.312</v>
      </c>
      <c r="N119" s="114">
        <f>(VLOOKUP($D119,comp,AG$372))*$F119</f>
        <v>0</v>
      </c>
      <c r="P119" s="114">
        <f>(VLOOKUP($D119,comp,AI$372))*$F119</f>
        <v>0</v>
      </c>
      <c r="R119" s="114">
        <f>(VLOOKUP($D119,comp,AK$372))*$F119</f>
        <v>0</v>
      </c>
      <c r="T119" s="114">
        <f>(VLOOKUP($D119,comp,AM$372))*$F119</f>
        <v>0</v>
      </c>
      <c r="V119" s="114">
        <f>(VLOOKUP($D119,comp,AO$372))*$F119</f>
        <v>1097.943</v>
      </c>
      <c r="X119" s="114">
        <f>(VLOOKUP($D119,comp,AQ$372))*$F119</f>
        <v>1440.159</v>
      </c>
      <c r="Z119" s="126">
        <f t="shared" si="17"/>
        <v>0</v>
      </c>
      <c r="AA119" s="154"/>
    </row>
    <row r="120" spans="2:27" ht="12.75">
      <c r="B120" s="106"/>
      <c r="C120" s="105"/>
      <c r="D120" s="356"/>
      <c r="E120" s="362"/>
      <c r="F120" s="113"/>
      <c r="G120" s="106"/>
      <c r="H120" s="113"/>
      <c r="Z120" s="126">
        <f t="shared" si="17"/>
        <v>0</v>
      </c>
      <c r="AA120" s="154"/>
    </row>
    <row r="121" spans="2:27" ht="12.75">
      <c r="B121" s="106" t="s">
        <v>134</v>
      </c>
      <c r="C121" s="105"/>
      <c r="D121" s="356"/>
      <c r="E121" s="362"/>
      <c r="F121" s="113">
        <f>SUM(F101:F120)</f>
        <v>1605821.9000000001</v>
      </c>
      <c r="G121" s="113"/>
      <c r="H121" s="113">
        <f aca="true" t="shared" si="23" ref="H121:X121">SUM(H101:H120)</f>
        <v>637178.5219279412</v>
      </c>
      <c r="I121" s="113"/>
      <c r="J121" s="113">
        <f t="shared" si="23"/>
        <v>121364.84155286472</v>
      </c>
      <c r="K121" s="113"/>
      <c r="L121" s="113">
        <f t="shared" si="23"/>
        <v>675735.0065841413</v>
      </c>
      <c r="M121" s="113"/>
      <c r="N121" s="113">
        <f t="shared" si="23"/>
        <v>0</v>
      </c>
      <c r="O121" s="113"/>
      <c r="P121" s="113">
        <f t="shared" si="23"/>
        <v>0</v>
      </c>
      <c r="Q121" s="113"/>
      <c r="R121" s="113">
        <f t="shared" si="23"/>
        <v>0</v>
      </c>
      <c r="S121" s="113"/>
      <c r="T121" s="113">
        <f t="shared" si="23"/>
        <v>0</v>
      </c>
      <c r="U121" s="113"/>
      <c r="V121" s="113">
        <f t="shared" si="23"/>
        <v>74225.30452557583</v>
      </c>
      <c r="W121" s="113"/>
      <c r="X121" s="113">
        <f t="shared" si="23"/>
        <v>97318.22540947674</v>
      </c>
      <c r="Z121" s="126">
        <f t="shared" si="17"/>
        <v>0</v>
      </c>
      <c r="AA121" s="154"/>
    </row>
    <row r="122" spans="2:27" ht="12.75">
      <c r="B122" s="106"/>
      <c r="C122" s="105"/>
      <c r="D122" s="356"/>
      <c r="E122" s="362"/>
      <c r="F122" s="113"/>
      <c r="G122" s="106"/>
      <c r="H122" s="113"/>
      <c r="Z122" s="126">
        <f t="shared" si="17"/>
        <v>0</v>
      </c>
      <c r="AA122" s="154"/>
    </row>
    <row r="123" spans="2:27" ht="12.75">
      <c r="B123" s="106" t="s">
        <v>133</v>
      </c>
      <c r="C123" s="105"/>
      <c r="D123" s="356"/>
      <c r="E123" s="362"/>
      <c r="F123" s="113"/>
      <c r="G123" s="106"/>
      <c r="H123" s="113"/>
      <c r="Z123" s="126">
        <f t="shared" si="17"/>
        <v>0</v>
      </c>
      <c r="AA123" s="154"/>
    </row>
    <row r="124" spans="2:27" ht="12.75">
      <c r="B124" s="65"/>
      <c r="C124" s="105"/>
      <c r="D124" s="356"/>
      <c r="E124" s="362"/>
      <c r="F124" s="113"/>
      <c r="G124" s="106"/>
      <c r="H124" s="113"/>
      <c r="Z124" s="126">
        <f t="shared" si="17"/>
        <v>0</v>
      </c>
      <c r="AA124" s="154"/>
    </row>
    <row r="125" spans="2:27" ht="12.75">
      <c r="B125" s="106" t="s">
        <v>202</v>
      </c>
      <c r="C125" s="105"/>
      <c r="D125" s="356">
        <v>14</v>
      </c>
      <c r="E125" s="362"/>
      <c r="F125" s="113">
        <f>+A125</f>
        <v>0</v>
      </c>
      <c r="G125" s="106"/>
      <c r="H125" s="113">
        <f>(VLOOKUP($D125,comp,AA$372))*$F125</f>
        <v>0</v>
      </c>
      <c r="J125" s="113">
        <f>(VLOOKUP($D125,comp,AC$372))*$F125</f>
        <v>0</v>
      </c>
      <c r="K125" s="113"/>
      <c r="L125" s="113">
        <f>(VLOOKUP($D125,comp,AE$372))*$F125</f>
        <v>0</v>
      </c>
      <c r="M125" s="113"/>
      <c r="N125" s="113">
        <f>(VLOOKUP($D125,comp,AG$372))*$F125</f>
        <v>0</v>
      </c>
      <c r="P125" s="113">
        <f>(VLOOKUP($D125,comp,AI$372))*$F125</f>
        <v>0</v>
      </c>
      <c r="Q125" s="113"/>
      <c r="R125" s="113">
        <f>(VLOOKUP($D125,comp,AK$372))*$F125</f>
        <v>0</v>
      </c>
      <c r="S125" s="113"/>
      <c r="T125" s="113">
        <f>(VLOOKUP($D125,comp,AM$372))*$F125</f>
        <v>0</v>
      </c>
      <c r="V125" s="113">
        <f>(VLOOKUP($D125,comp,AO$372))*$F125</f>
        <v>0</v>
      </c>
      <c r="W125" s="113"/>
      <c r="X125" s="113">
        <f>(VLOOKUP($D125,comp,AQ$372))*$F125</f>
        <v>0</v>
      </c>
      <c r="Z125" s="126">
        <f t="shared" si="17"/>
        <v>0</v>
      </c>
      <c r="AA125" s="154"/>
    </row>
    <row r="126" spans="2:27" ht="12.75">
      <c r="B126" s="106" t="s">
        <v>201</v>
      </c>
      <c r="C126" s="105"/>
      <c r="D126" s="356"/>
      <c r="E126" s="362"/>
      <c r="F126" s="113"/>
      <c r="G126" s="106"/>
      <c r="H126" s="113"/>
      <c r="J126" s="113"/>
      <c r="K126" s="113"/>
      <c r="L126" s="113"/>
      <c r="M126" s="113"/>
      <c r="N126" s="113"/>
      <c r="P126" s="113"/>
      <c r="Q126" s="113"/>
      <c r="R126" s="113"/>
      <c r="S126" s="113"/>
      <c r="T126" s="113"/>
      <c r="V126" s="113"/>
      <c r="W126" s="113"/>
      <c r="X126" s="113"/>
      <c r="Z126" s="126">
        <f t="shared" si="17"/>
        <v>0</v>
      </c>
      <c r="AA126" s="154"/>
    </row>
    <row r="127" spans="2:27" ht="12.75">
      <c r="B127" s="106" t="s">
        <v>143</v>
      </c>
      <c r="C127" s="105"/>
      <c r="D127" s="356">
        <v>14</v>
      </c>
      <c r="E127" s="362"/>
      <c r="F127" s="113">
        <f aca="true" t="shared" si="24" ref="F127:F146">+A127</f>
        <v>0</v>
      </c>
      <c r="G127" s="106"/>
      <c r="H127" s="113">
        <f>(VLOOKUP($D127,comp,AA$372))*$F127</f>
        <v>0</v>
      </c>
      <c r="J127" s="113">
        <f>(VLOOKUP($D127,comp,AC$372))*$F127</f>
        <v>0</v>
      </c>
      <c r="K127" s="113"/>
      <c r="L127" s="113">
        <f>(VLOOKUP($D127,comp,AE$372))*$F127</f>
        <v>0</v>
      </c>
      <c r="M127" s="113"/>
      <c r="N127" s="113">
        <f>(VLOOKUP($D127,comp,AG$372))*$F127</f>
        <v>0</v>
      </c>
      <c r="P127" s="113">
        <f>(VLOOKUP($D127,comp,AI$372))*$F127</f>
        <v>0</v>
      </c>
      <c r="Q127" s="113"/>
      <c r="R127" s="113">
        <f>(VLOOKUP($D127,comp,AK$372))*$F127</f>
        <v>0</v>
      </c>
      <c r="S127" s="113"/>
      <c r="T127" s="113">
        <f>(VLOOKUP($D127,comp,AM$372))*$F127</f>
        <v>0</v>
      </c>
      <c r="V127" s="113">
        <f>(VLOOKUP($D127,comp,AO$372))*$F127</f>
        <v>0</v>
      </c>
      <c r="W127" s="113"/>
      <c r="X127" s="113">
        <f>(VLOOKUP($D127,comp,AQ$372))*$F127</f>
        <v>0</v>
      </c>
      <c r="Z127" s="126">
        <f t="shared" si="17"/>
        <v>0</v>
      </c>
      <c r="AA127" s="154"/>
    </row>
    <row r="128" spans="2:27" ht="12.75">
      <c r="B128" s="106" t="s">
        <v>142</v>
      </c>
      <c r="C128" s="105"/>
      <c r="D128" s="356">
        <v>14</v>
      </c>
      <c r="E128" s="362"/>
      <c r="F128" s="113">
        <f t="shared" si="24"/>
        <v>0</v>
      </c>
      <c r="G128" s="106"/>
      <c r="H128" s="113">
        <f>(VLOOKUP($D128,Factors,AA$394))*$F128</f>
        <v>0</v>
      </c>
      <c r="J128" s="113">
        <f>(VLOOKUP($D128,Factors,AC$394))*$F128</f>
        <v>0</v>
      </c>
      <c r="L128" s="113">
        <f>(VLOOKUP($D128,Factors,AE$394))*$F128</f>
        <v>0</v>
      </c>
      <c r="N128" s="113">
        <f>(VLOOKUP($D128,Factors,AG$394))*$F128</f>
        <v>0</v>
      </c>
      <c r="P128" s="113">
        <f>(VLOOKUP($D128,Factors,AI$394))*$F128</f>
        <v>0</v>
      </c>
      <c r="R128" s="113">
        <f>(VLOOKUP($D128,Factors,AK$394))*$F128</f>
        <v>0</v>
      </c>
      <c r="T128" s="113">
        <f>(VLOOKUP($D128,Factors,AM$394))*$F128</f>
        <v>0</v>
      </c>
      <c r="V128" s="113">
        <f>(VLOOKUP($D128,Factors,AO$394))*$F128</f>
        <v>0</v>
      </c>
      <c r="X128" s="113">
        <f>(VLOOKUP($D128,Factors,AQ$394))*$F128</f>
        <v>0</v>
      </c>
      <c r="Z128" s="126">
        <f t="shared" si="17"/>
        <v>0</v>
      </c>
      <c r="AA128" s="154"/>
    </row>
    <row r="129" spans="2:27" ht="12.75">
      <c r="B129" s="106" t="s">
        <v>200</v>
      </c>
      <c r="C129" s="105"/>
      <c r="D129" s="356"/>
      <c r="E129" s="362"/>
      <c r="F129" s="113"/>
      <c r="G129" s="106"/>
      <c r="H129" s="113"/>
      <c r="Z129" s="126">
        <f t="shared" si="17"/>
        <v>0</v>
      </c>
      <c r="AA129" s="154"/>
    </row>
    <row r="130" spans="1:27" ht="12.75">
      <c r="A130" s="126">
        <v>163622.12</v>
      </c>
      <c r="B130" s="106" t="s">
        <v>143</v>
      </c>
      <c r="C130" s="105"/>
      <c r="D130" s="356">
        <v>5</v>
      </c>
      <c r="E130" s="362"/>
      <c r="F130" s="113">
        <f t="shared" si="24"/>
        <v>163622.12</v>
      </c>
      <c r="G130" s="106"/>
      <c r="H130" s="113">
        <f>(VLOOKUP($D130,Factors,AA$394))*$F130</f>
        <v>55975.127252</v>
      </c>
      <c r="J130" s="113">
        <f>(VLOOKUP($D130,Factors,AC$394))*$F130</f>
        <v>0</v>
      </c>
      <c r="L130" s="113">
        <f>(VLOOKUP($D130,Factors,AE$394))*$F130</f>
        <v>83954.509772</v>
      </c>
      <c r="N130" s="113">
        <f>(VLOOKUP($D130,Factors,AG$394))*$F130</f>
        <v>0</v>
      </c>
      <c r="P130" s="113">
        <f>(VLOOKUP($D130,Factors,AI$394))*$F130</f>
        <v>0</v>
      </c>
      <c r="R130" s="113">
        <f>(VLOOKUP($D130,Factors,AK$394))*$F130</f>
        <v>0</v>
      </c>
      <c r="T130" s="113">
        <f>(VLOOKUP($D130,Factors,AM$394))*$F130</f>
        <v>0</v>
      </c>
      <c r="V130" s="113">
        <f>(VLOOKUP($D130,Factors,AO$394))*$F130</f>
        <v>10242.744712</v>
      </c>
      <c r="X130" s="113">
        <f>(VLOOKUP($D130,Factors,AQ$394))*$F130</f>
        <v>13449.738264</v>
      </c>
      <c r="Z130" s="126">
        <f t="shared" si="17"/>
        <v>0</v>
      </c>
      <c r="AA130" s="154"/>
    </row>
    <row r="131" spans="2:27" ht="12.75">
      <c r="B131" s="106" t="s">
        <v>142</v>
      </c>
      <c r="C131" s="105"/>
      <c r="D131" s="356">
        <v>5</v>
      </c>
      <c r="E131" s="362"/>
      <c r="F131" s="113">
        <f t="shared" si="24"/>
        <v>0</v>
      </c>
      <c r="G131" s="106"/>
      <c r="H131" s="113">
        <f>(VLOOKUP($D131,Factors,AA$394))*$F131</f>
        <v>0</v>
      </c>
      <c r="J131" s="113">
        <f>(VLOOKUP($D131,Factors,AC$394))*$F131</f>
        <v>0</v>
      </c>
      <c r="L131" s="113">
        <f>(VLOOKUP($D131,Factors,AE$394))*$F131</f>
        <v>0</v>
      </c>
      <c r="N131" s="113">
        <f>(VLOOKUP($D131,Factors,AG$394))*$F131</f>
        <v>0</v>
      </c>
      <c r="P131" s="113">
        <f>(VLOOKUP($D131,Factors,AI$394))*$F131</f>
        <v>0</v>
      </c>
      <c r="R131" s="113">
        <f>(VLOOKUP($D131,Factors,AK$394))*$F131</f>
        <v>0</v>
      </c>
      <c r="T131" s="113">
        <f>(VLOOKUP($D131,Factors,AM$394))*$F131</f>
        <v>0</v>
      </c>
      <c r="V131" s="113">
        <f>(VLOOKUP($D131,Factors,AO$394))*$F131</f>
        <v>0</v>
      </c>
      <c r="X131" s="113">
        <f>(VLOOKUP($D131,Factors,AQ$394))*$F131</f>
        <v>0</v>
      </c>
      <c r="Z131" s="126">
        <f t="shared" si="17"/>
        <v>0</v>
      </c>
      <c r="AA131" s="154"/>
    </row>
    <row r="132" spans="2:27" ht="12.75">
      <c r="B132" s="106" t="s">
        <v>199</v>
      </c>
      <c r="C132" s="105"/>
      <c r="D132" s="356"/>
      <c r="E132" s="362"/>
      <c r="F132" s="113"/>
      <c r="G132" s="106"/>
      <c r="H132" s="113"/>
      <c r="Z132" s="126">
        <f t="shared" si="17"/>
        <v>0</v>
      </c>
      <c r="AA132" s="154"/>
    </row>
    <row r="133" spans="2:27" ht="12.75">
      <c r="B133" s="106" t="s">
        <v>143</v>
      </c>
      <c r="C133" s="105"/>
      <c r="D133" s="356">
        <v>7</v>
      </c>
      <c r="E133" s="362"/>
      <c r="F133" s="113">
        <f t="shared" si="24"/>
        <v>0</v>
      </c>
      <c r="G133" s="106"/>
      <c r="H133" s="113">
        <f>(VLOOKUP($D133,Factors,AA$394))*$F133</f>
        <v>0</v>
      </c>
      <c r="J133" s="113">
        <f>(VLOOKUP($D133,Factors,AC$394))*$F133</f>
        <v>0</v>
      </c>
      <c r="L133" s="113">
        <f>(VLOOKUP($D133,Factors,AE$394))*$F133</f>
        <v>0</v>
      </c>
      <c r="N133" s="113">
        <f>(VLOOKUP($D133,Factors,AG$394))*$F133</f>
        <v>0</v>
      </c>
      <c r="P133" s="113">
        <f>(VLOOKUP($D133,Factors,AI$394))*$F133</f>
        <v>0</v>
      </c>
      <c r="R133" s="113">
        <f>(VLOOKUP($D133,Factors,AK$394))*$F133</f>
        <v>0</v>
      </c>
      <c r="T133" s="113">
        <f>(VLOOKUP($D133,Factors,AM$394))*$F133</f>
        <v>0</v>
      </c>
      <c r="V133" s="113">
        <f>(VLOOKUP($D133,Factors,AO$394))*$F133</f>
        <v>0</v>
      </c>
      <c r="X133" s="113">
        <f>(VLOOKUP($D133,Factors,AQ$394))*$F133</f>
        <v>0</v>
      </c>
      <c r="Z133" s="126">
        <f t="shared" si="17"/>
        <v>0</v>
      </c>
      <c r="AA133" s="154"/>
    </row>
    <row r="134" spans="1:27" ht="12.75">
      <c r="A134" s="126">
        <v>1057485.66</v>
      </c>
      <c r="B134" s="106" t="s">
        <v>142</v>
      </c>
      <c r="C134" s="105"/>
      <c r="D134" s="356">
        <v>7</v>
      </c>
      <c r="E134" s="362"/>
      <c r="F134" s="113">
        <f t="shared" si="24"/>
        <v>1057485.66</v>
      </c>
      <c r="G134" s="106"/>
      <c r="H134" s="113">
        <f>(VLOOKUP($D134,Factors,AA$394))*$F134</f>
        <v>419595.4722238755</v>
      </c>
      <c r="J134" s="113">
        <f>(VLOOKUP($D134,Factors,AC$394))*$F134</f>
        <v>79900.80199448766</v>
      </c>
      <c r="L134" s="113">
        <f>(VLOOKUP($D134,Factors,AE$394))*$F134</f>
        <v>444996.54996403545</v>
      </c>
      <c r="N134" s="113">
        <f>(VLOOKUP($D134,Factors,AG$394))*$F134</f>
        <v>0</v>
      </c>
      <c r="P134" s="113">
        <f>(VLOOKUP($D134,Factors,AI$394))*$F134</f>
        <v>0</v>
      </c>
      <c r="R134" s="113">
        <f>(VLOOKUP($D134,Factors,AK$394))*$F134</f>
        <v>0</v>
      </c>
      <c r="T134" s="113">
        <f>(VLOOKUP($D134,Factors,AM$394))*$F134</f>
        <v>0</v>
      </c>
      <c r="V134" s="113">
        <f>(VLOOKUP($D134,Factors,AO$394))*$F134</f>
        <v>48902.279036140164</v>
      </c>
      <c r="X134" s="113">
        <f>(VLOOKUP($D134,Factors,AQ$394))*$F134</f>
        <v>64090.55678146099</v>
      </c>
      <c r="Z134" s="126">
        <f t="shared" si="17"/>
        <v>0</v>
      </c>
      <c r="AA134" s="154"/>
    </row>
    <row r="135" spans="2:27" ht="12.75">
      <c r="B135" s="106" t="s">
        <v>198</v>
      </c>
      <c r="C135" s="105"/>
      <c r="D135" s="356"/>
      <c r="E135" s="362"/>
      <c r="F135" s="113"/>
      <c r="G135" s="106"/>
      <c r="H135" s="113"/>
      <c r="Z135" s="126">
        <f t="shared" si="17"/>
        <v>0</v>
      </c>
      <c r="AA135" s="154"/>
    </row>
    <row r="136" spans="2:27" ht="12.75">
      <c r="B136" s="106" t="s">
        <v>143</v>
      </c>
      <c r="C136" s="105"/>
      <c r="D136" s="356">
        <v>10</v>
      </c>
      <c r="E136" s="362"/>
      <c r="F136" s="113">
        <f t="shared" si="24"/>
        <v>0</v>
      </c>
      <c r="G136" s="106"/>
      <c r="H136" s="113">
        <f>(VLOOKUP($D136,Factors,AA$394))*$F136</f>
        <v>0</v>
      </c>
      <c r="J136" s="113">
        <f>(VLOOKUP($D136,Factors,AC$394))*$F136</f>
        <v>0</v>
      </c>
      <c r="L136" s="113">
        <f>(VLOOKUP($D136,Factors,AE$394))*$F136</f>
        <v>0</v>
      </c>
      <c r="N136" s="113">
        <f>(VLOOKUP($D136,Factors,AG$394))*$F136</f>
        <v>0</v>
      </c>
      <c r="P136" s="113">
        <f>(VLOOKUP($D136,Factors,AI$394))*$F136</f>
        <v>0</v>
      </c>
      <c r="R136" s="113">
        <f>(VLOOKUP($D136,Factors,AK$394))*$F136</f>
        <v>0</v>
      </c>
      <c r="T136" s="113">
        <f>(VLOOKUP($D136,Factors,AM$394))*$F136</f>
        <v>0</v>
      </c>
      <c r="V136" s="113">
        <f>(VLOOKUP($D136,Factors,AO$394))*$F136</f>
        <v>0</v>
      </c>
      <c r="X136" s="113">
        <f>(VLOOKUP($D136,Factors,AQ$394))*$F136</f>
        <v>0</v>
      </c>
      <c r="Z136" s="126">
        <f t="shared" si="17"/>
        <v>0</v>
      </c>
      <c r="AA136" s="154"/>
    </row>
    <row r="137" spans="2:27" ht="12.75">
      <c r="B137" s="106" t="s">
        <v>142</v>
      </c>
      <c r="C137" s="105"/>
      <c r="D137" s="356">
        <v>10</v>
      </c>
      <c r="E137" s="362"/>
      <c r="F137" s="113">
        <f t="shared" si="24"/>
        <v>0</v>
      </c>
      <c r="G137" s="106"/>
      <c r="H137" s="113">
        <f>(VLOOKUP($D137,Factors,AA$394))*$F137</f>
        <v>0</v>
      </c>
      <c r="J137" s="113">
        <f>(VLOOKUP($D137,Factors,AC$394))*$F137</f>
        <v>0</v>
      </c>
      <c r="L137" s="113">
        <f>(VLOOKUP($D137,Factors,AE$394))*$F137</f>
        <v>0</v>
      </c>
      <c r="N137" s="113">
        <f>(VLOOKUP($D137,Factors,AG$394))*$F137</f>
        <v>0</v>
      </c>
      <c r="P137" s="113">
        <f>(VLOOKUP($D137,Factors,AI$394))*$F137</f>
        <v>0</v>
      </c>
      <c r="R137" s="113">
        <f>(VLOOKUP($D137,Factors,AK$394))*$F137</f>
        <v>0</v>
      </c>
      <c r="T137" s="113">
        <f>(VLOOKUP($D137,Factors,AM$394))*$F137</f>
        <v>0</v>
      </c>
      <c r="V137" s="113">
        <f>(VLOOKUP($D137,Factors,AO$394))*$F137</f>
        <v>0</v>
      </c>
      <c r="X137" s="113">
        <f>(VLOOKUP($D137,Factors,AQ$394))*$F137</f>
        <v>0</v>
      </c>
      <c r="Z137" s="126">
        <f t="shared" si="17"/>
        <v>0</v>
      </c>
      <c r="AA137" s="154"/>
    </row>
    <row r="138" spans="2:27" ht="12.75">
      <c r="B138" s="106" t="s">
        <v>157</v>
      </c>
      <c r="C138" s="105"/>
      <c r="D138" s="356"/>
      <c r="E138" s="362"/>
      <c r="F138" s="113"/>
      <c r="G138" s="106"/>
      <c r="H138" s="113"/>
      <c r="Z138" s="126">
        <f t="shared" si="17"/>
        <v>0</v>
      </c>
      <c r="AA138" s="154"/>
    </row>
    <row r="139" spans="2:27" ht="12.75">
      <c r="B139" s="106" t="s">
        <v>143</v>
      </c>
      <c r="C139" s="105"/>
      <c r="D139" s="356">
        <v>9</v>
      </c>
      <c r="E139" s="362"/>
      <c r="F139" s="113">
        <f t="shared" si="24"/>
        <v>0</v>
      </c>
      <c r="G139" s="106"/>
      <c r="H139" s="113">
        <f>(VLOOKUP($D139,Factors,AA$394))*$F139</f>
        <v>0</v>
      </c>
      <c r="J139" s="113">
        <f>(VLOOKUP($D139,Factors,AC$394))*$F139</f>
        <v>0</v>
      </c>
      <c r="L139" s="113">
        <f>(VLOOKUP($D139,Factors,AE$394))*$F139</f>
        <v>0</v>
      </c>
      <c r="N139" s="113">
        <f>(VLOOKUP($D139,Factors,AG$394))*$F139</f>
        <v>0</v>
      </c>
      <c r="P139" s="113">
        <f>(VLOOKUP($D139,Factors,AI$394))*$F139</f>
        <v>0</v>
      </c>
      <c r="R139" s="113">
        <f>(VLOOKUP($D139,Factors,AK$394))*$F139</f>
        <v>0</v>
      </c>
      <c r="T139" s="113">
        <f>(VLOOKUP($D139,Factors,AM$394))*$F139</f>
        <v>0</v>
      </c>
      <c r="V139" s="113">
        <f>(VLOOKUP($D139,Factors,AO$394))*$F139</f>
        <v>0</v>
      </c>
      <c r="X139" s="113">
        <f>(VLOOKUP($D139,Factors,AQ$394))*$F139</f>
        <v>0</v>
      </c>
      <c r="Z139" s="126">
        <f t="shared" si="17"/>
        <v>0</v>
      </c>
      <c r="AA139" s="154"/>
    </row>
    <row r="140" spans="1:27" ht="12.75">
      <c r="A140" s="126">
        <v>42962.44</v>
      </c>
      <c r="B140" s="106" t="s">
        <v>142</v>
      </c>
      <c r="C140" s="105"/>
      <c r="D140" s="356">
        <v>9</v>
      </c>
      <c r="E140" s="362"/>
      <c r="F140" s="113">
        <f t="shared" si="24"/>
        <v>42962.44</v>
      </c>
      <c r="G140" s="106"/>
      <c r="H140" s="113">
        <f>(VLOOKUP($D140,Factors,AA$394))*$F140</f>
        <v>0</v>
      </c>
      <c r="J140" s="113">
        <f>(VLOOKUP($D140,Factors,AC$394))*$F140</f>
        <v>0</v>
      </c>
      <c r="L140" s="113">
        <f>(VLOOKUP($D140,Factors,AE$394))*$F140</f>
        <v>0</v>
      </c>
      <c r="N140" s="113">
        <f>(VLOOKUP($D140,Factors,AG$394))*$F140</f>
        <v>42962.44</v>
      </c>
      <c r="P140" s="113">
        <f>(VLOOKUP($D140,Factors,AI$394))*$F140</f>
        <v>0</v>
      </c>
      <c r="R140" s="113">
        <f>(VLOOKUP($D140,Factors,AK$394))*$F140</f>
        <v>0</v>
      </c>
      <c r="T140" s="113">
        <f>(VLOOKUP($D140,Factors,AM$394))*$F140</f>
        <v>0</v>
      </c>
      <c r="V140" s="113">
        <f>(VLOOKUP($D140,Factors,AO$394))*$F140</f>
        <v>0</v>
      </c>
      <c r="X140" s="113">
        <f>(VLOOKUP($D140,Factors,AQ$394))*$F140</f>
        <v>0</v>
      </c>
      <c r="Z140" s="126">
        <f t="shared" si="17"/>
        <v>0</v>
      </c>
      <c r="AA140" s="154"/>
    </row>
    <row r="141" spans="2:27" ht="12.75">
      <c r="B141" s="106" t="s">
        <v>156</v>
      </c>
      <c r="C141" s="105"/>
      <c r="D141" s="356"/>
      <c r="E141" s="362"/>
      <c r="F141" s="113"/>
      <c r="G141" s="106"/>
      <c r="H141" s="113"/>
      <c r="Z141" s="126">
        <f t="shared" si="17"/>
        <v>0</v>
      </c>
      <c r="AA141" s="154"/>
    </row>
    <row r="142" spans="2:27" ht="12.75">
      <c r="B142" s="106" t="s">
        <v>143</v>
      </c>
      <c r="C142" s="105"/>
      <c r="D142" s="356">
        <v>13</v>
      </c>
      <c r="E142" s="362"/>
      <c r="F142" s="113">
        <f t="shared" si="24"/>
        <v>0</v>
      </c>
      <c r="G142" s="106"/>
      <c r="H142" s="113">
        <f>(VLOOKUP($D142,Factors,AA$394))*$F142</f>
        <v>0</v>
      </c>
      <c r="J142" s="113">
        <f>(VLOOKUP($D142,Factors,AC$394))*$F142</f>
        <v>0</v>
      </c>
      <c r="L142" s="113">
        <f>(VLOOKUP($D142,Factors,AE$394))*$F142</f>
        <v>0</v>
      </c>
      <c r="N142" s="113">
        <f>(VLOOKUP($D142,Factors,AG$394))*$F142</f>
        <v>0</v>
      </c>
      <c r="P142" s="113">
        <f>(VLOOKUP($D142,Factors,AI$394))*$F142</f>
        <v>0</v>
      </c>
      <c r="R142" s="113">
        <f>(VLOOKUP($D142,Factors,AK$394))*$F142</f>
        <v>0</v>
      </c>
      <c r="T142" s="113">
        <f>(VLOOKUP($D142,Factors,AM$394))*$F142</f>
        <v>0</v>
      </c>
      <c r="V142" s="113">
        <f>(VLOOKUP($D142,Factors,AO$394))*$F142</f>
        <v>0</v>
      </c>
      <c r="X142" s="113">
        <f>(VLOOKUP($D142,Factors,AQ$394))*$F142</f>
        <v>0</v>
      </c>
      <c r="Z142" s="126">
        <f t="shared" si="17"/>
        <v>0</v>
      </c>
      <c r="AA142" s="154"/>
    </row>
    <row r="143" spans="2:27" ht="12.75">
      <c r="B143" s="106" t="s">
        <v>142</v>
      </c>
      <c r="C143" s="105"/>
      <c r="D143" s="356">
        <v>13</v>
      </c>
      <c r="E143" s="362"/>
      <c r="F143" s="113">
        <f t="shared" si="24"/>
        <v>0</v>
      </c>
      <c r="G143" s="106"/>
      <c r="H143" s="113">
        <f>(VLOOKUP($D143,Factors,AA$394))*$F143</f>
        <v>0</v>
      </c>
      <c r="J143" s="113">
        <f>(VLOOKUP($D143,Factors,AC$394))*$F143</f>
        <v>0</v>
      </c>
      <c r="L143" s="113">
        <f>(VLOOKUP($D143,Factors,AE$394))*$F143</f>
        <v>0</v>
      </c>
      <c r="N143" s="113">
        <f>(VLOOKUP($D143,Factors,AG$394))*$F143</f>
        <v>0</v>
      </c>
      <c r="P143" s="113">
        <f>(VLOOKUP($D143,Factors,AI$394))*$F143</f>
        <v>0</v>
      </c>
      <c r="R143" s="113">
        <f>(VLOOKUP($D143,Factors,AK$394))*$F143</f>
        <v>0</v>
      </c>
      <c r="T143" s="113">
        <f>(VLOOKUP($D143,Factors,AM$394))*$F143</f>
        <v>0</v>
      </c>
      <c r="V143" s="113">
        <f>(VLOOKUP($D143,Factors,AO$394))*$F143</f>
        <v>0</v>
      </c>
      <c r="X143" s="113">
        <f>(VLOOKUP($D143,Factors,AQ$394))*$F143</f>
        <v>0</v>
      </c>
      <c r="Z143" s="126">
        <f t="shared" si="17"/>
        <v>0</v>
      </c>
      <c r="AA143" s="154"/>
    </row>
    <row r="144" spans="2:27" ht="12.75">
      <c r="B144" s="106" t="s">
        <v>405</v>
      </c>
      <c r="C144" s="105"/>
      <c r="D144" s="356"/>
      <c r="E144" s="362"/>
      <c r="F144" s="113"/>
      <c r="G144" s="106"/>
      <c r="H144" s="113"/>
      <c r="Z144" s="126">
        <f t="shared" si="17"/>
        <v>0</v>
      </c>
      <c r="AA144" s="154"/>
    </row>
    <row r="145" spans="1:27" ht="12.75">
      <c r="A145" s="126">
        <v>577113</v>
      </c>
      <c r="B145" s="106" t="s">
        <v>143</v>
      </c>
      <c r="C145" s="105"/>
      <c r="D145" s="356">
        <v>14</v>
      </c>
      <c r="E145" s="362"/>
      <c r="F145" s="113">
        <f t="shared" si="24"/>
        <v>577113</v>
      </c>
      <c r="G145" s="106"/>
      <c r="H145" s="113">
        <f>(VLOOKUP($D145,comp,AA$372))*$F145</f>
        <v>217109.91059999997</v>
      </c>
      <c r="J145" s="113">
        <f>(VLOOKUP($D145,comp,AC$372))*$F145</f>
        <v>36473.541600000004</v>
      </c>
      <c r="K145" s="113"/>
      <c r="L145" s="113">
        <f>(VLOOKUP($D145,comp,AE$372))*$F145</f>
        <v>241521.7905</v>
      </c>
      <c r="M145" s="113"/>
      <c r="N145" s="113">
        <f>(VLOOKUP($D145,comp,AG$372))*$F145</f>
        <v>19621.842</v>
      </c>
      <c r="P145" s="113">
        <f>(VLOOKUP($D145,comp,AI$372))*$F145</f>
        <v>0</v>
      </c>
      <c r="Q145" s="113"/>
      <c r="R145" s="113">
        <f>(VLOOKUP($D145,comp,AK$372))*$F145</f>
        <v>0</v>
      </c>
      <c r="S145" s="113"/>
      <c r="T145" s="113">
        <f>(VLOOKUP($D145,comp,AM$372))*$F145</f>
        <v>0</v>
      </c>
      <c r="V145" s="113">
        <f>(VLOOKUP($D145,comp,AO$372))*$F145</f>
        <v>27008.8884</v>
      </c>
      <c r="W145" s="113"/>
      <c r="X145" s="113">
        <f>(VLOOKUP($D145,comp,AQ$372))*$F145</f>
        <v>35377.0269</v>
      </c>
      <c r="Z145" s="126">
        <f aca="true" t="shared" si="25" ref="Z145:Z210">SUM(H145:X145)-F145</f>
        <v>0</v>
      </c>
      <c r="AA145" s="154"/>
    </row>
    <row r="146" spans="2:27" ht="12.75">
      <c r="B146" s="106" t="s">
        <v>142</v>
      </c>
      <c r="C146" s="105"/>
      <c r="D146" s="356">
        <v>14</v>
      </c>
      <c r="E146" s="362"/>
      <c r="F146" s="114">
        <f t="shared" si="24"/>
        <v>0</v>
      </c>
      <c r="G146" s="106"/>
      <c r="H146" s="114">
        <f>(VLOOKUP($D146,comp,AA$372))*$F146</f>
        <v>0</v>
      </c>
      <c r="J146" s="114">
        <f>(VLOOKUP($D146,comp,AC$372))*$F146</f>
        <v>0</v>
      </c>
      <c r="L146" s="114">
        <f>(VLOOKUP($D146,comp,AE$372))*$F146</f>
        <v>0</v>
      </c>
      <c r="N146" s="114">
        <f>(VLOOKUP($D146,comp,AG$372))*$F146</f>
        <v>0</v>
      </c>
      <c r="P146" s="114">
        <f>(VLOOKUP($D146,comp,AI$372))*$F146</f>
        <v>0</v>
      </c>
      <c r="R146" s="114">
        <f>(VLOOKUP($D146,comp,AK$372))*$F146</f>
        <v>0</v>
      </c>
      <c r="T146" s="114">
        <f>(VLOOKUP($D146,comp,AM$372))*$F146</f>
        <v>0</v>
      </c>
      <c r="V146" s="114">
        <f>(VLOOKUP($D146,comp,AO$372))*$F146</f>
        <v>0</v>
      </c>
      <c r="X146" s="114">
        <f>(VLOOKUP($D146,comp,AQ$372))*$F146</f>
        <v>0</v>
      </c>
      <c r="Z146" s="126">
        <f t="shared" si="25"/>
        <v>0</v>
      </c>
      <c r="AA146" s="154"/>
    </row>
    <row r="147" spans="2:27" ht="6.75" customHeight="1">
      <c r="B147" s="106"/>
      <c r="C147" s="105"/>
      <c r="D147" s="356"/>
      <c r="E147" s="362"/>
      <c r="F147" s="113"/>
      <c r="G147" s="106"/>
      <c r="H147" s="113"/>
      <c r="Z147" s="126">
        <f t="shared" si="25"/>
        <v>0</v>
      </c>
      <c r="AA147" s="154"/>
    </row>
    <row r="148" spans="2:27" ht="12.75">
      <c r="B148" s="106" t="s">
        <v>131</v>
      </c>
      <c r="C148" s="105"/>
      <c r="D148" s="356"/>
      <c r="E148" s="362"/>
      <c r="F148" s="113">
        <f>SUM(F125:F147)</f>
        <v>1841183.2199999997</v>
      </c>
      <c r="G148" s="113"/>
      <c r="H148" s="113">
        <f aca="true" t="shared" si="26" ref="H148:X148">SUM(H125:H147)</f>
        <v>692680.5100758754</v>
      </c>
      <c r="I148" s="113"/>
      <c r="J148" s="113">
        <f t="shared" si="26"/>
        <v>116374.34359448767</v>
      </c>
      <c r="K148" s="113"/>
      <c r="L148" s="113">
        <f t="shared" si="26"/>
        <v>770472.8502360354</v>
      </c>
      <c r="M148" s="113"/>
      <c r="N148" s="113">
        <f t="shared" si="26"/>
        <v>62584.28200000001</v>
      </c>
      <c r="O148" s="113"/>
      <c r="P148" s="113">
        <f t="shared" si="26"/>
        <v>0</v>
      </c>
      <c r="Q148" s="113"/>
      <c r="R148" s="113">
        <f t="shared" si="26"/>
        <v>0</v>
      </c>
      <c r="S148" s="113"/>
      <c r="T148" s="113">
        <f t="shared" si="26"/>
        <v>0</v>
      </c>
      <c r="U148" s="113"/>
      <c r="V148" s="113">
        <f t="shared" si="26"/>
        <v>86153.91214814017</v>
      </c>
      <c r="W148" s="113"/>
      <c r="X148" s="113">
        <f t="shared" si="26"/>
        <v>112917.32194546098</v>
      </c>
      <c r="Z148" s="126">
        <f t="shared" si="25"/>
        <v>0</v>
      </c>
      <c r="AA148" s="154"/>
    </row>
    <row r="149" spans="2:27" ht="7.5" customHeight="1">
      <c r="B149" s="106"/>
      <c r="C149" s="105"/>
      <c r="D149" s="356"/>
      <c r="E149" s="362"/>
      <c r="F149" s="113"/>
      <c r="G149" s="106"/>
      <c r="H149" s="113"/>
      <c r="Z149" s="126">
        <f t="shared" si="25"/>
        <v>0</v>
      </c>
      <c r="AA149" s="154"/>
    </row>
    <row r="150" spans="2:27" ht="12.75">
      <c r="B150" s="106" t="s">
        <v>155</v>
      </c>
      <c r="C150" s="105"/>
      <c r="D150" s="356"/>
      <c r="E150" s="362"/>
      <c r="F150" s="113">
        <f>F148+F121</f>
        <v>3447005.12</v>
      </c>
      <c r="G150" s="113"/>
      <c r="H150" s="113">
        <f aca="true" t="shared" si="27" ref="H150:X150">H148+H121</f>
        <v>1329859.0320038167</v>
      </c>
      <c r="I150" s="113"/>
      <c r="J150" s="113">
        <f t="shared" si="27"/>
        <v>237739.1851473524</v>
      </c>
      <c r="K150" s="113"/>
      <c r="L150" s="113">
        <f t="shared" si="27"/>
        <v>1446207.8568201768</v>
      </c>
      <c r="M150" s="113"/>
      <c r="N150" s="113">
        <f t="shared" si="27"/>
        <v>62584.28200000001</v>
      </c>
      <c r="O150" s="113"/>
      <c r="P150" s="113">
        <f t="shared" si="27"/>
        <v>0</v>
      </c>
      <c r="Q150" s="113"/>
      <c r="R150" s="113">
        <f t="shared" si="27"/>
        <v>0</v>
      </c>
      <c r="S150" s="113"/>
      <c r="T150" s="113">
        <f t="shared" si="27"/>
        <v>0</v>
      </c>
      <c r="U150" s="113"/>
      <c r="V150" s="113">
        <f t="shared" si="27"/>
        <v>160379.216673716</v>
      </c>
      <c r="W150" s="113"/>
      <c r="X150" s="113">
        <f t="shared" si="27"/>
        <v>210235.5473549377</v>
      </c>
      <c r="Z150" s="126">
        <f t="shared" si="25"/>
        <v>0</v>
      </c>
      <c r="AA150" s="154"/>
    </row>
    <row r="151" spans="2:27" ht="12.75">
      <c r="B151" s="106"/>
      <c r="C151" s="105"/>
      <c r="D151" s="356"/>
      <c r="E151" s="362"/>
      <c r="F151" s="113"/>
      <c r="G151" s="106"/>
      <c r="H151" s="113"/>
      <c r="Z151" s="126">
        <f t="shared" si="25"/>
        <v>0</v>
      </c>
      <c r="AA151" s="154"/>
    </row>
    <row r="152" spans="2:27" ht="12.75">
      <c r="B152" s="106" t="s">
        <v>154</v>
      </c>
      <c r="C152" s="105"/>
      <c r="D152" s="356"/>
      <c r="E152" s="362"/>
      <c r="F152" s="113"/>
      <c r="G152" s="106"/>
      <c r="H152" s="113"/>
      <c r="Z152" s="126">
        <f t="shared" si="25"/>
        <v>0</v>
      </c>
      <c r="AA152" s="154"/>
    </row>
    <row r="153" spans="1:27" ht="12.75">
      <c r="A153" s="126">
        <v>43797.63</v>
      </c>
      <c r="B153" s="106" t="s">
        <v>153</v>
      </c>
      <c r="C153" s="105"/>
      <c r="D153" s="356">
        <v>11</v>
      </c>
      <c r="E153" s="362"/>
      <c r="F153" s="113">
        <f>+A153</f>
        <v>43797.63</v>
      </c>
      <c r="G153" s="106"/>
      <c r="H153" s="113">
        <f>(VLOOKUP($D153,Factors,AA$394))*$F153</f>
        <v>0</v>
      </c>
      <c r="J153" s="113">
        <f>(VLOOKUP($D153,Factors,AC$394))*$F153</f>
        <v>0</v>
      </c>
      <c r="L153" s="113">
        <f>(VLOOKUP($D153,Factors,AE$394))*$F153</f>
        <v>0</v>
      </c>
      <c r="N153" s="113">
        <f>(VLOOKUP($D153,Factors,AG$394))*$F153</f>
        <v>0</v>
      </c>
      <c r="P153" s="113">
        <f>(VLOOKUP($D153,Factors,AI$394))*$F153</f>
        <v>0</v>
      </c>
      <c r="R153" s="113">
        <f>(VLOOKUP($D153,Factors,AK$394))*$F153</f>
        <v>43797.63</v>
      </c>
      <c r="T153" s="113">
        <f>(VLOOKUP($D153,Factors,AM$394))*$F153</f>
        <v>0</v>
      </c>
      <c r="V153" s="113">
        <f>(VLOOKUP($D153,Factors,AO$394))*$F153</f>
        <v>0</v>
      </c>
      <c r="X153" s="113">
        <f>(VLOOKUP($D153,Factors,AQ$394))*$F153</f>
        <v>0</v>
      </c>
      <c r="Z153" s="126">
        <f t="shared" si="25"/>
        <v>0</v>
      </c>
      <c r="AA153" s="154"/>
    </row>
    <row r="154" spans="2:27" ht="12.75">
      <c r="B154" s="106" t="s">
        <v>152</v>
      </c>
      <c r="C154" s="105"/>
      <c r="D154" s="356"/>
      <c r="E154" s="362"/>
      <c r="F154" s="113"/>
      <c r="G154" s="106"/>
      <c r="H154" s="113"/>
      <c r="Z154" s="126">
        <f t="shared" si="25"/>
        <v>0</v>
      </c>
      <c r="AA154" s="154"/>
    </row>
    <row r="155" spans="2:27" ht="12.75">
      <c r="B155" s="106" t="s">
        <v>143</v>
      </c>
      <c r="C155" s="105"/>
      <c r="D155" s="356">
        <v>12</v>
      </c>
      <c r="E155" s="362"/>
      <c r="F155" s="113">
        <f aca="true" t="shared" si="28" ref="F155:F163">+A155</f>
        <v>0</v>
      </c>
      <c r="G155" s="106"/>
      <c r="H155" s="113">
        <f>(VLOOKUP($D155,Factors,AA$394))*$F155</f>
        <v>0</v>
      </c>
      <c r="J155" s="113">
        <f>(VLOOKUP($D155,Factors,AC$394))*$F155</f>
        <v>0</v>
      </c>
      <c r="L155" s="113">
        <f>(VLOOKUP($D155,Factors,AE$394))*$F155</f>
        <v>0</v>
      </c>
      <c r="N155" s="113">
        <f>(VLOOKUP($D155,Factors,AG$394))*$F155</f>
        <v>0</v>
      </c>
      <c r="P155" s="113">
        <f>(VLOOKUP($D155,Factors,AI$394))*$F155</f>
        <v>0</v>
      </c>
      <c r="R155" s="113">
        <f>(VLOOKUP($D155,Factors,AK$394))*$F155</f>
        <v>0</v>
      </c>
      <c r="T155" s="113">
        <f>(VLOOKUP($D155,Factors,AM$394))*$F155</f>
        <v>0</v>
      </c>
      <c r="V155" s="113">
        <f>(VLOOKUP($D155,Factors,AO$394))*$F155</f>
        <v>0</v>
      </c>
      <c r="X155" s="113">
        <f>(VLOOKUP($D155,Factors,AQ$394))*$F155</f>
        <v>0</v>
      </c>
      <c r="Z155" s="126">
        <f t="shared" si="25"/>
        <v>0</v>
      </c>
      <c r="AA155" s="154"/>
    </row>
    <row r="156" spans="1:27" ht="12.75">
      <c r="A156" s="126">
        <v>595914.8</v>
      </c>
      <c r="B156" s="106" t="s">
        <v>142</v>
      </c>
      <c r="C156" s="105"/>
      <c r="D156" s="356">
        <v>12</v>
      </c>
      <c r="E156" s="362"/>
      <c r="F156" s="113">
        <f t="shared" si="28"/>
        <v>595914.8</v>
      </c>
      <c r="G156" s="106"/>
      <c r="H156" s="113">
        <f>(VLOOKUP($D156,Factors,AA$394))*$F156</f>
        <v>0</v>
      </c>
      <c r="J156" s="113">
        <f>(VLOOKUP($D156,Factors,AC$394))*$F156</f>
        <v>0</v>
      </c>
      <c r="L156" s="113">
        <f>(VLOOKUP($D156,Factors,AE$394))*$F156</f>
        <v>0</v>
      </c>
      <c r="N156" s="113">
        <f>(VLOOKUP($D156,Factors,AG$394))*$F156</f>
        <v>0</v>
      </c>
      <c r="P156" s="113">
        <f>(VLOOKUP($D156,Factors,AI$394))*$F156</f>
        <v>0</v>
      </c>
      <c r="R156" s="113">
        <f>(VLOOKUP($D156,Factors,AK$394))*$F156</f>
        <v>0</v>
      </c>
      <c r="T156" s="113">
        <f>(VLOOKUP($D156,Factors,AM$394))*$F156</f>
        <v>595914.8</v>
      </c>
      <c r="V156" s="113">
        <f>(VLOOKUP($D156,Factors,AO$394))*$F156</f>
        <v>0</v>
      </c>
      <c r="X156" s="113">
        <f>(VLOOKUP($D156,Factors,AQ$394))*$F156</f>
        <v>0</v>
      </c>
      <c r="Z156" s="126">
        <f t="shared" si="25"/>
        <v>0</v>
      </c>
      <c r="AA156" s="154"/>
    </row>
    <row r="157" spans="2:27" ht="12.75">
      <c r="B157" s="106" t="s">
        <v>457</v>
      </c>
      <c r="C157" s="105"/>
      <c r="D157" s="356"/>
      <c r="E157" s="362"/>
      <c r="F157" s="113"/>
      <c r="G157" s="106"/>
      <c r="H157" s="113"/>
      <c r="Z157" s="126">
        <f t="shared" si="25"/>
        <v>0</v>
      </c>
      <c r="AA157" s="154"/>
    </row>
    <row r="158" spans="1:27" ht="12.75">
      <c r="A158" s="126">
        <v>953859</v>
      </c>
      <c r="B158" s="106" t="s">
        <v>143</v>
      </c>
      <c r="C158" s="105"/>
      <c r="D158" s="356">
        <v>11</v>
      </c>
      <c r="E158" s="362"/>
      <c r="F158" s="113">
        <f t="shared" si="28"/>
        <v>953859</v>
      </c>
      <c r="G158" s="106"/>
      <c r="H158" s="113">
        <f>(VLOOKUP($D158,Factors,AA$394))*$F158</f>
        <v>0</v>
      </c>
      <c r="J158" s="113">
        <f>(VLOOKUP($D158,Factors,AC$394))*$F158</f>
        <v>0</v>
      </c>
      <c r="L158" s="113">
        <f>(VLOOKUP($D158,Factors,AE$394))*$F158</f>
        <v>0</v>
      </c>
      <c r="N158" s="113">
        <f>(VLOOKUP($D158,Factors,AG$394))*$F158</f>
        <v>0</v>
      </c>
      <c r="P158" s="113">
        <f>(VLOOKUP($D158,Factors,AI$394))*$F158</f>
        <v>0</v>
      </c>
      <c r="R158" s="113">
        <f>(VLOOKUP($D158,Factors,AK$394))*$F158</f>
        <v>953859</v>
      </c>
      <c r="T158" s="113">
        <f>(VLOOKUP($D158,Factors,AM$394))*$F158</f>
        <v>0</v>
      </c>
      <c r="V158" s="113">
        <f>(VLOOKUP($D158,Factors,AO$394))*$F158</f>
        <v>0</v>
      </c>
      <c r="X158" s="113">
        <f>(VLOOKUP($D158,Factors,AQ$394))*$F158</f>
        <v>0</v>
      </c>
      <c r="Z158" s="126">
        <f t="shared" si="25"/>
        <v>0</v>
      </c>
      <c r="AA158" s="154"/>
    </row>
    <row r="159" spans="1:27" ht="12.75">
      <c r="A159" s="126">
        <v>235670.87</v>
      </c>
      <c r="B159" s="106" t="s">
        <v>142</v>
      </c>
      <c r="C159" s="105"/>
      <c r="D159" s="356">
        <v>11</v>
      </c>
      <c r="E159" s="362"/>
      <c r="F159" s="113">
        <f t="shared" si="28"/>
        <v>235670.87</v>
      </c>
      <c r="G159" s="106"/>
      <c r="H159" s="113">
        <f>(VLOOKUP($D159,Factors,AA$394))*$F159</f>
        <v>0</v>
      </c>
      <c r="J159" s="113">
        <f>(VLOOKUP($D159,Factors,AC$394))*$F159</f>
        <v>0</v>
      </c>
      <c r="L159" s="113">
        <f>(VLOOKUP($D159,Factors,AE$394))*$F159</f>
        <v>0</v>
      </c>
      <c r="N159" s="113">
        <f>(VLOOKUP($D159,Factors,AG$394))*$F159</f>
        <v>0</v>
      </c>
      <c r="P159" s="113">
        <f>(VLOOKUP($D159,Factors,AI$394))*$F159</f>
        <v>0</v>
      </c>
      <c r="R159" s="113">
        <f>(VLOOKUP($D159,Factors,AK$394))*$F159</f>
        <v>235670.87</v>
      </c>
      <c r="T159" s="113">
        <f>(VLOOKUP($D159,Factors,AM$394))*$F159</f>
        <v>0</v>
      </c>
      <c r="V159" s="113">
        <f>(VLOOKUP($D159,Factors,AO$394))*$F159</f>
        <v>0</v>
      </c>
      <c r="X159" s="113">
        <f>(VLOOKUP($D159,Factors,AQ$394))*$F159</f>
        <v>0</v>
      </c>
      <c r="Z159" s="126">
        <f t="shared" si="25"/>
        <v>0</v>
      </c>
      <c r="AA159" s="154"/>
    </row>
    <row r="160" spans="1:27" ht="12.75">
      <c r="A160" s="126">
        <v>611266.8850949601</v>
      </c>
      <c r="B160" s="106" t="s">
        <v>151</v>
      </c>
      <c r="C160" s="105"/>
      <c r="D160" s="356">
        <v>11</v>
      </c>
      <c r="E160" s="362"/>
      <c r="F160" s="113">
        <f t="shared" si="28"/>
        <v>611266.8850949601</v>
      </c>
      <c r="G160" s="106"/>
      <c r="H160" s="113">
        <f>(VLOOKUP($D160,Factors,AA$394))*$F160</f>
        <v>0</v>
      </c>
      <c r="J160" s="113">
        <f>(VLOOKUP($D160,Factors,AC$394))*$F160</f>
        <v>0</v>
      </c>
      <c r="L160" s="113">
        <f>(VLOOKUP($D160,Factors,AE$394))*$F160</f>
        <v>0</v>
      </c>
      <c r="N160" s="113">
        <f>(VLOOKUP($D160,Factors,AG$394))*$F160</f>
        <v>0</v>
      </c>
      <c r="P160" s="113">
        <f>(VLOOKUP($D160,Factors,AI$394))*$F160</f>
        <v>0</v>
      </c>
      <c r="R160" s="113">
        <f>(VLOOKUP($D160,Factors,AK$394))*$F160</f>
        <v>611266.8850949601</v>
      </c>
      <c r="T160" s="113">
        <f>(VLOOKUP($D160,Factors,AM$394))*$F160</f>
        <v>0</v>
      </c>
      <c r="V160" s="113">
        <f>(VLOOKUP($D160,Factors,AO$394))*$F160</f>
        <v>0</v>
      </c>
      <c r="X160" s="113">
        <f>(VLOOKUP($D160,Factors,AQ$394))*$F160</f>
        <v>0</v>
      </c>
      <c r="Z160" s="126">
        <f t="shared" si="25"/>
        <v>0</v>
      </c>
      <c r="AA160" s="154"/>
    </row>
    <row r="161" spans="1:27" ht="12.75">
      <c r="A161" s="126">
        <v>12570.558866190002</v>
      </c>
      <c r="B161" s="106" t="s">
        <v>150</v>
      </c>
      <c r="C161" s="105"/>
      <c r="D161" s="356">
        <v>11</v>
      </c>
      <c r="E161" s="362"/>
      <c r="F161" s="113">
        <f t="shared" si="28"/>
        <v>12570.558866190002</v>
      </c>
      <c r="G161" s="106"/>
      <c r="H161" s="113">
        <f>(VLOOKUP($D161,Factors,AA$394))*$F161</f>
        <v>0</v>
      </c>
      <c r="J161" s="113">
        <f>(VLOOKUP($D161,Factors,AC$394))*$F161</f>
        <v>0</v>
      </c>
      <c r="L161" s="113">
        <f>(VLOOKUP($D161,Factors,AE$394))*$F161</f>
        <v>0</v>
      </c>
      <c r="N161" s="113">
        <f>(VLOOKUP($D161,Factors,AG$394))*$F161</f>
        <v>0</v>
      </c>
      <c r="P161" s="113">
        <f>(VLOOKUP($D161,Factors,AI$394))*$F161</f>
        <v>0</v>
      </c>
      <c r="R161" s="113">
        <f>(VLOOKUP($D161,Factors,AK$394))*$F161</f>
        <v>12570.558866190002</v>
      </c>
      <c r="T161" s="113">
        <f>(VLOOKUP($D161,Factors,AM$394))*$F161</f>
        <v>0</v>
      </c>
      <c r="V161" s="113">
        <f>(VLOOKUP($D161,Factors,AO$394))*$F161</f>
        <v>0</v>
      </c>
      <c r="X161" s="113">
        <f>(VLOOKUP($D161,Factors,AQ$394))*$F161</f>
        <v>0</v>
      </c>
      <c r="Z161" s="126">
        <f t="shared" si="25"/>
        <v>0</v>
      </c>
      <c r="AA161" s="154"/>
    </row>
    <row r="162" spans="2:27" ht="12.75">
      <c r="B162" s="106" t="s">
        <v>149</v>
      </c>
      <c r="C162" s="105"/>
      <c r="D162" s="356"/>
      <c r="E162" s="362"/>
      <c r="F162" s="113"/>
      <c r="G162" s="106"/>
      <c r="H162" s="113"/>
      <c r="Z162" s="126">
        <f t="shared" si="25"/>
        <v>0</v>
      </c>
      <c r="AA162" s="154"/>
    </row>
    <row r="163" spans="2:27" ht="12.75">
      <c r="B163" s="106" t="s">
        <v>142</v>
      </c>
      <c r="C163" s="105"/>
      <c r="D163" s="356">
        <v>11</v>
      </c>
      <c r="E163" s="362"/>
      <c r="F163" s="114">
        <f t="shared" si="28"/>
        <v>0</v>
      </c>
      <c r="G163" s="106"/>
      <c r="H163" s="114">
        <f>(VLOOKUP($D163,Factors,AA$394))*$F163</f>
        <v>0</v>
      </c>
      <c r="J163" s="114">
        <f>(VLOOKUP($D163,Factors,AC$394))*$F163</f>
        <v>0</v>
      </c>
      <c r="L163" s="114">
        <f>(VLOOKUP($D163,Factors,AE$394))*$F163</f>
        <v>0</v>
      </c>
      <c r="N163" s="114">
        <f>(VLOOKUP($D163,Factors,AG$394))*$F163</f>
        <v>0</v>
      </c>
      <c r="P163" s="114">
        <f>(VLOOKUP($D163,Factors,AI$394))*$F163</f>
        <v>0</v>
      </c>
      <c r="R163" s="114">
        <f>(VLOOKUP($D163,Factors,AK$394))*$F163</f>
        <v>0</v>
      </c>
      <c r="T163" s="114">
        <f>(VLOOKUP($D163,Factors,AM$394))*$F163</f>
        <v>0</v>
      </c>
      <c r="V163" s="114">
        <f>(VLOOKUP($D163,Factors,AO$394))*$F163</f>
        <v>0</v>
      </c>
      <c r="X163" s="114">
        <f>(VLOOKUP($D163,Factors,AQ$394))*$F163</f>
        <v>0</v>
      </c>
      <c r="Z163" s="126">
        <f t="shared" si="25"/>
        <v>0</v>
      </c>
      <c r="AA163" s="154"/>
    </row>
    <row r="164" spans="2:27" ht="9" customHeight="1">
      <c r="B164" s="106"/>
      <c r="C164" s="105"/>
      <c r="D164" s="356"/>
      <c r="E164" s="362"/>
      <c r="F164" s="113"/>
      <c r="G164" s="106"/>
      <c r="H164" s="113"/>
      <c r="Z164" s="126">
        <f t="shared" si="25"/>
        <v>0</v>
      </c>
      <c r="AA164" s="154"/>
    </row>
    <row r="165" spans="2:27" ht="12.75">
      <c r="B165" s="106" t="s">
        <v>148</v>
      </c>
      <c r="C165" s="105"/>
      <c r="D165" s="356"/>
      <c r="E165" s="362"/>
      <c r="F165" s="113">
        <f>SUM(F153:F164)</f>
        <v>2453079.7439611503</v>
      </c>
      <c r="G165" s="113"/>
      <c r="H165" s="113">
        <f aca="true" t="shared" si="29" ref="H165:X165">SUM(H153:H164)</f>
        <v>0</v>
      </c>
      <c r="I165" s="113"/>
      <c r="J165" s="113">
        <f t="shared" si="29"/>
        <v>0</v>
      </c>
      <c r="K165" s="113"/>
      <c r="L165" s="113">
        <f t="shared" si="29"/>
        <v>0</v>
      </c>
      <c r="M165" s="113"/>
      <c r="N165" s="113">
        <f t="shared" si="29"/>
        <v>0</v>
      </c>
      <c r="O165" s="113"/>
      <c r="P165" s="113">
        <f t="shared" si="29"/>
        <v>0</v>
      </c>
      <c r="Q165" s="113"/>
      <c r="R165" s="113">
        <f t="shared" si="29"/>
        <v>1857164.9439611502</v>
      </c>
      <c r="S165" s="113"/>
      <c r="T165" s="113">
        <f t="shared" si="29"/>
        <v>595914.8</v>
      </c>
      <c r="U165" s="113"/>
      <c r="V165" s="113">
        <f t="shared" si="29"/>
        <v>0</v>
      </c>
      <c r="W165" s="113"/>
      <c r="X165" s="113">
        <f t="shared" si="29"/>
        <v>0</v>
      </c>
      <c r="Z165" s="126">
        <f t="shared" si="25"/>
        <v>0</v>
      </c>
      <c r="AA165" s="154"/>
    </row>
    <row r="166" spans="2:27" ht="12.75">
      <c r="B166" s="106" t="s">
        <v>147</v>
      </c>
      <c r="C166" s="105"/>
      <c r="D166" s="356"/>
      <c r="E166" s="362"/>
      <c r="F166" s="113"/>
      <c r="G166" s="106"/>
      <c r="H166" s="113"/>
      <c r="Z166" s="126">
        <f t="shared" si="25"/>
        <v>0</v>
      </c>
      <c r="AA166" s="154"/>
    </row>
    <row r="167" spans="2:27" ht="12.75">
      <c r="B167" s="106"/>
      <c r="C167" s="105"/>
      <c r="D167" s="356"/>
      <c r="E167" s="362"/>
      <c r="F167" s="113"/>
      <c r="G167" s="106"/>
      <c r="H167" s="113"/>
      <c r="Z167" s="126">
        <f t="shared" si="25"/>
        <v>0</v>
      </c>
      <c r="AA167" s="154"/>
    </row>
    <row r="168" spans="2:27" ht="12.75">
      <c r="B168" s="106" t="s">
        <v>146</v>
      </c>
      <c r="C168" s="105"/>
      <c r="D168" s="356"/>
      <c r="E168" s="362"/>
      <c r="F168" s="113"/>
      <c r="G168" s="106"/>
      <c r="H168" s="113"/>
      <c r="Z168" s="126">
        <f t="shared" si="25"/>
        <v>0</v>
      </c>
      <c r="AA168" s="154"/>
    </row>
    <row r="169" spans="2:43" ht="12.75">
      <c r="B169" s="106" t="s">
        <v>145</v>
      </c>
      <c r="C169" s="105"/>
      <c r="D169" s="356"/>
      <c r="E169" s="362"/>
      <c r="F169" s="113"/>
      <c r="G169" s="106"/>
      <c r="H169" s="113"/>
      <c r="Z169" s="126">
        <f t="shared" si="25"/>
        <v>0</v>
      </c>
      <c r="AA169" s="154"/>
      <c r="AG169" s="488"/>
      <c r="AH169" s="488"/>
      <c r="AI169" s="488"/>
      <c r="AJ169" s="488"/>
      <c r="AK169" s="488"/>
      <c r="AL169" s="488"/>
      <c r="AM169" s="488"/>
      <c r="AN169" s="488"/>
      <c r="AO169" s="488"/>
      <c r="AP169" s="488"/>
      <c r="AQ169" s="488"/>
    </row>
    <row r="170" spans="2:27" ht="12.75">
      <c r="B170" s="106" t="s">
        <v>144</v>
      </c>
      <c r="C170" s="105"/>
      <c r="D170" s="356"/>
      <c r="E170" s="362"/>
      <c r="F170" s="113"/>
      <c r="G170" s="106"/>
      <c r="H170" s="113"/>
      <c r="Z170" s="126">
        <f t="shared" si="25"/>
        <v>0</v>
      </c>
      <c r="AA170" s="154"/>
    </row>
    <row r="171" spans="1:43" ht="12.75">
      <c r="A171" s="126">
        <v>116089</v>
      </c>
      <c r="B171" s="106" t="s">
        <v>143</v>
      </c>
      <c r="C171" s="105"/>
      <c r="D171" s="356">
        <v>15</v>
      </c>
      <c r="E171" s="362"/>
      <c r="F171" s="113">
        <f>+A171</f>
        <v>116089</v>
      </c>
      <c r="G171" s="106"/>
      <c r="H171" s="113">
        <f>(VLOOKUP($D171,comp,AA$372))*$F171</f>
        <v>40851.7191</v>
      </c>
      <c r="J171" s="113">
        <f>(VLOOKUP($D171,comp,AC$372))*$F171</f>
        <v>18249.1908</v>
      </c>
      <c r="K171" s="113"/>
      <c r="L171" s="113">
        <f>(VLOOKUP($D171,comp,AE$372))*$F171</f>
        <v>19166.2939</v>
      </c>
      <c r="M171" s="113"/>
      <c r="N171" s="113">
        <f>(VLOOKUP($D171,comp,AG$372))*$F171</f>
        <v>812.623</v>
      </c>
      <c r="P171" s="113">
        <f>(VLOOKUP($D171,comp,AI$372))*$F171</f>
        <v>0</v>
      </c>
      <c r="Q171" s="113"/>
      <c r="R171" s="113">
        <f>(VLOOKUP($D171,comp,AK$372))*$F171</f>
        <v>24239.3832</v>
      </c>
      <c r="S171" s="113"/>
      <c r="T171" s="113">
        <f>(VLOOKUP($D171,comp,AM$372))*$F171</f>
        <v>7777.963000000001</v>
      </c>
      <c r="V171" s="113">
        <f>(VLOOKUP($D171,comp,AO$372))*$F171</f>
        <v>2159.2554</v>
      </c>
      <c r="W171" s="113"/>
      <c r="X171" s="113">
        <f>(VLOOKUP($D171,comp,AQ$372))*$F171</f>
        <v>2832.5716</v>
      </c>
      <c r="Z171" s="126">
        <f t="shared" si="25"/>
        <v>0</v>
      </c>
      <c r="AA171" s="154"/>
      <c r="AG171" s="488"/>
      <c r="AH171" s="488"/>
      <c r="AI171" s="488"/>
      <c r="AJ171" s="488"/>
      <c r="AK171" s="488"/>
      <c r="AL171" s="488"/>
      <c r="AM171" s="488"/>
      <c r="AN171" s="488"/>
      <c r="AO171" s="488"/>
      <c r="AP171" s="488"/>
      <c r="AQ171" s="488"/>
    </row>
    <row r="172" spans="1:27" ht="12.75">
      <c r="A172" s="126">
        <v>999589.85</v>
      </c>
      <c r="B172" s="106" t="s">
        <v>142</v>
      </c>
      <c r="C172" s="105"/>
      <c r="D172" s="356">
        <v>15</v>
      </c>
      <c r="E172" s="362"/>
      <c r="F172" s="113">
        <f aca="true" t="shared" si="30" ref="F172:F185">+A172</f>
        <v>999589.85</v>
      </c>
      <c r="G172" s="106"/>
      <c r="H172" s="113">
        <f>(VLOOKUP($D172,comp,AA$372))*$F172</f>
        <v>351755.66821499995</v>
      </c>
      <c r="J172" s="113">
        <f>(VLOOKUP($D172,comp,AC$372))*$F172</f>
        <v>157135.52442</v>
      </c>
      <c r="K172" s="113"/>
      <c r="L172" s="113">
        <f>(VLOOKUP($D172,comp,AE$372))*$F172</f>
        <v>165032.284235</v>
      </c>
      <c r="M172" s="113"/>
      <c r="N172" s="113">
        <f>(VLOOKUP($D172,comp,AG$372))*$F172</f>
        <v>6997.12895</v>
      </c>
      <c r="P172" s="113">
        <f>(VLOOKUP($D172,comp,AI$372))*$F172</f>
        <v>0</v>
      </c>
      <c r="Q172" s="113"/>
      <c r="R172" s="113">
        <f>(VLOOKUP($D172,comp,AK$372))*$F172</f>
        <v>208714.36068</v>
      </c>
      <c r="S172" s="113"/>
      <c r="T172" s="113">
        <f>(VLOOKUP($D172,comp,AM$372))*$F172</f>
        <v>66972.51995</v>
      </c>
      <c r="V172" s="113">
        <f>(VLOOKUP($D172,comp,AO$372))*$F172</f>
        <v>18592.371209999998</v>
      </c>
      <c r="W172" s="113"/>
      <c r="X172" s="113">
        <f>(VLOOKUP($D172,comp,AQ$372))*$F172</f>
        <v>24389.99234</v>
      </c>
      <c r="Z172" s="126">
        <f t="shared" si="25"/>
        <v>0</v>
      </c>
      <c r="AA172" s="154"/>
    </row>
    <row r="173" spans="1:41" ht="12.75">
      <c r="A173" s="126">
        <v>334992</v>
      </c>
      <c r="B173" s="106" t="s">
        <v>141</v>
      </c>
      <c r="C173" s="105"/>
      <c r="D173" s="356">
        <v>15</v>
      </c>
      <c r="E173" s="362"/>
      <c r="F173" s="113">
        <f t="shared" si="30"/>
        <v>334992</v>
      </c>
      <c r="G173" s="106"/>
      <c r="H173" s="113">
        <f>(VLOOKUP($D173,comp,AA$372))*$F173</f>
        <v>117883.6848</v>
      </c>
      <c r="J173" s="113">
        <f>(VLOOKUP($D173,comp,AC$372))*$F173</f>
        <v>52660.7424</v>
      </c>
      <c r="K173" s="113"/>
      <c r="L173" s="113">
        <f>(VLOOKUP($D173,comp,AE$372))*$F173</f>
        <v>55307.1792</v>
      </c>
      <c r="M173" s="113"/>
      <c r="N173" s="113">
        <f>(VLOOKUP($D173,comp,AG$372))*$F173</f>
        <v>2344.944</v>
      </c>
      <c r="P173" s="113">
        <f>(VLOOKUP($D173,comp,AI$372))*$F173</f>
        <v>0</v>
      </c>
      <c r="Q173" s="113"/>
      <c r="R173" s="113">
        <f>(VLOOKUP($D173,comp,AK$372))*$F173</f>
        <v>69946.3296</v>
      </c>
      <c r="S173" s="113"/>
      <c r="T173" s="113">
        <f>(VLOOKUP($D173,comp,AM$372))*$F173</f>
        <v>22444.464</v>
      </c>
      <c r="V173" s="113">
        <f>(VLOOKUP($D173,comp,AO$372))*$F173</f>
        <v>6230.851199999999</v>
      </c>
      <c r="W173" s="113"/>
      <c r="X173" s="113">
        <f>(VLOOKUP($D173,comp,AQ$372))*$F173</f>
        <v>8173.804800000001</v>
      </c>
      <c r="Z173" s="126">
        <f t="shared" si="25"/>
        <v>0</v>
      </c>
      <c r="AA173" s="154"/>
      <c r="AO173" s="111"/>
    </row>
    <row r="174" spans="1:43" ht="12.75">
      <c r="A174" s="126">
        <v>7063211.48</v>
      </c>
      <c r="B174" s="106" t="s">
        <v>291</v>
      </c>
      <c r="C174" s="105"/>
      <c r="D174" s="356"/>
      <c r="E174" s="362"/>
      <c r="F174" s="113"/>
      <c r="G174" s="106"/>
      <c r="H174" s="113"/>
      <c r="J174" s="113"/>
      <c r="K174" s="113"/>
      <c r="L174" s="113"/>
      <c r="M174" s="113"/>
      <c r="N174" s="113"/>
      <c r="P174" s="113"/>
      <c r="Q174" s="113"/>
      <c r="R174" s="113"/>
      <c r="S174" s="113"/>
      <c r="T174" s="113"/>
      <c r="V174" s="113"/>
      <c r="W174" s="113"/>
      <c r="X174" s="113"/>
      <c r="Z174" s="126"/>
      <c r="AA174" s="154"/>
      <c r="AO174" s="111"/>
      <c r="AQ174" s="111"/>
    </row>
    <row r="175" spans="1:43" ht="12.75">
      <c r="A175" s="126"/>
      <c r="B175" s="106" t="s">
        <v>274</v>
      </c>
      <c r="C175" s="105"/>
      <c r="D175" s="356">
        <v>11</v>
      </c>
      <c r="E175" s="362"/>
      <c r="F175" s="113">
        <f>1557125+942482*0.5</f>
        <v>2028366</v>
      </c>
      <c r="G175" s="106"/>
      <c r="H175" s="113">
        <f>(VLOOKUP($D175,Factors,AA$394))*$F175</f>
        <v>0</v>
      </c>
      <c r="J175" s="113">
        <f>(VLOOKUP($D175,Factors,AC$394))*$F175</f>
        <v>0</v>
      </c>
      <c r="L175" s="113">
        <f>(VLOOKUP($D175,Factors,AE$394))*$F175</f>
        <v>0</v>
      </c>
      <c r="N175" s="113">
        <f>(VLOOKUP($D175,Factors,AG$394))*$F175</f>
        <v>0</v>
      </c>
      <c r="P175" s="113">
        <f>(VLOOKUP($D175,Factors,AI$394))*$F175</f>
        <v>0</v>
      </c>
      <c r="R175" s="113">
        <f>(VLOOKUP($D175,Factors,AK$394))*$F175</f>
        <v>2028366</v>
      </c>
      <c r="T175" s="113">
        <f>(VLOOKUP($D175,Factors,AM$394))*$F175</f>
        <v>0</v>
      </c>
      <c r="V175" s="113">
        <f>(VLOOKUP($D175,Factors,AO$394))*$F175</f>
        <v>0</v>
      </c>
      <c r="X175" s="113">
        <f>(VLOOKUP($D175,Factors,AQ$394))*$F175</f>
        <v>0</v>
      </c>
      <c r="Z175" s="126">
        <f>SUM(H175:X175)-F175</f>
        <v>0</v>
      </c>
      <c r="AA175" s="154"/>
      <c r="AO175" s="111"/>
      <c r="AQ175" s="111"/>
    </row>
    <row r="176" spans="1:43" ht="12.75">
      <c r="A176" s="126"/>
      <c r="B176" s="106" t="s">
        <v>275</v>
      </c>
      <c r="C176" s="105"/>
      <c r="D176" s="356">
        <v>16</v>
      </c>
      <c r="E176" s="362"/>
      <c r="F176" s="113">
        <v>237745</v>
      </c>
      <c r="G176" s="106"/>
      <c r="H176" s="113">
        <f>(VLOOKUP($D176,comp,AA$372))*$F176</f>
        <v>95002.902</v>
      </c>
      <c r="J176" s="113">
        <f>(VLOOKUP($D176,comp,AC$372))*$F176</f>
        <v>43008.0705</v>
      </c>
      <c r="K176" s="113"/>
      <c r="L176" s="113">
        <f>(VLOOKUP($D176,comp,AE$372))*$F176</f>
        <v>43293.3645</v>
      </c>
      <c r="M176" s="113"/>
      <c r="N176" s="113">
        <f>(VLOOKUP($D176,comp,AG$372))*$F176</f>
        <v>1878.1855000000003</v>
      </c>
      <c r="P176" s="113">
        <f>(VLOOKUP($D176,comp,AI$372))*$F176</f>
        <v>0</v>
      </c>
      <c r="Q176" s="113"/>
      <c r="R176" s="113">
        <f>(VLOOKUP($D176,comp,AK$372))*$F176</f>
        <v>18377.6885</v>
      </c>
      <c r="S176" s="113"/>
      <c r="T176" s="113">
        <f>(VLOOKUP($D176,comp,AM$372))*$F176</f>
        <v>24939.4505</v>
      </c>
      <c r="V176" s="113">
        <f>(VLOOKUP($D176,comp,AO$372))*$F176</f>
        <v>4873.7725</v>
      </c>
      <c r="W176" s="113"/>
      <c r="X176" s="113">
        <f>(VLOOKUP($D176,comp,AQ$372))*$F176</f>
        <v>6371.566</v>
      </c>
      <c r="Z176" s="126">
        <f>SUM(H176:X176)-F176</f>
        <v>0</v>
      </c>
      <c r="AA176" s="154"/>
      <c r="AO176" s="111"/>
      <c r="AQ176" s="111"/>
    </row>
    <row r="177" spans="1:43" ht="12.75">
      <c r="A177" s="126"/>
      <c r="B177" s="106" t="s">
        <v>276</v>
      </c>
      <c r="C177" s="105"/>
      <c r="D177" s="356">
        <v>1</v>
      </c>
      <c r="E177" s="362"/>
      <c r="F177" s="113">
        <v>191177</v>
      </c>
      <c r="G177" s="106"/>
      <c r="H177" s="113">
        <f>(VLOOKUP($D177,Factors,AA$394))*$F177</f>
        <v>191177</v>
      </c>
      <c r="J177" s="113">
        <f>(VLOOKUP($D177,Factors,AC$394))*$F177</f>
        <v>0</v>
      </c>
      <c r="L177" s="113">
        <f>(VLOOKUP($D177,Factors,AE$394))*$F177</f>
        <v>0</v>
      </c>
      <c r="N177" s="113">
        <f>(VLOOKUP($D177,Factors,AG$394))*$F177</f>
        <v>0</v>
      </c>
      <c r="P177" s="113">
        <f>(VLOOKUP($D177,Factors,AI$394))*$F177</f>
        <v>0</v>
      </c>
      <c r="R177" s="113">
        <f>(VLOOKUP($D177,Factors,AK$394))*$F177</f>
        <v>0</v>
      </c>
      <c r="T177" s="113">
        <f>(VLOOKUP($D177,Factors,AM$394))*$F177</f>
        <v>0</v>
      </c>
      <c r="V177" s="113">
        <f>(VLOOKUP($D177,Factors,AO$394))*$F177</f>
        <v>0</v>
      </c>
      <c r="X177" s="113">
        <f>(VLOOKUP($D177,Factors,AQ$394))*$F177</f>
        <v>0</v>
      </c>
      <c r="Z177" s="126">
        <f>SUM(H177:X177)-F177</f>
        <v>0</v>
      </c>
      <c r="AA177" s="154"/>
      <c r="AO177" s="111"/>
      <c r="AQ177" s="111"/>
    </row>
    <row r="178" spans="1:45" ht="12.75">
      <c r="A178" s="126"/>
      <c r="B178" s="106" t="s">
        <v>277</v>
      </c>
      <c r="C178" s="105"/>
      <c r="D178" s="356">
        <v>15</v>
      </c>
      <c r="E178" s="362"/>
      <c r="F178" s="113">
        <f>+A174-F177-F176-F175</f>
        <v>4605923.48</v>
      </c>
      <c r="G178" s="106"/>
      <c r="H178" s="113">
        <f aca="true" t="shared" si="31" ref="H178:H185">(VLOOKUP($D178,comp,AA$372))*$F178</f>
        <v>1620824.472612</v>
      </c>
      <c r="J178" s="113">
        <f aca="true" t="shared" si="32" ref="J178:J185">(VLOOKUP($D178,comp,AC$372))*$F178</f>
        <v>724051.171056</v>
      </c>
      <c r="K178" s="113"/>
      <c r="L178" s="113">
        <f aca="true" t="shared" si="33" ref="L178:L185">(VLOOKUP($D178,comp,AE$372))*$F178</f>
        <v>760437.9665480001</v>
      </c>
      <c r="M178" s="113"/>
      <c r="N178" s="113">
        <f aca="true" t="shared" si="34" ref="N178:N185">(VLOOKUP($D178,comp,AG$372))*$F178</f>
        <v>32241.464360000005</v>
      </c>
      <c r="P178" s="113">
        <f aca="true" t="shared" si="35" ref="P178:P185">(VLOOKUP($D178,comp,AI$372))*$F178</f>
        <v>0</v>
      </c>
      <c r="Q178" s="113"/>
      <c r="R178" s="113">
        <f aca="true" t="shared" si="36" ref="R178:R185">(VLOOKUP($D178,comp,AK$372))*$F178</f>
        <v>961716.8226240001</v>
      </c>
      <c r="S178" s="113"/>
      <c r="T178" s="113">
        <f aca="true" t="shared" si="37" ref="T178:T185">(VLOOKUP($D178,comp,AM$372))*$F178</f>
        <v>308596.8731600001</v>
      </c>
      <c r="V178" s="113">
        <f aca="true" t="shared" si="38" ref="V178:V185">(VLOOKUP($D178,comp,AO$372))*$F178</f>
        <v>85670.176728</v>
      </c>
      <c r="W178" s="113"/>
      <c r="X178" s="113">
        <f aca="true" t="shared" si="39" ref="X178:X185">(VLOOKUP($D178,comp,AQ$372))*$F178</f>
        <v>112384.53291200002</v>
      </c>
      <c r="Z178" s="126">
        <f>SUM(H178:X178)-F178</f>
        <v>0</v>
      </c>
      <c r="AA178" s="154"/>
      <c r="AG178" s="149"/>
      <c r="AH178" s="149"/>
      <c r="AI178" s="149"/>
      <c r="AJ178" s="149"/>
      <c r="AK178" s="149"/>
      <c r="AL178" s="149"/>
      <c r="AM178" s="149"/>
      <c r="AN178" s="149"/>
      <c r="AO178" s="136"/>
      <c r="AP178" s="149"/>
      <c r="AQ178" s="136"/>
      <c r="AR178" s="149"/>
      <c r="AS178" s="149"/>
    </row>
    <row r="179" spans="1:45" ht="12.75">
      <c r="A179" s="126">
        <v>133349</v>
      </c>
      <c r="B179" s="106" t="s">
        <v>140</v>
      </c>
      <c r="C179" s="105"/>
      <c r="D179" s="356">
        <v>15</v>
      </c>
      <c r="E179" s="362"/>
      <c r="F179" s="113">
        <f t="shared" si="30"/>
        <v>133349</v>
      </c>
      <c r="G179" s="106"/>
      <c r="H179" s="113">
        <f t="shared" si="31"/>
        <v>46925.5131</v>
      </c>
      <c r="J179" s="113">
        <f t="shared" si="32"/>
        <v>20962.4628</v>
      </c>
      <c r="K179" s="113"/>
      <c r="L179" s="113">
        <f t="shared" si="33"/>
        <v>22015.9199</v>
      </c>
      <c r="M179" s="113"/>
      <c r="N179" s="113">
        <f t="shared" si="34"/>
        <v>933.443</v>
      </c>
      <c r="P179" s="113">
        <f t="shared" si="35"/>
        <v>0</v>
      </c>
      <c r="Q179" s="113"/>
      <c r="R179" s="113">
        <f t="shared" si="36"/>
        <v>27843.271200000003</v>
      </c>
      <c r="S179" s="113"/>
      <c r="T179" s="113">
        <f t="shared" si="37"/>
        <v>8934.383</v>
      </c>
      <c r="V179" s="113">
        <f t="shared" si="38"/>
        <v>2480.2913999999996</v>
      </c>
      <c r="W179" s="113"/>
      <c r="X179" s="113">
        <f t="shared" si="39"/>
        <v>3253.7156</v>
      </c>
      <c r="Z179" s="126">
        <f t="shared" si="25"/>
        <v>0</v>
      </c>
      <c r="AA179" s="154"/>
      <c r="AG179" s="491"/>
      <c r="AH179" s="491"/>
      <c r="AI179" s="491"/>
      <c r="AJ179" s="491"/>
      <c r="AK179" s="491"/>
      <c r="AL179" s="149"/>
      <c r="AM179" s="149"/>
      <c r="AN179" s="149"/>
      <c r="AO179" s="136"/>
      <c r="AP179" s="149"/>
      <c r="AQ179" s="136"/>
      <c r="AR179" s="149"/>
      <c r="AS179" s="149"/>
    </row>
    <row r="180" spans="1:45" ht="12.75">
      <c r="A180" s="126">
        <v>158761</v>
      </c>
      <c r="B180" s="106" t="s">
        <v>139</v>
      </c>
      <c r="C180" s="105"/>
      <c r="D180" s="356">
        <v>16</v>
      </c>
      <c r="E180" s="362"/>
      <c r="F180" s="113">
        <f t="shared" si="30"/>
        <v>158761</v>
      </c>
      <c r="G180" s="106"/>
      <c r="H180" s="113">
        <f t="shared" si="31"/>
        <v>63440.8956</v>
      </c>
      <c r="J180" s="113">
        <f t="shared" si="32"/>
        <v>28719.8649</v>
      </c>
      <c r="K180" s="113"/>
      <c r="L180" s="113">
        <f t="shared" si="33"/>
        <v>28910.3781</v>
      </c>
      <c r="M180" s="113"/>
      <c r="N180" s="113">
        <f t="shared" si="34"/>
        <v>1254.2119</v>
      </c>
      <c r="P180" s="113">
        <f t="shared" si="35"/>
        <v>0</v>
      </c>
      <c r="Q180" s="113"/>
      <c r="R180" s="113">
        <f t="shared" si="36"/>
        <v>12272.225299999998</v>
      </c>
      <c r="S180" s="113"/>
      <c r="T180" s="113">
        <f t="shared" si="37"/>
        <v>16654.028899999998</v>
      </c>
      <c r="V180" s="113">
        <f t="shared" si="38"/>
        <v>3254.6005</v>
      </c>
      <c r="W180" s="113"/>
      <c r="X180" s="113">
        <f t="shared" si="39"/>
        <v>4254.794800000001</v>
      </c>
      <c r="Z180" s="126">
        <f t="shared" si="25"/>
        <v>0</v>
      </c>
      <c r="AA180" s="154"/>
      <c r="AG180" s="149"/>
      <c r="AH180" s="149"/>
      <c r="AI180" s="149"/>
      <c r="AJ180" s="149"/>
      <c r="AK180" s="149"/>
      <c r="AL180" s="149"/>
      <c r="AM180" s="149"/>
      <c r="AN180" s="149"/>
      <c r="AO180" s="149"/>
      <c r="AP180" s="149"/>
      <c r="AQ180" s="149"/>
      <c r="AR180" s="149"/>
      <c r="AS180" s="149"/>
    </row>
    <row r="181" spans="1:45" ht="12.75">
      <c r="A181" s="126">
        <v>397221</v>
      </c>
      <c r="B181" s="106" t="s">
        <v>375</v>
      </c>
      <c r="C181" s="105"/>
      <c r="D181" s="356">
        <v>15</v>
      </c>
      <c r="E181" s="362"/>
      <c r="F181" s="113">
        <f t="shared" si="30"/>
        <v>397221</v>
      </c>
      <c r="G181" s="106"/>
      <c r="H181" s="113">
        <f t="shared" si="31"/>
        <v>139782.0699</v>
      </c>
      <c r="J181" s="113">
        <f t="shared" si="32"/>
        <v>62443.141200000005</v>
      </c>
      <c r="K181" s="113"/>
      <c r="L181" s="113">
        <f t="shared" si="33"/>
        <v>65581.1871</v>
      </c>
      <c r="M181" s="113"/>
      <c r="N181" s="113">
        <f t="shared" si="34"/>
        <v>2780.547</v>
      </c>
      <c r="P181" s="113">
        <f t="shared" si="35"/>
        <v>0</v>
      </c>
      <c r="Q181" s="113"/>
      <c r="R181" s="113">
        <f t="shared" si="36"/>
        <v>82939.7448</v>
      </c>
      <c r="S181" s="113"/>
      <c r="T181" s="113">
        <f t="shared" si="37"/>
        <v>26613.807</v>
      </c>
      <c r="V181" s="113">
        <f t="shared" si="38"/>
        <v>7388.3106</v>
      </c>
      <c r="W181" s="113"/>
      <c r="X181" s="113">
        <f t="shared" si="39"/>
        <v>9692.1924</v>
      </c>
      <c r="Z181" s="126">
        <f t="shared" si="25"/>
        <v>0</v>
      </c>
      <c r="AA181" s="154"/>
      <c r="AG181" s="149"/>
      <c r="AH181" s="149"/>
      <c r="AI181" s="149"/>
      <c r="AJ181" s="149"/>
      <c r="AK181" s="149"/>
      <c r="AL181" s="149"/>
      <c r="AM181" s="149"/>
      <c r="AN181" s="149"/>
      <c r="AO181" s="149"/>
      <c r="AP181" s="149"/>
      <c r="AQ181" s="149"/>
      <c r="AR181" s="149"/>
      <c r="AS181" s="149"/>
    </row>
    <row r="182" spans="1:45" ht="12.75">
      <c r="A182" s="126">
        <v>2732152</v>
      </c>
      <c r="B182" s="106" t="s">
        <v>138</v>
      </c>
      <c r="C182" s="105"/>
      <c r="D182" s="356">
        <v>16</v>
      </c>
      <c r="E182" s="362"/>
      <c r="F182" s="113">
        <f t="shared" si="30"/>
        <v>2732152</v>
      </c>
      <c r="G182" s="106"/>
      <c r="H182" s="113">
        <f t="shared" si="31"/>
        <v>1091767.9392000001</v>
      </c>
      <c r="J182" s="113">
        <f t="shared" si="32"/>
        <v>494246.2968</v>
      </c>
      <c r="K182" s="113"/>
      <c r="L182" s="113">
        <f t="shared" si="33"/>
        <v>497524.8792</v>
      </c>
      <c r="M182" s="113"/>
      <c r="N182" s="113">
        <f t="shared" si="34"/>
        <v>21584.0008</v>
      </c>
      <c r="P182" s="113">
        <f t="shared" si="35"/>
        <v>0</v>
      </c>
      <c r="Q182" s="113"/>
      <c r="R182" s="113">
        <f t="shared" si="36"/>
        <v>211195.3496</v>
      </c>
      <c r="S182" s="113"/>
      <c r="T182" s="113">
        <f t="shared" si="37"/>
        <v>286602.7448</v>
      </c>
      <c r="V182" s="113">
        <f t="shared" si="38"/>
        <v>56009.116</v>
      </c>
      <c r="W182" s="113"/>
      <c r="X182" s="113">
        <f t="shared" si="39"/>
        <v>73221.67360000001</v>
      </c>
      <c r="Z182" s="126">
        <f t="shared" si="25"/>
        <v>0</v>
      </c>
      <c r="AA182" s="154"/>
      <c r="AG182" s="426"/>
      <c r="AH182" s="149"/>
      <c r="AI182" s="149"/>
      <c r="AJ182" s="149"/>
      <c r="AK182" s="149"/>
      <c r="AL182" s="149"/>
      <c r="AM182" s="149"/>
      <c r="AN182" s="149"/>
      <c r="AO182" s="149"/>
      <c r="AP182" s="149"/>
      <c r="AQ182" s="149"/>
      <c r="AR182" s="149"/>
      <c r="AS182" s="149"/>
    </row>
    <row r="183" spans="1:45" ht="12.75">
      <c r="A183" s="126">
        <v>292195</v>
      </c>
      <c r="B183" s="106" t="s">
        <v>137</v>
      </c>
      <c r="C183" s="105"/>
      <c r="D183" s="356">
        <v>15</v>
      </c>
      <c r="E183" s="362"/>
      <c r="F183" s="113">
        <f t="shared" si="30"/>
        <v>292195</v>
      </c>
      <c r="G183" s="106"/>
      <c r="H183" s="113">
        <f t="shared" si="31"/>
        <v>102823.4205</v>
      </c>
      <c r="J183" s="113">
        <f t="shared" si="32"/>
        <v>45933.054000000004</v>
      </c>
      <c r="K183" s="113"/>
      <c r="L183" s="113">
        <f t="shared" si="33"/>
        <v>48241.3945</v>
      </c>
      <c r="M183" s="113"/>
      <c r="N183" s="113">
        <f t="shared" si="34"/>
        <v>2045.365</v>
      </c>
      <c r="P183" s="113">
        <f t="shared" si="35"/>
        <v>0</v>
      </c>
      <c r="Q183" s="113"/>
      <c r="R183" s="113">
        <f t="shared" si="36"/>
        <v>61010.316000000006</v>
      </c>
      <c r="S183" s="113"/>
      <c r="T183" s="113">
        <f t="shared" si="37"/>
        <v>19577.065000000002</v>
      </c>
      <c r="V183" s="113">
        <f t="shared" si="38"/>
        <v>5434.826999999999</v>
      </c>
      <c r="W183" s="113"/>
      <c r="X183" s="113">
        <f t="shared" si="39"/>
        <v>7129.558000000001</v>
      </c>
      <c r="Z183" s="126">
        <f t="shared" si="25"/>
        <v>0</v>
      </c>
      <c r="AA183" s="154"/>
      <c r="AG183" s="149"/>
      <c r="AH183" s="149"/>
      <c r="AI183" s="149"/>
      <c r="AJ183" s="149"/>
      <c r="AK183" s="149"/>
      <c r="AL183" s="149"/>
      <c r="AM183" s="149"/>
      <c r="AN183" s="149"/>
      <c r="AO183" s="427"/>
      <c r="AP183" s="149"/>
      <c r="AQ183" s="428"/>
      <c r="AR183" s="149"/>
      <c r="AS183" s="149"/>
    </row>
    <row r="184" spans="1:45" ht="12.75">
      <c r="A184" s="126">
        <v>1231780</v>
      </c>
      <c r="B184" s="106" t="s">
        <v>136</v>
      </c>
      <c r="C184" s="105"/>
      <c r="D184" s="356">
        <v>15</v>
      </c>
      <c r="E184" s="362"/>
      <c r="F184" s="113">
        <f t="shared" si="30"/>
        <v>1231780</v>
      </c>
      <c r="G184" s="106"/>
      <c r="H184" s="113">
        <f t="shared" si="31"/>
        <v>433463.382</v>
      </c>
      <c r="J184" s="113">
        <f t="shared" si="32"/>
        <v>193635.81600000002</v>
      </c>
      <c r="K184" s="113"/>
      <c r="L184" s="113">
        <f t="shared" si="33"/>
        <v>203366.878</v>
      </c>
      <c r="M184" s="113"/>
      <c r="N184" s="113">
        <f t="shared" si="34"/>
        <v>8622.460000000001</v>
      </c>
      <c r="P184" s="113">
        <f t="shared" si="35"/>
        <v>0</v>
      </c>
      <c r="Q184" s="113"/>
      <c r="R184" s="113">
        <f t="shared" si="36"/>
        <v>257195.66400000002</v>
      </c>
      <c r="S184" s="113"/>
      <c r="T184" s="113">
        <f t="shared" si="37"/>
        <v>82529.26000000001</v>
      </c>
      <c r="V184" s="113">
        <f t="shared" si="38"/>
        <v>22911.107999999997</v>
      </c>
      <c r="W184" s="113"/>
      <c r="X184" s="113">
        <f t="shared" si="39"/>
        <v>30055.432</v>
      </c>
      <c r="Z184" s="126">
        <f t="shared" si="25"/>
        <v>0</v>
      </c>
      <c r="AA184" s="154"/>
      <c r="AG184" s="149"/>
      <c r="AH184" s="149"/>
      <c r="AI184" s="149"/>
      <c r="AJ184" s="149"/>
      <c r="AK184" s="149"/>
      <c r="AL184" s="149"/>
      <c r="AM184" s="149"/>
      <c r="AN184" s="149"/>
      <c r="AO184" s="149"/>
      <c r="AP184" s="149"/>
      <c r="AQ184" s="428"/>
      <c r="AR184" s="149"/>
      <c r="AS184" s="149"/>
    </row>
    <row r="185" spans="1:45" ht="12.75">
      <c r="A185" s="126">
        <v>28400</v>
      </c>
      <c r="B185" s="106" t="s">
        <v>135</v>
      </c>
      <c r="C185" s="105"/>
      <c r="D185" s="356">
        <v>15</v>
      </c>
      <c r="E185" s="362"/>
      <c r="F185" s="114">
        <f t="shared" si="30"/>
        <v>28400</v>
      </c>
      <c r="G185" s="106"/>
      <c r="H185" s="114">
        <f t="shared" si="31"/>
        <v>9993.96</v>
      </c>
      <c r="J185" s="114">
        <f t="shared" si="32"/>
        <v>4464.4800000000005</v>
      </c>
      <c r="L185" s="114">
        <f t="shared" si="33"/>
        <v>4688.84</v>
      </c>
      <c r="N185" s="114">
        <f t="shared" si="34"/>
        <v>198.8</v>
      </c>
      <c r="P185" s="114">
        <f t="shared" si="35"/>
        <v>0</v>
      </c>
      <c r="R185" s="114">
        <f t="shared" si="36"/>
        <v>5929.92</v>
      </c>
      <c r="T185" s="114">
        <f t="shared" si="37"/>
        <v>1902.8000000000002</v>
      </c>
      <c r="V185" s="114">
        <f t="shared" si="38"/>
        <v>528.24</v>
      </c>
      <c r="X185" s="114">
        <f t="shared" si="39"/>
        <v>692.96</v>
      </c>
      <c r="Z185" s="126">
        <f t="shared" si="25"/>
        <v>0</v>
      </c>
      <c r="AA185" s="154"/>
      <c r="AG185" s="149"/>
      <c r="AH185" s="149"/>
      <c r="AI185" s="149"/>
      <c r="AJ185" s="149"/>
      <c r="AK185" s="149"/>
      <c r="AL185" s="149"/>
      <c r="AM185" s="149"/>
      <c r="AN185" s="149"/>
      <c r="AO185" s="130"/>
      <c r="AP185" s="149"/>
      <c r="AQ185" s="428"/>
      <c r="AR185" s="149"/>
      <c r="AS185" s="149"/>
    </row>
    <row r="186" spans="2:45" ht="12.75">
      <c r="B186" s="106"/>
      <c r="C186" s="105"/>
      <c r="D186" s="356"/>
      <c r="E186" s="362"/>
      <c r="F186" s="113"/>
      <c r="G186" s="106"/>
      <c r="H186" s="113"/>
      <c r="Z186" s="126">
        <f t="shared" si="25"/>
        <v>0</v>
      </c>
      <c r="AA186" s="154"/>
      <c r="AG186" s="149"/>
      <c r="AH186" s="149"/>
      <c r="AI186" s="149"/>
      <c r="AJ186" s="149"/>
      <c r="AK186" s="149"/>
      <c r="AL186" s="149"/>
      <c r="AM186" s="149"/>
      <c r="AN186" s="149"/>
      <c r="AO186" s="149"/>
      <c r="AP186" s="149"/>
      <c r="AQ186" s="428"/>
      <c r="AR186" s="149"/>
      <c r="AS186" s="149"/>
    </row>
    <row r="187" spans="2:45" ht="12.75">
      <c r="B187" s="106" t="s">
        <v>134</v>
      </c>
      <c r="C187" s="105"/>
      <c r="D187" s="356"/>
      <c r="E187" s="362"/>
      <c r="F187" s="113">
        <f>SUM(F171:F186)</f>
        <v>13487740.33</v>
      </c>
      <c r="G187" s="113"/>
      <c r="H187" s="113">
        <f aca="true" t="shared" si="40" ref="H187:X187">SUM(H171:H186)</f>
        <v>4305692.627027</v>
      </c>
      <c r="I187" s="113"/>
      <c r="J187" s="113">
        <f t="shared" si="40"/>
        <v>1845509.8148760004</v>
      </c>
      <c r="K187" s="113"/>
      <c r="L187" s="113">
        <f t="shared" si="40"/>
        <v>1913566.5651830004</v>
      </c>
      <c r="M187" s="113"/>
      <c r="N187" s="113">
        <f t="shared" si="40"/>
        <v>81693.17351000002</v>
      </c>
      <c r="O187" s="113"/>
      <c r="P187" s="113">
        <f t="shared" si="40"/>
        <v>0</v>
      </c>
      <c r="Q187" s="113"/>
      <c r="R187" s="113">
        <f t="shared" si="40"/>
        <v>3969747.075504</v>
      </c>
      <c r="S187" s="113"/>
      <c r="T187" s="113">
        <f t="shared" si="40"/>
        <v>873545.3593100002</v>
      </c>
      <c r="U187" s="113"/>
      <c r="V187" s="113">
        <f t="shared" si="40"/>
        <v>215532.92053799998</v>
      </c>
      <c r="W187" s="113"/>
      <c r="X187" s="113">
        <f t="shared" si="40"/>
        <v>282452.79405200004</v>
      </c>
      <c r="Z187" s="126">
        <f t="shared" si="25"/>
        <v>0</v>
      </c>
      <c r="AA187" s="154"/>
      <c r="AG187" s="149"/>
      <c r="AH187" s="149"/>
      <c r="AI187" s="149"/>
      <c r="AJ187" s="149"/>
      <c r="AK187" s="149"/>
      <c r="AL187" s="149"/>
      <c r="AM187" s="149"/>
      <c r="AN187" s="149"/>
      <c r="AO187" s="130"/>
      <c r="AP187" s="149"/>
      <c r="AQ187" s="428"/>
      <c r="AR187" s="149"/>
      <c r="AS187" s="149"/>
    </row>
    <row r="188" spans="2:45" ht="12.75">
      <c r="B188" s="106" t="s">
        <v>133</v>
      </c>
      <c r="C188" s="105"/>
      <c r="D188" s="356"/>
      <c r="E188" s="362"/>
      <c r="F188" s="113"/>
      <c r="G188" s="106"/>
      <c r="H188" s="113"/>
      <c r="Z188" s="126">
        <f t="shared" si="25"/>
        <v>0</v>
      </c>
      <c r="AA188" s="154"/>
      <c r="AG188" s="149"/>
      <c r="AH188" s="149"/>
      <c r="AI188" s="149"/>
      <c r="AJ188" s="149"/>
      <c r="AK188" s="149"/>
      <c r="AL188" s="149"/>
      <c r="AM188" s="149"/>
      <c r="AN188" s="149"/>
      <c r="AO188" s="130"/>
      <c r="AP188" s="149"/>
      <c r="AQ188" s="428"/>
      <c r="AR188" s="149"/>
      <c r="AS188" s="149"/>
    </row>
    <row r="189" spans="1:45" ht="12.75">
      <c r="A189" s="126">
        <v>185836</v>
      </c>
      <c r="B189" s="106" t="s">
        <v>132</v>
      </c>
      <c r="C189" s="105"/>
      <c r="D189" s="356">
        <v>15</v>
      </c>
      <c r="E189" s="362"/>
      <c r="F189" s="114">
        <f>+A189</f>
        <v>185836</v>
      </c>
      <c r="G189" s="106"/>
      <c r="H189" s="114">
        <f>(VLOOKUP($D189,comp,AA$372))*$F189</f>
        <v>65395.6884</v>
      </c>
      <c r="J189" s="114">
        <f>(VLOOKUP($D189,comp,AC$372))*$F189</f>
        <v>29213.4192</v>
      </c>
      <c r="L189" s="114">
        <f>(VLOOKUP($D189,comp,AE$372))*$F189</f>
        <v>30681.5236</v>
      </c>
      <c r="N189" s="114">
        <f>(VLOOKUP($D189,comp,AG$372))*$F189</f>
        <v>1300.852</v>
      </c>
      <c r="P189" s="114">
        <f>(VLOOKUP($D189,comp,AI$372))*$F189</f>
        <v>0</v>
      </c>
      <c r="R189" s="114">
        <f>(VLOOKUP($D189,comp,AK$372))*$F189</f>
        <v>38802.556800000006</v>
      </c>
      <c r="T189" s="114">
        <f>(VLOOKUP($D189,comp,AM$372))*$F189</f>
        <v>12451.012</v>
      </c>
      <c r="V189" s="114">
        <f>(VLOOKUP($D189,comp,AO$372))*$F189</f>
        <v>3456.5496</v>
      </c>
      <c r="X189" s="114">
        <f>(VLOOKUP($D189,comp,AQ$372))*$F189</f>
        <v>4534.3984</v>
      </c>
      <c r="Z189" s="126">
        <f t="shared" si="25"/>
        <v>0</v>
      </c>
      <c r="AA189" s="154"/>
      <c r="AG189" s="149"/>
      <c r="AH189" s="149"/>
      <c r="AI189" s="149"/>
      <c r="AJ189" s="149"/>
      <c r="AK189" s="149"/>
      <c r="AL189" s="149"/>
      <c r="AM189" s="149"/>
      <c r="AN189" s="149"/>
      <c r="AO189" s="130"/>
      <c r="AP189" s="149"/>
      <c r="AQ189" s="428"/>
      <c r="AR189" s="149"/>
      <c r="AS189" s="149"/>
    </row>
    <row r="190" spans="2:45" ht="12.75">
      <c r="B190" s="106" t="s">
        <v>131</v>
      </c>
      <c r="C190" s="105"/>
      <c r="D190" s="356"/>
      <c r="E190" s="362"/>
      <c r="F190" s="113"/>
      <c r="G190" s="106"/>
      <c r="H190" s="113"/>
      <c r="Z190" s="126">
        <f t="shared" si="25"/>
        <v>0</v>
      </c>
      <c r="AA190" s="154"/>
      <c r="AG190" s="149"/>
      <c r="AH190" s="149"/>
      <c r="AI190" s="149"/>
      <c r="AJ190" s="149"/>
      <c r="AK190" s="149"/>
      <c r="AL190" s="149"/>
      <c r="AM190" s="149"/>
      <c r="AN190" s="149"/>
      <c r="AO190" s="130"/>
      <c r="AP190" s="149"/>
      <c r="AQ190" s="428"/>
      <c r="AR190" s="149"/>
      <c r="AS190" s="149"/>
    </row>
    <row r="191" spans="2:45" ht="12.75">
      <c r="B191" s="106"/>
      <c r="C191" s="105"/>
      <c r="D191" s="356"/>
      <c r="E191" s="362"/>
      <c r="F191" s="113"/>
      <c r="G191" s="106"/>
      <c r="H191" s="113"/>
      <c r="Z191" s="126">
        <f t="shared" si="25"/>
        <v>0</v>
      </c>
      <c r="AA191" s="154"/>
      <c r="AG191" s="149"/>
      <c r="AH191" s="149"/>
      <c r="AI191" s="149"/>
      <c r="AJ191" s="149"/>
      <c r="AK191" s="149"/>
      <c r="AL191" s="149"/>
      <c r="AM191" s="149"/>
      <c r="AN191" s="149"/>
      <c r="AO191" s="130"/>
      <c r="AP191" s="149"/>
      <c r="AQ191" s="428"/>
      <c r="AR191" s="149"/>
      <c r="AS191" s="149"/>
    </row>
    <row r="192" spans="2:45" ht="12.75">
      <c r="B192" s="106" t="s">
        <v>130</v>
      </c>
      <c r="C192" s="105"/>
      <c r="D192" s="356"/>
      <c r="E192" s="362"/>
      <c r="F192" s="114">
        <f>F187+F189</f>
        <v>13673576.33</v>
      </c>
      <c r="G192" s="106"/>
      <c r="H192" s="114">
        <f>H187+H189</f>
        <v>4371088.315427001</v>
      </c>
      <c r="J192" s="114">
        <f>J187+J189</f>
        <v>1874723.2340760003</v>
      </c>
      <c r="L192" s="114">
        <f>L187+L189</f>
        <v>1944248.0887830004</v>
      </c>
      <c r="N192" s="114">
        <f>N187+N189</f>
        <v>82994.02551000002</v>
      </c>
      <c r="P192" s="114">
        <f>P187+P189</f>
        <v>0</v>
      </c>
      <c r="R192" s="114">
        <f>R187+R189</f>
        <v>4008549.6323039997</v>
      </c>
      <c r="T192" s="114">
        <f>T187+T189</f>
        <v>885996.3713100002</v>
      </c>
      <c r="V192" s="114">
        <f>V187+V189</f>
        <v>218989.47013799998</v>
      </c>
      <c r="X192" s="114">
        <f>X187+X189</f>
        <v>286987.19245200005</v>
      </c>
      <c r="Z192" s="126">
        <f t="shared" si="25"/>
        <v>0</v>
      </c>
      <c r="AA192" s="154"/>
      <c r="AG192" s="149"/>
      <c r="AH192" s="149"/>
      <c r="AI192" s="149"/>
      <c r="AJ192" s="149"/>
      <c r="AK192" s="149"/>
      <c r="AL192" s="149"/>
      <c r="AM192" s="149"/>
      <c r="AN192" s="149"/>
      <c r="AO192" s="130"/>
      <c r="AP192" s="149"/>
      <c r="AQ192" s="428"/>
      <c r="AR192" s="149"/>
      <c r="AS192" s="149"/>
    </row>
    <row r="193" spans="2:45" ht="12.75">
      <c r="B193" s="106" t="s">
        <v>128</v>
      </c>
      <c r="C193" s="105"/>
      <c r="D193" s="356"/>
      <c r="E193" s="362"/>
      <c r="F193" s="113"/>
      <c r="G193" s="106"/>
      <c r="H193" s="113"/>
      <c r="Z193" s="126">
        <f t="shared" si="25"/>
        <v>0</v>
      </c>
      <c r="AA193" s="154"/>
      <c r="AG193" s="149"/>
      <c r="AH193" s="149"/>
      <c r="AI193" s="149"/>
      <c r="AJ193" s="149"/>
      <c r="AK193" s="149"/>
      <c r="AL193" s="149"/>
      <c r="AM193" s="149"/>
      <c r="AN193" s="149"/>
      <c r="AO193" s="130"/>
      <c r="AP193" s="149"/>
      <c r="AQ193" s="428"/>
      <c r="AR193" s="149"/>
      <c r="AS193" s="149"/>
    </row>
    <row r="194" spans="2:45" ht="12.75">
      <c r="B194" s="106"/>
      <c r="C194" s="105"/>
      <c r="D194" s="356"/>
      <c r="E194" s="362"/>
      <c r="F194" s="113"/>
      <c r="G194" s="106"/>
      <c r="H194" s="113"/>
      <c r="Z194" s="126">
        <f t="shared" si="25"/>
        <v>0</v>
      </c>
      <c r="AA194" s="154"/>
      <c r="AG194" s="149"/>
      <c r="AH194" s="149"/>
      <c r="AI194" s="149"/>
      <c r="AJ194" s="149"/>
      <c r="AK194" s="149"/>
      <c r="AL194" s="149"/>
      <c r="AM194" s="149"/>
      <c r="AN194" s="149"/>
      <c r="AO194" s="130"/>
      <c r="AP194" s="149"/>
      <c r="AQ194" s="428"/>
      <c r="AR194" s="149"/>
      <c r="AS194" s="149"/>
    </row>
    <row r="195" spans="2:45" ht="12.75">
      <c r="B195" s="106" t="s">
        <v>129</v>
      </c>
      <c r="C195" s="105"/>
      <c r="D195" s="356"/>
      <c r="E195" s="362"/>
      <c r="F195" s="113"/>
      <c r="G195" s="106"/>
      <c r="H195" s="113"/>
      <c r="Z195" s="126">
        <f t="shared" si="25"/>
        <v>0</v>
      </c>
      <c r="AA195" s="154"/>
      <c r="AG195" s="149"/>
      <c r="AH195" s="149"/>
      <c r="AI195" s="149"/>
      <c r="AJ195" s="149"/>
      <c r="AK195" s="149"/>
      <c r="AL195" s="149"/>
      <c r="AM195" s="149"/>
      <c r="AN195" s="149"/>
      <c r="AO195" s="130"/>
      <c r="AP195" s="149"/>
      <c r="AQ195" s="428"/>
      <c r="AR195" s="149"/>
      <c r="AS195" s="149"/>
    </row>
    <row r="196" spans="2:45" ht="12.75">
      <c r="B196" s="106" t="s">
        <v>128</v>
      </c>
      <c r="C196" s="105"/>
      <c r="D196" s="356"/>
      <c r="E196" s="362"/>
      <c r="F196" s="114">
        <f>F39+F68+F97+F150+F165+F192</f>
        <v>27798724.360925164</v>
      </c>
      <c r="G196" s="106"/>
      <c r="H196" s="114">
        <f>H39+H68+H97+H150+H165+H192</f>
        <v>12732261.927285831</v>
      </c>
      <c r="J196" s="114">
        <f>J39+J68+J97+J150+J165+J192</f>
        <v>3272630.4211203526</v>
      </c>
      <c r="L196" s="114">
        <f>L39+L68+L97+L150+L165+L192</f>
        <v>3412876.717858177</v>
      </c>
      <c r="N196" s="114">
        <f>N39+N68+N97+N150+N165+N192</f>
        <v>145578.30751</v>
      </c>
      <c r="P196" s="114">
        <f>P39+P68+P97+P150+P165+P192</f>
        <v>0</v>
      </c>
      <c r="R196" s="114">
        <f>R39+R68+R97+R150+R165+R192</f>
        <v>5865714.57626515</v>
      </c>
      <c r="T196" s="114">
        <f>T39+T68+T97+T150+T165+T192</f>
        <v>1481911.1713100001</v>
      </c>
      <c r="V196" s="114">
        <f>V39+V68+V97+V150+V165+V192</f>
        <v>384189.99573271594</v>
      </c>
      <c r="X196" s="114">
        <f>X39+X68+X97+X150+X165+X192</f>
        <v>503561.24384293775</v>
      </c>
      <c r="Z196" s="126">
        <f t="shared" si="25"/>
        <v>0</v>
      </c>
      <c r="AA196" s="154"/>
      <c r="AG196" s="149"/>
      <c r="AH196" s="149"/>
      <c r="AI196" s="149"/>
      <c r="AJ196" s="149"/>
      <c r="AK196" s="149"/>
      <c r="AL196" s="149"/>
      <c r="AM196" s="149"/>
      <c r="AN196" s="149"/>
      <c r="AO196" s="130"/>
      <c r="AP196" s="149"/>
      <c r="AQ196" s="428"/>
      <c r="AR196" s="149"/>
      <c r="AS196" s="149"/>
    </row>
    <row r="197" spans="2:45" ht="12.75">
      <c r="B197" s="106"/>
      <c r="C197" s="105"/>
      <c r="D197" s="356"/>
      <c r="E197" s="362"/>
      <c r="F197" s="113"/>
      <c r="G197" s="106"/>
      <c r="H197" s="113"/>
      <c r="Z197" s="126">
        <f t="shared" si="25"/>
        <v>0</v>
      </c>
      <c r="AA197" s="154"/>
      <c r="AG197" s="149"/>
      <c r="AH197" s="149"/>
      <c r="AI197" s="149"/>
      <c r="AJ197" s="149"/>
      <c r="AK197" s="149"/>
      <c r="AL197" s="149"/>
      <c r="AM197" s="149"/>
      <c r="AN197" s="149"/>
      <c r="AO197" s="130"/>
      <c r="AP197" s="149"/>
      <c r="AQ197" s="428"/>
      <c r="AR197" s="149"/>
      <c r="AS197" s="149"/>
    </row>
    <row r="198" spans="2:45" ht="12.75">
      <c r="B198" s="396" t="s">
        <v>127</v>
      </c>
      <c r="C198" s="105"/>
      <c r="D198" s="356"/>
      <c r="E198" s="362"/>
      <c r="F198" s="113"/>
      <c r="G198" s="106"/>
      <c r="H198" s="113"/>
      <c r="Z198" s="126">
        <f t="shared" si="25"/>
        <v>0</v>
      </c>
      <c r="AA198" s="154"/>
      <c r="AG198" s="149"/>
      <c r="AH198" s="149"/>
      <c r="AI198" s="149"/>
      <c r="AJ198" s="149"/>
      <c r="AK198" s="149"/>
      <c r="AL198" s="149"/>
      <c r="AM198" s="149"/>
      <c r="AN198" s="149"/>
      <c r="AO198" s="130"/>
      <c r="AP198" s="149"/>
      <c r="AQ198" s="428"/>
      <c r="AR198" s="149"/>
      <c r="AS198" s="149"/>
    </row>
    <row r="199" spans="2:45" ht="10.5" customHeight="1">
      <c r="B199" s="106" t="s">
        <v>126</v>
      </c>
      <c r="C199" s="105"/>
      <c r="D199" s="356"/>
      <c r="E199" s="362"/>
      <c r="F199" s="113"/>
      <c r="G199" s="106"/>
      <c r="H199" s="113"/>
      <c r="Z199" s="126">
        <f t="shared" si="25"/>
        <v>0</v>
      </c>
      <c r="AA199" s="154"/>
      <c r="AG199" s="149"/>
      <c r="AH199" s="149"/>
      <c r="AI199" s="149"/>
      <c r="AJ199" s="149"/>
      <c r="AK199" s="149"/>
      <c r="AL199" s="149"/>
      <c r="AM199" s="149"/>
      <c r="AN199" s="149"/>
      <c r="AO199" s="130"/>
      <c r="AP199" s="149"/>
      <c r="AQ199" s="428"/>
      <c r="AR199" s="149"/>
      <c r="AS199" s="149"/>
    </row>
    <row r="200" spans="2:45" ht="12" customHeight="1">
      <c r="B200" s="106" t="s">
        <v>125</v>
      </c>
      <c r="C200" s="105"/>
      <c r="D200" s="356">
        <v>17</v>
      </c>
      <c r="E200" s="362"/>
      <c r="F200" s="113">
        <f>+A200</f>
        <v>0</v>
      </c>
      <c r="G200" s="106"/>
      <c r="H200" s="113">
        <f>(VLOOKUP($D200,comp,AA$372))*$F200</f>
        <v>0</v>
      </c>
      <c r="J200" s="113">
        <f>(VLOOKUP($D200,comp,AC$372))*$F200</f>
        <v>0</v>
      </c>
      <c r="K200" s="113"/>
      <c r="L200" s="113">
        <f>(VLOOKUP($D200,comp,AE$372))*$F200</f>
        <v>0</v>
      </c>
      <c r="M200" s="113"/>
      <c r="N200" s="113">
        <f>(VLOOKUP($D200,comp,AG$372))*$F200</f>
        <v>0</v>
      </c>
      <c r="P200" s="113">
        <f>(VLOOKUP($D200,comp,AI$372))*$F200</f>
        <v>0</v>
      </c>
      <c r="Q200" s="113"/>
      <c r="R200" s="113">
        <f>(VLOOKUP($D200,comp,AK$372))*$F200</f>
        <v>0</v>
      </c>
      <c r="S200" s="113"/>
      <c r="T200" s="113">
        <f>(VLOOKUP($D200,comp,AM$372))*$F200</f>
        <v>0</v>
      </c>
      <c r="V200" s="113">
        <f>(VLOOKUP($D200,comp,AO$372))*$F200</f>
        <v>0</v>
      </c>
      <c r="W200" s="113"/>
      <c r="X200" s="113">
        <f>(VLOOKUP($D200,comp,AQ$372))*$F200</f>
        <v>0</v>
      </c>
      <c r="Z200" s="126">
        <f t="shared" si="25"/>
        <v>0</v>
      </c>
      <c r="AA200" s="154"/>
      <c r="AG200" s="149"/>
      <c r="AH200" s="149"/>
      <c r="AI200" s="149"/>
      <c r="AJ200" s="149"/>
      <c r="AK200" s="149"/>
      <c r="AL200" s="149"/>
      <c r="AM200" s="149"/>
      <c r="AN200" s="149"/>
      <c r="AO200" s="130"/>
      <c r="AP200" s="149"/>
      <c r="AQ200" s="428"/>
      <c r="AR200" s="149"/>
      <c r="AS200" s="149"/>
    </row>
    <row r="201" spans="2:45" ht="12.75">
      <c r="B201" s="106" t="s">
        <v>124</v>
      </c>
      <c r="C201" s="105"/>
      <c r="D201" s="356">
        <v>15</v>
      </c>
      <c r="E201" s="362"/>
      <c r="F201" s="113">
        <f aca="true" t="shared" si="41" ref="F201:F219">+A201</f>
        <v>0</v>
      </c>
      <c r="G201" s="106"/>
      <c r="H201" s="113">
        <f>(VLOOKUP($D201,comp,AA$372))*$F201</f>
        <v>0</v>
      </c>
      <c r="J201" s="113">
        <f>(VLOOKUP($D201,comp,AC$372))*$F201</f>
        <v>0</v>
      </c>
      <c r="K201" s="113"/>
      <c r="L201" s="113">
        <f>(VLOOKUP($D201,comp,AE$372))*$F201</f>
        <v>0</v>
      </c>
      <c r="M201" s="113"/>
      <c r="N201" s="113">
        <f>(VLOOKUP($D201,comp,AG$372))*$F201</f>
        <v>0</v>
      </c>
      <c r="P201" s="113">
        <f>(VLOOKUP($D201,comp,AI$372))*$F201</f>
        <v>0</v>
      </c>
      <c r="Q201" s="113"/>
      <c r="R201" s="113">
        <f>(VLOOKUP($D201,comp,AK$372))*$F201</f>
        <v>0</v>
      </c>
      <c r="S201" s="113"/>
      <c r="T201" s="113">
        <f>(VLOOKUP($D201,comp,AM$372))*$F201</f>
        <v>0</v>
      </c>
      <c r="V201" s="113">
        <f>(VLOOKUP($D201,comp,AO$372))*$F201</f>
        <v>0</v>
      </c>
      <c r="W201" s="113"/>
      <c r="X201" s="113">
        <f>(VLOOKUP($D201,comp,AQ$372))*$F201</f>
        <v>0</v>
      </c>
      <c r="Z201" s="126">
        <f t="shared" si="25"/>
        <v>0</v>
      </c>
      <c r="AA201" s="154"/>
      <c r="AG201" s="149"/>
      <c r="AH201" s="149"/>
      <c r="AI201" s="149"/>
      <c r="AJ201" s="149"/>
      <c r="AK201" s="149"/>
      <c r="AL201" s="149"/>
      <c r="AM201" s="149"/>
      <c r="AN201" s="149"/>
      <c r="AO201" s="130"/>
      <c r="AP201" s="149"/>
      <c r="AQ201" s="428"/>
      <c r="AR201" s="149"/>
      <c r="AS201" s="149"/>
    </row>
    <row r="202" spans="1:45" ht="12.75">
      <c r="A202" s="228">
        <v>0</v>
      </c>
      <c r="B202" s="106" t="s">
        <v>123</v>
      </c>
      <c r="C202" s="105"/>
      <c r="D202" s="356">
        <v>17</v>
      </c>
      <c r="E202" s="362"/>
      <c r="F202" s="113">
        <f t="shared" si="41"/>
        <v>0</v>
      </c>
      <c r="G202" s="106"/>
      <c r="H202" s="113">
        <f>(VLOOKUP($D202,comp,AA$372))*$F202</f>
        <v>0</v>
      </c>
      <c r="J202" s="113">
        <f>(VLOOKUP($D202,comp,AC$372))*$F202</f>
        <v>0</v>
      </c>
      <c r="K202" s="113"/>
      <c r="L202" s="113">
        <f>(VLOOKUP($D202,comp,AE$372))*$F202</f>
        <v>0</v>
      </c>
      <c r="M202" s="113"/>
      <c r="N202" s="113">
        <f>(VLOOKUP($D202,comp,AG$372))*$F202</f>
        <v>0</v>
      </c>
      <c r="P202" s="113">
        <f>(VLOOKUP($D202,comp,AI$372))*$F202</f>
        <v>0</v>
      </c>
      <c r="Q202" s="113"/>
      <c r="R202" s="113">
        <f>(VLOOKUP($D202,comp,AK$372))*$F202</f>
        <v>0</v>
      </c>
      <c r="S202" s="113"/>
      <c r="T202" s="113">
        <f>(VLOOKUP($D202,comp,AM$372))*$F202</f>
        <v>0</v>
      </c>
      <c r="V202" s="113">
        <f>(VLOOKUP($D202,comp,AO$372))*$F202</f>
        <v>0</v>
      </c>
      <c r="W202" s="113"/>
      <c r="X202" s="113">
        <f>(VLOOKUP($D202,comp,AQ$372))*$F202</f>
        <v>0</v>
      </c>
      <c r="Z202" s="126">
        <f t="shared" si="25"/>
        <v>0</v>
      </c>
      <c r="AA202" s="154"/>
      <c r="AG202" s="149"/>
      <c r="AH202" s="149"/>
      <c r="AI202" s="149"/>
      <c r="AJ202" s="149"/>
      <c r="AK202" s="149"/>
      <c r="AL202" s="149"/>
      <c r="AM202" s="149"/>
      <c r="AN202" s="149"/>
      <c r="AO202" s="130"/>
      <c r="AP202" s="149"/>
      <c r="AQ202" s="428"/>
      <c r="AR202" s="149"/>
      <c r="AS202" s="149"/>
    </row>
    <row r="203" spans="1:45" ht="12.75">
      <c r="A203" s="228">
        <v>0</v>
      </c>
      <c r="B203" s="106" t="s">
        <v>122</v>
      </c>
      <c r="C203" s="105"/>
      <c r="D203" s="356">
        <v>2</v>
      </c>
      <c r="E203" s="362"/>
      <c r="F203" s="113">
        <f t="shared" si="41"/>
        <v>0</v>
      </c>
      <c r="G203" s="106"/>
      <c r="H203" s="113">
        <f aca="true" t="shared" si="42" ref="H203:H217">(VLOOKUP($D203,Factors,AA$394))*$F203</f>
        <v>0</v>
      </c>
      <c r="J203" s="113">
        <f aca="true" t="shared" si="43" ref="J203:J217">(VLOOKUP($D203,Factors,AC$394))*$F203</f>
        <v>0</v>
      </c>
      <c r="L203" s="113">
        <f aca="true" t="shared" si="44" ref="L203:L217">(VLOOKUP($D203,Factors,AE$394))*$F203</f>
        <v>0</v>
      </c>
      <c r="N203" s="113">
        <f aca="true" t="shared" si="45" ref="N203:N217">(VLOOKUP($D203,Factors,AG$394))*$F203</f>
        <v>0</v>
      </c>
      <c r="P203" s="113">
        <f aca="true" t="shared" si="46" ref="P203:P217">(VLOOKUP($D203,Factors,AI$394))*$F203</f>
        <v>0</v>
      </c>
      <c r="R203" s="113">
        <f aca="true" t="shared" si="47" ref="R203:R217">(VLOOKUP($D203,Factors,AK$394))*$F203</f>
        <v>0</v>
      </c>
      <c r="T203" s="113">
        <f aca="true" t="shared" si="48" ref="T203:T217">(VLOOKUP($D203,Factors,AM$394))*$F203</f>
        <v>0</v>
      </c>
      <c r="V203" s="113">
        <f aca="true" t="shared" si="49" ref="V203:V217">(VLOOKUP($D203,Factors,AO$394))*$F203</f>
        <v>0</v>
      </c>
      <c r="X203" s="113">
        <f aca="true" t="shared" si="50" ref="X203:X217">(VLOOKUP($D203,Factors,AQ$394))*$F203</f>
        <v>0</v>
      </c>
      <c r="Z203" s="126">
        <f t="shared" si="25"/>
        <v>0</v>
      </c>
      <c r="AA203" s="154"/>
      <c r="AG203" s="149"/>
      <c r="AH203" s="149"/>
      <c r="AI203" s="149"/>
      <c r="AJ203" s="149"/>
      <c r="AK203" s="149"/>
      <c r="AL203" s="149"/>
      <c r="AM203" s="149"/>
      <c r="AN203" s="149"/>
      <c r="AO203" s="130"/>
      <c r="AP203" s="149"/>
      <c r="AQ203" s="428"/>
      <c r="AR203" s="149"/>
      <c r="AS203" s="149"/>
    </row>
    <row r="204" spans="1:45" ht="12.75">
      <c r="A204" s="228">
        <v>150622</v>
      </c>
      <c r="B204" s="106" t="s">
        <v>121</v>
      </c>
      <c r="C204" s="105"/>
      <c r="D204" s="356">
        <v>2</v>
      </c>
      <c r="E204" s="362"/>
      <c r="F204" s="113">
        <f t="shared" si="41"/>
        <v>150622</v>
      </c>
      <c r="G204" s="106"/>
      <c r="H204" s="113">
        <f t="shared" si="42"/>
        <v>91291.9942</v>
      </c>
      <c r="J204" s="113">
        <f t="shared" si="43"/>
        <v>59330.0058</v>
      </c>
      <c r="L204" s="113">
        <f t="shared" si="44"/>
        <v>0</v>
      </c>
      <c r="N204" s="113">
        <f t="shared" si="45"/>
        <v>0</v>
      </c>
      <c r="P204" s="113">
        <f t="shared" si="46"/>
        <v>0</v>
      </c>
      <c r="R204" s="113">
        <f t="shared" si="47"/>
        <v>0</v>
      </c>
      <c r="T204" s="113">
        <f t="shared" si="48"/>
        <v>0</v>
      </c>
      <c r="V204" s="113">
        <f t="shared" si="49"/>
        <v>0</v>
      </c>
      <c r="X204" s="113">
        <f t="shared" si="50"/>
        <v>0</v>
      </c>
      <c r="Z204" s="126">
        <f t="shared" si="25"/>
        <v>0</v>
      </c>
      <c r="AA204" s="154"/>
      <c r="AG204" s="149"/>
      <c r="AH204" s="149"/>
      <c r="AI204" s="149"/>
      <c r="AJ204" s="149"/>
      <c r="AK204" s="149"/>
      <c r="AL204" s="149"/>
      <c r="AM204" s="149"/>
      <c r="AN204" s="149"/>
      <c r="AO204" s="130"/>
      <c r="AP204" s="149"/>
      <c r="AQ204" s="428"/>
      <c r="AR204" s="149"/>
      <c r="AS204" s="149"/>
    </row>
    <row r="205" spans="1:45" ht="12.75">
      <c r="A205" s="228">
        <v>16976</v>
      </c>
      <c r="B205" s="106" t="s">
        <v>120</v>
      </c>
      <c r="C205" s="105"/>
      <c r="D205" s="356">
        <v>1</v>
      </c>
      <c r="E205" s="362"/>
      <c r="F205" s="113">
        <f t="shared" si="41"/>
        <v>16976</v>
      </c>
      <c r="G205" s="106"/>
      <c r="H205" s="113">
        <f t="shared" si="42"/>
        <v>16976</v>
      </c>
      <c r="J205" s="113">
        <f t="shared" si="43"/>
        <v>0</v>
      </c>
      <c r="L205" s="113">
        <f t="shared" si="44"/>
        <v>0</v>
      </c>
      <c r="N205" s="113">
        <f t="shared" si="45"/>
        <v>0</v>
      </c>
      <c r="P205" s="113">
        <f t="shared" si="46"/>
        <v>0</v>
      </c>
      <c r="R205" s="113">
        <f t="shared" si="47"/>
        <v>0</v>
      </c>
      <c r="T205" s="113">
        <f t="shared" si="48"/>
        <v>0</v>
      </c>
      <c r="V205" s="113">
        <f t="shared" si="49"/>
        <v>0</v>
      </c>
      <c r="X205" s="113">
        <f t="shared" si="50"/>
        <v>0</v>
      </c>
      <c r="Z205" s="126">
        <f t="shared" si="25"/>
        <v>0</v>
      </c>
      <c r="AA205" s="154"/>
      <c r="AG205" s="149"/>
      <c r="AH205" s="149"/>
      <c r="AI205" s="149"/>
      <c r="AJ205" s="149"/>
      <c r="AK205" s="149"/>
      <c r="AL205" s="149"/>
      <c r="AM205" s="149"/>
      <c r="AN205" s="149"/>
      <c r="AO205" s="149"/>
      <c r="AP205" s="149"/>
      <c r="AQ205" s="428"/>
      <c r="AR205" s="149"/>
      <c r="AS205" s="149"/>
    </row>
    <row r="206" spans="1:45" ht="12.75">
      <c r="A206" s="228">
        <v>14148</v>
      </c>
      <c r="B206" s="106" t="s">
        <v>119</v>
      </c>
      <c r="C206" s="105"/>
      <c r="D206" s="356">
        <v>2</v>
      </c>
      <c r="E206" s="362"/>
      <c r="F206" s="113">
        <f t="shared" si="41"/>
        <v>14148</v>
      </c>
      <c r="G206" s="106"/>
      <c r="H206" s="113">
        <f t="shared" si="42"/>
        <v>8575.102799999999</v>
      </c>
      <c r="J206" s="113">
        <f t="shared" si="43"/>
        <v>5572.897199999999</v>
      </c>
      <c r="L206" s="113">
        <f t="shared" si="44"/>
        <v>0</v>
      </c>
      <c r="N206" s="113">
        <f t="shared" si="45"/>
        <v>0</v>
      </c>
      <c r="P206" s="113">
        <f t="shared" si="46"/>
        <v>0</v>
      </c>
      <c r="R206" s="113">
        <f t="shared" si="47"/>
        <v>0</v>
      </c>
      <c r="T206" s="113">
        <f t="shared" si="48"/>
        <v>0</v>
      </c>
      <c r="V206" s="113">
        <f t="shared" si="49"/>
        <v>0</v>
      </c>
      <c r="X206" s="113">
        <f t="shared" si="50"/>
        <v>0</v>
      </c>
      <c r="Z206" s="126">
        <f t="shared" si="25"/>
        <v>0</v>
      </c>
      <c r="AA206" s="154"/>
      <c r="AG206" s="149"/>
      <c r="AH206" s="149"/>
      <c r="AI206" s="149"/>
      <c r="AJ206" s="149"/>
      <c r="AK206" s="149"/>
      <c r="AL206" s="149"/>
      <c r="AM206" s="149"/>
      <c r="AN206" s="149"/>
      <c r="AO206" s="130"/>
      <c r="AP206" s="149"/>
      <c r="AQ206" s="428"/>
      <c r="AR206" s="149"/>
      <c r="AS206" s="149"/>
    </row>
    <row r="207" spans="1:45" ht="12.75">
      <c r="A207" s="228">
        <v>0</v>
      </c>
      <c r="B207" s="106" t="s">
        <v>118</v>
      </c>
      <c r="C207" s="105"/>
      <c r="D207" s="356">
        <v>2</v>
      </c>
      <c r="E207" s="362"/>
      <c r="F207" s="113">
        <f t="shared" si="41"/>
        <v>0</v>
      </c>
      <c r="G207" s="106"/>
      <c r="H207" s="113">
        <f t="shared" si="42"/>
        <v>0</v>
      </c>
      <c r="J207" s="113">
        <f t="shared" si="43"/>
        <v>0</v>
      </c>
      <c r="L207" s="113">
        <f t="shared" si="44"/>
        <v>0</v>
      </c>
      <c r="N207" s="113">
        <f t="shared" si="45"/>
        <v>0</v>
      </c>
      <c r="P207" s="113">
        <f t="shared" si="46"/>
        <v>0</v>
      </c>
      <c r="R207" s="113">
        <f t="shared" si="47"/>
        <v>0</v>
      </c>
      <c r="T207" s="113">
        <f t="shared" si="48"/>
        <v>0</v>
      </c>
      <c r="V207" s="113">
        <f t="shared" si="49"/>
        <v>0</v>
      </c>
      <c r="X207" s="113">
        <f t="shared" si="50"/>
        <v>0</v>
      </c>
      <c r="Z207" s="126">
        <f t="shared" si="25"/>
        <v>0</v>
      </c>
      <c r="AA207" s="154"/>
      <c r="AG207" s="149"/>
      <c r="AH207" s="149"/>
      <c r="AI207" s="149"/>
      <c r="AJ207" s="149"/>
      <c r="AK207" s="149"/>
      <c r="AL207" s="149"/>
      <c r="AM207" s="149"/>
      <c r="AN207" s="149"/>
      <c r="AO207" s="149"/>
      <c r="AP207" s="149"/>
      <c r="AQ207" s="149"/>
      <c r="AR207" s="149"/>
      <c r="AS207" s="149"/>
    </row>
    <row r="208" spans="1:45" ht="12.75">
      <c r="A208" s="228">
        <v>98128</v>
      </c>
      <c r="B208" s="106" t="s">
        <v>117</v>
      </c>
      <c r="C208" s="105"/>
      <c r="D208" s="356">
        <v>2</v>
      </c>
      <c r="E208" s="362"/>
      <c r="F208" s="113">
        <f t="shared" si="41"/>
        <v>98128</v>
      </c>
      <c r="G208" s="106"/>
      <c r="H208" s="113">
        <f t="shared" si="42"/>
        <v>59475.3808</v>
      </c>
      <c r="J208" s="113">
        <f t="shared" si="43"/>
        <v>38652.619199999994</v>
      </c>
      <c r="L208" s="113">
        <f t="shared" si="44"/>
        <v>0</v>
      </c>
      <c r="N208" s="113">
        <f t="shared" si="45"/>
        <v>0</v>
      </c>
      <c r="P208" s="113">
        <f t="shared" si="46"/>
        <v>0</v>
      </c>
      <c r="R208" s="113">
        <f t="shared" si="47"/>
        <v>0</v>
      </c>
      <c r="T208" s="113">
        <f t="shared" si="48"/>
        <v>0</v>
      </c>
      <c r="V208" s="113">
        <f t="shared" si="49"/>
        <v>0</v>
      </c>
      <c r="X208" s="113">
        <f t="shared" si="50"/>
        <v>0</v>
      </c>
      <c r="Z208" s="126">
        <f t="shared" si="25"/>
        <v>0</v>
      </c>
      <c r="AA208" s="154"/>
      <c r="AG208" s="149"/>
      <c r="AH208" s="149"/>
      <c r="AI208" s="149"/>
      <c r="AJ208" s="149"/>
      <c r="AK208" s="149"/>
      <c r="AL208" s="149"/>
      <c r="AM208" s="149"/>
      <c r="AN208" s="149"/>
      <c r="AO208" s="429"/>
      <c r="AP208" s="430"/>
      <c r="AQ208" s="428"/>
      <c r="AR208" s="149"/>
      <c r="AS208" s="149"/>
    </row>
    <row r="209" spans="1:45" ht="12.75">
      <c r="A209" s="228">
        <v>105306</v>
      </c>
      <c r="B209" s="106" t="s">
        <v>116</v>
      </c>
      <c r="C209" s="105"/>
      <c r="D209" s="356">
        <v>6</v>
      </c>
      <c r="E209" s="362"/>
      <c r="F209" s="113">
        <f t="shared" si="41"/>
        <v>105306</v>
      </c>
      <c r="G209" s="106"/>
      <c r="H209" s="113">
        <f t="shared" si="42"/>
        <v>59308.339199999995</v>
      </c>
      <c r="J209" s="113">
        <f t="shared" si="43"/>
        <v>35509.1832</v>
      </c>
      <c r="L209" s="113">
        <f t="shared" si="44"/>
        <v>7002.849</v>
      </c>
      <c r="N209" s="113">
        <f t="shared" si="45"/>
        <v>0</v>
      </c>
      <c r="P209" s="113">
        <f t="shared" si="46"/>
        <v>0</v>
      </c>
      <c r="R209" s="113">
        <f t="shared" si="47"/>
        <v>0</v>
      </c>
      <c r="T209" s="113">
        <f t="shared" si="48"/>
        <v>0</v>
      </c>
      <c r="V209" s="113">
        <f t="shared" si="49"/>
        <v>1505.8758</v>
      </c>
      <c r="X209" s="113">
        <f t="shared" si="50"/>
        <v>1979.7527999999998</v>
      </c>
      <c r="Z209" s="126">
        <f t="shared" si="25"/>
        <v>0</v>
      </c>
      <c r="AA209" s="154"/>
      <c r="AG209" s="149"/>
      <c r="AH209" s="149"/>
      <c r="AI209" s="149"/>
      <c r="AJ209" s="149"/>
      <c r="AK209" s="149"/>
      <c r="AL209" s="149"/>
      <c r="AM209" s="149"/>
      <c r="AN209" s="149"/>
      <c r="AO209" s="149"/>
      <c r="AP209" s="149"/>
      <c r="AQ209" s="149"/>
      <c r="AR209" s="149"/>
      <c r="AS209" s="149"/>
    </row>
    <row r="210" spans="1:45" ht="12.75">
      <c r="A210" s="228">
        <v>0</v>
      </c>
      <c r="B210" s="106" t="s">
        <v>115</v>
      </c>
      <c r="C210" s="105"/>
      <c r="D210" s="356">
        <v>6</v>
      </c>
      <c r="E210" s="362"/>
      <c r="F210" s="113">
        <f t="shared" si="41"/>
        <v>0</v>
      </c>
      <c r="G210" s="106"/>
      <c r="H210" s="113">
        <f t="shared" si="42"/>
        <v>0</v>
      </c>
      <c r="J210" s="113">
        <f t="shared" si="43"/>
        <v>0</v>
      </c>
      <c r="L210" s="113">
        <f t="shared" si="44"/>
        <v>0</v>
      </c>
      <c r="N210" s="113">
        <f t="shared" si="45"/>
        <v>0</v>
      </c>
      <c r="P210" s="113">
        <f t="shared" si="46"/>
        <v>0</v>
      </c>
      <c r="R210" s="113">
        <f t="shared" si="47"/>
        <v>0</v>
      </c>
      <c r="T210" s="113">
        <f t="shared" si="48"/>
        <v>0</v>
      </c>
      <c r="V210" s="113">
        <f t="shared" si="49"/>
        <v>0</v>
      </c>
      <c r="X210" s="113">
        <f t="shared" si="50"/>
        <v>0</v>
      </c>
      <c r="Z210" s="126">
        <f t="shared" si="25"/>
        <v>0</v>
      </c>
      <c r="AA210" s="154"/>
      <c r="AG210" s="149"/>
      <c r="AH210" s="149"/>
      <c r="AI210" s="149"/>
      <c r="AJ210" s="149"/>
      <c r="AK210" s="149"/>
      <c r="AL210" s="149"/>
      <c r="AM210" s="149"/>
      <c r="AN210" s="149"/>
      <c r="AO210" s="149"/>
      <c r="AP210" s="149"/>
      <c r="AQ210" s="149"/>
      <c r="AR210" s="149"/>
      <c r="AS210" s="149"/>
    </row>
    <row r="211" spans="1:45" ht="12.75">
      <c r="A211" s="228">
        <v>19463</v>
      </c>
      <c r="B211" s="106" t="s">
        <v>114</v>
      </c>
      <c r="C211" s="105"/>
      <c r="D211" s="356">
        <v>6</v>
      </c>
      <c r="E211" s="362"/>
      <c r="F211" s="113">
        <f t="shared" si="41"/>
        <v>19463</v>
      </c>
      <c r="G211" s="106"/>
      <c r="H211" s="113">
        <f t="shared" si="42"/>
        <v>10961.561599999999</v>
      </c>
      <c r="J211" s="113">
        <f t="shared" si="43"/>
        <v>6562.9236</v>
      </c>
      <c r="L211" s="113">
        <f t="shared" si="44"/>
        <v>1294.2895</v>
      </c>
      <c r="N211" s="113">
        <f t="shared" si="45"/>
        <v>0</v>
      </c>
      <c r="P211" s="113">
        <f t="shared" si="46"/>
        <v>0</v>
      </c>
      <c r="R211" s="113">
        <f t="shared" si="47"/>
        <v>0</v>
      </c>
      <c r="T211" s="113">
        <f t="shared" si="48"/>
        <v>0</v>
      </c>
      <c r="V211" s="113">
        <f t="shared" si="49"/>
        <v>278.3209</v>
      </c>
      <c r="X211" s="113">
        <f t="shared" si="50"/>
        <v>365.90439999999995</v>
      </c>
      <c r="Z211" s="126">
        <f aca="true" t="shared" si="51" ref="Z211:Z274">SUM(H211:X211)-F211</f>
        <v>0</v>
      </c>
      <c r="AA211" s="154"/>
      <c r="AG211" s="149"/>
      <c r="AH211" s="149"/>
      <c r="AI211" s="149"/>
      <c r="AJ211" s="149"/>
      <c r="AK211" s="149"/>
      <c r="AL211" s="149"/>
      <c r="AM211" s="149"/>
      <c r="AN211" s="149"/>
      <c r="AO211" s="149"/>
      <c r="AP211" s="149"/>
      <c r="AQ211" s="149"/>
      <c r="AR211" s="149"/>
      <c r="AS211" s="149"/>
    </row>
    <row r="212" spans="1:27" ht="12.75">
      <c r="A212" s="228">
        <v>278586</v>
      </c>
      <c r="B212" s="106" t="s">
        <v>112</v>
      </c>
      <c r="C212" s="105"/>
      <c r="D212" s="356">
        <v>6</v>
      </c>
      <c r="E212" s="362"/>
      <c r="F212" s="113">
        <f t="shared" si="41"/>
        <v>278586</v>
      </c>
      <c r="G212" s="106"/>
      <c r="H212" s="113">
        <f t="shared" si="42"/>
        <v>156899.6352</v>
      </c>
      <c r="J212" s="113">
        <f t="shared" si="43"/>
        <v>93939.1992</v>
      </c>
      <c r="L212" s="113">
        <f t="shared" si="44"/>
        <v>18525.969</v>
      </c>
      <c r="N212" s="113">
        <f t="shared" si="45"/>
        <v>0</v>
      </c>
      <c r="P212" s="113">
        <f t="shared" si="46"/>
        <v>0</v>
      </c>
      <c r="R212" s="113">
        <f t="shared" si="47"/>
        <v>0</v>
      </c>
      <c r="T212" s="113">
        <f t="shared" si="48"/>
        <v>0</v>
      </c>
      <c r="V212" s="113">
        <f t="shared" si="49"/>
        <v>3983.7798000000003</v>
      </c>
      <c r="X212" s="113">
        <f t="shared" si="50"/>
        <v>5237.416799999999</v>
      </c>
      <c r="Z212" s="126">
        <f t="shared" si="51"/>
        <v>0</v>
      </c>
      <c r="AA212" s="154"/>
    </row>
    <row r="213" spans="1:27" ht="12.75">
      <c r="A213" s="228">
        <v>46490</v>
      </c>
      <c r="B213" s="106" t="s">
        <v>111</v>
      </c>
      <c r="C213" s="105"/>
      <c r="D213" s="356">
        <v>6</v>
      </c>
      <c r="E213" s="362"/>
      <c r="F213" s="113">
        <f t="shared" si="41"/>
        <v>46490</v>
      </c>
      <c r="G213" s="106"/>
      <c r="H213" s="113">
        <f t="shared" si="42"/>
        <v>26183.167999999998</v>
      </c>
      <c r="J213" s="113">
        <f t="shared" si="43"/>
        <v>15676.428</v>
      </c>
      <c r="L213" s="113">
        <f t="shared" si="44"/>
        <v>3091.585</v>
      </c>
      <c r="N213" s="113">
        <f t="shared" si="45"/>
        <v>0</v>
      </c>
      <c r="P213" s="113">
        <f t="shared" si="46"/>
        <v>0</v>
      </c>
      <c r="R213" s="113">
        <f t="shared" si="47"/>
        <v>0</v>
      </c>
      <c r="T213" s="113">
        <f t="shared" si="48"/>
        <v>0</v>
      </c>
      <c r="V213" s="113">
        <f t="shared" si="49"/>
        <v>664.807</v>
      </c>
      <c r="X213" s="113">
        <f t="shared" si="50"/>
        <v>874.0119999999998</v>
      </c>
      <c r="Z213" s="126">
        <f t="shared" si="51"/>
        <v>0</v>
      </c>
      <c r="AA213" s="154"/>
    </row>
    <row r="214" spans="1:27" ht="12.75">
      <c r="A214" s="228">
        <v>1983</v>
      </c>
      <c r="B214" s="106" t="s">
        <v>110</v>
      </c>
      <c r="C214" s="105"/>
      <c r="D214" s="356">
        <v>6</v>
      </c>
      <c r="E214" s="362"/>
      <c r="F214" s="113">
        <f t="shared" si="41"/>
        <v>1983</v>
      </c>
      <c r="G214" s="106"/>
      <c r="H214" s="113">
        <f t="shared" si="42"/>
        <v>1116.8256</v>
      </c>
      <c r="J214" s="113">
        <f t="shared" si="43"/>
        <v>668.6676</v>
      </c>
      <c r="L214" s="113">
        <f t="shared" si="44"/>
        <v>131.86950000000002</v>
      </c>
      <c r="N214" s="113">
        <f t="shared" si="45"/>
        <v>0</v>
      </c>
      <c r="P214" s="113">
        <f t="shared" si="46"/>
        <v>0</v>
      </c>
      <c r="R214" s="113">
        <f t="shared" si="47"/>
        <v>0</v>
      </c>
      <c r="T214" s="113">
        <f t="shared" si="48"/>
        <v>0</v>
      </c>
      <c r="V214" s="113">
        <f t="shared" si="49"/>
        <v>28.3569</v>
      </c>
      <c r="X214" s="113">
        <f t="shared" si="50"/>
        <v>37.28039999999999</v>
      </c>
      <c r="Z214" s="126">
        <f t="shared" si="51"/>
        <v>0</v>
      </c>
      <c r="AA214" s="154"/>
    </row>
    <row r="215" spans="1:27" ht="12.75">
      <c r="A215" s="228">
        <v>267950</v>
      </c>
      <c r="B215" s="106" t="s">
        <v>109</v>
      </c>
      <c r="C215" s="105"/>
      <c r="D215" s="356">
        <v>2</v>
      </c>
      <c r="E215" s="362"/>
      <c r="F215" s="113">
        <f t="shared" si="41"/>
        <v>267950</v>
      </c>
      <c r="G215" s="106"/>
      <c r="H215" s="113">
        <f t="shared" si="42"/>
        <v>162404.495</v>
      </c>
      <c r="J215" s="113">
        <f t="shared" si="43"/>
        <v>105545.50499999999</v>
      </c>
      <c r="L215" s="113">
        <f t="shared" si="44"/>
        <v>0</v>
      </c>
      <c r="N215" s="113">
        <f t="shared" si="45"/>
        <v>0</v>
      </c>
      <c r="P215" s="113">
        <f t="shared" si="46"/>
        <v>0</v>
      </c>
      <c r="R215" s="113">
        <f t="shared" si="47"/>
        <v>0</v>
      </c>
      <c r="T215" s="113">
        <f t="shared" si="48"/>
        <v>0</v>
      </c>
      <c r="V215" s="113">
        <f t="shared" si="49"/>
        <v>0</v>
      </c>
      <c r="X215" s="113">
        <f t="shared" si="50"/>
        <v>0</v>
      </c>
      <c r="Z215" s="126">
        <f t="shared" si="51"/>
        <v>0</v>
      </c>
      <c r="AA215" s="154"/>
    </row>
    <row r="216" spans="1:27" ht="12.75">
      <c r="A216" s="228">
        <v>587110</v>
      </c>
      <c r="B216" s="106" t="s">
        <v>108</v>
      </c>
      <c r="C216" s="105"/>
      <c r="D216" s="356">
        <v>2</v>
      </c>
      <c r="E216" s="362"/>
      <c r="F216" s="113">
        <f t="shared" si="41"/>
        <v>587110</v>
      </c>
      <c r="G216" s="106"/>
      <c r="H216" s="113">
        <f t="shared" si="42"/>
        <v>355847.371</v>
      </c>
      <c r="J216" s="113">
        <f t="shared" si="43"/>
        <v>231262.629</v>
      </c>
      <c r="L216" s="113">
        <f t="shared" si="44"/>
        <v>0</v>
      </c>
      <c r="N216" s="113">
        <f t="shared" si="45"/>
        <v>0</v>
      </c>
      <c r="P216" s="113">
        <f t="shared" si="46"/>
        <v>0</v>
      </c>
      <c r="R216" s="113">
        <f t="shared" si="47"/>
        <v>0</v>
      </c>
      <c r="T216" s="113">
        <f t="shared" si="48"/>
        <v>0</v>
      </c>
      <c r="V216" s="113">
        <f t="shared" si="49"/>
        <v>0</v>
      </c>
      <c r="X216" s="113">
        <f t="shared" si="50"/>
        <v>0</v>
      </c>
      <c r="Z216" s="126">
        <f t="shared" si="51"/>
        <v>0</v>
      </c>
      <c r="AA216" s="154"/>
    </row>
    <row r="217" spans="1:27" ht="12.75">
      <c r="A217" s="228">
        <v>0</v>
      </c>
      <c r="B217" s="106" t="s">
        <v>107</v>
      </c>
      <c r="C217" s="105"/>
      <c r="D217" s="356">
        <v>2</v>
      </c>
      <c r="E217" s="362"/>
      <c r="F217" s="113">
        <f t="shared" si="41"/>
        <v>0</v>
      </c>
      <c r="G217" s="106"/>
      <c r="H217" s="113">
        <f t="shared" si="42"/>
        <v>0</v>
      </c>
      <c r="J217" s="113">
        <f t="shared" si="43"/>
        <v>0</v>
      </c>
      <c r="L217" s="113">
        <f t="shared" si="44"/>
        <v>0</v>
      </c>
      <c r="N217" s="113">
        <f t="shared" si="45"/>
        <v>0</v>
      </c>
      <c r="P217" s="113">
        <f t="shared" si="46"/>
        <v>0</v>
      </c>
      <c r="R217" s="113">
        <f t="shared" si="47"/>
        <v>0</v>
      </c>
      <c r="T217" s="113">
        <f t="shared" si="48"/>
        <v>0</v>
      </c>
      <c r="V217" s="113">
        <f t="shared" si="49"/>
        <v>0</v>
      </c>
      <c r="X217" s="113">
        <f t="shared" si="50"/>
        <v>0</v>
      </c>
      <c r="Z217" s="126">
        <f t="shared" si="51"/>
        <v>0</v>
      </c>
      <c r="AA217" s="154"/>
    </row>
    <row r="218" spans="1:27" ht="12.75">
      <c r="A218" s="228">
        <v>78897</v>
      </c>
      <c r="B218" s="106" t="s">
        <v>106</v>
      </c>
      <c r="C218" s="105"/>
      <c r="D218" s="356">
        <v>14</v>
      </c>
      <c r="E218" s="362"/>
      <c r="F218" s="113">
        <f t="shared" si="41"/>
        <v>78897</v>
      </c>
      <c r="G218" s="106"/>
      <c r="H218" s="113">
        <f>(VLOOKUP($D218,comp,AA$372))*$F218</f>
        <v>29681.051399999997</v>
      </c>
      <c r="J218" s="113">
        <f>(VLOOKUP($D218,comp,AC$372))*$F218</f>
        <v>4986.290400000001</v>
      </c>
      <c r="K218" s="113"/>
      <c r="L218" s="113">
        <f>(VLOOKUP($D218,comp,AE$372))*$F218</f>
        <v>33018.3945</v>
      </c>
      <c r="M218" s="113"/>
      <c r="N218" s="113">
        <f>(VLOOKUP($D218,comp,AG$372))*$F218</f>
        <v>2682.498</v>
      </c>
      <c r="P218" s="113">
        <f>(VLOOKUP($D218,comp,AI$372))*$F218</f>
        <v>0</v>
      </c>
      <c r="Q218" s="113"/>
      <c r="R218" s="113">
        <f>(VLOOKUP($D218,comp,AK$372))*$F218</f>
        <v>0</v>
      </c>
      <c r="S218" s="113"/>
      <c r="T218" s="113">
        <f>(VLOOKUP($D218,comp,AM$372))*$F218</f>
        <v>0</v>
      </c>
      <c r="V218" s="113">
        <f>(VLOOKUP($D218,comp,AO$372))*$F218</f>
        <v>3692.3796</v>
      </c>
      <c r="W218" s="113"/>
      <c r="X218" s="113">
        <f>(VLOOKUP($D218,comp,AQ$372))*$F218</f>
        <v>4836.3861</v>
      </c>
      <c r="Z218" s="126">
        <f t="shared" si="51"/>
        <v>0</v>
      </c>
      <c r="AA218" s="154"/>
    </row>
    <row r="219" spans="1:27" ht="12.75">
      <c r="A219" s="228">
        <v>247643</v>
      </c>
      <c r="B219" s="106" t="s">
        <v>105</v>
      </c>
      <c r="C219" s="105"/>
      <c r="D219" s="356">
        <v>5</v>
      </c>
      <c r="E219" s="362"/>
      <c r="F219" s="113">
        <f t="shared" si="41"/>
        <v>247643</v>
      </c>
      <c r="G219" s="106"/>
      <c r="H219" s="113">
        <f>(VLOOKUP($D219,Factors,AA$394))*$F219</f>
        <v>84718.6703</v>
      </c>
      <c r="J219" s="113">
        <f>(VLOOKUP($D219,Factors,AC$394))*$F219</f>
        <v>0</v>
      </c>
      <c r="L219" s="113">
        <f>(VLOOKUP($D219,Factors,AE$394))*$F219</f>
        <v>127065.6233</v>
      </c>
      <c r="N219" s="113">
        <f>(VLOOKUP($D219,Factors,AG$394))*$F219</f>
        <v>0</v>
      </c>
      <c r="P219" s="113">
        <f>(VLOOKUP($D219,Factors,AI$394))*$F219</f>
        <v>0</v>
      </c>
      <c r="R219" s="113">
        <f>(VLOOKUP($D219,Factors,AK$394))*$F219</f>
        <v>0</v>
      </c>
      <c r="T219" s="113">
        <f>(VLOOKUP($D219,Factors,AM$394))*$F219</f>
        <v>0</v>
      </c>
      <c r="V219" s="113">
        <f>(VLOOKUP($D219,Factors,AO$394))*$F219</f>
        <v>15502.4518</v>
      </c>
      <c r="X219" s="113">
        <f>(VLOOKUP($D219,Factors,AQ$394))*$F219</f>
        <v>20356.2546</v>
      </c>
      <c r="Z219" s="126">
        <f t="shared" si="51"/>
        <v>0</v>
      </c>
      <c r="AA219" s="154"/>
    </row>
    <row r="220" spans="1:27" ht="12.75">
      <c r="A220" s="228">
        <v>2378058</v>
      </c>
      <c r="B220" s="106" t="s">
        <v>104</v>
      </c>
      <c r="C220" s="105"/>
      <c r="D220" s="356"/>
      <c r="E220" s="362"/>
      <c r="F220" s="113"/>
      <c r="G220" s="106"/>
      <c r="H220" s="113"/>
      <c r="I220" s="113"/>
      <c r="J220" s="113"/>
      <c r="K220" s="113"/>
      <c r="L220" s="113"/>
      <c r="M220" s="113"/>
      <c r="N220" s="113"/>
      <c r="O220" s="113"/>
      <c r="P220" s="113"/>
      <c r="Q220" s="113"/>
      <c r="R220" s="113"/>
      <c r="S220" s="113"/>
      <c r="T220" s="113"/>
      <c r="U220" s="113"/>
      <c r="V220" s="113"/>
      <c r="W220" s="113"/>
      <c r="X220" s="113"/>
      <c r="Z220" s="126">
        <f t="shared" si="51"/>
        <v>0</v>
      </c>
      <c r="AA220" s="154"/>
    </row>
    <row r="221" spans="2:27" ht="12.75">
      <c r="B221" s="393" t="s">
        <v>342</v>
      </c>
      <c r="C221" s="105"/>
      <c r="D221" s="356">
        <v>4</v>
      </c>
      <c r="E221" s="362"/>
      <c r="F221" s="113">
        <f>ROUND(A220*0.6122,0)</f>
        <v>1455847</v>
      </c>
      <c r="G221" s="106"/>
      <c r="H221" s="113">
        <f aca="true" t="shared" si="52" ref="H221:H226">(VLOOKUP($D221,Factors,AA$394))*$F221</f>
        <v>511730.2205</v>
      </c>
      <c r="J221" s="113">
        <f aca="true" t="shared" si="53" ref="J221:J226">(VLOOKUP($D221,Factors,AC$394))*$F221</f>
        <v>0</v>
      </c>
      <c r="L221" s="113">
        <f aca="true" t="shared" si="54" ref="L221:L226">(VLOOKUP($D221,Factors,AE$394))*$F221</f>
        <v>767522.5384</v>
      </c>
      <c r="N221" s="113">
        <f aca="true" t="shared" si="55" ref="N221:N226">(VLOOKUP($D221,Factors,AG$394))*$F221</f>
        <v>0</v>
      </c>
      <c r="P221" s="113">
        <f aca="true" t="shared" si="56" ref="P221:P226">(VLOOKUP($D221,Factors,AI$394))*$F221</f>
        <v>0</v>
      </c>
      <c r="R221" s="113">
        <f aca="true" t="shared" si="57" ref="R221:R226">(VLOOKUP($D221,Factors,AK$394))*$F221</f>
        <v>0</v>
      </c>
      <c r="T221" s="113">
        <f aca="true" t="shared" si="58" ref="T221:T226">(VLOOKUP($D221,Factors,AM$394))*$F221</f>
        <v>0</v>
      </c>
      <c r="V221" s="113">
        <f aca="true" t="shared" si="59" ref="V221:V226">(VLOOKUP($D221,Factors,AO$394))*$F221</f>
        <v>76431.9675</v>
      </c>
      <c r="X221" s="113">
        <f aca="true" t="shared" si="60" ref="X221:X226">(VLOOKUP($D221,Factors,AQ$394))*$F221</f>
        <v>100162.2736</v>
      </c>
      <c r="Z221" s="126">
        <f t="shared" si="51"/>
        <v>0</v>
      </c>
      <c r="AA221" s="154"/>
    </row>
    <row r="222" spans="2:27" ht="12.75">
      <c r="B222" s="394" t="s">
        <v>343</v>
      </c>
      <c r="C222" s="105"/>
      <c r="D222" s="356">
        <v>3</v>
      </c>
      <c r="E222" s="362"/>
      <c r="F222" s="113">
        <f>ROUND(A220*0.3878,0)</f>
        <v>922211</v>
      </c>
      <c r="G222" s="106"/>
      <c r="H222" s="113">
        <f t="shared" si="52"/>
        <v>531101.3149</v>
      </c>
      <c r="J222" s="113">
        <f t="shared" si="53"/>
        <v>345275.7984</v>
      </c>
      <c r="L222" s="113">
        <f t="shared" si="54"/>
        <v>0</v>
      </c>
      <c r="N222" s="113">
        <f t="shared" si="55"/>
        <v>0</v>
      </c>
      <c r="P222" s="113">
        <f t="shared" si="56"/>
        <v>0</v>
      </c>
      <c r="R222" s="113">
        <f t="shared" si="57"/>
        <v>0</v>
      </c>
      <c r="T222" s="113">
        <f t="shared" si="58"/>
        <v>0</v>
      </c>
      <c r="V222" s="113">
        <f t="shared" si="59"/>
        <v>19827.5365</v>
      </c>
      <c r="X222" s="113">
        <f t="shared" si="60"/>
        <v>26006.3502</v>
      </c>
      <c r="Z222" s="126">
        <f t="shared" si="51"/>
        <v>0</v>
      </c>
      <c r="AA222" s="154"/>
    </row>
    <row r="223" spans="1:27" ht="12.75">
      <c r="A223" s="228">
        <v>561242.9623393691</v>
      </c>
      <c r="B223" s="106" t="s">
        <v>103</v>
      </c>
      <c r="C223" s="105"/>
      <c r="D223" s="356">
        <v>10</v>
      </c>
      <c r="E223" s="362"/>
      <c r="F223" s="113">
        <f>+A223</f>
        <v>561242.9623393691</v>
      </c>
      <c r="G223" s="106"/>
      <c r="H223" s="113">
        <f t="shared" si="52"/>
        <v>0</v>
      </c>
      <c r="J223" s="113">
        <f t="shared" si="53"/>
        <v>0</v>
      </c>
      <c r="L223" s="113">
        <f t="shared" si="54"/>
        <v>0</v>
      </c>
      <c r="N223" s="113">
        <f t="shared" si="55"/>
        <v>0</v>
      </c>
      <c r="P223" s="113">
        <f t="shared" si="56"/>
        <v>561242.9623393691</v>
      </c>
      <c r="R223" s="113">
        <f t="shared" si="57"/>
        <v>0</v>
      </c>
      <c r="T223" s="113">
        <f t="shared" si="58"/>
        <v>0</v>
      </c>
      <c r="V223" s="113">
        <f t="shared" si="59"/>
        <v>0</v>
      </c>
      <c r="X223" s="113">
        <f t="shared" si="60"/>
        <v>0</v>
      </c>
      <c r="Z223" s="126">
        <f t="shared" si="51"/>
        <v>0</v>
      </c>
      <c r="AA223" s="154"/>
    </row>
    <row r="224" spans="1:27" ht="12.75">
      <c r="A224" s="228">
        <v>315450</v>
      </c>
      <c r="B224" s="106" t="s">
        <v>102</v>
      </c>
      <c r="C224" s="105"/>
      <c r="D224" s="356">
        <v>9</v>
      </c>
      <c r="E224" s="362"/>
      <c r="F224" s="113">
        <f aca="true" t="shared" si="61" ref="F224:F248">+A224</f>
        <v>315450</v>
      </c>
      <c r="G224" s="106"/>
      <c r="H224" s="113">
        <f t="shared" si="52"/>
        <v>0</v>
      </c>
      <c r="J224" s="113">
        <f t="shared" si="53"/>
        <v>0</v>
      </c>
      <c r="L224" s="113">
        <f t="shared" si="54"/>
        <v>0</v>
      </c>
      <c r="N224" s="113">
        <f t="shared" si="55"/>
        <v>315450</v>
      </c>
      <c r="P224" s="113">
        <f t="shared" si="56"/>
        <v>0</v>
      </c>
      <c r="R224" s="113">
        <f t="shared" si="57"/>
        <v>0</v>
      </c>
      <c r="T224" s="113">
        <f t="shared" si="58"/>
        <v>0</v>
      </c>
      <c r="V224" s="113">
        <f t="shared" si="59"/>
        <v>0</v>
      </c>
      <c r="X224" s="113">
        <f t="shared" si="60"/>
        <v>0</v>
      </c>
      <c r="Z224" s="126">
        <f t="shared" si="51"/>
        <v>0</v>
      </c>
      <c r="AA224" s="154"/>
    </row>
    <row r="225" spans="1:27" ht="12.75">
      <c r="A225" s="228">
        <v>478762</v>
      </c>
      <c r="B225" s="106" t="s">
        <v>101</v>
      </c>
      <c r="C225" s="105"/>
      <c r="D225" s="356">
        <v>9</v>
      </c>
      <c r="E225" s="362"/>
      <c r="F225" s="113">
        <f t="shared" si="61"/>
        <v>478762</v>
      </c>
      <c r="G225" s="106"/>
      <c r="H225" s="113">
        <f t="shared" si="52"/>
        <v>0</v>
      </c>
      <c r="J225" s="113">
        <f t="shared" si="53"/>
        <v>0</v>
      </c>
      <c r="L225" s="113">
        <f t="shared" si="54"/>
        <v>0</v>
      </c>
      <c r="N225" s="113">
        <f t="shared" si="55"/>
        <v>478762</v>
      </c>
      <c r="P225" s="113">
        <f t="shared" si="56"/>
        <v>0</v>
      </c>
      <c r="R225" s="113">
        <f t="shared" si="57"/>
        <v>0</v>
      </c>
      <c r="T225" s="113">
        <f t="shared" si="58"/>
        <v>0</v>
      </c>
      <c r="V225" s="113">
        <f t="shared" si="59"/>
        <v>0</v>
      </c>
      <c r="X225" s="113">
        <f t="shared" si="60"/>
        <v>0</v>
      </c>
      <c r="Z225" s="126">
        <f t="shared" si="51"/>
        <v>0</v>
      </c>
      <c r="AA225" s="154"/>
    </row>
    <row r="226" spans="1:27" ht="12.75">
      <c r="A226" s="228">
        <v>175931</v>
      </c>
      <c r="B226" s="106" t="s">
        <v>100</v>
      </c>
      <c r="C226" s="105"/>
      <c r="D226" s="356">
        <v>13</v>
      </c>
      <c r="E226" s="362"/>
      <c r="F226" s="113">
        <f t="shared" si="61"/>
        <v>175931</v>
      </c>
      <c r="G226" s="106"/>
      <c r="H226" s="113">
        <f t="shared" si="52"/>
        <v>0</v>
      </c>
      <c r="J226" s="113">
        <f t="shared" si="53"/>
        <v>0</v>
      </c>
      <c r="L226" s="113">
        <f t="shared" si="54"/>
        <v>0</v>
      </c>
      <c r="N226" s="113">
        <f t="shared" si="55"/>
        <v>0</v>
      </c>
      <c r="P226" s="113">
        <f t="shared" si="56"/>
        <v>0</v>
      </c>
      <c r="R226" s="113">
        <f t="shared" si="57"/>
        <v>0</v>
      </c>
      <c r="T226" s="113">
        <f t="shared" si="58"/>
        <v>0</v>
      </c>
      <c r="V226" s="113">
        <f t="shared" si="59"/>
        <v>0</v>
      </c>
      <c r="X226" s="113">
        <f t="shared" si="60"/>
        <v>175931</v>
      </c>
      <c r="Z226" s="126">
        <f t="shared" si="51"/>
        <v>0</v>
      </c>
      <c r="AA226" s="154"/>
    </row>
    <row r="227" spans="1:27" ht="12.75">
      <c r="A227" s="228">
        <v>0</v>
      </c>
      <c r="B227" s="106" t="s">
        <v>99</v>
      </c>
      <c r="C227" s="105"/>
      <c r="D227" s="356">
        <v>14</v>
      </c>
      <c r="E227" s="362"/>
      <c r="F227" s="113">
        <f t="shared" si="61"/>
        <v>0</v>
      </c>
      <c r="G227" s="106"/>
      <c r="H227" s="113">
        <f aca="true" t="shared" si="62" ref="H227:H243">(VLOOKUP($D227,comp,AA$372))*$F227</f>
        <v>0</v>
      </c>
      <c r="J227" s="113">
        <f aca="true" t="shared" si="63" ref="J227:J243">(VLOOKUP($D227,comp,AC$372))*$F227</f>
        <v>0</v>
      </c>
      <c r="K227" s="113"/>
      <c r="L227" s="113">
        <f aca="true" t="shared" si="64" ref="L227:L243">(VLOOKUP($D227,comp,AE$372))*$F227</f>
        <v>0</v>
      </c>
      <c r="M227" s="113"/>
      <c r="N227" s="113">
        <f aca="true" t="shared" si="65" ref="N227:N243">(VLOOKUP($D227,comp,AG$372))*$F227</f>
        <v>0</v>
      </c>
      <c r="P227" s="113">
        <f aca="true" t="shared" si="66" ref="P227:P243">(VLOOKUP($D227,comp,AI$372))*$F227</f>
        <v>0</v>
      </c>
      <c r="Q227" s="113"/>
      <c r="R227" s="113">
        <f aca="true" t="shared" si="67" ref="R227:R243">(VLOOKUP($D227,comp,AK$372))*$F227</f>
        <v>0</v>
      </c>
      <c r="S227" s="113"/>
      <c r="T227" s="113">
        <f aca="true" t="shared" si="68" ref="T227:T243">(VLOOKUP($D227,comp,AM$372))*$F227</f>
        <v>0</v>
      </c>
      <c r="V227" s="113">
        <f aca="true" t="shared" si="69" ref="V227:V243">(VLOOKUP($D227,comp,AO$372))*$F227</f>
        <v>0</v>
      </c>
      <c r="W227" s="113"/>
      <c r="X227" s="113">
        <f aca="true" t="shared" si="70" ref="X227:X243">(VLOOKUP($D227,comp,AQ$372))*$F227</f>
        <v>0</v>
      </c>
      <c r="Z227" s="126">
        <f t="shared" si="51"/>
        <v>0</v>
      </c>
      <c r="AA227" s="154"/>
    </row>
    <row r="228" spans="1:27" ht="12.75">
      <c r="A228">
        <v>0</v>
      </c>
      <c r="B228" s="106" t="s">
        <v>98</v>
      </c>
      <c r="C228" s="105"/>
      <c r="D228" s="356">
        <v>15</v>
      </c>
      <c r="E228" s="362"/>
      <c r="F228" s="113">
        <f t="shared" si="61"/>
        <v>0</v>
      </c>
      <c r="G228" s="106"/>
      <c r="H228" s="113">
        <f t="shared" si="62"/>
        <v>0</v>
      </c>
      <c r="J228" s="113">
        <f t="shared" si="63"/>
        <v>0</v>
      </c>
      <c r="K228" s="113"/>
      <c r="L228" s="113">
        <f t="shared" si="64"/>
        <v>0</v>
      </c>
      <c r="M228" s="113"/>
      <c r="N228" s="113">
        <f t="shared" si="65"/>
        <v>0</v>
      </c>
      <c r="P228" s="113">
        <f t="shared" si="66"/>
        <v>0</v>
      </c>
      <c r="Q228" s="113"/>
      <c r="R228" s="113">
        <f t="shared" si="67"/>
        <v>0</v>
      </c>
      <c r="S228" s="113"/>
      <c r="T228" s="113">
        <f t="shared" si="68"/>
        <v>0</v>
      </c>
      <c r="V228" s="113">
        <f t="shared" si="69"/>
        <v>0</v>
      </c>
      <c r="W228" s="113"/>
      <c r="X228" s="113">
        <f t="shared" si="70"/>
        <v>0</v>
      </c>
      <c r="Z228" s="126">
        <f t="shared" si="51"/>
        <v>0</v>
      </c>
      <c r="AA228" s="154"/>
    </row>
    <row r="229" spans="2:27" ht="12.75">
      <c r="B229" s="106" t="s">
        <v>97</v>
      </c>
      <c r="C229" s="105"/>
      <c r="D229" s="356">
        <v>15</v>
      </c>
      <c r="E229" s="362"/>
      <c r="F229" s="113">
        <f t="shared" si="61"/>
        <v>0</v>
      </c>
      <c r="G229" s="106"/>
      <c r="H229" s="113">
        <f t="shared" si="62"/>
        <v>0</v>
      </c>
      <c r="J229" s="113">
        <f t="shared" si="63"/>
        <v>0</v>
      </c>
      <c r="K229" s="113"/>
      <c r="L229" s="113">
        <f t="shared" si="64"/>
        <v>0</v>
      </c>
      <c r="M229" s="113"/>
      <c r="N229" s="113">
        <f t="shared" si="65"/>
        <v>0</v>
      </c>
      <c r="P229" s="113">
        <f t="shared" si="66"/>
        <v>0</v>
      </c>
      <c r="Q229" s="113"/>
      <c r="R229" s="113">
        <f t="shared" si="67"/>
        <v>0</v>
      </c>
      <c r="S229" s="113"/>
      <c r="T229" s="113">
        <f t="shared" si="68"/>
        <v>0</v>
      </c>
      <c r="V229" s="113">
        <f t="shared" si="69"/>
        <v>0</v>
      </c>
      <c r="W229" s="113"/>
      <c r="X229" s="113">
        <f t="shared" si="70"/>
        <v>0</v>
      </c>
      <c r="Z229" s="126">
        <f t="shared" si="51"/>
        <v>0</v>
      </c>
      <c r="AA229" s="154"/>
    </row>
    <row r="230" spans="1:27" ht="12.75">
      <c r="A230" s="228">
        <v>85364</v>
      </c>
      <c r="B230" s="106" t="s">
        <v>96</v>
      </c>
      <c r="C230" s="105"/>
      <c r="D230" s="356">
        <v>15</v>
      </c>
      <c r="E230" s="362"/>
      <c r="F230" s="113">
        <f t="shared" si="61"/>
        <v>85364</v>
      </c>
      <c r="G230" s="106"/>
      <c r="H230" s="113">
        <f t="shared" si="62"/>
        <v>30039.5916</v>
      </c>
      <c r="J230" s="113">
        <f t="shared" si="63"/>
        <v>13419.220800000001</v>
      </c>
      <c r="K230" s="113"/>
      <c r="L230" s="113">
        <f t="shared" si="64"/>
        <v>14093.5964</v>
      </c>
      <c r="M230" s="113"/>
      <c r="N230" s="113">
        <f t="shared" si="65"/>
        <v>597.548</v>
      </c>
      <c r="P230" s="113">
        <f t="shared" si="66"/>
        <v>0</v>
      </c>
      <c r="Q230" s="113"/>
      <c r="R230" s="113">
        <f t="shared" si="67"/>
        <v>17824.003200000003</v>
      </c>
      <c r="S230" s="113"/>
      <c r="T230" s="113">
        <f t="shared" si="68"/>
        <v>5719.388</v>
      </c>
      <c r="V230" s="113">
        <f t="shared" si="69"/>
        <v>1587.7703999999999</v>
      </c>
      <c r="W230" s="113"/>
      <c r="X230" s="113">
        <f t="shared" si="70"/>
        <v>2082.8816</v>
      </c>
      <c r="Z230" s="126">
        <f t="shared" si="51"/>
        <v>0</v>
      </c>
      <c r="AA230" s="154"/>
    </row>
    <row r="231" spans="1:27" ht="12.75">
      <c r="A231" s="228">
        <v>24654</v>
      </c>
      <c r="B231" s="106" t="s">
        <v>376</v>
      </c>
      <c r="C231" s="105"/>
      <c r="D231" s="356">
        <v>15</v>
      </c>
      <c r="E231" s="362"/>
      <c r="F231" s="113">
        <f t="shared" si="61"/>
        <v>24654</v>
      </c>
      <c r="G231" s="106"/>
      <c r="H231" s="113">
        <f t="shared" si="62"/>
        <v>8675.7426</v>
      </c>
      <c r="J231" s="113">
        <f t="shared" si="63"/>
        <v>3875.6088</v>
      </c>
      <c r="K231" s="113"/>
      <c r="L231" s="113">
        <f t="shared" si="64"/>
        <v>4070.3754</v>
      </c>
      <c r="M231" s="113"/>
      <c r="N231" s="113">
        <f t="shared" si="65"/>
        <v>172.578</v>
      </c>
      <c r="P231" s="113">
        <f t="shared" si="66"/>
        <v>0</v>
      </c>
      <c r="Q231" s="113"/>
      <c r="R231" s="113">
        <f t="shared" si="67"/>
        <v>5147.7552000000005</v>
      </c>
      <c r="S231" s="113"/>
      <c r="T231" s="113">
        <f t="shared" si="68"/>
        <v>1651.8180000000002</v>
      </c>
      <c r="V231" s="113">
        <f t="shared" si="69"/>
        <v>458.5644</v>
      </c>
      <c r="W231" s="113"/>
      <c r="X231" s="113">
        <f t="shared" si="70"/>
        <v>601.5576000000001</v>
      </c>
      <c r="Z231" s="126">
        <f t="shared" si="51"/>
        <v>0</v>
      </c>
      <c r="AA231" s="154"/>
    </row>
    <row r="232" spans="1:27" ht="12.75">
      <c r="A232" s="228">
        <v>72529</v>
      </c>
      <c r="B232" s="106" t="s">
        <v>94</v>
      </c>
      <c r="C232" s="105"/>
      <c r="D232" s="356">
        <v>15</v>
      </c>
      <c r="E232" s="362"/>
      <c r="F232" s="113">
        <f t="shared" si="61"/>
        <v>72529</v>
      </c>
      <c r="G232" s="106"/>
      <c r="H232" s="113">
        <f t="shared" si="62"/>
        <v>25522.9551</v>
      </c>
      <c r="J232" s="113">
        <f t="shared" si="63"/>
        <v>11401.5588</v>
      </c>
      <c r="K232" s="113"/>
      <c r="L232" s="113">
        <f t="shared" si="64"/>
        <v>11974.5379</v>
      </c>
      <c r="M232" s="113"/>
      <c r="N232" s="113">
        <f t="shared" si="65"/>
        <v>507.70300000000003</v>
      </c>
      <c r="P232" s="113">
        <f t="shared" si="66"/>
        <v>0</v>
      </c>
      <c r="Q232" s="113"/>
      <c r="R232" s="113">
        <f t="shared" si="67"/>
        <v>15144.0552</v>
      </c>
      <c r="S232" s="113"/>
      <c r="T232" s="113">
        <f t="shared" si="68"/>
        <v>4859.443</v>
      </c>
      <c r="V232" s="113">
        <f t="shared" si="69"/>
        <v>1349.0394</v>
      </c>
      <c r="W232" s="113"/>
      <c r="X232" s="113">
        <f t="shared" si="70"/>
        <v>1769.7076000000002</v>
      </c>
      <c r="Z232" s="126">
        <f t="shared" si="51"/>
        <v>0</v>
      </c>
      <c r="AA232" s="154"/>
    </row>
    <row r="233" spans="1:27" ht="12.75">
      <c r="A233" s="228">
        <v>87816</v>
      </c>
      <c r="B233" s="106" t="s">
        <v>93</v>
      </c>
      <c r="C233" s="105"/>
      <c r="D233" s="356">
        <v>15</v>
      </c>
      <c r="E233" s="362"/>
      <c r="F233" s="113">
        <f t="shared" si="61"/>
        <v>87816</v>
      </c>
      <c r="G233" s="106"/>
      <c r="H233" s="113">
        <f t="shared" si="62"/>
        <v>30902.450399999998</v>
      </c>
      <c r="J233" s="113">
        <f t="shared" si="63"/>
        <v>13804.6752</v>
      </c>
      <c r="K233" s="113"/>
      <c r="L233" s="113">
        <f t="shared" si="64"/>
        <v>14498.4216</v>
      </c>
      <c r="M233" s="113"/>
      <c r="N233" s="113">
        <f t="shared" si="65"/>
        <v>614.712</v>
      </c>
      <c r="P233" s="113">
        <f t="shared" si="66"/>
        <v>0</v>
      </c>
      <c r="Q233" s="113"/>
      <c r="R233" s="113">
        <f t="shared" si="67"/>
        <v>18335.9808</v>
      </c>
      <c r="S233" s="113"/>
      <c r="T233" s="113">
        <f t="shared" si="68"/>
        <v>5883.6720000000005</v>
      </c>
      <c r="V233" s="113">
        <f t="shared" si="69"/>
        <v>1633.3775999999998</v>
      </c>
      <c r="W233" s="113"/>
      <c r="X233" s="113">
        <f t="shared" si="70"/>
        <v>2142.7104</v>
      </c>
      <c r="Z233" s="126">
        <f t="shared" si="51"/>
        <v>0</v>
      </c>
      <c r="AA233" s="154"/>
    </row>
    <row r="234" spans="1:27" ht="12.75">
      <c r="A234" s="228">
        <v>294223</v>
      </c>
      <c r="B234" s="106" t="s">
        <v>92</v>
      </c>
      <c r="C234" s="105"/>
      <c r="D234" s="356">
        <v>15</v>
      </c>
      <c r="E234" s="362"/>
      <c r="F234" s="113">
        <f t="shared" si="61"/>
        <v>294223</v>
      </c>
      <c r="G234" s="106"/>
      <c r="H234" s="113">
        <f t="shared" si="62"/>
        <v>103537.0737</v>
      </c>
      <c r="J234" s="113">
        <f t="shared" si="63"/>
        <v>46251.8556</v>
      </c>
      <c r="K234" s="113"/>
      <c r="L234" s="113">
        <f t="shared" si="64"/>
        <v>48576.2173</v>
      </c>
      <c r="M234" s="113"/>
      <c r="N234" s="113">
        <f t="shared" si="65"/>
        <v>2059.561</v>
      </c>
      <c r="P234" s="113">
        <f t="shared" si="66"/>
        <v>0</v>
      </c>
      <c r="Q234" s="113"/>
      <c r="R234" s="113">
        <f t="shared" si="67"/>
        <v>61433.76240000001</v>
      </c>
      <c r="S234" s="113"/>
      <c r="T234" s="113">
        <f t="shared" si="68"/>
        <v>19712.941000000003</v>
      </c>
      <c r="V234" s="113">
        <f t="shared" si="69"/>
        <v>5472.547799999999</v>
      </c>
      <c r="W234" s="113"/>
      <c r="X234" s="113">
        <f t="shared" si="70"/>
        <v>7179.041200000001</v>
      </c>
      <c r="Z234" s="126">
        <f t="shared" si="51"/>
        <v>0</v>
      </c>
      <c r="AA234" s="154"/>
    </row>
    <row r="235" spans="1:27" ht="12.75">
      <c r="A235" s="228">
        <v>473989</v>
      </c>
      <c r="B235" s="106" t="s">
        <v>91</v>
      </c>
      <c r="C235" s="105"/>
      <c r="D235" s="356">
        <v>15</v>
      </c>
      <c r="E235" s="362"/>
      <c r="F235" s="113">
        <f t="shared" si="61"/>
        <v>473989</v>
      </c>
      <c r="G235" s="106"/>
      <c r="H235" s="113">
        <f t="shared" si="62"/>
        <v>166796.7291</v>
      </c>
      <c r="J235" s="113">
        <f t="shared" si="63"/>
        <v>74511.0708</v>
      </c>
      <c r="K235" s="113"/>
      <c r="L235" s="113">
        <f t="shared" si="64"/>
        <v>78255.5839</v>
      </c>
      <c r="M235" s="113"/>
      <c r="N235" s="113">
        <f t="shared" si="65"/>
        <v>3317.9230000000002</v>
      </c>
      <c r="P235" s="113">
        <f t="shared" si="66"/>
        <v>0</v>
      </c>
      <c r="Q235" s="113"/>
      <c r="R235" s="113">
        <f t="shared" si="67"/>
        <v>98968.9032</v>
      </c>
      <c r="S235" s="113"/>
      <c r="T235" s="113">
        <f t="shared" si="68"/>
        <v>31757.263000000003</v>
      </c>
      <c r="V235" s="113">
        <f t="shared" si="69"/>
        <v>8816.195399999999</v>
      </c>
      <c r="W235" s="113"/>
      <c r="X235" s="113">
        <f t="shared" si="70"/>
        <v>11565.331600000001</v>
      </c>
      <c r="Z235" s="126">
        <f t="shared" si="51"/>
        <v>0</v>
      </c>
      <c r="AA235" s="154"/>
    </row>
    <row r="236" spans="1:27" ht="12.75">
      <c r="A236" s="228">
        <v>267078</v>
      </c>
      <c r="B236" s="106" t="s">
        <v>90</v>
      </c>
      <c r="C236" s="105"/>
      <c r="D236" s="356">
        <v>15</v>
      </c>
      <c r="E236" s="362"/>
      <c r="F236" s="113">
        <f t="shared" si="61"/>
        <v>267078</v>
      </c>
      <c r="G236" s="106"/>
      <c r="H236" s="113">
        <f t="shared" si="62"/>
        <v>93984.7482</v>
      </c>
      <c r="J236" s="113">
        <f t="shared" si="63"/>
        <v>41984.6616</v>
      </c>
      <c r="K236" s="113"/>
      <c r="L236" s="113">
        <f t="shared" si="64"/>
        <v>44094.5778</v>
      </c>
      <c r="M236" s="113"/>
      <c r="N236" s="113">
        <f t="shared" si="65"/>
        <v>1869.546</v>
      </c>
      <c r="P236" s="113">
        <f t="shared" si="66"/>
        <v>0</v>
      </c>
      <c r="Q236" s="113"/>
      <c r="R236" s="113">
        <f t="shared" si="67"/>
        <v>55765.8864</v>
      </c>
      <c r="S236" s="113"/>
      <c r="T236" s="113">
        <f t="shared" si="68"/>
        <v>17894.226000000002</v>
      </c>
      <c r="V236" s="113">
        <f t="shared" si="69"/>
        <v>4967.650799999999</v>
      </c>
      <c r="W236" s="113"/>
      <c r="X236" s="113">
        <f t="shared" si="70"/>
        <v>6516.703200000001</v>
      </c>
      <c r="Z236" s="126">
        <f t="shared" si="51"/>
        <v>0</v>
      </c>
      <c r="AA236" s="154"/>
    </row>
    <row r="237" spans="1:27" ht="12.75">
      <c r="A237" s="228">
        <v>171055</v>
      </c>
      <c r="B237" s="106" t="s">
        <v>89</v>
      </c>
      <c r="C237" s="105"/>
      <c r="D237" s="356">
        <v>15</v>
      </c>
      <c r="E237" s="362"/>
      <c r="F237" s="113">
        <f t="shared" si="61"/>
        <v>171055</v>
      </c>
      <c r="G237" s="113"/>
      <c r="H237" s="113">
        <f t="shared" si="62"/>
        <v>60194.254499999995</v>
      </c>
      <c r="J237" s="113">
        <f t="shared" si="63"/>
        <v>26889.846</v>
      </c>
      <c r="K237" s="113"/>
      <c r="L237" s="113">
        <f t="shared" si="64"/>
        <v>28241.1805</v>
      </c>
      <c r="M237" s="113"/>
      <c r="N237" s="113">
        <f t="shared" si="65"/>
        <v>1197.385</v>
      </c>
      <c r="P237" s="113">
        <f t="shared" si="66"/>
        <v>0</v>
      </c>
      <c r="Q237" s="113"/>
      <c r="R237" s="113">
        <f t="shared" si="67"/>
        <v>35716.284</v>
      </c>
      <c r="S237" s="113"/>
      <c r="T237" s="113">
        <f t="shared" si="68"/>
        <v>11460.685000000001</v>
      </c>
      <c r="V237" s="113">
        <f t="shared" si="69"/>
        <v>3181.6229999999996</v>
      </c>
      <c r="W237" s="113"/>
      <c r="X237" s="113">
        <f t="shared" si="70"/>
        <v>4173.742</v>
      </c>
      <c r="Z237" s="126">
        <f t="shared" si="51"/>
        <v>0</v>
      </c>
      <c r="AA237" s="154"/>
    </row>
    <row r="238" spans="1:27" ht="12.75">
      <c r="A238" s="228">
        <v>154535</v>
      </c>
      <c r="B238" s="106" t="s">
        <v>88</v>
      </c>
      <c r="C238" s="105"/>
      <c r="D238" s="356">
        <v>15</v>
      </c>
      <c r="E238" s="362"/>
      <c r="F238" s="113">
        <f t="shared" si="61"/>
        <v>154535</v>
      </c>
      <c r="G238" s="106"/>
      <c r="H238" s="113">
        <f t="shared" si="62"/>
        <v>54380.8665</v>
      </c>
      <c r="J238" s="113">
        <f t="shared" si="63"/>
        <v>24292.902000000002</v>
      </c>
      <c r="K238" s="113"/>
      <c r="L238" s="113">
        <f t="shared" si="64"/>
        <v>25513.7285</v>
      </c>
      <c r="M238" s="113"/>
      <c r="N238" s="113">
        <f t="shared" si="65"/>
        <v>1081.7450000000001</v>
      </c>
      <c r="P238" s="113">
        <f t="shared" si="66"/>
        <v>0</v>
      </c>
      <c r="Q238" s="113"/>
      <c r="R238" s="113">
        <f t="shared" si="67"/>
        <v>32266.908000000003</v>
      </c>
      <c r="S238" s="113"/>
      <c r="T238" s="113">
        <f t="shared" si="68"/>
        <v>10353.845000000001</v>
      </c>
      <c r="V238" s="113">
        <f t="shared" si="69"/>
        <v>2874.3509999999997</v>
      </c>
      <c r="W238" s="113"/>
      <c r="X238" s="113">
        <f t="shared" si="70"/>
        <v>3770.6540000000005</v>
      </c>
      <c r="Z238" s="126">
        <f t="shared" si="51"/>
        <v>0</v>
      </c>
      <c r="AA238" s="154"/>
    </row>
    <row r="239" spans="1:27" ht="12.75">
      <c r="A239" s="228">
        <v>60958</v>
      </c>
      <c r="B239" s="106" t="s">
        <v>87</v>
      </c>
      <c r="C239" s="105"/>
      <c r="D239" s="356">
        <v>15</v>
      </c>
      <c r="E239" s="362"/>
      <c r="F239" s="113">
        <f t="shared" si="61"/>
        <v>60958</v>
      </c>
      <c r="G239" s="106"/>
      <c r="H239" s="113">
        <f t="shared" si="62"/>
        <v>21451.1202</v>
      </c>
      <c r="J239" s="113">
        <f t="shared" si="63"/>
        <v>9582.597600000001</v>
      </c>
      <c r="K239" s="113"/>
      <c r="L239" s="113">
        <f t="shared" si="64"/>
        <v>10064.1658</v>
      </c>
      <c r="M239" s="113"/>
      <c r="N239" s="113">
        <f t="shared" si="65"/>
        <v>426.706</v>
      </c>
      <c r="P239" s="113">
        <f t="shared" si="66"/>
        <v>0</v>
      </c>
      <c r="Q239" s="113"/>
      <c r="R239" s="113">
        <f t="shared" si="67"/>
        <v>12728.030400000001</v>
      </c>
      <c r="S239" s="113"/>
      <c r="T239" s="113">
        <f t="shared" si="68"/>
        <v>4084.186</v>
      </c>
      <c r="V239" s="113">
        <f t="shared" si="69"/>
        <v>1133.8188</v>
      </c>
      <c r="W239" s="113"/>
      <c r="X239" s="113">
        <f t="shared" si="70"/>
        <v>1487.3752000000002</v>
      </c>
      <c r="Z239" s="126">
        <f t="shared" si="51"/>
        <v>0</v>
      </c>
      <c r="AA239" s="154"/>
    </row>
    <row r="240" spans="1:27" ht="12.75">
      <c r="A240" s="228">
        <v>25392</v>
      </c>
      <c r="B240" s="106" t="s">
        <v>86</v>
      </c>
      <c r="C240" s="105"/>
      <c r="D240" s="356">
        <v>15</v>
      </c>
      <c r="E240" s="362"/>
      <c r="F240" s="113">
        <f t="shared" si="61"/>
        <v>25392</v>
      </c>
      <c r="G240" s="106"/>
      <c r="H240" s="113">
        <f t="shared" si="62"/>
        <v>8935.4448</v>
      </c>
      <c r="J240" s="113">
        <f t="shared" si="63"/>
        <v>3991.6224</v>
      </c>
      <c r="K240" s="113"/>
      <c r="L240" s="113">
        <f t="shared" si="64"/>
        <v>4192.2192</v>
      </c>
      <c r="M240" s="113"/>
      <c r="N240" s="113">
        <f t="shared" si="65"/>
        <v>177.744</v>
      </c>
      <c r="P240" s="113">
        <f t="shared" si="66"/>
        <v>0</v>
      </c>
      <c r="Q240" s="113"/>
      <c r="R240" s="113">
        <f t="shared" si="67"/>
        <v>5301.8496000000005</v>
      </c>
      <c r="S240" s="113"/>
      <c r="T240" s="113">
        <f t="shared" si="68"/>
        <v>1701.2640000000001</v>
      </c>
      <c r="V240" s="113">
        <f t="shared" si="69"/>
        <v>472.29119999999995</v>
      </c>
      <c r="W240" s="113"/>
      <c r="X240" s="113">
        <f t="shared" si="70"/>
        <v>619.5648</v>
      </c>
      <c r="Z240" s="126">
        <f t="shared" si="51"/>
        <v>0</v>
      </c>
      <c r="AA240" s="154"/>
    </row>
    <row r="241" spans="1:27" ht="12.75">
      <c r="A241" s="228">
        <v>8738</v>
      </c>
      <c r="B241" s="106" t="s">
        <v>85</v>
      </c>
      <c r="C241" s="105"/>
      <c r="D241" s="356">
        <v>15</v>
      </c>
      <c r="E241" s="362"/>
      <c r="F241" s="113">
        <f t="shared" si="61"/>
        <v>8738</v>
      </c>
      <c r="G241" s="106"/>
      <c r="H241" s="113">
        <f t="shared" si="62"/>
        <v>3074.9022</v>
      </c>
      <c r="J241" s="113">
        <f t="shared" si="63"/>
        <v>1373.6136000000001</v>
      </c>
      <c r="K241" s="113"/>
      <c r="L241" s="113">
        <f t="shared" si="64"/>
        <v>1442.6438</v>
      </c>
      <c r="M241" s="113"/>
      <c r="N241" s="113">
        <f t="shared" si="65"/>
        <v>61.166000000000004</v>
      </c>
      <c r="P241" s="113">
        <f t="shared" si="66"/>
        <v>0</v>
      </c>
      <c r="Q241" s="113"/>
      <c r="R241" s="113">
        <f t="shared" si="67"/>
        <v>1824.4944</v>
      </c>
      <c r="S241" s="113"/>
      <c r="T241" s="113">
        <f t="shared" si="68"/>
        <v>585.446</v>
      </c>
      <c r="V241" s="113">
        <f t="shared" si="69"/>
        <v>162.52679999999998</v>
      </c>
      <c r="W241" s="113"/>
      <c r="X241" s="113">
        <f t="shared" si="70"/>
        <v>213.2072</v>
      </c>
      <c r="Z241" s="126">
        <f t="shared" si="51"/>
        <v>0</v>
      </c>
      <c r="AA241" s="154"/>
    </row>
    <row r="242" spans="1:27" ht="12.75">
      <c r="A242" s="228">
        <v>2314</v>
      </c>
      <c r="B242" s="106" t="s">
        <v>84</v>
      </c>
      <c r="C242" s="105"/>
      <c r="D242" s="356">
        <v>15</v>
      </c>
      <c r="E242" s="362"/>
      <c r="F242" s="113">
        <f t="shared" si="61"/>
        <v>2314</v>
      </c>
      <c r="G242" s="106"/>
      <c r="H242" s="113">
        <f t="shared" si="62"/>
        <v>814.2966</v>
      </c>
      <c r="J242" s="113">
        <f t="shared" si="63"/>
        <v>363.7608</v>
      </c>
      <c r="K242" s="113"/>
      <c r="L242" s="113">
        <f t="shared" si="64"/>
        <v>382.0414</v>
      </c>
      <c r="M242" s="113"/>
      <c r="N242" s="113">
        <f t="shared" si="65"/>
        <v>16.198</v>
      </c>
      <c r="P242" s="113">
        <f t="shared" si="66"/>
        <v>0</v>
      </c>
      <c r="Q242" s="113"/>
      <c r="R242" s="113">
        <f t="shared" si="67"/>
        <v>483.1632</v>
      </c>
      <c r="S242" s="113"/>
      <c r="T242" s="113">
        <f t="shared" si="68"/>
        <v>155.038</v>
      </c>
      <c r="V242" s="113">
        <f t="shared" si="69"/>
        <v>43.0404</v>
      </c>
      <c r="W242" s="113"/>
      <c r="X242" s="113">
        <f t="shared" si="70"/>
        <v>56.461600000000004</v>
      </c>
      <c r="Z242" s="126">
        <f t="shared" si="51"/>
        <v>0</v>
      </c>
      <c r="AA242" s="154"/>
    </row>
    <row r="243" spans="1:27" ht="12.75">
      <c r="A243" s="228">
        <v>129223</v>
      </c>
      <c r="B243" s="106" t="s">
        <v>83</v>
      </c>
      <c r="C243" s="105"/>
      <c r="D243" s="356">
        <v>15</v>
      </c>
      <c r="E243" s="362"/>
      <c r="F243" s="113">
        <f t="shared" si="61"/>
        <v>129223</v>
      </c>
      <c r="G243" s="106"/>
      <c r="H243" s="113">
        <f t="shared" si="62"/>
        <v>45473.5737</v>
      </c>
      <c r="J243" s="113">
        <f t="shared" si="63"/>
        <v>20313.855600000003</v>
      </c>
      <c r="K243" s="113"/>
      <c r="L243" s="113">
        <f t="shared" si="64"/>
        <v>21334.7173</v>
      </c>
      <c r="M243" s="113"/>
      <c r="N243" s="113">
        <f t="shared" si="65"/>
        <v>904.561</v>
      </c>
      <c r="P243" s="113">
        <f t="shared" si="66"/>
        <v>0</v>
      </c>
      <c r="Q243" s="113"/>
      <c r="R243" s="113">
        <f t="shared" si="67"/>
        <v>26981.762400000003</v>
      </c>
      <c r="S243" s="113"/>
      <c r="T243" s="113">
        <f t="shared" si="68"/>
        <v>8657.941</v>
      </c>
      <c r="V243" s="113">
        <f t="shared" si="69"/>
        <v>2403.5478</v>
      </c>
      <c r="W243" s="113"/>
      <c r="X243" s="113">
        <f t="shared" si="70"/>
        <v>3153.0412</v>
      </c>
      <c r="Z243" s="126">
        <f t="shared" si="51"/>
        <v>0</v>
      </c>
      <c r="AA243" s="154"/>
    </row>
    <row r="244" spans="1:27" ht="12.75">
      <c r="A244" s="228">
        <v>70783</v>
      </c>
      <c r="B244" s="106" t="s">
        <v>82</v>
      </c>
      <c r="C244" s="105"/>
      <c r="D244" s="356">
        <v>2</v>
      </c>
      <c r="E244" s="362"/>
      <c r="F244" s="113">
        <f t="shared" si="61"/>
        <v>70783</v>
      </c>
      <c r="G244" s="106"/>
      <c r="H244" s="113">
        <f>(VLOOKUP($D244,Factors,AA$394))*$F244</f>
        <v>42901.5763</v>
      </c>
      <c r="J244" s="113">
        <f>(VLOOKUP($D244,Factors,AC$394))*$F244</f>
        <v>27881.4237</v>
      </c>
      <c r="L244" s="113">
        <f>(VLOOKUP($D244,Factors,AE$394))*$F244</f>
        <v>0</v>
      </c>
      <c r="N244" s="113">
        <f>(VLOOKUP($D244,Factors,AG$394))*$F244</f>
        <v>0</v>
      </c>
      <c r="P244" s="113">
        <f>(VLOOKUP($D244,Factors,AI$394))*$F244</f>
        <v>0</v>
      </c>
      <c r="R244" s="113">
        <f>(VLOOKUP($D244,Factors,AK$394))*$F244</f>
        <v>0</v>
      </c>
      <c r="T244" s="113">
        <f>(VLOOKUP($D244,Factors,AM$394))*$F244</f>
        <v>0</v>
      </c>
      <c r="V244" s="113">
        <f>(VLOOKUP($D244,Factors,AO$394))*$F244</f>
        <v>0</v>
      </c>
      <c r="X244" s="113">
        <f>(VLOOKUP($D244,Factors,AQ$394))*$F244</f>
        <v>0</v>
      </c>
      <c r="Z244" s="126">
        <f t="shared" si="51"/>
        <v>0</v>
      </c>
      <c r="AA244" s="154"/>
    </row>
    <row r="245" spans="1:27" ht="12.75">
      <c r="A245" s="228">
        <v>74403</v>
      </c>
      <c r="B245" s="106" t="s">
        <v>81</v>
      </c>
      <c r="C245" s="105"/>
      <c r="D245" s="356">
        <v>15</v>
      </c>
      <c r="E245" s="362"/>
      <c r="F245" s="113">
        <f t="shared" si="61"/>
        <v>74403</v>
      </c>
      <c r="G245" s="106"/>
      <c r="H245" s="113">
        <f>(VLOOKUP($D245,comp,AA$372))*$F245</f>
        <v>26182.415699999998</v>
      </c>
      <c r="J245" s="113">
        <f>(VLOOKUP($D245,comp,AC$372))*$F245</f>
        <v>11696.151600000001</v>
      </c>
      <c r="K245" s="113"/>
      <c r="L245" s="113">
        <f>(VLOOKUP($D245,comp,AE$372))*$F245</f>
        <v>12283.9353</v>
      </c>
      <c r="M245" s="113"/>
      <c r="N245" s="113">
        <f>(VLOOKUP($D245,comp,AG$372))*$F245</f>
        <v>520.821</v>
      </c>
      <c r="P245" s="113">
        <f>(VLOOKUP($D245,comp,AI$372))*$F245</f>
        <v>0</v>
      </c>
      <c r="Q245" s="113"/>
      <c r="R245" s="113">
        <f>(VLOOKUP($D245,comp,AK$372))*$F245</f>
        <v>15535.3464</v>
      </c>
      <c r="S245" s="113"/>
      <c r="T245" s="113">
        <f>(VLOOKUP($D245,comp,AM$372))*$F245</f>
        <v>4985.001</v>
      </c>
      <c r="V245" s="113">
        <f>(VLOOKUP($D245,comp,AO$372))*$F245</f>
        <v>1383.8957999999998</v>
      </c>
      <c r="W245" s="113"/>
      <c r="X245" s="113">
        <f>(VLOOKUP($D245,comp,AQ$372))*$F245</f>
        <v>1815.4332000000002</v>
      </c>
      <c r="Z245" s="126">
        <f t="shared" si="51"/>
        <v>0</v>
      </c>
      <c r="AA245" s="154"/>
    </row>
    <row r="246" spans="1:27" ht="12.75">
      <c r="A246" s="228">
        <v>133640</v>
      </c>
      <c r="B246" s="106" t="s">
        <v>80</v>
      </c>
      <c r="C246" s="105"/>
      <c r="D246" s="356">
        <v>15</v>
      </c>
      <c r="E246" s="362"/>
      <c r="F246" s="113">
        <f t="shared" si="61"/>
        <v>133640</v>
      </c>
      <c r="G246" s="106"/>
      <c r="H246" s="113">
        <f>(VLOOKUP($D246,comp,AA$372))*$F246</f>
        <v>47027.916</v>
      </c>
      <c r="J246" s="113">
        <f>(VLOOKUP($D246,comp,AC$372))*$F246</f>
        <v>21008.208000000002</v>
      </c>
      <c r="K246" s="113"/>
      <c r="L246" s="113">
        <f>(VLOOKUP($D246,comp,AE$372))*$F246</f>
        <v>22063.964</v>
      </c>
      <c r="M246" s="113"/>
      <c r="N246" s="113">
        <f>(VLOOKUP($D246,comp,AG$372))*$F246</f>
        <v>935.48</v>
      </c>
      <c r="P246" s="113">
        <f>(VLOOKUP($D246,comp,AI$372))*$F246</f>
        <v>0</v>
      </c>
      <c r="Q246" s="113"/>
      <c r="R246" s="113">
        <f>(VLOOKUP($D246,comp,AK$372))*$F246</f>
        <v>27904.032000000003</v>
      </c>
      <c r="S246" s="113"/>
      <c r="T246" s="113">
        <f>(VLOOKUP($D246,comp,AM$372))*$F246</f>
        <v>8953.880000000001</v>
      </c>
      <c r="V246" s="113">
        <f>(VLOOKUP($D246,comp,AO$372))*$F246</f>
        <v>2485.7039999999997</v>
      </c>
      <c r="W246" s="113"/>
      <c r="X246" s="113">
        <f>(VLOOKUP($D246,comp,AQ$372))*$F246</f>
        <v>3260.8160000000003</v>
      </c>
      <c r="Z246" s="126">
        <f t="shared" si="51"/>
        <v>0</v>
      </c>
      <c r="AA246" s="154"/>
    </row>
    <row r="247" spans="1:27" ht="12.75">
      <c r="A247" s="228">
        <v>70904</v>
      </c>
      <c r="B247" s="106" t="s">
        <v>79</v>
      </c>
      <c r="C247" s="105"/>
      <c r="D247" s="356">
        <v>15</v>
      </c>
      <c r="E247" s="362"/>
      <c r="F247" s="113">
        <f t="shared" si="61"/>
        <v>70904</v>
      </c>
      <c r="G247" s="106"/>
      <c r="H247" s="113">
        <f>(VLOOKUP($D247,comp,AA$372))*$F247</f>
        <v>24951.117599999998</v>
      </c>
      <c r="J247" s="113">
        <f>(VLOOKUP($D247,comp,AC$372))*$F247</f>
        <v>11146.1088</v>
      </c>
      <c r="K247" s="113"/>
      <c r="L247" s="113">
        <f>(VLOOKUP($D247,comp,AE$372))*$F247</f>
        <v>11706.250399999999</v>
      </c>
      <c r="M247" s="113"/>
      <c r="N247" s="113">
        <f>(VLOOKUP($D247,comp,AG$372))*$F247</f>
        <v>496.32800000000003</v>
      </c>
      <c r="P247" s="113">
        <f>(VLOOKUP($D247,comp,AI$372))*$F247</f>
        <v>0</v>
      </c>
      <c r="Q247" s="113"/>
      <c r="R247" s="113">
        <f>(VLOOKUP($D247,comp,AK$372))*$F247</f>
        <v>14804.755200000001</v>
      </c>
      <c r="S247" s="113"/>
      <c r="T247" s="113">
        <f>(VLOOKUP($D247,comp,AM$372))*$F247</f>
        <v>4750.568</v>
      </c>
      <c r="V247" s="113">
        <f>(VLOOKUP($D247,comp,AO$372))*$F247</f>
        <v>1318.8144</v>
      </c>
      <c r="W247" s="113"/>
      <c r="X247" s="113">
        <f>(VLOOKUP($D247,comp,AQ$372))*$F247</f>
        <v>1730.0576</v>
      </c>
      <c r="Z247" s="126">
        <f t="shared" si="51"/>
        <v>0</v>
      </c>
      <c r="AA247" s="154"/>
    </row>
    <row r="248" spans="1:27" ht="12.75">
      <c r="A248" s="228">
        <v>8309</v>
      </c>
      <c r="B248" s="106" t="s">
        <v>78</v>
      </c>
      <c r="C248" s="105"/>
      <c r="D248" s="356">
        <v>15</v>
      </c>
      <c r="E248" s="362"/>
      <c r="F248" s="114">
        <f t="shared" si="61"/>
        <v>8309</v>
      </c>
      <c r="G248" s="106"/>
      <c r="H248" s="114">
        <f>(VLOOKUP($D248,comp,AA$372))*$F248</f>
        <v>2923.9371</v>
      </c>
      <c r="J248" s="114">
        <f>(VLOOKUP($D248,comp,AC$372))*$F248</f>
        <v>1306.1748</v>
      </c>
      <c r="L248" s="114">
        <f>(VLOOKUP($D248,comp,AE$372))*$F248</f>
        <v>1371.8159</v>
      </c>
      <c r="N248" s="114">
        <f>(VLOOKUP($D248,comp,AG$372))*$F248</f>
        <v>58.163000000000004</v>
      </c>
      <c r="P248" s="114">
        <f>(VLOOKUP($D248,comp,AI$372))*$F248</f>
        <v>0</v>
      </c>
      <c r="R248" s="114">
        <f>(VLOOKUP($D248,comp,AK$372))*$F248</f>
        <v>1734.9192</v>
      </c>
      <c r="T248" s="114">
        <f>(VLOOKUP($D248,comp,AM$372))*$F248</f>
        <v>556.7030000000001</v>
      </c>
      <c r="V248" s="114">
        <f>(VLOOKUP($D248,comp,AO$372))*$F248</f>
        <v>154.54739999999998</v>
      </c>
      <c r="X248" s="114">
        <f>(VLOOKUP($D248,comp,AQ$372))*$F248</f>
        <v>202.73960000000002</v>
      </c>
      <c r="Z248" s="126">
        <f t="shared" si="51"/>
        <v>0</v>
      </c>
      <c r="AA248" s="154"/>
    </row>
    <row r="249" spans="2:27" ht="12.75">
      <c r="B249" s="106"/>
      <c r="C249" s="105"/>
      <c r="D249" s="356"/>
      <c r="E249" s="362"/>
      <c r="F249" s="113"/>
      <c r="G249" s="106"/>
      <c r="H249" s="113"/>
      <c r="Z249" s="126">
        <f t="shared" si="51"/>
        <v>0</v>
      </c>
      <c r="AA249" s="154"/>
    </row>
    <row r="250" spans="2:27" ht="12.75">
      <c r="B250" s="106" t="s">
        <v>494</v>
      </c>
      <c r="C250" s="105"/>
      <c r="D250" s="356"/>
      <c r="E250" s="362"/>
      <c r="F250" s="113">
        <f>SUM(F200:F249)</f>
        <v>8038652.96233937</v>
      </c>
      <c r="G250" s="113"/>
      <c r="H250" s="113">
        <f aca="true" t="shared" si="71" ref="H250:X250">SUM(H200:H249)</f>
        <v>2904041.8423999995</v>
      </c>
      <c r="I250" s="113"/>
      <c r="J250" s="113">
        <f t="shared" si="71"/>
        <v>1308077.0631000001</v>
      </c>
      <c r="K250" s="113"/>
      <c r="L250" s="113">
        <f t="shared" si="71"/>
        <v>1311813.0905999998</v>
      </c>
      <c r="M250" s="113"/>
      <c r="N250" s="113">
        <f t="shared" si="71"/>
        <v>811910.3659999997</v>
      </c>
      <c r="O250" s="113"/>
      <c r="P250" s="113">
        <f t="shared" si="71"/>
        <v>561242.9623393691</v>
      </c>
      <c r="Q250" s="113"/>
      <c r="R250" s="113">
        <f t="shared" si="71"/>
        <v>447901.8912000001</v>
      </c>
      <c r="S250" s="113"/>
      <c r="T250" s="113">
        <f t="shared" si="71"/>
        <v>143723.30800000002</v>
      </c>
      <c r="U250" s="113"/>
      <c r="V250" s="113">
        <f t="shared" si="71"/>
        <v>161814.7822</v>
      </c>
      <c r="W250" s="113"/>
      <c r="X250" s="113">
        <f t="shared" si="71"/>
        <v>388127.6564999999</v>
      </c>
      <c r="Z250" s="126">
        <f t="shared" si="51"/>
        <v>0</v>
      </c>
      <c r="AA250" s="154"/>
    </row>
    <row r="251" spans="2:27" ht="12.75">
      <c r="B251" s="106"/>
      <c r="C251" s="105"/>
      <c r="D251" s="356"/>
      <c r="E251" s="362"/>
      <c r="F251" s="113"/>
      <c r="G251" s="106"/>
      <c r="H251" s="113"/>
      <c r="Z251" s="126">
        <f t="shared" si="51"/>
        <v>0</v>
      </c>
      <c r="AA251" s="154"/>
    </row>
    <row r="252" spans="2:27" ht="12.75">
      <c r="B252" s="396" t="s">
        <v>442</v>
      </c>
      <c r="C252" s="105"/>
      <c r="D252" s="356"/>
      <c r="E252" s="362"/>
      <c r="F252" s="113"/>
      <c r="G252" s="106"/>
      <c r="H252" s="113"/>
      <c r="Z252" s="126">
        <f t="shared" si="51"/>
        <v>0</v>
      </c>
      <c r="AA252" s="154"/>
    </row>
    <row r="253" spans="1:27" ht="12.75">
      <c r="A253" s="126">
        <v>25730.41</v>
      </c>
      <c r="B253" s="106" t="s">
        <v>443</v>
      </c>
      <c r="C253" s="105"/>
      <c r="D253" s="356">
        <v>18</v>
      </c>
      <c r="E253" s="362"/>
      <c r="F253" s="113">
        <f>+A253</f>
        <v>25730.41</v>
      </c>
      <c r="G253" s="106"/>
      <c r="H253" s="113">
        <f>(VLOOKUP($D253,comp,AA$372))*$F253</f>
        <v>10137.78154</v>
      </c>
      <c r="J253" s="113">
        <f>(VLOOKUP($D253,comp,AC$372))*$F253</f>
        <v>4670.069415</v>
      </c>
      <c r="K253" s="113"/>
      <c r="L253" s="113">
        <f>(VLOOKUP($D253,comp,AE$372))*$F253</f>
        <v>4322.70888</v>
      </c>
      <c r="M253" s="113"/>
      <c r="N253" s="113">
        <f>(VLOOKUP($D253,comp,AG$372))*$F253</f>
        <v>2336.3212280000002</v>
      </c>
      <c r="P253" s="113">
        <f>(VLOOKUP($D253,comp,AI$372))*$F253</f>
        <v>970.0364569999999</v>
      </c>
      <c r="Q253" s="113"/>
      <c r="R253" s="113">
        <f>(VLOOKUP($D253,comp,AK$372))*$F253</f>
        <v>910.8565140000001</v>
      </c>
      <c r="S253" s="113"/>
      <c r="T253" s="113">
        <f>(VLOOKUP($D253,comp,AM$372))*$F253</f>
        <v>293.326674</v>
      </c>
      <c r="V253" s="113">
        <f>(VLOOKUP($D253,comp,AO$372))*$F253</f>
        <v>573.788143</v>
      </c>
      <c r="W253" s="113"/>
      <c r="X253" s="113">
        <f>(VLOOKUP($D253,comp,AQ$372))*$F253</f>
        <v>1515.521149</v>
      </c>
      <c r="Z253" s="126">
        <f t="shared" si="51"/>
        <v>0</v>
      </c>
      <c r="AA253" s="154"/>
    </row>
    <row r="254" spans="1:27" ht="12.75">
      <c r="A254" s="126">
        <v>13049.3</v>
      </c>
      <c r="B254" s="106" t="s">
        <v>444</v>
      </c>
      <c r="C254" s="105"/>
      <c r="D254" s="356">
        <v>18</v>
      </c>
      <c r="E254" s="362"/>
      <c r="F254" s="113">
        <f>+A254</f>
        <v>13049.3</v>
      </c>
      <c r="G254" s="106"/>
      <c r="H254" s="113">
        <f>(VLOOKUP($D254,comp,AA$372))*$F254</f>
        <v>5141.4242</v>
      </c>
      <c r="J254" s="113">
        <f>(VLOOKUP($D254,comp,AC$372))*$F254</f>
        <v>2368.4479499999998</v>
      </c>
      <c r="K254" s="113"/>
      <c r="L254" s="113">
        <f>(VLOOKUP($D254,comp,AE$372))*$F254</f>
        <v>2192.2824</v>
      </c>
      <c r="M254" s="113"/>
      <c r="N254" s="113">
        <f>(VLOOKUP($D254,comp,AG$372))*$F254</f>
        <v>1184.87644</v>
      </c>
      <c r="P254" s="113">
        <f>(VLOOKUP($D254,comp,AI$372))*$F254</f>
        <v>491.95860999999996</v>
      </c>
      <c r="Q254" s="113"/>
      <c r="R254" s="113">
        <f>(VLOOKUP($D254,comp,AK$372))*$F254</f>
        <v>461.94522</v>
      </c>
      <c r="S254" s="113"/>
      <c r="T254" s="113">
        <f>(VLOOKUP($D254,comp,AM$372))*$F254</f>
        <v>148.76202</v>
      </c>
      <c r="V254" s="113">
        <f>(VLOOKUP($D254,comp,AO$372))*$F254</f>
        <v>290.99939</v>
      </c>
      <c r="W254" s="113"/>
      <c r="X254" s="113">
        <f>(VLOOKUP($D254,comp,AQ$372))*$F254</f>
        <v>768.6037699999999</v>
      </c>
      <c r="Z254" s="126">
        <f t="shared" si="51"/>
        <v>0</v>
      </c>
      <c r="AA254" s="154"/>
    </row>
    <row r="255" spans="1:27" ht="12.75">
      <c r="A255" s="126">
        <v>412191.88</v>
      </c>
      <c r="B255" s="106" t="s">
        <v>445</v>
      </c>
      <c r="C255" s="105"/>
      <c r="D255" s="356">
        <v>2</v>
      </c>
      <c r="E255" s="362"/>
      <c r="F255" s="114">
        <f>+A255</f>
        <v>412191.88</v>
      </c>
      <c r="G255" s="106"/>
      <c r="H255" s="114">
        <f>(VLOOKUP($D255,Factors,AA$394))*$F255</f>
        <v>249829.498468</v>
      </c>
      <c r="J255" s="114">
        <f>(VLOOKUP($D255,Factors,AC$394))*$F255</f>
        <v>162362.381532</v>
      </c>
      <c r="L255" s="114">
        <f>(VLOOKUP($D255,Factors,AE$394))*$F255</f>
        <v>0</v>
      </c>
      <c r="N255" s="114">
        <f>(VLOOKUP($D255,Factors,AG$394))*$F255</f>
        <v>0</v>
      </c>
      <c r="P255" s="114">
        <f>(VLOOKUP($D255,Factors,AI$394))*$F255</f>
        <v>0</v>
      </c>
      <c r="R255" s="114">
        <f>(VLOOKUP($D255,Factors,AK$394))*$F255</f>
        <v>0</v>
      </c>
      <c r="T255" s="114">
        <f>(VLOOKUP($D255,Factors,AM$394))*$F255</f>
        <v>0</v>
      </c>
      <c r="V255" s="114">
        <f>(VLOOKUP($D255,Factors,AO$394))*$F255</f>
        <v>0</v>
      </c>
      <c r="X255" s="114">
        <f>(VLOOKUP($D255,Factors,AQ$394))*$F255</f>
        <v>0</v>
      </c>
      <c r="Z255" s="126">
        <f t="shared" si="51"/>
        <v>0</v>
      </c>
      <c r="AA255" s="154"/>
    </row>
    <row r="256" spans="2:27" ht="12.75">
      <c r="B256" s="106"/>
      <c r="C256" s="105"/>
      <c r="D256" s="356"/>
      <c r="E256" s="362"/>
      <c r="F256" s="113"/>
      <c r="G256" s="106"/>
      <c r="H256" s="113"/>
      <c r="Z256" s="126">
        <f t="shared" si="51"/>
        <v>0</v>
      </c>
      <c r="AA256" s="154"/>
    </row>
    <row r="257" spans="2:27" ht="12.75">
      <c r="B257" s="106" t="s">
        <v>446</v>
      </c>
      <c r="C257" s="105"/>
      <c r="D257" s="356"/>
      <c r="E257" s="362"/>
      <c r="F257" s="113">
        <f>SUM(F253:F256)</f>
        <v>450971.59</v>
      </c>
      <c r="G257" s="113"/>
      <c r="H257" s="113">
        <f aca="true" t="shared" si="72" ref="H257:X257">SUM(H253:H256)</f>
        <v>265108.704208</v>
      </c>
      <c r="I257" s="113"/>
      <c r="J257" s="113">
        <f t="shared" si="72"/>
        <v>169400.898897</v>
      </c>
      <c r="K257" s="113"/>
      <c r="L257" s="113">
        <f t="shared" si="72"/>
        <v>6514.99128</v>
      </c>
      <c r="M257" s="113"/>
      <c r="N257" s="113">
        <f t="shared" si="72"/>
        <v>3521.1976680000002</v>
      </c>
      <c r="O257" s="113"/>
      <c r="P257" s="113">
        <f t="shared" si="72"/>
        <v>1461.9950669999998</v>
      </c>
      <c r="Q257" s="113"/>
      <c r="R257" s="113">
        <f t="shared" si="72"/>
        <v>1372.8017340000001</v>
      </c>
      <c r="S257" s="113"/>
      <c r="T257" s="113">
        <f t="shared" si="72"/>
        <v>442.08869400000003</v>
      </c>
      <c r="U257" s="113"/>
      <c r="V257" s="113">
        <f t="shared" si="72"/>
        <v>864.7875329999999</v>
      </c>
      <c r="W257" s="113"/>
      <c r="X257" s="113">
        <f t="shared" si="72"/>
        <v>2284.124919</v>
      </c>
      <c r="Z257" s="126">
        <f t="shared" si="51"/>
        <v>0</v>
      </c>
      <c r="AA257" s="154"/>
    </row>
    <row r="258" spans="2:27" ht="12.75">
      <c r="B258" s="106"/>
      <c r="C258" s="105"/>
      <c r="D258" s="356"/>
      <c r="E258" s="362"/>
      <c r="F258" s="113"/>
      <c r="G258" s="106"/>
      <c r="H258" s="113"/>
      <c r="Z258" s="126">
        <f t="shared" si="51"/>
        <v>0</v>
      </c>
      <c r="AA258" s="154"/>
    </row>
    <row r="259" spans="2:27" ht="12.75">
      <c r="B259" s="396" t="s">
        <v>77</v>
      </c>
      <c r="C259" s="105"/>
      <c r="D259" s="356"/>
      <c r="E259" s="362"/>
      <c r="F259" s="113"/>
      <c r="G259" s="106"/>
      <c r="H259" s="113"/>
      <c r="Z259" s="126">
        <f t="shared" si="51"/>
        <v>0</v>
      </c>
      <c r="AA259" s="154"/>
    </row>
    <row r="260" spans="1:27" ht="12.75">
      <c r="A260" s="126">
        <v>487918</v>
      </c>
      <c r="B260" s="106" t="s">
        <v>76</v>
      </c>
      <c r="C260" s="105"/>
      <c r="D260" s="356">
        <v>16</v>
      </c>
      <c r="E260" s="362"/>
      <c r="F260" s="113">
        <f>+A260</f>
        <v>487918</v>
      </c>
      <c r="G260" s="106"/>
      <c r="H260" s="113">
        <f>(VLOOKUP($D260,comp,AA$372))*$F260</f>
        <v>194972.03280000002</v>
      </c>
      <c r="J260" s="113">
        <f>(VLOOKUP($D260,comp,AC$372))*$F260</f>
        <v>88264.3662</v>
      </c>
      <c r="K260" s="113"/>
      <c r="L260" s="113">
        <f>(VLOOKUP($D260,comp,AE$372))*$F260</f>
        <v>88849.8678</v>
      </c>
      <c r="M260" s="113"/>
      <c r="N260" s="113">
        <f>(VLOOKUP($D260,comp,AG$372))*$F260</f>
        <v>3854.5522000000005</v>
      </c>
      <c r="P260" s="113">
        <f>(VLOOKUP($D260,comp,AI$372))*$F260</f>
        <v>0</v>
      </c>
      <c r="Q260" s="113"/>
      <c r="R260" s="113">
        <f>(VLOOKUP($D260,comp,AK$372))*$F260</f>
        <v>37716.0614</v>
      </c>
      <c r="S260" s="113"/>
      <c r="T260" s="113">
        <f>(VLOOKUP($D260,comp,AM$372))*$F260</f>
        <v>51182.59819999999</v>
      </c>
      <c r="V260" s="113">
        <f>(VLOOKUP($D260,comp,AO$372))*$F260</f>
        <v>10002.319000000001</v>
      </c>
      <c r="W260" s="113"/>
      <c r="X260" s="113">
        <f>(VLOOKUP($D260,comp,AQ$372))*$F260</f>
        <v>13076.2024</v>
      </c>
      <c r="Z260" s="126">
        <f t="shared" si="51"/>
        <v>0</v>
      </c>
      <c r="AA260" s="154"/>
    </row>
    <row r="261" spans="1:27" ht="12.75">
      <c r="A261" s="126">
        <v>3054079</v>
      </c>
      <c r="B261" s="106" t="s">
        <v>75</v>
      </c>
      <c r="C261" s="105"/>
      <c r="D261" s="356">
        <v>18</v>
      </c>
      <c r="E261" s="362"/>
      <c r="F261" s="113">
        <f>+A261</f>
        <v>3054079</v>
      </c>
      <c r="G261" s="106"/>
      <c r="H261" s="113">
        <f>(VLOOKUP($D261,comp,AA$372))*$F261</f>
        <v>1203307.1260000002</v>
      </c>
      <c r="J261" s="113">
        <f>(VLOOKUP($D261,comp,AC$372))*$F261</f>
        <v>554315.3385</v>
      </c>
      <c r="K261" s="113"/>
      <c r="L261" s="113">
        <f>(VLOOKUP($D261,comp,AE$372))*$F261</f>
        <v>513085.27200000006</v>
      </c>
      <c r="M261" s="113"/>
      <c r="N261" s="113">
        <f>(VLOOKUP($D261,comp,AG$372))*$F261</f>
        <v>277310.37320000003</v>
      </c>
      <c r="P261" s="113">
        <f>(VLOOKUP($D261,comp,AI$372))*$F261</f>
        <v>115138.77829999999</v>
      </c>
      <c r="Q261" s="113"/>
      <c r="R261" s="113">
        <f>(VLOOKUP($D261,comp,AK$372))*$F261</f>
        <v>108114.39660000001</v>
      </c>
      <c r="S261" s="113"/>
      <c r="T261" s="113">
        <f>(VLOOKUP($D261,comp,AM$372))*$F261</f>
        <v>34816.5006</v>
      </c>
      <c r="V261" s="113">
        <f>(VLOOKUP($D261,comp,AO$372))*$F261</f>
        <v>68105.9617</v>
      </c>
      <c r="W261" s="113"/>
      <c r="X261" s="113">
        <f>(VLOOKUP($D261,comp,AQ$372))*$F261</f>
        <v>179885.2531</v>
      </c>
      <c r="Z261" s="126">
        <f t="shared" si="51"/>
        <v>0</v>
      </c>
      <c r="AA261" s="154"/>
    </row>
    <row r="262" spans="1:27" ht="12.75">
      <c r="A262" s="126">
        <v>107321</v>
      </c>
      <c r="B262" s="106" t="s">
        <v>74</v>
      </c>
      <c r="C262" s="105"/>
      <c r="D262" s="356">
        <v>19</v>
      </c>
      <c r="E262" s="362"/>
      <c r="F262" s="113">
        <f>+A262</f>
        <v>107321</v>
      </c>
      <c r="G262" s="106"/>
      <c r="H262" s="113">
        <f>(VLOOKUP($D262,comp,AA$372))*$F262</f>
        <v>44913.8385</v>
      </c>
      <c r="J262" s="113">
        <f>(VLOOKUP($D262,comp,AC$372))*$F262</f>
        <v>16473.7735</v>
      </c>
      <c r="K262" s="113"/>
      <c r="L262" s="113">
        <f>(VLOOKUP($D262,comp,AE$372))*$F262</f>
        <v>15808.383299999998</v>
      </c>
      <c r="M262" s="113"/>
      <c r="N262" s="113">
        <f>(VLOOKUP($D262,comp,AG$372))*$F262</f>
        <v>5859.7266</v>
      </c>
      <c r="P262" s="113">
        <f>(VLOOKUP($D262,comp,AI$372))*$F262</f>
        <v>2693.7571000000003</v>
      </c>
      <c r="Q262" s="113"/>
      <c r="R262" s="113">
        <f>(VLOOKUP($D262,comp,AK$372))*$F262</f>
        <v>12062.8804</v>
      </c>
      <c r="S262" s="113"/>
      <c r="T262" s="113">
        <f>(VLOOKUP($D262,comp,AM$372))*$F262</f>
        <v>3284.0226</v>
      </c>
      <c r="V262" s="113">
        <f>(VLOOKUP($D262,comp,AO$372))*$F262</f>
        <v>1963.9743</v>
      </c>
      <c r="W262" s="113"/>
      <c r="X262" s="113">
        <f>(VLOOKUP($D262,comp,AQ$372))*$F262</f>
        <v>4260.6437</v>
      </c>
      <c r="Z262" s="126">
        <f t="shared" si="51"/>
        <v>0</v>
      </c>
      <c r="AA262" s="154"/>
    </row>
    <row r="263" spans="2:27" ht="12.75">
      <c r="B263" s="106" t="s">
        <v>73</v>
      </c>
      <c r="C263" s="105"/>
      <c r="D263" s="356">
        <v>18</v>
      </c>
      <c r="E263" s="362"/>
      <c r="F263" s="114">
        <f>+A263</f>
        <v>0</v>
      </c>
      <c r="G263" s="106"/>
      <c r="H263" s="114">
        <f>(VLOOKUP($D263,comp,AA$372))*$F263</f>
        <v>0</v>
      </c>
      <c r="J263" s="114">
        <f>(VLOOKUP($D263,comp,AC$372))*$F263</f>
        <v>0</v>
      </c>
      <c r="L263" s="114">
        <f>(VLOOKUP($D263,comp,AE$372))*$F263</f>
        <v>0</v>
      </c>
      <c r="N263" s="114">
        <f>(VLOOKUP($D263,comp,AG$372))*$F263</f>
        <v>0</v>
      </c>
      <c r="P263" s="114">
        <f>(VLOOKUP($D263,comp,AI$372))*$F263</f>
        <v>0</v>
      </c>
      <c r="R263" s="114">
        <f>(VLOOKUP($D263,comp,AK$372))*$F263</f>
        <v>0</v>
      </c>
      <c r="T263" s="114">
        <f>(VLOOKUP($D263,comp,AM$372))*$F263</f>
        <v>0</v>
      </c>
      <c r="V263" s="114">
        <f>(VLOOKUP($D263,comp,AO$372))*$F263</f>
        <v>0</v>
      </c>
      <c r="X263" s="114">
        <f>(VLOOKUP($D263,comp,AQ$372))*$F263</f>
        <v>0</v>
      </c>
      <c r="Z263" s="126">
        <f t="shared" si="51"/>
        <v>0</v>
      </c>
      <c r="AA263" s="154"/>
    </row>
    <row r="264" spans="2:27" ht="12.75">
      <c r="B264" s="106"/>
      <c r="C264" s="105"/>
      <c r="D264" s="356"/>
      <c r="E264" s="362"/>
      <c r="F264" s="113"/>
      <c r="G264" s="106"/>
      <c r="H264" s="113"/>
      <c r="Z264" s="126">
        <f t="shared" si="51"/>
        <v>0</v>
      </c>
      <c r="AA264" s="154"/>
    </row>
    <row r="265" spans="2:27" ht="12.75">
      <c r="B265" s="106" t="s">
        <v>72</v>
      </c>
      <c r="C265" s="105"/>
      <c r="D265" s="356"/>
      <c r="E265" s="362"/>
      <c r="F265" s="113">
        <f>SUM(F260:F264)</f>
        <v>3649318</v>
      </c>
      <c r="G265" s="113"/>
      <c r="H265" s="113">
        <f aca="true" t="shared" si="73" ref="H265:X265">SUM(H260:H264)</f>
        <v>1443192.9973000002</v>
      </c>
      <c r="I265" s="113"/>
      <c r="J265" s="113">
        <f t="shared" si="73"/>
        <v>659053.4782</v>
      </c>
      <c r="K265" s="113"/>
      <c r="L265" s="113">
        <f t="shared" si="73"/>
        <v>617743.5231</v>
      </c>
      <c r="M265" s="113"/>
      <c r="N265" s="113">
        <f t="shared" si="73"/>
        <v>287024.652</v>
      </c>
      <c r="O265" s="113"/>
      <c r="P265" s="113">
        <f t="shared" si="73"/>
        <v>117832.5354</v>
      </c>
      <c r="Q265" s="113"/>
      <c r="R265" s="113">
        <f t="shared" si="73"/>
        <v>157893.3384</v>
      </c>
      <c r="S265" s="113"/>
      <c r="T265" s="113">
        <f t="shared" si="73"/>
        <v>89283.12139999999</v>
      </c>
      <c r="U265" s="113"/>
      <c r="V265" s="113">
        <f t="shared" si="73"/>
        <v>80072.255</v>
      </c>
      <c r="W265" s="113"/>
      <c r="X265" s="113">
        <f t="shared" si="73"/>
        <v>197222.0992</v>
      </c>
      <c r="Z265" s="126">
        <f t="shared" si="51"/>
        <v>0</v>
      </c>
      <c r="AA265" s="154"/>
    </row>
    <row r="266" spans="2:27" ht="12.75">
      <c r="B266" s="106"/>
      <c r="C266" s="105"/>
      <c r="D266" s="356"/>
      <c r="E266" s="362"/>
      <c r="F266" s="113"/>
      <c r="G266" s="106"/>
      <c r="H266" s="113"/>
      <c r="Z266" s="126">
        <f t="shared" si="51"/>
        <v>0</v>
      </c>
      <c r="AA266" s="154"/>
    </row>
    <row r="267" spans="2:27" ht="12.75">
      <c r="B267" s="106"/>
      <c r="C267" s="105"/>
      <c r="D267" s="356"/>
      <c r="E267" s="362"/>
      <c r="F267" s="113"/>
      <c r="G267" s="106"/>
      <c r="H267" s="113"/>
      <c r="Z267" s="126">
        <f t="shared" si="51"/>
        <v>0</v>
      </c>
      <c r="AA267" s="154"/>
    </row>
    <row r="268" spans="1:27" ht="12.75">
      <c r="A268" s="363">
        <v>7521558</v>
      </c>
      <c r="B268" s="234" t="s">
        <v>71</v>
      </c>
      <c r="C268" s="105"/>
      <c r="D268" s="356">
        <v>18</v>
      </c>
      <c r="E268" s="362"/>
      <c r="F268" s="113">
        <f>+A268</f>
        <v>7521558</v>
      </c>
      <c r="G268" s="106"/>
      <c r="H268" s="113">
        <f>(VLOOKUP($D268,comp,AA$372))*$F268</f>
        <v>2963493.852</v>
      </c>
      <c r="J268" s="113">
        <f>(VLOOKUP($D268,comp,AC$372))*$F268</f>
        <v>1365162.777</v>
      </c>
      <c r="K268" s="113"/>
      <c r="L268" s="113">
        <f>(VLOOKUP($D268,comp,AE$372))*$F268</f>
        <v>1263621.7440000002</v>
      </c>
      <c r="M268" s="113"/>
      <c r="N268" s="113">
        <f>(VLOOKUP($D268,comp,AG$372))*$F268</f>
        <v>682957.4664</v>
      </c>
      <c r="P268" s="113">
        <f>(VLOOKUP($D268,comp,AI$372))*$F268</f>
        <v>283562.7366</v>
      </c>
      <c r="Q268" s="113"/>
      <c r="R268" s="113">
        <f>(VLOOKUP($D268,comp,AK$372))*$F268</f>
        <v>266263.1532</v>
      </c>
      <c r="S268" s="113"/>
      <c r="T268" s="113">
        <f>(VLOOKUP($D268,comp,AM$372))*$F268</f>
        <v>85745.76120000001</v>
      </c>
      <c r="V268" s="113">
        <f>(VLOOKUP($D268,comp,AO$372))*$F268</f>
        <v>167730.7434</v>
      </c>
      <c r="W268" s="113"/>
      <c r="X268" s="113">
        <f>(VLOOKUP($D268,comp,AQ$372))*$F268</f>
        <v>443019.7662</v>
      </c>
      <c r="Z268" s="126">
        <f t="shared" si="51"/>
        <v>0</v>
      </c>
      <c r="AA268" s="154"/>
    </row>
    <row r="269" spans="1:27" ht="12.75">
      <c r="A269" s="363"/>
      <c r="B269" s="106"/>
      <c r="C269" s="105"/>
      <c r="D269" s="356"/>
      <c r="E269" s="362"/>
      <c r="F269" s="113"/>
      <c r="G269" s="106"/>
      <c r="H269" s="113"/>
      <c r="J269" s="113"/>
      <c r="K269" s="113"/>
      <c r="L269" s="113"/>
      <c r="M269" s="113"/>
      <c r="N269" s="113"/>
      <c r="P269" s="113"/>
      <c r="Q269" s="113"/>
      <c r="R269" s="113"/>
      <c r="S269" s="113"/>
      <c r="T269" s="113"/>
      <c r="V269" s="113"/>
      <c r="W269" s="113"/>
      <c r="X269" s="113"/>
      <c r="Z269" s="126">
        <f t="shared" si="51"/>
        <v>0</v>
      </c>
      <c r="AA269" s="154"/>
    </row>
    <row r="270" spans="2:27" ht="12.75">
      <c r="B270" s="234" t="s">
        <v>70</v>
      </c>
      <c r="C270" s="105"/>
      <c r="D270" s="356"/>
      <c r="E270" s="362"/>
      <c r="F270" s="113"/>
      <c r="G270" s="106"/>
      <c r="H270" s="113"/>
      <c r="Z270" s="126">
        <f t="shared" si="51"/>
        <v>0</v>
      </c>
      <c r="AA270" s="154"/>
    </row>
    <row r="271" spans="1:27" ht="12.75">
      <c r="A271" s="364">
        <v>18279839.046735466</v>
      </c>
      <c r="B271" s="234" t="s">
        <v>69</v>
      </c>
      <c r="C271" s="105"/>
      <c r="D271" s="356">
        <v>18</v>
      </c>
      <c r="E271" s="362"/>
      <c r="F271" s="114">
        <f>+A271</f>
        <v>18279839.046735466</v>
      </c>
      <c r="G271" s="106"/>
      <c r="H271" s="114">
        <f>(VLOOKUP($D271,comp,AA$372))*$F271</f>
        <v>7202256.584413773</v>
      </c>
      <c r="J271" s="114">
        <f>(VLOOKUP($D271,comp,AC$372))*$F271</f>
        <v>3317790.786982487</v>
      </c>
      <c r="L271" s="114">
        <f>(VLOOKUP($D271,comp,AE$372))*$F271</f>
        <v>3071012.9598515583</v>
      </c>
      <c r="N271" s="114">
        <f>(VLOOKUP($D271,comp,AG$372))*$F271</f>
        <v>1659809.3854435803</v>
      </c>
      <c r="P271" s="114">
        <f>(VLOOKUP($D271,comp,AI$372))*$F271</f>
        <v>689149.932061927</v>
      </c>
      <c r="R271" s="114">
        <f>(VLOOKUP($D271,comp,AK$372))*$F271</f>
        <v>647106.3022544355</v>
      </c>
      <c r="T271" s="114">
        <f>(VLOOKUP($D271,comp,AM$372))*$F271</f>
        <v>208390.1651327843</v>
      </c>
      <c r="V271" s="114">
        <f>(VLOOKUP($D271,comp,AO$372))*$F271</f>
        <v>407640.4107422009</v>
      </c>
      <c r="X271" s="114">
        <f>(VLOOKUP($D271,comp,AQ$372))*$F271</f>
        <v>1076682.519852719</v>
      </c>
      <c r="Z271" s="126">
        <f t="shared" si="51"/>
        <v>0</v>
      </c>
      <c r="AA271" s="154"/>
    </row>
    <row r="272" spans="2:27" ht="12.75">
      <c r="B272" s="234"/>
      <c r="C272" s="105"/>
      <c r="D272" s="356"/>
      <c r="E272" s="362"/>
      <c r="F272" s="113"/>
      <c r="G272" s="106"/>
      <c r="H272" s="113"/>
      <c r="Z272" s="126">
        <f t="shared" si="51"/>
        <v>0</v>
      </c>
      <c r="AA272" s="154"/>
    </row>
    <row r="273" spans="2:27" ht="12.75">
      <c r="B273" s="234" t="s">
        <v>68</v>
      </c>
      <c r="C273" s="105"/>
      <c r="D273" s="356"/>
      <c r="E273" s="362"/>
      <c r="F273" s="113">
        <f>F196+F250+F265+F268+F271+F257</f>
        <v>65739063.96</v>
      </c>
      <c r="G273" s="113"/>
      <c r="H273" s="113">
        <f>H196+H250+H265+H268+H271+H257</f>
        <v>27510355.907607608</v>
      </c>
      <c r="I273" s="113"/>
      <c r="J273" s="113">
        <f>J196+J250+J265+J268+J271+J257</f>
        <v>10092115.425299838</v>
      </c>
      <c r="K273" s="113"/>
      <c r="L273" s="113">
        <f>L196+L250+L265+L268+L271+L257</f>
        <v>9683583.026689736</v>
      </c>
      <c r="M273" s="113"/>
      <c r="N273" s="113">
        <f>N196+N250+N265+N268+N271+N257</f>
        <v>3590801.37502158</v>
      </c>
      <c r="O273" s="113"/>
      <c r="P273" s="113">
        <f>P196+P250+P265+P268+P271+P257</f>
        <v>1653250.1614682958</v>
      </c>
      <c r="Q273" s="113"/>
      <c r="R273" s="113">
        <f>R196+R250+R265+R268+R271+R257</f>
        <v>7386252.063053586</v>
      </c>
      <c r="S273" s="113"/>
      <c r="T273" s="113">
        <f>T196+T250+T265+T268+T271+T257</f>
        <v>2009495.6157367844</v>
      </c>
      <c r="U273" s="113"/>
      <c r="V273" s="113">
        <f>V196+V250+V265+V268+V271+V257</f>
        <v>1202312.974607917</v>
      </c>
      <c r="W273" s="113"/>
      <c r="X273" s="113">
        <f>X196+X250+X265+X268+X271+X257</f>
        <v>2610897.4105146565</v>
      </c>
      <c r="Z273" s="126">
        <f t="shared" si="51"/>
        <v>0</v>
      </c>
      <c r="AA273" s="154"/>
    </row>
    <row r="274" spans="2:27" ht="12.75">
      <c r="B274" s="106"/>
      <c r="C274" s="105"/>
      <c r="D274" s="356"/>
      <c r="E274" s="362"/>
      <c r="F274" s="113"/>
      <c r="G274"/>
      <c r="H274" s="113"/>
      <c r="I274"/>
      <c r="K274"/>
      <c r="M274"/>
      <c r="O274"/>
      <c r="Q274"/>
      <c r="S274"/>
      <c r="U274"/>
      <c r="W274"/>
      <c r="Z274" s="126">
        <f t="shared" si="51"/>
        <v>0</v>
      </c>
      <c r="AA274" s="154"/>
    </row>
    <row r="275" spans="1:27" ht="12.75">
      <c r="A275" s="126">
        <v>86345</v>
      </c>
      <c r="B275" s="106" t="s">
        <v>67</v>
      </c>
      <c r="C275" s="105"/>
      <c r="D275" s="356">
        <v>19</v>
      </c>
      <c r="E275" s="362"/>
      <c r="F275" s="113">
        <f>+A275</f>
        <v>86345</v>
      </c>
      <c r="G275"/>
      <c r="H275" s="113">
        <f>(VLOOKUP($D275,comp,AA$372))*$F275</f>
        <v>36135.3825</v>
      </c>
      <c r="J275" s="113">
        <f>(VLOOKUP($D275,comp,AC$372))*$F275</f>
        <v>13253.9575</v>
      </c>
      <c r="K275" s="113"/>
      <c r="L275" s="113">
        <f>(VLOOKUP($D275,comp,AE$372))*$F275</f>
        <v>12718.618499999999</v>
      </c>
      <c r="M275" s="113"/>
      <c r="N275" s="113">
        <f>(VLOOKUP($D275,comp,AG$372))*$F275</f>
        <v>4714.437</v>
      </c>
      <c r="P275" s="113">
        <f>(VLOOKUP($D275,comp,AI$372))*$F275</f>
        <v>2167.2595</v>
      </c>
      <c r="Q275" s="113"/>
      <c r="R275" s="113">
        <f>(VLOOKUP($D275,comp,AK$372))*$F275</f>
        <v>9705.178</v>
      </c>
      <c r="S275" s="113"/>
      <c r="T275" s="113">
        <f>(VLOOKUP($D275,comp,AM$372))*$F275</f>
        <v>2642.1569999999997</v>
      </c>
      <c r="V275" s="113">
        <f>(VLOOKUP($D275,comp,AO$372))*$F275</f>
        <v>1580.1135</v>
      </c>
      <c r="W275" s="113"/>
      <c r="X275" s="113">
        <f>(VLOOKUP($D275,comp,AQ$372))*$F275</f>
        <v>3427.8965</v>
      </c>
      <c r="Z275" s="126">
        <f aca="true" t="shared" si="74" ref="Z275:Z283">SUM(H275:X275)-F275</f>
        <v>0</v>
      </c>
      <c r="AA275" s="154"/>
    </row>
    <row r="276" spans="1:27" ht="12.75">
      <c r="A276" s="126">
        <v>986550</v>
      </c>
      <c r="B276" s="106" t="s">
        <v>315</v>
      </c>
      <c r="C276" s="105"/>
      <c r="D276" s="356">
        <v>11</v>
      </c>
      <c r="E276" s="362"/>
      <c r="F276" s="113">
        <f>+A276</f>
        <v>986550</v>
      </c>
      <c r="G276"/>
      <c r="H276" s="113">
        <f>(VLOOKUP($D276,Factors,AA$394))*$F276</f>
        <v>0</v>
      </c>
      <c r="I276" s="113"/>
      <c r="J276" s="113">
        <f>(VLOOKUP($D276,Factors,AC$394))*$F276</f>
        <v>0</v>
      </c>
      <c r="K276" s="113"/>
      <c r="L276" s="113">
        <f>(VLOOKUP($D276,Factors,AE$394))*$F276</f>
        <v>0</v>
      </c>
      <c r="M276" s="113"/>
      <c r="N276" s="113">
        <f>(VLOOKUP($D276,Factors,AG$394))*$F276</f>
        <v>0</v>
      </c>
      <c r="O276" s="113"/>
      <c r="P276" s="113">
        <f>(VLOOKUP($D276,Factors,AI$394))*$F276</f>
        <v>0</v>
      </c>
      <c r="Q276" s="113"/>
      <c r="R276" s="113">
        <f>(VLOOKUP($D276,Factors,AK$394))*$F276</f>
        <v>986550</v>
      </c>
      <c r="S276" s="113"/>
      <c r="T276" s="113">
        <f>(VLOOKUP($D276,Factors,AM$394))*$F276</f>
        <v>0</v>
      </c>
      <c r="U276" s="113"/>
      <c r="V276" s="113">
        <f>(VLOOKUP($D276,Factors,AO$394))*$F276</f>
        <v>0</v>
      </c>
      <c r="W276" s="113"/>
      <c r="X276" s="113">
        <f>(VLOOKUP($D276,Factors,AQ$394))*$F276</f>
        <v>0</v>
      </c>
      <c r="Z276" s="370">
        <f t="shared" si="74"/>
        <v>0</v>
      </c>
      <c r="AA276" s="154"/>
    </row>
    <row r="277" spans="1:27" ht="12.75">
      <c r="A277" s="126">
        <v>1858197</v>
      </c>
      <c r="B277" s="106" t="s">
        <v>316</v>
      </c>
      <c r="C277" s="105"/>
      <c r="D277" s="356">
        <v>18</v>
      </c>
      <c r="E277" s="362"/>
      <c r="F277" s="113">
        <f>+A277</f>
        <v>1858197</v>
      </c>
      <c r="G277"/>
      <c r="H277" s="113">
        <f>(VLOOKUP($D277,comp,AA$372))*$F277</f>
        <v>732129.618</v>
      </c>
      <c r="J277" s="113">
        <f>(VLOOKUP($D277,comp,AC$372))*$F277</f>
        <v>337262.75549999997</v>
      </c>
      <c r="K277" s="113"/>
      <c r="L277" s="113">
        <f>(VLOOKUP($D277,comp,AE$372))*$F277</f>
        <v>312177.096</v>
      </c>
      <c r="M277" s="113"/>
      <c r="N277" s="113">
        <f>(VLOOKUP($D277,comp,AG$372))*$F277</f>
        <v>168724.2876</v>
      </c>
      <c r="P277" s="113">
        <f>(VLOOKUP($D277,comp,AI$372))*$F277</f>
        <v>70054.0269</v>
      </c>
      <c r="Q277" s="113"/>
      <c r="R277" s="113">
        <f>(VLOOKUP($D277,comp,AK$372))*$F277</f>
        <v>65780.1738</v>
      </c>
      <c r="S277" s="113"/>
      <c r="T277" s="113">
        <f>(VLOOKUP($D277,comp,AM$372))*$F277</f>
        <v>21183.4458</v>
      </c>
      <c r="V277" s="113">
        <f>(VLOOKUP($D277,comp,AO$372))*$F277</f>
        <v>41437.7931</v>
      </c>
      <c r="W277" s="113"/>
      <c r="X277" s="113">
        <f>(VLOOKUP($D277,comp,AQ$372))*$F277</f>
        <v>109447.8033</v>
      </c>
      <c r="Z277" s="126">
        <f t="shared" si="74"/>
        <v>0</v>
      </c>
      <c r="AA277" s="154"/>
    </row>
    <row r="278" spans="1:27" ht="12.75">
      <c r="A278" s="370">
        <v>903528</v>
      </c>
      <c r="B278" s="106" t="s">
        <v>314</v>
      </c>
      <c r="C278" s="105"/>
      <c r="D278" s="356">
        <v>11</v>
      </c>
      <c r="E278" s="362"/>
      <c r="F278" s="114">
        <f>+A278</f>
        <v>903528</v>
      </c>
      <c r="G278" s="106"/>
      <c r="H278" s="114">
        <f>(VLOOKUP($D278,Factors,AA$394))*$F278</f>
        <v>0</v>
      </c>
      <c r="J278" s="114">
        <f>(VLOOKUP($D278,Factors,AC$394))*$F278</f>
        <v>0</v>
      </c>
      <c r="L278" s="114">
        <f>(VLOOKUP($D278,Factors,AE$394))*$F278</f>
        <v>0</v>
      </c>
      <c r="N278" s="114">
        <f>(VLOOKUP($D278,Factors,AG$394))*$F278</f>
        <v>0</v>
      </c>
      <c r="P278" s="114">
        <f>(VLOOKUP($D278,Factors,AI$394))*$F278</f>
        <v>0</v>
      </c>
      <c r="R278" s="114">
        <f>(VLOOKUP($D278,Factors,AK$394))*$F278</f>
        <v>903528</v>
      </c>
      <c r="T278" s="114">
        <f>(VLOOKUP($D278,Factors,AM$394))*$F278</f>
        <v>0</v>
      </c>
      <c r="V278" s="114">
        <f>(VLOOKUP($D278,Factors,AO$394))*$F278</f>
        <v>0</v>
      </c>
      <c r="X278" s="114">
        <f>(VLOOKUP($D278,Factors,AQ$394))*$F278</f>
        <v>0</v>
      </c>
      <c r="Z278" s="126">
        <f t="shared" si="74"/>
        <v>0</v>
      </c>
      <c r="AA278" s="154"/>
    </row>
    <row r="279" spans="1:27" ht="12.75">
      <c r="A279" s="126"/>
      <c r="B279" s="106"/>
      <c r="C279" s="105"/>
      <c r="D279" s="356"/>
      <c r="E279" s="362"/>
      <c r="F279" s="113"/>
      <c r="G279"/>
      <c r="H279" s="113"/>
      <c r="I279"/>
      <c r="J279" s="113"/>
      <c r="K279"/>
      <c r="L279" s="113"/>
      <c r="M279"/>
      <c r="N279" s="113"/>
      <c r="O279"/>
      <c r="P279" s="113"/>
      <c r="Q279"/>
      <c r="R279" s="113"/>
      <c r="S279"/>
      <c r="T279" s="113"/>
      <c r="U279"/>
      <c r="V279" s="113"/>
      <c r="W279"/>
      <c r="X279" s="113"/>
      <c r="Z279" s="126">
        <f t="shared" si="74"/>
        <v>0</v>
      </c>
      <c r="AA279" s="154"/>
    </row>
    <row r="280" spans="2:27" ht="12.75">
      <c r="B280" s="106" t="s">
        <v>561</v>
      </c>
      <c r="C280" s="105"/>
      <c r="D280" s="356"/>
      <c r="E280" s="362"/>
      <c r="F280" s="113">
        <f>SUM(F275:F279)</f>
        <v>3834620</v>
      </c>
      <c r="G280" s="113"/>
      <c r="H280" s="113">
        <f aca="true" t="shared" si="75" ref="H280:X280">SUM(H275:H279)</f>
        <v>768265.0005</v>
      </c>
      <c r="I280" s="113"/>
      <c r="J280" s="113">
        <f t="shared" si="75"/>
        <v>350516.713</v>
      </c>
      <c r="K280" s="113"/>
      <c r="L280" s="113">
        <f t="shared" si="75"/>
        <v>324895.7145</v>
      </c>
      <c r="M280" s="113"/>
      <c r="N280" s="113">
        <f t="shared" si="75"/>
        <v>173438.72460000002</v>
      </c>
      <c r="O280" s="113"/>
      <c r="P280" s="113">
        <f t="shared" si="75"/>
        <v>72221.2864</v>
      </c>
      <c r="Q280" s="113"/>
      <c r="R280" s="113">
        <f t="shared" si="75"/>
        <v>1965563.3518</v>
      </c>
      <c r="S280" s="113"/>
      <c r="T280" s="113">
        <f t="shared" si="75"/>
        <v>23825.6028</v>
      </c>
      <c r="U280" s="113"/>
      <c r="V280" s="113">
        <f t="shared" si="75"/>
        <v>43017.9066</v>
      </c>
      <c r="W280" s="113"/>
      <c r="X280" s="113">
        <f t="shared" si="75"/>
        <v>112875.6998</v>
      </c>
      <c r="Z280" s="126">
        <f t="shared" si="74"/>
        <v>0</v>
      </c>
      <c r="AA280" s="154"/>
    </row>
    <row r="281" spans="2:27" ht="12.75">
      <c r="B281" s="106"/>
      <c r="C281" s="105"/>
      <c r="D281" s="356"/>
      <c r="E281" s="362"/>
      <c r="F281" s="113"/>
      <c r="G281"/>
      <c r="H281" s="113"/>
      <c r="I281"/>
      <c r="K281"/>
      <c r="M281"/>
      <c r="O281"/>
      <c r="Q281"/>
      <c r="S281"/>
      <c r="U281"/>
      <c r="W281"/>
      <c r="Z281" s="126">
        <f t="shared" si="74"/>
        <v>0</v>
      </c>
      <c r="AA281" s="154"/>
    </row>
    <row r="282" spans="2:26" ht="12.75">
      <c r="B282" s="234" t="s">
        <v>66</v>
      </c>
      <c r="C282" s="105"/>
      <c r="D282" s="356"/>
      <c r="E282" s="362"/>
      <c r="F282" s="113"/>
      <c r="G282"/>
      <c r="H282" s="113"/>
      <c r="I282"/>
      <c r="K282"/>
      <c r="M282"/>
      <c r="O282"/>
      <c r="Q282"/>
      <c r="S282"/>
      <c r="U282"/>
      <c r="W282"/>
      <c r="Z282" s="126">
        <f t="shared" si="74"/>
        <v>0</v>
      </c>
    </row>
    <row r="283" spans="2:27" ht="13.5" thickBot="1">
      <c r="B283" s="234" t="s">
        <v>65</v>
      </c>
      <c r="C283" s="105"/>
      <c r="D283" s="356"/>
      <c r="E283" s="362"/>
      <c r="F283" s="131">
        <f>F273-F280</f>
        <v>61904443.96</v>
      </c>
      <c r="G283" s="130"/>
      <c r="H283" s="131">
        <f>H273-H280</f>
        <v>26742090.907107607</v>
      </c>
      <c r="I283" s="130"/>
      <c r="J283" s="131">
        <f>J273-J280</f>
        <v>9741598.712299839</v>
      </c>
      <c r="K283" s="130"/>
      <c r="L283" s="131">
        <f>L273-L280</f>
        <v>9358687.312189735</v>
      </c>
      <c r="M283" s="130"/>
      <c r="N283" s="131">
        <f>N273-N280</f>
        <v>3417362.6504215803</v>
      </c>
      <c r="O283" s="130"/>
      <c r="P283" s="131">
        <f>P273-P280</f>
        <v>1581028.8750682957</v>
      </c>
      <c r="Q283" s="130"/>
      <c r="R283" s="131">
        <f>R273-R280</f>
        <v>5420688.711253585</v>
      </c>
      <c r="S283" s="130"/>
      <c r="T283" s="131">
        <f>T273-T280</f>
        <v>1985670.0129367844</v>
      </c>
      <c r="U283" s="130"/>
      <c r="V283" s="131">
        <f>V273-V280</f>
        <v>1159295.068007917</v>
      </c>
      <c r="W283" s="130"/>
      <c r="X283" s="131">
        <f>X273-X280</f>
        <v>2498021.7107146564</v>
      </c>
      <c r="Z283" s="126">
        <f t="shared" si="74"/>
        <v>0</v>
      </c>
      <c r="AA283" s="126">
        <f>SUM(H283:Z283)</f>
        <v>61904443.95999999</v>
      </c>
    </row>
    <row r="284" spans="2:27" ht="13.5" thickTop="1">
      <c r="B284" s="106"/>
      <c r="C284" s="105"/>
      <c r="D284" s="356"/>
      <c r="E284" s="362"/>
      <c r="F284" s="130"/>
      <c r="G284" s="130"/>
      <c r="H284" s="130"/>
      <c r="I284" s="130"/>
      <c r="J284" s="130"/>
      <c r="K284" s="130"/>
      <c r="L284" s="130"/>
      <c r="M284" s="130"/>
      <c r="N284" s="130"/>
      <c r="O284" s="130"/>
      <c r="P284" s="130"/>
      <c r="Q284" s="130"/>
      <c r="R284" s="130"/>
      <c r="S284" s="130"/>
      <c r="T284" s="130"/>
      <c r="U284" s="130"/>
      <c r="V284" s="130"/>
      <c r="W284" s="130"/>
      <c r="X284" s="130"/>
      <c r="AA284" s="126"/>
    </row>
    <row r="285" spans="2:27" ht="12.75">
      <c r="B285" s="106"/>
      <c r="C285" s="105"/>
      <c r="D285" s="356"/>
      <c r="E285" s="362"/>
      <c r="F285" s="365"/>
      <c r="G285" s="130"/>
      <c r="H285" s="130"/>
      <c r="I285" s="130"/>
      <c r="J285" s="130"/>
      <c r="K285" s="130"/>
      <c r="L285" s="130"/>
      <c r="M285" s="130"/>
      <c r="N285" s="130"/>
      <c r="O285" s="130"/>
      <c r="P285" s="130"/>
      <c r="Q285" s="130"/>
      <c r="R285" s="130"/>
      <c r="S285" s="130"/>
      <c r="T285" s="130"/>
      <c r="U285" s="130"/>
      <c r="V285" s="130"/>
      <c r="W285" s="130"/>
      <c r="X285" s="130"/>
      <c r="AA285" s="126"/>
    </row>
    <row r="286" spans="2:27" ht="12.75">
      <c r="B286" s="106" t="s">
        <v>373</v>
      </c>
      <c r="C286" s="105"/>
      <c r="D286" s="356"/>
      <c r="E286" s="362"/>
      <c r="F286" s="365"/>
      <c r="G286" s="130"/>
      <c r="H286" s="130">
        <f>SUM('Schedule C'!E17:E21)*365</f>
        <v>18232480</v>
      </c>
      <c r="I286" s="130"/>
      <c r="J286" s="130"/>
      <c r="K286" s="130"/>
      <c r="L286" s="130"/>
      <c r="M286" s="130"/>
      <c r="N286" s="130"/>
      <c r="O286" s="130"/>
      <c r="P286" s="130"/>
      <c r="Q286" s="130"/>
      <c r="R286" s="130"/>
      <c r="S286" s="130"/>
      <c r="T286" s="130"/>
      <c r="U286" s="130"/>
      <c r="V286" s="130"/>
      <c r="W286" s="130"/>
      <c r="X286" s="130"/>
      <c r="AA286" s="126"/>
    </row>
    <row r="287" spans="2:27" ht="12.75">
      <c r="B287" s="106"/>
      <c r="C287" s="105"/>
      <c r="D287" s="356"/>
      <c r="E287" s="362"/>
      <c r="F287" s="365"/>
      <c r="G287" s="130"/>
      <c r="H287" s="130"/>
      <c r="I287" s="130"/>
      <c r="J287" s="130"/>
      <c r="K287" s="130"/>
      <c r="L287" s="130"/>
      <c r="M287" s="130"/>
      <c r="N287" s="130"/>
      <c r="O287" s="130"/>
      <c r="P287" s="130"/>
      <c r="Q287" s="130"/>
      <c r="R287" s="130"/>
      <c r="S287" s="130"/>
      <c r="T287" s="130"/>
      <c r="U287" s="130"/>
      <c r="V287" s="130"/>
      <c r="W287" s="130"/>
      <c r="X287" s="130"/>
      <c r="AA287" s="126"/>
    </row>
    <row r="288" spans="2:27" ht="12.75">
      <c r="B288" s="106" t="s">
        <v>374</v>
      </c>
      <c r="C288" s="105"/>
      <c r="D288" s="356"/>
      <c r="E288" s="362"/>
      <c r="F288" s="365"/>
      <c r="G288" s="130"/>
      <c r="H288" s="372">
        <f>+H283/H286</f>
        <v>1.4667281086888677</v>
      </c>
      <c r="I288" s="130"/>
      <c r="J288" s="130"/>
      <c r="K288" s="130"/>
      <c r="L288" s="130"/>
      <c r="M288" s="130"/>
      <c r="N288" s="130"/>
      <c r="O288" s="130"/>
      <c r="P288" s="130"/>
      <c r="Q288" s="130"/>
      <c r="R288" s="130"/>
      <c r="S288" s="130"/>
      <c r="T288" s="130"/>
      <c r="U288" s="130"/>
      <c r="V288" s="130"/>
      <c r="W288" s="130"/>
      <c r="X288" s="130"/>
      <c r="AA288" s="126"/>
    </row>
    <row r="289" spans="2:27" ht="12.75">
      <c r="B289" s="106"/>
      <c r="C289" s="105"/>
      <c r="D289" s="356"/>
      <c r="E289" s="362"/>
      <c r="F289" s="365"/>
      <c r="G289" s="130"/>
      <c r="H289" s="130"/>
      <c r="I289" s="130"/>
      <c r="J289" s="130"/>
      <c r="K289" s="130"/>
      <c r="L289" s="130"/>
      <c r="M289" s="130"/>
      <c r="N289" s="130"/>
      <c r="O289" s="130"/>
      <c r="P289" s="130"/>
      <c r="Q289" s="130"/>
      <c r="R289" s="130"/>
      <c r="S289" s="130"/>
      <c r="T289" s="130"/>
      <c r="U289" s="130"/>
      <c r="V289" s="130"/>
      <c r="W289" s="130"/>
      <c r="X289" s="130"/>
      <c r="AA289" s="126"/>
    </row>
    <row r="290" spans="2:27" ht="12.75">
      <c r="B290" s="106"/>
      <c r="C290" s="105"/>
      <c r="D290" s="356"/>
      <c r="E290" s="362"/>
      <c r="F290" s="365"/>
      <c r="G290" s="130"/>
      <c r="H290" s="130"/>
      <c r="I290" s="130"/>
      <c r="J290" s="130"/>
      <c r="K290" s="130"/>
      <c r="L290" s="130"/>
      <c r="M290" s="130"/>
      <c r="N290" s="130"/>
      <c r="O290" s="130"/>
      <c r="P290" s="130"/>
      <c r="Q290" s="130"/>
      <c r="R290" s="130"/>
      <c r="S290" s="130"/>
      <c r="T290" s="130"/>
      <c r="U290" s="130"/>
      <c r="V290" s="130"/>
      <c r="W290" s="130"/>
      <c r="X290" s="130"/>
      <c r="AA290" s="126"/>
    </row>
    <row r="291" spans="2:27" ht="12.75">
      <c r="B291" s="106"/>
      <c r="C291" s="105"/>
      <c r="D291" s="356"/>
      <c r="E291" s="362"/>
      <c r="F291" s="365"/>
      <c r="G291" s="130"/>
      <c r="H291" s="130"/>
      <c r="I291" s="130"/>
      <c r="J291" s="130"/>
      <c r="K291" s="130"/>
      <c r="L291" s="130"/>
      <c r="M291" s="130"/>
      <c r="N291" s="130"/>
      <c r="O291" s="130"/>
      <c r="P291" s="130"/>
      <c r="Q291" s="130"/>
      <c r="R291" s="130"/>
      <c r="S291" s="130"/>
      <c r="T291" s="130"/>
      <c r="U291" s="130"/>
      <c r="V291" s="130"/>
      <c r="W291" s="130"/>
      <c r="X291" s="130"/>
      <c r="AA291" s="126"/>
    </row>
    <row r="292" spans="2:27" ht="12.75">
      <c r="B292" s="106"/>
      <c r="C292" s="105"/>
      <c r="D292" s="356"/>
      <c r="E292" s="362"/>
      <c r="F292" s="365"/>
      <c r="G292" s="130"/>
      <c r="H292" s="130"/>
      <c r="I292" s="130"/>
      <c r="J292" s="130"/>
      <c r="K292" s="130"/>
      <c r="L292" s="130"/>
      <c r="M292" s="130"/>
      <c r="N292" s="130"/>
      <c r="O292" s="130"/>
      <c r="P292" s="130"/>
      <c r="Q292" s="130"/>
      <c r="R292" s="130"/>
      <c r="S292" s="130"/>
      <c r="T292" s="130"/>
      <c r="U292" s="130"/>
      <c r="V292" s="130"/>
      <c r="W292" s="130"/>
      <c r="X292" s="130"/>
      <c r="AA292" s="126"/>
    </row>
    <row r="293" spans="2:27" ht="12.75">
      <c r="B293" s="106"/>
      <c r="C293" s="105"/>
      <c r="D293" s="356"/>
      <c r="E293" s="362"/>
      <c r="F293" s="363"/>
      <c r="G293"/>
      <c r="H293" s="113"/>
      <c r="I293"/>
      <c r="K293"/>
      <c r="M293"/>
      <c r="O293"/>
      <c r="Q293"/>
      <c r="S293"/>
      <c r="U293"/>
      <c r="W293"/>
      <c r="Y293" s="126"/>
      <c r="AA293" s="126">
        <f>F283-AA283</f>
        <v>0</v>
      </c>
    </row>
    <row r="294" spans="2:6" ht="12.75">
      <c r="B294" s="395" t="s">
        <v>419</v>
      </c>
      <c r="D294" s="367"/>
      <c r="E294" s="368"/>
      <c r="F294" s="366"/>
    </row>
    <row r="295" spans="1:26" ht="12.75">
      <c r="A295" s="228">
        <v>37347</v>
      </c>
      <c r="B295" s="106" t="s">
        <v>125</v>
      </c>
      <c r="D295" s="367">
        <v>17</v>
      </c>
      <c r="E295" s="368"/>
      <c r="F295" s="363">
        <f>+A295</f>
        <v>37347</v>
      </c>
      <c r="H295" s="113">
        <f>(VLOOKUP($D295,comp,AA$372))*$F295</f>
        <v>13691.410199999998</v>
      </c>
      <c r="J295" s="113">
        <f>(VLOOKUP($D295,comp,AC$372))*$F295</f>
        <v>5527.356</v>
      </c>
      <c r="K295" s="113"/>
      <c r="L295" s="113">
        <f>(VLOOKUP($D295,comp,AE$372))*$F295</f>
        <v>7648.6656</v>
      </c>
      <c r="M295" s="113"/>
      <c r="N295" s="113">
        <f>(VLOOKUP($D295,comp,AG$372))*$F295</f>
        <v>2946.6783</v>
      </c>
      <c r="P295" s="113">
        <f>(VLOOKUP($D295,comp,AI$372))*$F295</f>
        <v>3835.5369</v>
      </c>
      <c r="Q295" s="113"/>
      <c r="R295" s="113">
        <f>(VLOOKUP($D295,comp,AK$372))*$F295</f>
        <v>242.75549999999998</v>
      </c>
      <c r="S295" s="113"/>
      <c r="T295" s="113">
        <f>(VLOOKUP($D295,comp,AM$372))*$F295</f>
        <v>78.42869999999999</v>
      </c>
      <c r="V295" s="113">
        <f>(VLOOKUP($D295,comp,AO$372))*$F295</f>
        <v>959.8179</v>
      </c>
      <c r="W295" s="113"/>
      <c r="X295" s="113">
        <f>(VLOOKUP($D295,comp,AQ$372))*$F295</f>
        <v>2416.3509</v>
      </c>
      <c r="Z295" s="126">
        <f aca="true" t="shared" si="76" ref="Z295:Z339">SUM(H294:X294)-F294</f>
        <v>0</v>
      </c>
    </row>
    <row r="296" spans="1:26" ht="12.75">
      <c r="A296" s="228">
        <v>70261</v>
      </c>
      <c r="B296" s="106" t="s">
        <v>124</v>
      </c>
      <c r="D296" s="367">
        <v>17</v>
      </c>
      <c r="E296" s="368"/>
      <c r="F296" s="363">
        <f aca="true" t="shared" si="77" ref="F296:F336">+A296</f>
        <v>70261</v>
      </c>
      <c r="H296" s="113">
        <f>(VLOOKUP($D296,comp,AA$372))*$F296</f>
        <v>25757.6826</v>
      </c>
      <c r="J296" s="113">
        <f>(VLOOKUP($D296,comp,AC$372))*$F296</f>
        <v>10398.627999999999</v>
      </c>
      <c r="K296" s="113"/>
      <c r="L296" s="113">
        <f>(VLOOKUP($D296,comp,AE$372))*$F296</f>
        <v>14389.452800000001</v>
      </c>
      <c r="M296" s="113"/>
      <c r="N296" s="113">
        <f>(VLOOKUP($D296,comp,AG$372))*$F296</f>
        <v>5543.5929</v>
      </c>
      <c r="P296" s="113">
        <f>(VLOOKUP($D296,comp,AI$372))*$F296</f>
        <v>7215.8047</v>
      </c>
      <c r="Q296" s="113"/>
      <c r="R296" s="113">
        <f>(VLOOKUP($D296,comp,AK$372))*$F296</f>
        <v>456.69649999999996</v>
      </c>
      <c r="S296" s="113"/>
      <c r="T296" s="113">
        <f>(VLOOKUP($D296,comp,AM$372))*$F296</f>
        <v>147.54809999999998</v>
      </c>
      <c r="V296" s="113">
        <f>(VLOOKUP($D296,comp,AO$372))*$F296</f>
        <v>1805.7077</v>
      </c>
      <c r="W296" s="113"/>
      <c r="X296" s="113">
        <f>(VLOOKUP($D296,comp,AQ$372))*$F296</f>
        <v>4545.886699999999</v>
      </c>
      <c r="Z296" s="126">
        <f t="shared" si="76"/>
        <v>0</v>
      </c>
    </row>
    <row r="297" spans="1:26" ht="12.75">
      <c r="A297" s="228">
        <v>0</v>
      </c>
      <c r="B297" s="106" t="s">
        <v>123</v>
      </c>
      <c r="D297" s="367">
        <v>17</v>
      </c>
      <c r="E297" s="368"/>
      <c r="F297" s="363">
        <f t="shared" si="77"/>
        <v>0</v>
      </c>
      <c r="H297" s="113">
        <f>(VLOOKUP($D297,comp,AA$372))*$F297</f>
        <v>0</v>
      </c>
      <c r="J297" s="113">
        <f>(VLOOKUP($D297,comp,AC$372))*$F297</f>
        <v>0</v>
      </c>
      <c r="K297" s="113"/>
      <c r="L297" s="113">
        <f>(VLOOKUP($D297,comp,AE$372))*$F297</f>
        <v>0</v>
      </c>
      <c r="M297" s="113"/>
      <c r="N297" s="113">
        <f>(VLOOKUP($D297,comp,AG$372))*$F297</f>
        <v>0</v>
      </c>
      <c r="P297" s="113">
        <f>(VLOOKUP($D297,comp,AI$372))*$F297</f>
        <v>0</v>
      </c>
      <c r="Q297" s="113"/>
      <c r="R297" s="113">
        <f>(VLOOKUP($D297,comp,AK$372))*$F297</f>
        <v>0</v>
      </c>
      <c r="S297" s="113"/>
      <c r="T297" s="113">
        <f>(VLOOKUP($D297,comp,AM$372))*$F297</f>
        <v>0</v>
      </c>
      <c r="V297" s="113">
        <f>(VLOOKUP($D297,comp,AO$372))*$F297</f>
        <v>0</v>
      </c>
      <c r="W297" s="113"/>
      <c r="X297" s="113">
        <f>(VLOOKUP($D297,comp,AQ$372))*$F297</f>
        <v>0</v>
      </c>
      <c r="Z297" s="126">
        <f t="shared" si="76"/>
        <v>0</v>
      </c>
    </row>
    <row r="298" spans="1:26" ht="12.75">
      <c r="A298" s="228">
        <v>0</v>
      </c>
      <c r="B298" s="106" t="s">
        <v>415</v>
      </c>
      <c r="D298" s="367">
        <v>17</v>
      </c>
      <c r="E298" s="368"/>
      <c r="F298" s="363">
        <f t="shared" si="77"/>
        <v>0</v>
      </c>
      <c r="H298" s="113">
        <f>(VLOOKUP($D298,comp,AA$372))*$F298</f>
        <v>0</v>
      </c>
      <c r="J298" s="113">
        <f>(VLOOKUP($D298,comp,AC$372))*$F298</f>
        <v>0</v>
      </c>
      <c r="K298" s="113"/>
      <c r="L298" s="113">
        <f>(VLOOKUP($D298,comp,AE$372))*$F298</f>
        <v>0</v>
      </c>
      <c r="M298" s="113"/>
      <c r="N298" s="113">
        <f>(VLOOKUP($D298,comp,AG$372))*$F298</f>
        <v>0</v>
      </c>
      <c r="P298" s="113">
        <f>(VLOOKUP($D298,comp,AI$372))*$F298</f>
        <v>0</v>
      </c>
      <c r="Q298" s="113"/>
      <c r="R298" s="113">
        <f>(VLOOKUP($D298,comp,AK$372))*$F298</f>
        <v>0</v>
      </c>
      <c r="S298" s="113"/>
      <c r="T298" s="113">
        <f>(VLOOKUP($D298,comp,AM$372))*$F298</f>
        <v>0</v>
      </c>
      <c r="V298" s="113">
        <f>(VLOOKUP($D298,comp,AO$372))*$F298</f>
        <v>0</v>
      </c>
      <c r="W298" s="113"/>
      <c r="X298" s="113">
        <f>(VLOOKUP($D298,comp,AQ$372))*$F298</f>
        <v>0</v>
      </c>
      <c r="Z298" s="126">
        <f t="shared" si="76"/>
        <v>0</v>
      </c>
    </row>
    <row r="299" spans="1:26" ht="12.75">
      <c r="A299" s="228">
        <v>1065891</v>
      </c>
      <c r="B299" s="106" t="s">
        <v>122</v>
      </c>
      <c r="D299" s="367">
        <v>2</v>
      </c>
      <c r="E299" s="368"/>
      <c r="F299" s="363">
        <f t="shared" si="77"/>
        <v>1065891</v>
      </c>
      <c r="H299" s="113">
        <f aca="true" t="shared" si="78" ref="H299:H314">(VLOOKUP($D299,Factors,AA$394))*$F299</f>
        <v>646036.5351</v>
      </c>
      <c r="J299" s="113">
        <f aca="true" t="shared" si="79" ref="J299:J314">(VLOOKUP($D299,Factors,AC$394))*$F299</f>
        <v>419854.46489999996</v>
      </c>
      <c r="L299" s="113">
        <f aca="true" t="shared" si="80" ref="L299:L314">(VLOOKUP($D299,Factors,AE$394))*$F299</f>
        <v>0</v>
      </c>
      <c r="N299" s="113">
        <f aca="true" t="shared" si="81" ref="N299:N314">(VLOOKUP($D299,Factors,AG$394))*$F299</f>
        <v>0</v>
      </c>
      <c r="P299" s="113">
        <f aca="true" t="shared" si="82" ref="P299:P314">(VLOOKUP($D299,Factors,AI$394))*$F299</f>
        <v>0</v>
      </c>
      <c r="R299" s="113">
        <f aca="true" t="shared" si="83" ref="R299:R314">(VLOOKUP($D299,Factors,AK$394))*$F299</f>
        <v>0</v>
      </c>
      <c r="T299" s="113">
        <f aca="true" t="shared" si="84" ref="T299:T314">(VLOOKUP($D299,Factors,AM$394))*$F299</f>
        <v>0</v>
      </c>
      <c r="V299" s="113">
        <f aca="true" t="shared" si="85" ref="V299:V314">(VLOOKUP($D299,Factors,AO$394))*$F299</f>
        <v>0</v>
      </c>
      <c r="X299" s="113">
        <f aca="true" t="shared" si="86" ref="X299:X314">(VLOOKUP($D299,Factors,AQ$394))*$F299</f>
        <v>0</v>
      </c>
      <c r="Z299" s="126">
        <f t="shared" si="76"/>
        <v>0</v>
      </c>
    </row>
    <row r="300" spans="1:26" ht="12.75">
      <c r="A300" s="228">
        <v>4693066</v>
      </c>
      <c r="B300" s="106" t="s">
        <v>121</v>
      </c>
      <c r="D300" s="367">
        <v>2</v>
      </c>
      <c r="E300" s="368"/>
      <c r="F300" s="363">
        <f t="shared" si="77"/>
        <v>4693066</v>
      </c>
      <c r="H300" s="113">
        <f t="shared" si="78"/>
        <v>2844467.3026</v>
      </c>
      <c r="J300" s="113">
        <f t="shared" si="79"/>
        <v>1848598.6974</v>
      </c>
      <c r="L300" s="113">
        <f t="shared" si="80"/>
        <v>0</v>
      </c>
      <c r="N300" s="113">
        <f t="shared" si="81"/>
        <v>0</v>
      </c>
      <c r="P300" s="113">
        <f t="shared" si="82"/>
        <v>0</v>
      </c>
      <c r="R300" s="113">
        <f t="shared" si="83"/>
        <v>0</v>
      </c>
      <c r="T300" s="113">
        <f t="shared" si="84"/>
        <v>0</v>
      </c>
      <c r="V300" s="113">
        <f t="shared" si="85"/>
        <v>0</v>
      </c>
      <c r="X300" s="113">
        <f t="shared" si="86"/>
        <v>0</v>
      </c>
      <c r="Z300" s="126">
        <f t="shared" si="76"/>
        <v>0</v>
      </c>
    </row>
    <row r="301" spans="1:26" ht="12.75">
      <c r="A301" s="228">
        <v>675105</v>
      </c>
      <c r="B301" s="106" t="s">
        <v>120</v>
      </c>
      <c r="D301" s="367">
        <v>1</v>
      </c>
      <c r="E301" s="368"/>
      <c r="F301" s="363">
        <f t="shared" si="77"/>
        <v>675105</v>
      </c>
      <c r="H301" s="113">
        <f t="shared" si="78"/>
        <v>675105</v>
      </c>
      <c r="J301" s="113">
        <f t="shared" si="79"/>
        <v>0</v>
      </c>
      <c r="L301" s="113">
        <f t="shared" si="80"/>
        <v>0</v>
      </c>
      <c r="N301" s="113">
        <f t="shared" si="81"/>
        <v>0</v>
      </c>
      <c r="P301" s="113">
        <f t="shared" si="82"/>
        <v>0</v>
      </c>
      <c r="R301" s="113">
        <f t="shared" si="83"/>
        <v>0</v>
      </c>
      <c r="T301" s="113">
        <f t="shared" si="84"/>
        <v>0</v>
      </c>
      <c r="V301" s="113">
        <f t="shared" si="85"/>
        <v>0</v>
      </c>
      <c r="X301" s="113">
        <f t="shared" si="86"/>
        <v>0</v>
      </c>
      <c r="Z301" s="126">
        <f t="shared" si="76"/>
        <v>0</v>
      </c>
    </row>
    <row r="302" spans="1:26" ht="12.75">
      <c r="A302" s="228">
        <v>457035</v>
      </c>
      <c r="B302" s="106" t="s">
        <v>119</v>
      </c>
      <c r="D302" s="367">
        <v>2</v>
      </c>
      <c r="E302" s="368"/>
      <c r="F302" s="363">
        <f t="shared" si="77"/>
        <v>457035</v>
      </c>
      <c r="H302" s="113">
        <f t="shared" si="78"/>
        <v>277008.91349999997</v>
      </c>
      <c r="J302" s="113">
        <f t="shared" si="79"/>
        <v>180026.08649999998</v>
      </c>
      <c r="L302" s="113">
        <f t="shared" si="80"/>
        <v>0</v>
      </c>
      <c r="N302" s="113">
        <f t="shared" si="81"/>
        <v>0</v>
      </c>
      <c r="P302" s="113">
        <f t="shared" si="82"/>
        <v>0</v>
      </c>
      <c r="R302" s="113">
        <f t="shared" si="83"/>
        <v>0</v>
      </c>
      <c r="T302" s="113">
        <f t="shared" si="84"/>
        <v>0</v>
      </c>
      <c r="V302" s="113">
        <f t="shared" si="85"/>
        <v>0</v>
      </c>
      <c r="X302" s="113">
        <f t="shared" si="86"/>
        <v>0</v>
      </c>
      <c r="Z302" s="126">
        <f t="shared" si="76"/>
        <v>0</v>
      </c>
    </row>
    <row r="303" spans="1:26" ht="12.75">
      <c r="A303" s="228">
        <v>0</v>
      </c>
      <c r="B303" s="106" t="s">
        <v>118</v>
      </c>
      <c r="D303" s="367">
        <v>2</v>
      </c>
      <c r="E303" s="368"/>
      <c r="F303" s="363">
        <f t="shared" si="77"/>
        <v>0</v>
      </c>
      <c r="H303" s="113">
        <f t="shared" si="78"/>
        <v>0</v>
      </c>
      <c r="J303" s="113">
        <f t="shared" si="79"/>
        <v>0</v>
      </c>
      <c r="L303" s="113">
        <f t="shared" si="80"/>
        <v>0</v>
      </c>
      <c r="N303" s="113">
        <f t="shared" si="81"/>
        <v>0</v>
      </c>
      <c r="P303" s="113">
        <f t="shared" si="82"/>
        <v>0</v>
      </c>
      <c r="R303" s="113">
        <f t="shared" si="83"/>
        <v>0</v>
      </c>
      <c r="T303" s="113">
        <f t="shared" si="84"/>
        <v>0</v>
      </c>
      <c r="V303" s="113">
        <f t="shared" si="85"/>
        <v>0</v>
      </c>
      <c r="X303" s="113">
        <f t="shared" si="86"/>
        <v>0</v>
      </c>
      <c r="Z303" s="126">
        <f t="shared" si="76"/>
        <v>0</v>
      </c>
    </row>
    <row r="304" spans="1:26" ht="12.75">
      <c r="A304" s="228">
        <v>4100162</v>
      </c>
      <c r="B304" s="106" t="s">
        <v>117</v>
      </c>
      <c r="D304" s="367">
        <v>2</v>
      </c>
      <c r="E304" s="368"/>
      <c r="F304" s="363">
        <f t="shared" si="77"/>
        <v>4100162</v>
      </c>
      <c r="H304" s="113">
        <f t="shared" si="78"/>
        <v>2485108.1881999997</v>
      </c>
      <c r="J304" s="113">
        <f t="shared" si="79"/>
        <v>1615053.8117999998</v>
      </c>
      <c r="L304" s="113">
        <f t="shared" si="80"/>
        <v>0</v>
      </c>
      <c r="N304" s="113">
        <f t="shared" si="81"/>
        <v>0</v>
      </c>
      <c r="P304" s="113">
        <f t="shared" si="82"/>
        <v>0</v>
      </c>
      <c r="R304" s="113">
        <f t="shared" si="83"/>
        <v>0</v>
      </c>
      <c r="T304" s="113">
        <f t="shared" si="84"/>
        <v>0</v>
      </c>
      <c r="V304" s="113">
        <f t="shared" si="85"/>
        <v>0</v>
      </c>
      <c r="X304" s="113">
        <f t="shared" si="86"/>
        <v>0</v>
      </c>
      <c r="Z304" s="126">
        <f t="shared" si="76"/>
        <v>0</v>
      </c>
    </row>
    <row r="305" spans="1:26" ht="12.75">
      <c r="A305" s="228">
        <v>91826</v>
      </c>
      <c r="B305" s="106" t="s">
        <v>416</v>
      </c>
      <c r="D305" s="367">
        <v>6</v>
      </c>
      <c r="E305" s="368"/>
      <c r="F305" s="363">
        <f t="shared" si="77"/>
        <v>91826</v>
      </c>
      <c r="H305" s="113">
        <f t="shared" si="78"/>
        <v>51716.40319999999</v>
      </c>
      <c r="J305" s="113">
        <f t="shared" si="79"/>
        <v>30963.7272</v>
      </c>
      <c r="L305" s="113">
        <f t="shared" si="80"/>
        <v>6106.429</v>
      </c>
      <c r="N305" s="113">
        <f t="shared" si="81"/>
        <v>0</v>
      </c>
      <c r="P305" s="113">
        <f t="shared" si="82"/>
        <v>0</v>
      </c>
      <c r="R305" s="113">
        <f t="shared" si="83"/>
        <v>0</v>
      </c>
      <c r="T305" s="113">
        <f t="shared" si="84"/>
        <v>0</v>
      </c>
      <c r="V305" s="113">
        <f t="shared" si="85"/>
        <v>1313.1118000000001</v>
      </c>
      <c r="X305" s="113">
        <f t="shared" si="86"/>
        <v>1726.3287999999998</v>
      </c>
      <c r="Z305" s="126">
        <f t="shared" si="76"/>
        <v>0</v>
      </c>
    </row>
    <row r="306" spans="1:26" ht="12.75">
      <c r="A306" s="228">
        <v>3572070</v>
      </c>
      <c r="B306" s="106" t="s">
        <v>116</v>
      </c>
      <c r="D306" s="367">
        <v>6</v>
      </c>
      <c r="E306" s="368"/>
      <c r="F306" s="363">
        <f t="shared" si="77"/>
        <v>3572070</v>
      </c>
      <c r="H306" s="113">
        <f t="shared" si="78"/>
        <v>2011789.8239999998</v>
      </c>
      <c r="J306" s="113">
        <f t="shared" si="79"/>
        <v>1204502.004</v>
      </c>
      <c r="L306" s="113">
        <f t="shared" si="80"/>
        <v>237542.655</v>
      </c>
      <c r="N306" s="113">
        <f t="shared" si="81"/>
        <v>0</v>
      </c>
      <c r="P306" s="113">
        <f t="shared" si="82"/>
        <v>0</v>
      </c>
      <c r="R306" s="113">
        <f t="shared" si="83"/>
        <v>0</v>
      </c>
      <c r="T306" s="113">
        <f t="shared" si="84"/>
        <v>0</v>
      </c>
      <c r="V306" s="113">
        <f t="shared" si="85"/>
        <v>51080.601</v>
      </c>
      <c r="X306" s="113">
        <f t="shared" si="86"/>
        <v>67154.916</v>
      </c>
      <c r="Z306" s="126">
        <f t="shared" si="76"/>
        <v>0</v>
      </c>
    </row>
    <row r="307" spans="1:26" ht="12.75">
      <c r="A307" s="228">
        <v>421907</v>
      </c>
      <c r="B307" s="106" t="s">
        <v>114</v>
      </c>
      <c r="D307" s="367">
        <v>6</v>
      </c>
      <c r="E307" s="368"/>
      <c r="F307" s="363">
        <f t="shared" si="77"/>
        <v>421907</v>
      </c>
      <c r="H307" s="113">
        <f t="shared" si="78"/>
        <v>237618.02239999996</v>
      </c>
      <c r="J307" s="113">
        <f t="shared" si="79"/>
        <v>142267.0404</v>
      </c>
      <c r="L307" s="113">
        <f t="shared" si="80"/>
        <v>28056.8155</v>
      </c>
      <c r="N307" s="113">
        <f t="shared" si="81"/>
        <v>0</v>
      </c>
      <c r="P307" s="113">
        <f t="shared" si="82"/>
        <v>0</v>
      </c>
      <c r="R307" s="113">
        <f t="shared" si="83"/>
        <v>0</v>
      </c>
      <c r="T307" s="113">
        <f t="shared" si="84"/>
        <v>0</v>
      </c>
      <c r="V307" s="113">
        <f t="shared" si="85"/>
        <v>6033.2701</v>
      </c>
      <c r="X307" s="113">
        <f t="shared" si="86"/>
        <v>7931.851599999999</v>
      </c>
      <c r="Z307" s="126">
        <f t="shared" si="76"/>
        <v>0</v>
      </c>
    </row>
    <row r="308" spans="1:26" ht="12.75">
      <c r="A308" s="228">
        <v>5445998</v>
      </c>
      <c r="B308" s="106" t="s">
        <v>112</v>
      </c>
      <c r="D308" s="367">
        <v>6</v>
      </c>
      <c r="E308" s="368"/>
      <c r="F308" s="363">
        <f t="shared" si="77"/>
        <v>5445998</v>
      </c>
      <c r="H308" s="113">
        <f t="shared" si="78"/>
        <v>3067186.0736</v>
      </c>
      <c r="J308" s="113">
        <f t="shared" si="79"/>
        <v>1836390.5256</v>
      </c>
      <c r="L308" s="113">
        <f t="shared" si="80"/>
        <v>362158.867</v>
      </c>
      <c r="N308" s="113">
        <f t="shared" si="81"/>
        <v>0</v>
      </c>
      <c r="P308" s="113">
        <f t="shared" si="82"/>
        <v>0</v>
      </c>
      <c r="R308" s="113">
        <f t="shared" si="83"/>
        <v>0</v>
      </c>
      <c r="T308" s="113">
        <f t="shared" si="84"/>
        <v>0</v>
      </c>
      <c r="V308" s="113">
        <f t="shared" si="85"/>
        <v>77877.7714</v>
      </c>
      <c r="X308" s="113">
        <f t="shared" si="86"/>
        <v>102384.76239999999</v>
      </c>
      <c r="Z308" s="126">
        <f t="shared" si="76"/>
        <v>0</v>
      </c>
    </row>
    <row r="309" spans="1:26" ht="12.75">
      <c r="A309" s="228">
        <v>1628612</v>
      </c>
      <c r="B309" s="106" t="s">
        <v>111</v>
      </c>
      <c r="D309" s="367">
        <v>6</v>
      </c>
      <c r="E309" s="368"/>
      <c r="F309" s="363">
        <f t="shared" si="77"/>
        <v>1628612</v>
      </c>
      <c r="H309" s="113">
        <f t="shared" si="78"/>
        <v>917234.2783999998</v>
      </c>
      <c r="J309" s="113">
        <f t="shared" si="79"/>
        <v>549167.9664</v>
      </c>
      <c r="L309" s="113">
        <f t="shared" si="80"/>
        <v>108302.698</v>
      </c>
      <c r="N309" s="113">
        <f t="shared" si="81"/>
        <v>0</v>
      </c>
      <c r="P309" s="113">
        <f t="shared" si="82"/>
        <v>0</v>
      </c>
      <c r="R309" s="113">
        <f t="shared" si="83"/>
        <v>0</v>
      </c>
      <c r="T309" s="113">
        <f t="shared" si="84"/>
        <v>0</v>
      </c>
      <c r="V309" s="113">
        <f t="shared" si="85"/>
        <v>23289.1516</v>
      </c>
      <c r="X309" s="113">
        <f t="shared" si="86"/>
        <v>30617.905599999995</v>
      </c>
      <c r="Z309" s="126">
        <f t="shared" si="76"/>
        <v>0</v>
      </c>
    </row>
    <row r="310" spans="1:26" ht="12.75">
      <c r="A310" s="228">
        <v>68164</v>
      </c>
      <c r="B310" s="106" t="s">
        <v>417</v>
      </c>
      <c r="D310" s="367">
        <v>2</v>
      </c>
      <c r="E310" s="368"/>
      <c r="F310" s="363">
        <f t="shared" si="77"/>
        <v>68164</v>
      </c>
      <c r="H310" s="113">
        <f t="shared" si="78"/>
        <v>41314.2004</v>
      </c>
      <c r="J310" s="113">
        <f t="shared" si="79"/>
        <v>26849.7996</v>
      </c>
      <c r="L310" s="113">
        <f t="shared" si="80"/>
        <v>0</v>
      </c>
      <c r="N310" s="113">
        <f t="shared" si="81"/>
        <v>0</v>
      </c>
      <c r="P310" s="113">
        <f t="shared" si="82"/>
        <v>0</v>
      </c>
      <c r="R310" s="113">
        <f t="shared" si="83"/>
        <v>0</v>
      </c>
      <c r="T310" s="113">
        <f t="shared" si="84"/>
        <v>0</v>
      </c>
      <c r="V310" s="113">
        <f t="shared" si="85"/>
        <v>0</v>
      </c>
      <c r="X310" s="113">
        <f t="shared" si="86"/>
        <v>0</v>
      </c>
      <c r="Z310" s="126">
        <f t="shared" si="76"/>
        <v>0</v>
      </c>
    </row>
    <row r="311" spans="1:26" ht="12.75">
      <c r="A311" s="228">
        <v>11912133</v>
      </c>
      <c r="B311" s="106" t="s">
        <v>109</v>
      </c>
      <c r="D311" s="367">
        <v>2</v>
      </c>
      <c r="E311" s="368"/>
      <c r="F311" s="363">
        <f t="shared" si="77"/>
        <v>11912133</v>
      </c>
      <c r="H311" s="113">
        <f t="shared" si="78"/>
        <v>7219943.811299999</v>
      </c>
      <c r="J311" s="113">
        <f t="shared" si="79"/>
        <v>4692189.1887</v>
      </c>
      <c r="L311" s="113">
        <f t="shared" si="80"/>
        <v>0</v>
      </c>
      <c r="N311" s="113">
        <f t="shared" si="81"/>
        <v>0</v>
      </c>
      <c r="P311" s="113">
        <f t="shared" si="82"/>
        <v>0</v>
      </c>
      <c r="R311" s="113">
        <f t="shared" si="83"/>
        <v>0</v>
      </c>
      <c r="T311" s="113">
        <f t="shared" si="84"/>
        <v>0</v>
      </c>
      <c r="V311" s="113">
        <f t="shared" si="85"/>
        <v>0</v>
      </c>
      <c r="X311" s="113">
        <f t="shared" si="86"/>
        <v>0</v>
      </c>
      <c r="Z311" s="126">
        <f t="shared" si="76"/>
        <v>0</v>
      </c>
    </row>
    <row r="312" spans="1:26" ht="12.75">
      <c r="A312" s="228">
        <v>13927259</v>
      </c>
      <c r="B312" s="106" t="s">
        <v>108</v>
      </c>
      <c r="D312" s="367">
        <v>2</v>
      </c>
      <c r="E312" s="368"/>
      <c r="F312" s="363">
        <f t="shared" si="77"/>
        <v>13927259</v>
      </c>
      <c r="H312" s="113">
        <f t="shared" si="78"/>
        <v>8441311.6799</v>
      </c>
      <c r="J312" s="113">
        <f t="shared" si="79"/>
        <v>5485947.320099999</v>
      </c>
      <c r="L312" s="113">
        <f t="shared" si="80"/>
        <v>0</v>
      </c>
      <c r="N312" s="113">
        <f t="shared" si="81"/>
        <v>0</v>
      </c>
      <c r="P312" s="113">
        <f t="shared" si="82"/>
        <v>0</v>
      </c>
      <c r="R312" s="113">
        <f t="shared" si="83"/>
        <v>0</v>
      </c>
      <c r="T312" s="113">
        <f t="shared" si="84"/>
        <v>0</v>
      </c>
      <c r="V312" s="113">
        <f t="shared" si="85"/>
        <v>0</v>
      </c>
      <c r="X312" s="113">
        <f t="shared" si="86"/>
        <v>0</v>
      </c>
      <c r="Z312" s="126">
        <f t="shared" si="76"/>
        <v>0</v>
      </c>
    </row>
    <row r="313" spans="1:26" ht="12.75">
      <c r="A313" s="228"/>
      <c r="B313" s="106" t="s">
        <v>107</v>
      </c>
      <c r="D313" s="367">
        <v>2</v>
      </c>
      <c r="E313" s="368"/>
      <c r="F313" s="363">
        <f t="shared" si="77"/>
        <v>0</v>
      </c>
      <c r="H313" s="113">
        <f t="shared" si="78"/>
        <v>0</v>
      </c>
      <c r="J313" s="113">
        <f t="shared" si="79"/>
        <v>0</v>
      </c>
      <c r="L313" s="113">
        <f t="shared" si="80"/>
        <v>0</v>
      </c>
      <c r="N313" s="113">
        <f t="shared" si="81"/>
        <v>0</v>
      </c>
      <c r="P313" s="113">
        <f t="shared" si="82"/>
        <v>0</v>
      </c>
      <c r="R313" s="113">
        <f t="shared" si="83"/>
        <v>0</v>
      </c>
      <c r="T313" s="113">
        <f t="shared" si="84"/>
        <v>0</v>
      </c>
      <c r="V313" s="113">
        <f t="shared" si="85"/>
        <v>0</v>
      </c>
      <c r="X313" s="113">
        <f t="shared" si="86"/>
        <v>0</v>
      </c>
      <c r="Z313" s="126">
        <f t="shared" si="76"/>
        <v>0</v>
      </c>
    </row>
    <row r="314" spans="1:26" ht="12.75">
      <c r="A314" s="228">
        <v>4024896</v>
      </c>
      <c r="B314" s="106" t="s">
        <v>418</v>
      </c>
      <c r="D314" s="367">
        <v>7</v>
      </c>
      <c r="E314" s="368"/>
      <c r="F314" s="363">
        <f t="shared" si="77"/>
        <v>4024896</v>
      </c>
      <c r="H314" s="113">
        <f t="shared" si="78"/>
        <v>1597022.2591689688</v>
      </c>
      <c r="J314" s="113">
        <f t="shared" si="79"/>
        <v>304110.4295867288</v>
      </c>
      <c r="L314" s="113">
        <f t="shared" si="80"/>
        <v>1693701.297059713</v>
      </c>
      <c r="N314" s="113">
        <f t="shared" si="81"/>
        <v>0</v>
      </c>
      <c r="P314" s="113">
        <f t="shared" si="82"/>
        <v>0</v>
      </c>
      <c r="R314" s="113">
        <f t="shared" si="83"/>
        <v>0</v>
      </c>
      <c r="T314" s="113">
        <f t="shared" si="84"/>
        <v>0</v>
      </c>
      <c r="V314" s="113">
        <f t="shared" si="85"/>
        <v>186126.9563536629</v>
      </c>
      <c r="X314" s="113">
        <f t="shared" si="86"/>
        <v>243935.05783092626</v>
      </c>
      <c r="Z314" s="126">
        <f t="shared" si="76"/>
        <v>0</v>
      </c>
    </row>
    <row r="315" spans="1:26" ht="12.75">
      <c r="A315" s="228">
        <v>1326141</v>
      </c>
      <c r="B315" s="106" t="s">
        <v>106</v>
      </c>
      <c r="D315" s="367">
        <v>14</v>
      </c>
      <c r="E315" s="368"/>
      <c r="F315" s="363">
        <f t="shared" si="77"/>
        <v>1326141</v>
      </c>
      <c r="H315" s="113">
        <f>(VLOOKUP($D315,comp,AA$372))*$F315</f>
        <v>498894.24419999996</v>
      </c>
      <c r="J315" s="113">
        <f>(VLOOKUP($D315,comp,AC$372))*$F315</f>
        <v>83812.11120000001</v>
      </c>
      <c r="K315" s="113"/>
      <c r="L315" s="113">
        <f>(VLOOKUP($D315,comp,AE$372))*$F315</f>
        <v>554990.0085</v>
      </c>
      <c r="M315" s="113"/>
      <c r="N315" s="113">
        <f>(VLOOKUP($D315,comp,AG$372))*$F315</f>
        <v>45088.794</v>
      </c>
      <c r="P315" s="113">
        <f>(VLOOKUP($D315,comp,AI$372))*$F315</f>
        <v>0</v>
      </c>
      <c r="Q315" s="113"/>
      <c r="R315" s="113">
        <f>(VLOOKUP($D315,comp,AK$372))*$F315</f>
        <v>0</v>
      </c>
      <c r="S315" s="113"/>
      <c r="T315" s="113">
        <f>(VLOOKUP($D315,comp,AM$372))*$F315</f>
        <v>0</v>
      </c>
      <c r="V315" s="113">
        <f>(VLOOKUP($D315,comp,AO$372))*$F315</f>
        <v>62063.3988</v>
      </c>
      <c r="W315" s="113"/>
      <c r="X315" s="113">
        <f>(VLOOKUP($D315,comp,AQ$372))*$F315</f>
        <v>81292.4433</v>
      </c>
      <c r="Z315" s="126">
        <f t="shared" si="76"/>
        <v>0</v>
      </c>
    </row>
    <row r="316" spans="1:26" ht="12.75">
      <c r="A316" s="228">
        <v>9096501</v>
      </c>
      <c r="B316" s="106" t="s">
        <v>105</v>
      </c>
      <c r="D316" s="367">
        <v>5</v>
      </c>
      <c r="E316" s="368"/>
      <c r="F316" s="363">
        <f t="shared" si="77"/>
        <v>9096501</v>
      </c>
      <c r="H316" s="113">
        <f>(VLOOKUP($D316,Factors,AA$394))*$F316</f>
        <v>3111912.9921</v>
      </c>
      <c r="J316" s="113">
        <f>(VLOOKUP($D316,Factors,AC$394))*$F316</f>
        <v>0</v>
      </c>
      <c r="L316" s="113">
        <f>(VLOOKUP($D316,Factors,AE$394))*$F316</f>
        <v>4667414.6631</v>
      </c>
      <c r="N316" s="113">
        <f>(VLOOKUP($D316,Factors,AG$394))*$F316</f>
        <v>0</v>
      </c>
      <c r="P316" s="113">
        <f>(VLOOKUP($D316,Factors,AI$394))*$F316</f>
        <v>0</v>
      </c>
      <c r="R316" s="113">
        <f>(VLOOKUP($D316,Factors,AK$394))*$F316</f>
        <v>0</v>
      </c>
      <c r="T316" s="113">
        <f>(VLOOKUP($D316,Factors,AM$394))*$F316</f>
        <v>0</v>
      </c>
      <c r="V316" s="113">
        <f>(VLOOKUP($D316,Factors,AO$394))*$F316</f>
        <v>569440.9626</v>
      </c>
      <c r="X316" s="113">
        <f>(VLOOKUP($D316,Factors,AQ$394))*$F316</f>
        <v>747732.3822</v>
      </c>
      <c r="Z316" s="126">
        <f t="shared" si="76"/>
        <v>0</v>
      </c>
    </row>
    <row r="317" spans="1:26" ht="12.75">
      <c r="A317" s="228">
        <v>150404488</v>
      </c>
      <c r="B317" s="106" t="s">
        <v>104</v>
      </c>
      <c r="D317" s="367"/>
      <c r="E317" s="368"/>
      <c r="F317" s="388"/>
      <c r="H317" s="113"/>
      <c r="J317" s="113"/>
      <c r="L317" s="113"/>
      <c r="N317" s="113"/>
      <c r="P317" s="113"/>
      <c r="R317" s="113"/>
      <c r="T317" s="113"/>
      <c r="V317" s="113"/>
      <c r="X317" s="113"/>
      <c r="Z317" s="126">
        <f t="shared" si="76"/>
        <v>0</v>
      </c>
    </row>
    <row r="318" spans="2:26" ht="12.75">
      <c r="B318" s="393" t="s">
        <v>342</v>
      </c>
      <c r="C318" s="367"/>
      <c r="D318" s="367">
        <v>4</v>
      </c>
      <c r="E318" s="368"/>
      <c r="F318" s="388">
        <f>ROUND(+A317*0.6122,0)</f>
        <v>92077628</v>
      </c>
      <c r="H318" s="113">
        <f aca="true" t="shared" si="87" ref="H318:H323">(VLOOKUP($D318,Factors,AA$394))*$F318</f>
        <v>32365286.242</v>
      </c>
      <c r="J318" s="113">
        <f aca="true" t="shared" si="88" ref="J318:J323">(VLOOKUP($D318,Factors,AC$394))*$F318</f>
        <v>0</v>
      </c>
      <c r="L318" s="113">
        <f aca="true" t="shared" si="89" ref="L318:L323">(VLOOKUP($D318,Factors,AE$394))*$F318</f>
        <v>48543325.4816</v>
      </c>
      <c r="N318" s="113">
        <f aca="true" t="shared" si="90" ref="N318:N323">(VLOOKUP($D318,Factors,AG$394))*$F318</f>
        <v>0</v>
      </c>
      <c r="P318" s="113">
        <f aca="true" t="shared" si="91" ref="P318:P323">(VLOOKUP($D318,Factors,AI$394))*$F318</f>
        <v>0</v>
      </c>
      <c r="R318" s="113">
        <f aca="true" t="shared" si="92" ref="R318:R323">(VLOOKUP($D318,Factors,AK$394))*$F318</f>
        <v>0</v>
      </c>
      <c r="T318" s="113">
        <f aca="true" t="shared" si="93" ref="T318:T323">(VLOOKUP($D318,Factors,AM$394))*$F318</f>
        <v>0</v>
      </c>
      <c r="V318" s="113">
        <f aca="true" t="shared" si="94" ref="V318:V323">(VLOOKUP($D318,Factors,AO$394))*$F318</f>
        <v>4834075.47</v>
      </c>
      <c r="X318" s="113">
        <f aca="true" t="shared" si="95" ref="X318:X323">(VLOOKUP($D318,Factors,AQ$394))*$F318</f>
        <v>6334940.8064</v>
      </c>
      <c r="Z318" s="126">
        <f t="shared" si="76"/>
        <v>0</v>
      </c>
    </row>
    <row r="319" spans="2:26" ht="12.75">
      <c r="B319" s="394" t="s">
        <v>343</v>
      </c>
      <c r="C319" s="367"/>
      <c r="D319" s="367">
        <v>3</v>
      </c>
      <c r="E319" s="368"/>
      <c r="F319" s="388">
        <f>ROUND(+A317*0.3878,0)</f>
        <v>58326860</v>
      </c>
      <c r="H319" s="113">
        <f t="shared" si="87"/>
        <v>33590438.673999995</v>
      </c>
      <c r="J319" s="113">
        <f t="shared" si="88"/>
        <v>21837576.384</v>
      </c>
      <c r="L319" s="113">
        <f t="shared" si="89"/>
        <v>0</v>
      </c>
      <c r="N319" s="113">
        <f t="shared" si="90"/>
        <v>0</v>
      </c>
      <c r="P319" s="113">
        <f t="shared" si="91"/>
        <v>0</v>
      </c>
      <c r="R319" s="113">
        <f t="shared" si="92"/>
        <v>0</v>
      </c>
      <c r="T319" s="113">
        <f t="shared" si="93"/>
        <v>0</v>
      </c>
      <c r="V319" s="113">
        <f t="shared" si="94"/>
        <v>1254027.49</v>
      </c>
      <c r="X319" s="113">
        <f t="shared" si="95"/>
        <v>1644817.452</v>
      </c>
      <c r="Z319" s="126">
        <f t="shared" si="76"/>
        <v>0</v>
      </c>
    </row>
    <row r="320" spans="1:26" ht="12.75">
      <c r="A320" s="228">
        <v>28893967</v>
      </c>
      <c r="B320" s="106" t="s">
        <v>103</v>
      </c>
      <c r="D320" s="367">
        <v>10</v>
      </c>
      <c r="E320" s="368"/>
      <c r="F320" s="363">
        <f t="shared" si="77"/>
        <v>28893967</v>
      </c>
      <c r="H320" s="113">
        <f t="shared" si="87"/>
        <v>0</v>
      </c>
      <c r="J320" s="113">
        <f t="shared" si="88"/>
        <v>0</v>
      </c>
      <c r="L320" s="113">
        <f t="shared" si="89"/>
        <v>0</v>
      </c>
      <c r="N320" s="113">
        <f t="shared" si="90"/>
        <v>0</v>
      </c>
      <c r="P320" s="113">
        <f t="shared" si="91"/>
        <v>28893967</v>
      </c>
      <c r="R320" s="113">
        <f t="shared" si="92"/>
        <v>0</v>
      </c>
      <c r="T320" s="113">
        <f t="shared" si="93"/>
        <v>0</v>
      </c>
      <c r="V320" s="113">
        <f t="shared" si="94"/>
        <v>0</v>
      </c>
      <c r="X320" s="113">
        <f t="shared" si="95"/>
        <v>0</v>
      </c>
      <c r="Z320" s="126">
        <f t="shared" si="76"/>
        <v>0</v>
      </c>
    </row>
    <row r="321" spans="1:26" ht="12.75">
      <c r="A321" s="228">
        <v>10351171</v>
      </c>
      <c r="B321" s="106" t="s">
        <v>102</v>
      </c>
      <c r="D321" s="367">
        <v>9</v>
      </c>
      <c r="E321" s="368"/>
      <c r="F321" s="363">
        <f t="shared" si="77"/>
        <v>10351171</v>
      </c>
      <c r="H321" s="113">
        <f t="shared" si="87"/>
        <v>0</v>
      </c>
      <c r="J321" s="113">
        <f t="shared" si="88"/>
        <v>0</v>
      </c>
      <c r="L321" s="113">
        <f t="shared" si="89"/>
        <v>0</v>
      </c>
      <c r="N321" s="113">
        <f t="shared" si="90"/>
        <v>10351171</v>
      </c>
      <c r="P321" s="113">
        <f t="shared" si="91"/>
        <v>0</v>
      </c>
      <c r="R321" s="113">
        <f t="shared" si="92"/>
        <v>0</v>
      </c>
      <c r="T321" s="113">
        <f t="shared" si="93"/>
        <v>0</v>
      </c>
      <c r="V321" s="113">
        <f t="shared" si="94"/>
        <v>0</v>
      </c>
      <c r="X321" s="113">
        <f t="shared" si="95"/>
        <v>0</v>
      </c>
      <c r="Z321" s="126">
        <f t="shared" si="76"/>
        <v>0</v>
      </c>
    </row>
    <row r="322" spans="1:26" ht="12.75">
      <c r="A322" s="228">
        <v>11739206</v>
      </c>
      <c r="B322" s="106" t="s">
        <v>101</v>
      </c>
      <c r="D322" s="367">
        <v>9</v>
      </c>
      <c r="E322" s="368"/>
      <c r="F322" s="363">
        <f t="shared" si="77"/>
        <v>11739206</v>
      </c>
      <c r="H322" s="113">
        <f t="shared" si="87"/>
        <v>0</v>
      </c>
      <c r="J322" s="113">
        <f t="shared" si="88"/>
        <v>0</v>
      </c>
      <c r="L322" s="113">
        <f t="shared" si="89"/>
        <v>0</v>
      </c>
      <c r="N322" s="113">
        <f t="shared" si="90"/>
        <v>11739206</v>
      </c>
      <c r="P322" s="113">
        <f t="shared" si="91"/>
        <v>0</v>
      </c>
      <c r="R322" s="113">
        <f t="shared" si="92"/>
        <v>0</v>
      </c>
      <c r="T322" s="113">
        <f t="shared" si="93"/>
        <v>0</v>
      </c>
      <c r="V322" s="113">
        <f t="shared" si="94"/>
        <v>0</v>
      </c>
      <c r="X322" s="113">
        <f t="shared" si="95"/>
        <v>0</v>
      </c>
      <c r="Z322" s="126">
        <f t="shared" si="76"/>
        <v>0</v>
      </c>
    </row>
    <row r="323" spans="1:26" ht="12.75">
      <c r="A323" s="228">
        <v>8734721</v>
      </c>
      <c r="B323" s="106" t="s">
        <v>100</v>
      </c>
      <c r="D323" s="367">
        <v>13</v>
      </c>
      <c r="E323" s="368"/>
      <c r="F323" s="363">
        <f t="shared" si="77"/>
        <v>8734721</v>
      </c>
      <c r="H323" s="113">
        <f t="shared" si="87"/>
        <v>0</v>
      </c>
      <c r="J323" s="113">
        <f t="shared" si="88"/>
        <v>0</v>
      </c>
      <c r="L323" s="113">
        <f t="shared" si="89"/>
        <v>0</v>
      </c>
      <c r="N323" s="113">
        <f t="shared" si="90"/>
        <v>0</v>
      </c>
      <c r="P323" s="113">
        <f t="shared" si="91"/>
        <v>0</v>
      </c>
      <c r="R323" s="113">
        <f t="shared" si="92"/>
        <v>0</v>
      </c>
      <c r="T323" s="113">
        <f t="shared" si="93"/>
        <v>0</v>
      </c>
      <c r="V323" s="113">
        <f t="shared" si="94"/>
        <v>0</v>
      </c>
      <c r="X323" s="113">
        <f t="shared" si="95"/>
        <v>8734721</v>
      </c>
      <c r="Z323" s="126">
        <f t="shared" si="76"/>
        <v>0</v>
      </c>
    </row>
    <row r="324" spans="1:26" ht="12.75">
      <c r="A324" s="228">
        <v>2719275</v>
      </c>
      <c r="B324" s="106" t="s">
        <v>96</v>
      </c>
      <c r="D324" s="367">
        <v>15</v>
      </c>
      <c r="E324" s="368"/>
      <c r="F324" s="363">
        <f t="shared" si="77"/>
        <v>2719275</v>
      </c>
      <c r="H324" s="113">
        <f aca="true" t="shared" si="96" ref="H324:H330">(VLOOKUP($D324,comp,AA$372))*$F324</f>
        <v>956912.8724999999</v>
      </c>
      <c r="J324" s="113">
        <f aca="true" t="shared" si="97" ref="J324:J330">(VLOOKUP($D324,comp,AC$372))*$F324</f>
        <v>427470.03</v>
      </c>
      <c r="K324" s="113"/>
      <c r="L324" s="113">
        <f aca="true" t="shared" si="98" ref="L324:L330">(VLOOKUP($D324,comp,AE$372))*$F324</f>
        <v>448952.3025</v>
      </c>
      <c r="M324" s="113"/>
      <c r="N324" s="113">
        <f aca="true" t="shared" si="99" ref="N324:N330">(VLOOKUP($D324,comp,AG$372))*$F324</f>
        <v>19034.925</v>
      </c>
      <c r="P324" s="113">
        <f aca="true" t="shared" si="100" ref="P324:P330">(VLOOKUP($D324,comp,AI$372))*$F324</f>
        <v>0</v>
      </c>
      <c r="Q324" s="113"/>
      <c r="R324" s="113">
        <f aca="true" t="shared" si="101" ref="R324:R330">(VLOOKUP($D324,comp,AK$372))*$F324</f>
        <v>567784.62</v>
      </c>
      <c r="S324" s="113"/>
      <c r="T324" s="113">
        <f aca="true" t="shared" si="102" ref="T324:T330">(VLOOKUP($D324,comp,AM$372))*$F324</f>
        <v>182191.42500000002</v>
      </c>
      <c r="V324" s="113">
        <f aca="true" t="shared" si="103" ref="V324:V330">(VLOOKUP($D324,comp,AO$372))*$F324</f>
        <v>50578.515</v>
      </c>
      <c r="W324" s="113"/>
      <c r="X324" s="113">
        <f aca="true" t="shared" si="104" ref="X324:X330">(VLOOKUP($D324,comp,AQ$372))*$F324</f>
        <v>66350.31</v>
      </c>
      <c r="Z324" s="126">
        <f t="shared" si="76"/>
        <v>0</v>
      </c>
    </row>
    <row r="325" spans="1:26" ht="12.75">
      <c r="A325" s="228">
        <v>2674685</v>
      </c>
      <c r="B325" s="106" t="s">
        <v>95</v>
      </c>
      <c r="D325" s="367">
        <v>15</v>
      </c>
      <c r="E325" s="368"/>
      <c r="F325" s="363">
        <f t="shared" si="77"/>
        <v>2674685</v>
      </c>
      <c r="H325" s="113">
        <f t="shared" si="96"/>
        <v>941221.6514999999</v>
      </c>
      <c r="J325" s="113">
        <f t="shared" si="97"/>
        <v>420460.482</v>
      </c>
      <c r="K325" s="113"/>
      <c r="L325" s="113">
        <f t="shared" si="98"/>
        <v>441590.4935</v>
      </c>
      <c r="M325" s="113"/>
      <c r="N325" s="113">
        <f t="shared" si="99"/>
        <v>18722.795000000002</v>
      </c>
      <c r="P325" s="113">
        <f t="shared" si="100"/>
        <v>0</v>
      </c>
      <c r="Q325" s="113"/>
      <c r="R325" s="113">
        <f t="shared" si="101"/>
        <v>558474.228</v>
      </c>
      <c r="S325" s="113"/>
      <c r="T325" s="113">
        <f t="shared" si="102"/>
        <v>179203.89500000002</v>
      </c>
      <c r="V325" s="113">
        <f t="shared" si="103"/>
        <v>49749.140999999996</v>
      </c>
      <c r="W325" s="113"/>
      <c r="X325" s="113">
        <f t="shared" si="104"/>
        <v>65262.314000000006</v>
      </c>
      <c r="Z325" s="126">
        <f t="shared" si="76"/>
        <v>0</v>
      </c>
    </row>
    <row r="326" spans="2:26" ht="12.75">
      <c r="B326" s="106" t="s">
        <v>94</v>
      </c>
      <c r="D326" s="367">
        <v>15</v>
      </c>
      <c r="E326" s="368"/>
      <c r="F326" s="363">
        <f t="shared" si="77"/>
        <v>0</v>
      </c>
      <c r="H326" s="113">
        <f t="shared" si="96"/>
        <v>0</v>
      </c>
      <c r="J326" s="113">
        <f t="shared" si="97"/>
        <v>0</v>
      </c>
      <c r="K326" s="113"/>
      <c r="L326" s="113">
        <f t="shared" si="98"/>
        <v>0</v>
      </c>
      <c r="M326" s="113"/>
      <c r="N326" s="113">
        <f t="shared" si="99"/>
        <v>0</v>
      </c>
      <c r="P326" s="113">
        <f t="shared" si="100"/>
        <v>0</v>
      </c>
      <c r="Q326" s="113"/>
      <c r="R326" s="113">
        <f t="shared" si="101"/>
        <v>0</v>
      </c>
      <c r="S326" s="113"/>
      <c r="T326" s="113">
        <f t="shared" si="102"/>
        <v>0</v>
      </c>
      <c r="V326" s="113">
        <f t="shared" si="103"/>
        <v>0</v>
      </c>
      <c r="W326" s="113"/>
      <c r="X326" s="113">
        <f t="shared" si="104"/>
        <v>0</v>
      </c>
      <c r="Z326" s="126">
        <f t="shared" si="76"/>
        <v>0</v>
      </c>
    </row>
    <row r="327" spans="1:26" ht="12.75">
      <c r="A327" s="228">
        <v>-652179</v>
      </c>
      <c r="B327" s="106" t="s">
        <v>93</v>
      </c>
      <c r="D327" s="367">
        <v>15</v>
      </c>
      <c r="E327" s="368"/>
      <c r="F327" s="363">
        <f t="shared" si="77"/>
        <v>-652179</v>
      </c>
      <c r="H327" s="113">
        <f t="shared" si="96"/>
        <v>-229501.79009999998</v>
      </c>
      <c r="J327" s="113">
        <f t="shared" si="97"/>
        <v>-102522.53880000001</v>
      </c>
      <c r="K327" s="113"/>
      <c r="L327" s="113">
        <f t="shared" si="98"/>
        <v>-107674.75289999999</v>
      </c>
      <c r="M327" s="113"/>
      <c r="N327" s="113">
        <f t="shared" si="99"/>
        <v>-4565.253</v>
      </c>
      <c r="P327" s="113">
        <f t="shared" si="100"/>
        <v>0</v>
      </c>
      <c r="Q327" s="113"/>
      <c r="R327" s="113">
        <f t="shared" si="101"/>
        <v>-136174.97520000002</v>
      </c>
      <c r="S327" s="113"/>
      <c r="T327" s="113">
        <f t="shared" si="102"/>
        <v>-43695.993</v>
      </c>
      <c r="V327" s="113">
        <f t="shared" si="103"/>
        <v>-12130.5294</v>
      </c>
      <c r="W327" s="113"/>
      <c r="X327" s="113">
        <f t="shared" si="104"/>
        <v>-15913.1676</v>
      </c>
      <c r="Z327" s="126">
        <f t="shared" si="76"/>
        <v>0</v>
      </c>
    </row>
    <row r="328" spans="1:26" ht="12.75">
      <c r="A328" s="228">
        <v>-16112</v>
      </c>
      <c r="B328" s="106" t="s">
        <v>377</v>
      </c>
      <c r="D328" s="367">
        <v>15</v>
      </c>
      <c r="E328" s="368"/>
      <c r="F328" s="363">
        <f t="shared" si="77"/>
        <v>-16112</v>
      </c>
      <c r="H328" s="113">
        <f t="shared" si="96"/>
        <v>-5669.8128</v>
      </c>
      <c r="J328" s="113">
        <f t="shared" si="97"/>
        <v>-2532.8064</v>
      </c>
      <c r="K328" s="113"/>
      <c r="L328" s="113">
        <f t="shared" si="98"/>
        <v>-2660.0912</v>
      </c>
      <c r="M328" s="113"/>
      <c r="N328" s="113">
        <f t="shared" si="99"/>
        <v>-112.784</v>
      </c>
      <c r="P328" s="113">
        <f t="shared" si="100"/>
        <v>0</v>
      </c>
      <c r="Q328" s="113"/>
      <c r="R328" s="113">
        <f t="shared" si="101"/>
        <v>-3364.1856000000002</v>
      </c>
      <c r="S328" s="113"/>
      <c r="T328" s="113">
        <f t="shared" si="102"/>
        <v>-1079.5040000000001</v>
      </c>
      <c r="V328" s="113">
        <f t="shared" si="103"/>
        <v>-299.6832</v>
      </c>
      <c r="W328" s="113"/>
      <c r="X328" s="113">
        <f t="shared" si="104"/>
        <v>-393.13280000000003</v>
      </c>
      <c r="Z328" s="126">
        <f t="shared" si="76"/>
        <v>0</v>
      </c>
    </row>
    <row r="329" spans="1:26" ht="12.75">
      <c r="A329" s="228">
        <v>3511</v>
      </c>
      <c r="B329" s="106" t="s">
        <v>84</v>
      </c>
      <c r="D329" s="367">
        <v>15</v>
      </c>
      <c r="E329" s="368"/>
      <c r="F329" s="363">
        <f t="shared" si="77"/>
        <v>3511</v>
      </c>
      <c r="H329" s="113">
        <f t="shared" si="96"/>
        <v>1235.5209</v>
      </c>
      <c r="J329" s="113">
        <f t="shared" si="97"/>
        <v>551.9292</v>
      </c>
      <c r="K329" s="113"/>
      <c r="L329" s="113">
        <f t="shared" si="98"/>
        <v>579.6661</v>
      </c>
      <c r="M329" s="113"/>
      <c r="N329" s="113">
        <f t="shared" si="99"/>
        <v>24.577</v>
      </c>
      <c r="P329" s="113">
        <f t="shared" si="100"/>
        <v>0</v>
      </c>
      <c r="Q329" s="113"/>
      <c r="R329" s="113">
        <f t="shared" si="101"/>
        <v>733.0968</v>
      </c>
      <c r="S329" s="113"/>
      <c r="T329" s="113">
        <f t="shared" si="102"/>
        <v>235.23700000000002</v>
      </c>
      <c r="V329" s="113">
        <f t="shared" si="103"/>
        <v>65.3046</v>
      </c>
      <c r="W329" s="113"/>
      <c r="X329" s="113">
        <f t="shared" si="104"/>
        <v>85.6684</v>
      </c>
      <c r="Z329" s="126">
        <f t="shared" si="76"/>
        <v>0</v>
      </c>
    </row>
    <row r="330" spans="1:26" ht="12.75">
      <c r="A330" s="228">
        <v>1327251</v>
      </c>
      <c r="B330" s="106" t="s">
        <v>83</v>
      </c>
      <c r="D330" s="367">
        <v>15</v>
      </c>
      <c r="E330" s="368"/>
      <c r="F330" s="363">
        <f t="shared" si="77"/>
        <v>1327251</v>
      </c>
      <c r="H330" s="113">
        <f t="shared" si="96"/>
        <v>467059.6269</v>
      </c>
      <c r="J330" s="113">
        <f t="shared" si="97"/>
        <v>208643.8572</v>
      </c>
      <c r="K330" s="113"/>
      <c r="L330" s="113">
        <f t="shared" si="98"/>
        <v>219129.1401</v>
      </c>
      <c r="M330" s="113"/>
      <c r="N330" s="113">
        <f t="shared" si="99"/>
        <v>9290.757</v>
      </c>
      <c r="P330" s="113">
        <f t="shared" si="100"/>
        <v>0</v>
      </c>
      <c r="Q330" s="113"/>
      <c r="R330" s="113">
        <f t="shared" si="101"/>
        <v>277130.0088</v>
      </c>
      <c r="S330" s="113"/>
      <c r="T330" s="113">
        <f t="shared" si="102"/>
        <v>88925.81700000001</v>
      </c>
      <c r="V330" s="113">
        <f t="shared" si="103"/>
        <v>24686.868599999998</v>
      </c>
      <c r="W330" s="113"/>
      <c r="X330" s="113">
        <f t="shared" si="104"/>
        <v>32384.924400000004</v>
      </c>
      <c r="Z330" s="126">
        <f t="shared" si="76"/>
        <v>0</v>
      </c>
    </row>
    <row r="331" spans="1:26" ht="12.75">
      <c r="A331" s="228">
        <v>29921</v>
      </c>
      <c r="B331" s="106" t="s">
        <v>82</v>
      </c>
      <c r="D331" s="367">
        <v>2</v>
      </c>
      <c r="E331" s="368"/>
      <c r="F331" s="363">
        <f t="shared" si="77"/>
        <v>29921</v>
      </c>
      <c r="H331" s="113">
        <f>(VLOOKUP($D331,Factors,AA$394))*$F331</f>
        <v>18135.1181</v>
      </c>
      <c r="J331" s="113">
        <f>(VLOOKUP($D331,Factors,AC$394))*$F331</f>
        <v>11785.881899999998</v>
      </c>
      <c r="L331" s="113">
        <f>(VLOOKUP($D331,Factors,AE$394))*$F331</f>
        <v>0</v>
      </c>
      <c r="N331" s="113">
        <f>(VLOOKUP($D331,Factors,AG$394))*$F331</f>
        <v>0</v>
      </c>
      <c r="P331" s="113">
        <f>(VLOOKUP($D331,Factors,AI$394))*$F331</f>
        <v>0</v>
      </c>
      <c r="R331" s="113">
        <f>(VLOOKUP($D331,Factors,AK$394))*$F331</f>
        <v>0</v>
      </c>
      <c r="T331" s="113">
        <f>(VLOOKUP($D331,Factors,AM$394))*$F331</f>
        <v>0</v>
      </c>
      <c r="V331" s="113">
        <f>(VLOOKUP($D331,Factors,AO$394))*$F331</f>
        <v>0</v>
      </c>
      <c r="X331" s="113">
        <f>(VLOOKUP($D331,Factors,AQ$394))*$F331</f>
        <v>0</v>
      </c>
      <c r="Z331" s="126">
        <f t="shared" si="76"/>
        <v>0</v>
      </c>
    </row>
    <row r="332" spans="1:26" ht="12.75">
      <c r="A332" s="228">
        <v>760593</v>
      </c>
      <c r="B332" s="106" t="s">
        <v>81</v>
      </c>
      <c r="D332" s="367">
        <v>15</v>
      </c>
      <c r="E332" s="368"/>
      <c r="F332" s="363">
        <f t="shared" si="77"/>
        <v>760593</v>
      </c>
      <c r="H332" s="113">
        <f>(VLOOKUP($D332,comp,AA$372))*$F332</f>
        <v>267652.6767</v>
      </c>
      <c r="J332" s="113">
        <f>(VLOOKUP($D332,comp,AC$372))*$F332</f>
        <v>119565.21960000001</v>
      </c>
      <c r="K332" s="113"/>
      <c r="L332" s="113">
        <f>(VLOOKUP($D332,comp,AE$372))*$F332</f>
        <v>125573.9043</v>
      </c>
      <c r="M332" s="113"/>
      <c r="N332" s="113">
        <f>(VLOOKUP($D332,comp,AG$372))*$F332</f>
        <v>5324.151</v>
      </c>
      <c r="P332" s="113">
        <f>(VLOOKUP($D332,comp,AI$372))*$F332</f>
        <v>0</v>
      </c>
      <c r="Q332" s="113"/>
      <c r="R332" s="113">
        <f>(VLOOKUP($D332,comp,AK$372))*$F332</f>
        <v>158811.81840000002</v>
      </c>
      <c r="S332" s="113"/>
      <c r="T332" s="113">
        <f>(VLOOKUP($D332,comp,AM$372))*$F332</f>
        <v>50959.731</v>
      </c>
      <c r="V332" s="113">
        <f>(VLOOKUP($D332,comp,AO$372))*$F332</f>
        <v>14147.029799999998</v>
      </c>
      <c r="W332" s="113"/>
      <c r="X332" s="113">
        <f>(VLOOKUP($D332,comp,AQ$372))*$F332</f>
        <v>18558.4692</v>
      </c>
      <c r="Z332" s="126">
        <f t="shared" si="76"/>
        <v>0</v>
      </c>
    </row>
    <row r="333" spans="1:26" ht="12.75">
      <c r="A333" s="228">
        <v>1228549</v>
      </c>
      <c r="B333" s="106" t="s">
        <v>80</v>
      </c>
      <c r="D333" s="367">
        <v>15</v>
      </c>
      <c r="E333" s="368"/>
      <c r="F333" s="363">
        <f t="shared" si="77"/>
        <v>1228549</v>
      </c>
      <c r="H333" s="113">
        <f>(VLOOKUP($D333,comp,AA$372))*$F333</f>
        <v>432326.3931</v>
      </c>
      <c r="J333" s="113">
        <f>(VLOOKUP($D333,comp,AC$372))*$F333</f>
        <v>193127.9028</v>
      </c>
      <c r="K333" s="113"/>
      <c r="L333" s="113">
        <f>(VLOOKUP($D333,comp,AE$372))*$F333</f>
        <v>202833.4399</v>
      </c>
      <c r="M333" s="113"/>
      <c r="N333" s="113">
        <f>(VLOOKUP($D333,comp,AG$372))*$F333</f>
        <v>8599.843</v>
      </c>
      <c r="P333" s="113">
        <f>(VLOOKUP($D333,comp,AI$372))*$F333</f>
        <v>0</v>
      </c>
      <c r="Q333" s="113"/>
      <c r="R333" s="113">
        <f>(VLOOKUP($D333,comp,AK$372))*$F333</f>
        <v>256521.03120000003</v>
      </c>
      <c r="S333" s="113"/>
      <c r="T333" s="113">
        <f>(VLOOKUP($D333,comp,AM$372))*$F333</f>
        <v>82312.78300000001</v>
      </c>
      <c r="V333" s="113">
        <f>(VLOOKUP($D333,comp,AO$372))*$F333</f>
        <v>22851.0114</v>
      </c>
      <c r="W333" s="113"/>
      <c r="X333" s="113">
        <f>(VLOOKUP($D333,comp,AQ$372))*$F333</f>
        <v>29976.5956</v>
      </c>
      <c r="Z333" s="126">
        <f t="shared" si="76"/>
        <v>0</v>
      </c>
    </row>
    <row r="334" spans="1:26" ht="12.75">
      <c r="A334" s="228">
        <v>876505</v>
      </c>
      <c r="B334" s="106" t="s">
        <v>79</v>
      </c>
      <c r="D334" s="367">
        <v>15</v>
      </c>
      <c r="E334" s="368"/>
      <c r="F334" s="363">
        <f t="shared" si="77"/>
        <v>876505</v>
      </c>
      <c r="H334" s="113">
        <f>(VLOOKUP($D334,comp,AA$372))*$F334</f>
        <v>308442.1095</v>
      </c>
      <c r="J334" s="113">
        <f>(VLOOKUP($D334,comp,AC$372))*$F334</f>
        <v>137786.586</v>
      </c>
      <c r="K334" s="113"/>
      <c r="L334" s="113">
        <f>(VLOOKUP($D334,comp,AE$372))*$F334</f>
        <v>144710.9755</v>
      </c>
      <c r="M334" s="113"/>
      <c r="N334" s="113">
        <f>(VLOOKUP($D334,comp,AG$372))*$F334</f>
        <v>6135.535</v>
      </c>
      <c r="P334" s="113">
        <f>(VLOOKUP($D334,comp,AI$372))*$F334</f>
        <v>0</v>
      </c>
      <c r="Q334" s="113"/>
      <c r="R334" s="113">
        <f>(VLOOKUP($D334,comp,AK$372))*$F334</f>
        <v>183014.244</v>
      </c>
      <c r="S334" s="113"/>
      <c r="T334" s="113">
        <f>(VLOOKUP($D334,comp,AM$372))*$F334</f>
        <v>58725.83500000001</v>
      </c>
      <c r="V334" s="113">
        <f>(VLOOKUP($D334,comp,AO$372))*$F334</f>
        <v>16302.992999999999</v>
      </c>
      <c r="W334" s="113"/>
      <c r="X334" s="113">
        <f>(VLOOKUP($D334,comp,AQ$372))*$F334</f>
        <v>21386.722</v>
      </c>
      <c r="Z334" s="126">
        <f t="shared" si="76"/>
        <v>0</v>
      </c>
    </row>
    <row r="335" spans="1:26" ht="12.75">
      <c r="A335" s="228">
        <v>-173794</v>
      </c>
      <c r="B335" s="106" t="s">
        <v>78</v>
      </c>
      <c r="D335" s="367">
        <v>15</v>
      </c>
      <c r="E335" s="368"/>
      <c r="F335" s="363">
        <f t="shared" si="77"/>
        <v>-173794</v>
      </c>
      <c r="G335" s="185"/>
      <c r="H335" s="114">
        <f>(VLOOKUP($D335,comp,AA$372))*$F335</f>
        <v>-61158.1086</v>
      </c>
      <c r="I335" s="186"/>
      <c r="J335" s="114">
        <f>(VLOOKUP($D335,comp,AC$372))*$F335</f>
        <v>-27320.416800000003</v>
      </c>
      <c r="K335" s="186"/>
      <c r="L335" s="114">
        <f>(VLOOKUP($D335,comp,AE$372))*$F335</f>
        <v>-28693.3894</v>
      </c>
      <c r="M335" s="186"/>
      <c r="N335" s="114">
        <f>(VLOOKUP($D335,comp,AG$372))*$F335</f>
        <v>-1216.558</v>
      </c>
      <c r="O335" s="186"/>
      <c r="P335" s="114">
        <f>(VLOOKUP($D335,comp,AI$372))*$F335</f>
        <v>0</v>
      </c>
      <c r="Q335" s="186"/>
      <c r="R335" s="114">
        <f>(VLOOKUP($D335,comp,AK$372))*$F335</f>
        <v>-36288.1872</v>
      </c>
      <c r="S335" s="186"/>
      <c r="T335" s="114">
        <f>(VLOOKUP($D335,comp,AM$372))*$F335</f>
        <v>-11644.198</v>
      </c>
      <c r="U335" s="186"/>
      <c r="V335" s="114">
        <f>(VLOOKUP($D335,comp,AO$372))*$F335</f>
        <v>-3232.5683999999997</v>
      </c>
      <c r="W335" s="186"/>
      <c r="X335" s="114">
        <f>(VLOOKUP($D335,comp,AQ$372))*$F335</f>
        <v>-4240.573600000001</v>
      </c>
      <c r="Z335" s="126">
        <f t="shared" si="76"/>
        <v>0</v>
      </c>
    </row>
    <row r="336" spans="1:26" ht="12.75">
      <c r="A336" s="228">
        <v>-1282042</v>
      </c>
      <c r="B336" s="371" t="s">
        <v>344</v>
      </c>
      <c r="D336" s="367">
        <v>17</v>
      </c>
      <c r="E336" s="368"/>
      <c r="F336" s="363">
        <f t="shared" si="77"/>
        <v>-1282042</v>
      </c>
      <c r="G336" s="185"/>
      <c r="H336" s="114">
        <f>(VLOOKUP($D336,comp,AA$372))*$F336</f>
        <v>-469996.59719999996</v>
      </c>
      <c r="I336" s="186"/>
      <c r="J336" s="114">
        <f>(VLOOKUP($D336,comp,AC$372))*$F336</f>
        <v>-189742.216</v>
      </c>
      <c r="K336" s="186"/>
      <c r="L336" s="114">
        <f>(VLOOKUP($D336,comp,AE$372))*$F336</f>
        <v>-262562.20160000003</v>
      </c>
      <c r="M336" s="186"/>
      <c r="N336" s="114">
        <f>(VLOOKUP($D336,comp,AG$372))*$F336</f>
        <v>-101153.11379999999</v>
      </c>
      <c r="O336" s="186"/>
      <c r="P336" s="114">
        <f>(VLOOKUP($D336,comp,AI$372))*$F336</f>
        <v>-131665.7134</v>
      </c>
      <c r="Q336" s="186"/>
      <c r="R336" s="114">
        <f>(VLOOKUP($D336,comp,AK$372))*$F336</f>
        <v>-8333.273</v>
      </c>
      <c r="S336" s="186"/>
      <c r="T336" s="114">
        <f>(VLOOKUP($D336,comp,AM$372))*$F336</f>
        <v>-2692.2882</v>
      </c>
      <c r="U336" s="186"/>
      <c r="V336" s="114">
        <f>(VLOOKUP($D336,comp,AO$372))*$F336</f>
        <v>-32948.479400000004</v>
      </c>
      <c r="W336" s="186"/>
      <c r="X336" s="114">
        <f>(VLOOKUP($D336,comp,AQ$372))*$F336</f>
        <v>-82948.11739999999</v>
      </c>
      <c r="Z336" s="126">
        <f t="shared" si="76"/>
        <v>0</v>
      </c>
    </row>
    <row r="337" spans="1:26" ht="12.75">
      <c r="A337" s="228">
        <v>280234090</v>
      </c>
      <c r="B337" s="65"/>
      <c r="D337" s="367"/>
      <c r="E337" s="368"/>
      <c r="F337" s="363"/>
      <c r="H337" s="105"/>
      <c r="I337" s="105"/>
      <c r="J337" s="117"/>
      <c r="Z337" s="126">
        <f t="shared" si="76"/>
        <v>0</v>
      </c>
    </row>
    <row r="338" spans="2:26" ht="12.75">
      <c r="B338" s="65" t="s">
        <v>563</v>
      </c>
      <c r="D338" s="367"/>
      <c r="E338" s="368"/>
      <c r="F338" s="363">
        <f>SUM(F295:F337)</f>
        <v>280234090</v>
      </c>
      <c r="G338" s="113"/>
      <c r="H338" s="113">
        <f>SUM(H295:H337)</f>
        <v>102745503.39736894</v>
      </c>
      <c r="I338" s="113"/>
      <c r="J338" s="113">
        <f>SUM(J295:J337)</f>
        <v>41470509.452086724</v>
      </c>
      <c r="K338" s="113"/>
      <c r="L338" s="113">
        <f>SUM(L295:L337)</f>
        <v>57405416.51995973</v>
      </c>
      <c r="M338" s="113"/>
      <c r="N338" s="113">
        <f>SUM(N295:N337)</f>
        <v>22104040.939400002</v>
      </c>
      <c r="O338" s="113"/>
      <c r="P338" s="113">
        <f>SUM(P295:P337)</f>
        <v>28773352.628200002</v>
      </c>
      <c r="Q338" s="113"/>
      <c r="R338" s="113">
        <f>SUM(R295:R337)</f>
        <v>1819007.8782000002</v>
      </c>
      <c r="S338" s="113"/>
      <c r="T338" s="113">
        <f>SUM(T295:T337)</f>
        <v>583668.7166000002</v>
      </c>
      <c r="U338" s="113"/>
      <c r="V338" s="113">
        <f>SUM(V295:V337)</f>
        <v>7197863.312253662</v>
      </c>
      <c r="W338" s="113"/>
      <c r="X338" s="113">
        <f>SUM(X295:X337)</f>
        <v>18134727.15593092</v>
      </c>
      <c r="Z338" s="126">
        <f t="shared" si="76"/>
        <v>0</v>
      </c>
    </row>
    <row r="339" spans="2:26" ht="12.75">
      <c r="B339" s="65"/>
      <c r="D339" s="367"/>
      <c r="E339" s="368"/>
      <c r="F339" s="366"/>
      <c r="H339" s="105"/>
      <c r="I339" s="105"/>
      <c r="J339" s="117"/>
      <c r="Z339" s="126">
        <f t="shared" si="76"/>
        <v>0</v>
      </c>
    </row>
    <row r="340" spans="2:26" ht="12.75">
      <c r="B340" s="395" t="s">
        <v>562</v>
      </c>
      <c r="D340" s="367"/>
      <c r="E340" s="368"/>
      <c r="F340" s="366"/>
      <c r="Z340" s="126">
        <f aca="true" t="shared" si="105" ref="Z340:Z364">SUM(H339:X339)-F339</f>
        <v>0</v>
      </c>
    </row>
    <row r="341" spans="1:26" ht="12.75">
      <c r="A341" s="126">
        <v>38065</v>
      </c>
      <c r="B341" s="371" t="s">
        <v>486</v>
      </c>
      <c r="D341" s="367">
        <v>17</v>
      </c>
      <c r="E341" s="368"/>
      <c r="F341" s="363">
        <f>+A341</f>
        <v>38065</v>
      </c>
      <c r="H341" s="113">
        <f>(VLOOKUP($D341,comp,AA$372))*$F341</f>
        <v>13954.628999999999</v>
      </c>
      <c r="J341" s="113">
        <f>(VLOOKUP($D341,comp,AC$372))*$F341</f>
        <v>5633.62</v>
      </c>
      <c r="K341" s="113"/>
      <c r="L341" s="113">
        <f>(VLOOKUP($D341,comp,AE$372))*$F341</f>
        <v>7795.712</v>
      </c>
      <c r="M341" s="113"/>
      <c r="N341" s="113">
        <f>(VLOOKUP($D341,comp,AG$372))*$F341</f>
        <v>3003.3285</v>
      </c>
      <c r="P341" s="113">
        <f>(VLOOKUP($D341,comp,AI$372))*$F341</f>
        <v>3909.2755</v>
      </c>
      <c r="Q341" s="113"/>
      <c r="R341" s="113">
        <f>(VLOOKUP($D341,comp,AK$372))*$F341</f>
        <v>247.42249999999999</v>
      </c>
      <c r="S341" s="113"/>
      <c r="T341" s="113">
        <f>(VLOOKUP($D341,comp,AM$372))*$F341</f>
        <v>79.9365</v>
      </c>
      <c r="V341" s="113">
        <f>(VLOOKUP($D341,comp,AO$372))*$F341</f>
        <v>978.2705</v>
      </c>
      <c r="W341" s="113"/>
      <c r="X341" s="113">
        <f>(VLOOKUP($D341,comp,AQ$372))*$F341</f>
        <v>2462.8055</v>
      </c>
      <c r="Z341" s="126">
        <f t="shared" si="105"/>
        <v>0</v>
      </c>
    </row>
    <row r="342" spans="1:26" ht="12.75">
      <c r="A342" s="126">
        <v>-7674</v>
      </c>
      <c r="B342" s="371" t="s">
        <v>483</v>
      </c>
      <c r="D342" s="367">
        <v>17</v>
      </c>
      <c r="E342" s="368"/>
      <c r="F342" s="363">
        <f>+A342</f>
        <v>-7674</v>
      </c>
      <c r="H342" s="113">
        <f>(VLOOKUP($D342,comp,AA$372))*$F342</f>
        <v>-2813.2884</v>
      </c>
      <c r="J342" s="113">
        <f>(VLOOKUP($D342,comp,AC$372))*$F342</f>
        <v>-1135.752</v>
      </c>
      <c r="K342" s="113"/>
      <c r="L342" s="113">
        <f>(VLOOKUP($D342,comp,AE$372))*$F342</f>
        <v>-1571.6352000000002</v>
      </c>
      <c r="M342" s="113"/>
      <c r="N342" s="113">
        <f>(VLOOKUP($D342,comp,AG$372))*$F342</f>
        <v>-605.4786</v>
      </c>
      <c r="P342" s="113">
        <f>(VLOOKUP($D342,comp,AI$372))*$F342</f>
        <v>-788.1197999999999</v>
      </c>
      <c r="Q342" s="113"/>
      <c r="R342" s="113">
        <f>(VLOOKUP($D342,comp,AK$372))*$F342</f>
        <v>-49.881</v>
      </c>
      <c r="S342" s="113"/>
      <c r="T342" s="113">
        <f>(VLOOKUP($D342,comp,AM$372))*$F342</f>
        <v>-16.115399999999998</v>
      </c>
      <c r="V342" s="113">
        <f>(VLOOKUP($D342,comp,AO$372))*$F342</f>
        <v>-197.2218</v>
      </c>
      <c r="W342" s="113"/>
      <c r="X342" s="113">
        <f>(VLOOKUP($D342,comp,AQ$372))*$F342</f>
        <v>-496.5078</v>
      </c>
      <c r="Z342" s="126">
        <f t="shared" si="105"/>
        <v>0</v>
      </c>
    </row>
    <row r="343" spans="2:26" ht="12.75">
      <c r="B343" s="371" t="s">
        <v>378</v>
      </c>
      <c r="D343" s="367"/>
      <c r="E343" s="368"/>
      <c r="F343" s="363"/>
      <c r="H343" s="113"/>
      <c r="J343" s="113"/>
      <c r="K343" s="113"/>
      <c r="L343" s="113"/>
      <c r="M343" s="113"/>
      <c r="N343" s="113"/>
      <c r="P343" s="113"/>
      <c r="Q343" s="113"/>
      <c r="R343" s="113"/>
      <c r="S343" s="113"/>
      <c r="T343" s="113"/>
      <c r="V343" s="113"/>
      <c r="W343" s="113"/>
      <c r="X343" s="113"/>
      <c r="Z343" s="126">
        <f t="shared" si="105"/>
        <v>0</v>
      </c>
    </row>
    <row r="344" spans="1:26" ht="12.75">
      <c r="A344" s="363">
        <v>-48551287</v>
      </c>
      <c r="B344" s="371" t="s">
        <v>434</v>
      </c>
      <c r="D344" s="367">
        <v>7</v>
      </c>
      <c r="E344" s="368"/>
      <c r="F344" s="363">
        <f>+A344</f>
        <v>-48551287</v>
      </c>
      <c r="H344" s="113">
        <f>(VLOOKUP($D344,Factors,AA$394))*$F344</f>
        <v>-19264469.45468926</v>
      </c>
      <c r="J344" s="113">
        <f>(VLOOKUP($D344,Factors,AC$394))*$F344</f>
        <v>-3668406.0275243293</v>
      </c>
      <c r="L344" s="113">
        <f>(VLOOKUP($D344,Factors,AE$394))*$F344</f>
        <v>-20430683.865078345</v>
      </c>
      <c r="N344" s="113">
        <f>(VLOOKUP($D344,Factors,AG$394))*$F344</f>
        <v>0</v>
      </c>
      <c r="P344" s="113">
        <f>(VLOOKUP($D344,Factors,AI$394))*$F344</f>
        <v>0</v>
      </c>
      <c r="R344" s="113">
        <f>(VLOOKUP($D344,Factors,AK$394))*$F344</f>
        <v>0</v>
      </c>
      <c r="T344" s="113">
        <f>(VLOOKUP($D344,Factors,AM$394))*$F344</f>
        <v>0</v>
      </c>
      <c r="V344" s="113">
        <f>(VLOOKUP($D344,Factors,AO$394))*$F344</f>
        <v>-2245201.6838107524</v>
      </c>
      <c r="X344" s="113">
        <f>(VLOOKUP($D344,Factors,AQ$394))*$F344</f>
        <v>-2942525.9688973078</v>
      </c>
      <c r="Z344" s="126">
        <f t="shared" si="105"/>
        <v>0</v>
      </c>
    </row>
    <row r="345" spans="1:26" ht="12.75">
      <c r="A345" s="363">
        <v>-526155</v>
      </c>
      <c r="B345" s="371" t="s">
        <v>441</v>
      </c>
      <c r="D345" s="367">
        <v>9</v>
      </c>
      <c r="E345" s="368"/>
      <c r="F345" s="363">
        <f>+A345</f>
        <v>-526155</v>
      </c>
      <c r="H345" s="113">
        <f>(VLOOKUP($D345,Factors,AA$394))*$F345</f>
        <v>0</v>
      </c>
      <c r="J345" s="113">
        <f>(VLOOKUP($D345,Factors,AC$394))*$F345</f>
        <v>0</v>
      </c>
      <c r="L345" s="113">
        <f>(VLOOKUP($D345,Factors,AE$394))*$F345</f>
        <v>0</v>
      </c>
      <c r="N345" s="113">
        <f>(VLOOKUP($D345,Factors,AG$394))*$F345</f>
        <v>-526155</v>
      </c>
      <c r="P345" s="113">
        <f>(VLOOKUP($D345,Factors,AI$394))*$F345</f>
        <v>0</v>
      </c>
      <c r="R345" s="113">
        <f>(VLOOKUP($D345,Factors,AK$394))*$F345</f>
        <v>0</v>
      </c>
      <c r="T345" s="113">
        <f>(VLOOKUP($D345,Factors,AM$394))*$F345</f>
        <v>0</v>
      </c>
      <c r="V345" s="113">
        <f>(VLOOKUP($D345,Factors,AO$394))*$F345</f>
        <v>0</v>
      </c>
      <c r="X345" s="113">
        <f>(VLOOKUP($D345,Factors,AQ$394))*$F345</f>
        <v>0</v>
      </c>
      <c r="Z345" s="126">
        <f t="shared" si="105"/>
        <v>0</v>
      </c>
    </row>
    <row r="346" spans="1:26" ht="12.75">
      <c r="A346" s="363">
        <v>-17460970</v>
      </c>
      <c r="B346" s="371" t="s">
        <v>435</v>
      </c>
      <c r="D346" s="367">
        <v>10</v>
      </c>
      <c r="E346" s="368"/>
      <c r="F346" s="363">
        <f>+A346</f>
        <v>-17460970</v>
      </c>
      <c r="H346" s="113">
        <f>(VLOOKUP($D346,Factors,AA$394))*$F346</f>
        <v>0</v>
      </c>
      <c r="J346" s="113">
        <f>(VLOOKUP($D346,Factors,AC$394))*$F346</f>
        <v>0</v>
      </c>
      <c r="L346" s="113">
        <f>(VLOOKUP($D346,Factors,AE$394))*$F346</f>
        <v>0</v>
      </c>
      <c r="N346" s="113">
        <f>(VLOOKUP($D346,Factors,AG$394))*$F346</f>
        <v>0</v>
      </c>
      <c r="P346" s="113">
        <f>(VLOOKUP($D346,Factors,AI$394))*$F346</f>
        <v>-17460970</v>
      </c>
      <c r="R346" s="113">
        <f>(VLOOKUP($D346,Factors,AK$394))*$F346</f>
        <v>0</v>
      </c>
      <c r="T346" s="113">
        <f>(VLOOKUP($D346,Factors,AM$394))*$F346</f>
        <v>0</v>
      </c>
      <c r="V346" s="113">
        <f>(VLOOKUP($D346,Factors,AO$394))*$F346</f>
        <v>0</v>
      </c>
      <c r="X346" s="113">
        <f>(VLOOKUP($D346,Factors,AQ$394))*$F346</f>
        <v>0</v>
      </c>
      <c r="Z346" s="126">
        <f t="shared" si="105"/>
        <v>0</v>
      </c>
    </row>
    <row r="347" spans="1:26" ht="12.75">
      <c r="A347" s="363">
        <v>-1405305</v>
      </c>
      <c r="B347" s="371" t="s">
        <v>436</v>
      </c>
      <c r="D347" s="367">
        <v>13</v>
      </c>
      <c r="E347" s="368"/>
      <c r="F347" s="363">
        <f>+A347</f>
        <v>-1405305</v>
      </c>
      <c r="H347" s="113">
        <f>(VLOOKUP($D347,Factors,AA$394))*$F347</f>
        <v>0</v>
      </c>
      <c r="J347" s="113">
        <f>(VLOOKUP($D347,Factors,AC$394))*$F347</f>
        <v>0</v>
      </c>
      <c r="L347" s="113">
        <f>(VLOOKUP($D347,Factors,AE$394))*$F347</f>
        <v>0</v>
      </c>
      <c r="N347" s="113">
        <f>(VLOOKUP($D347,Factors,AG$394))*$F347</f>
        <v>0</v>
      </c>
      <c r="P347" s="113">
        <f>(VLOOKUP($D347,Factors,AI$394))*$F347</f>
        <v>0</v>
      </c>
      <c r="R347" s="113">
        <f>(VLOOKUP($D347,Factors,AK$394))*$F347</f>
        <v>0</v>
      </c>
      <c r="T347" s="113">
        <f>(VLOOKUP($D347,Factors,AM$394))*$F347</f>
        <v>0</v>
      </c>
      <c r="V347" s="113">
        <f>(VLOOKUP($D347,Factors,AO$394))*$F347</f>
        <v>0</v>
      </c>
      <c r="X347" s="113">
        <f>(VLOOKUP($D347,Factors,AQ$394))*$F347</f>
        <v>-1405305</v>
      </c>
      <c r="Z347" s="126">
        <f t="shared" si="105"/>
        <v>0</v>
      </c>
    </row>
    <row r="348" spans="1:26" ht="12.75">
      <c r="A348" s="126">
        <v>23186818</v>
      </c>
      <c r="B348" s="371" t="s">
        <v>482</v>
      </c>
      <c r="D348" s="367">
        <v>15</v>
      </c>
      <c r="E348" s="368"/>
      <c r="F348" s="363">
        <f>+A348</f>
        <v>23186818</v>
      </c>
      <c r="H348" s="113">
        <f>(VLOOKUP($D348,comp,AA$372))*$F348</f>
        <v>8159441.254199999</v>
      </c>
      <c r="J348" s="113">
        <f>(VLOOKUP($D348,comp,AC$372))*$F348</f>
        <v>3644967.7896000003</v>
      </c>
      <c r="K348" s="113"/>
      <c r="L348" s="113">
        <f>(VLOOKUP($D348,comp,AE$372))*$F348</f>
        <v>3828143.6518</v>
      </c>
      <c r="M348" s="113"/>
      <c r="N348" s="113">
        <f>(VLOOKUP($D348,comp,AG$372))*$F348</f>
        <v>162307.726</v>
      </c>
      <c r="P348" s="113">
        <f>(VLOOKUP($D348,comp,AI$372))*$F348</f>
        <v>0</v>
      </c>
      <c r="Q348" s="113"/>
      <c r="R348" s="113">
        <f>(VLOOKUP($D348,comp,AK$372))*$F348</f>
        <v>4841407.5984000005</v>
      </c>
      <c r="S348" s="113"/>
      <c r="T348" s="113">
        <f>(VLOOKUP($D348,comp,AM$372))*$F348</f>
        <v>1553516.806</v>
      </c>
      <c r="V348" s="113">
        <f>(VLOOKUP($D348,comp,AO$372))*$F348</f>
        <v>431274.8148</v>
      </c>
      <c r="W348" s="113"/>
      <c r="X348" s="113">
        <f>(VLOOKUP($D348,comp,AQ$372))*$F348</f>
        <v>565758.3592000001</v>
      </c>
      <c r="Z348" s="126">
        <f t="shared" si="105"/>
        <v>0</v>
      </c>
    </row>
    <row r="349" spans="1:26" ht="12.75">
      <c r="A349" s="370">
        <v>4403000</v>
      </c>
      <c r="B349" s="371" t="s">
        <v>481</v>
      </c>
      <c r="D349" s="367">
        <v>15</v>
      </c>
      <c r="E349" s="368"/>
      <c r="F349" s="363">
        <f aca="true" t="shared" si="106" ref="F349:F360">+A349</f>
        <v>4403000</v>
      </c>
      <c r="H349" s="113">
        <f>(VLOOKUP($D349,comp,AA$372))*$F349</f>
        <v>1549415.7</v>
      </c>
      <c r="J349" s="113">
        <f>(VLOOKUP($D349,comp,AC$372))*$F349</f>
        <v>692151.6</v>
      </c>
      <c r="K349" s="113"/>
      <c r="L349" s="113">
        <f>(VLOOKUP($D349,comp,AE$372))*$F349</f>
        <v>726935.2999999999</v>
      </c>
      <c r="M349" s="113"/>
      <c r="N349" s="113">
        <f>(VLOOKUP($D349,comp,AG$372))*$F349</f>
        <v>30821</v>
      </c>
      <c r="P349" s="113">
        <f>(VLOOKUP($D349,comp,AI$372))*$F349</f>
        <v>0</v>
      </c>
      <c r="Q349" s="113"/>
      <c r="R349" s="113">
        <f>(VLOOKUP($D349,comp,AK$372))*$F349</f>
        <v>919346.4</v>
      </c>
      <c r="S349" s="113"/>
      <c r="T349" s="113">
        <f>(VLOOKUP($D349,comp,AM$372))*$F349</f>
        <v>295001</v>
      </c>
      <c r="V349" s="113">
        <f>(VLOOKUP($D349,comp,AO$372))*$F349</f>
        <v>81895.79999999999</v>
      </c>
      <c r="W349" s="113"/>
      <c r="X349" s="113">
        <f>(VLOOKUP($D349,comp,AQ$372))*$F349</f>
        <v>107433.20000000001</v>
      </c>
      <c r="Z349" s="126">
        <f t="shared" si="105"/>
        <v>0</v>
      </c>
    </row>
    <row r="350" spans="1:26" ht="12.75">
      <c r="A350" s="126">
        <v>523761</v>
      </c>
      <c r="B350" s="371" t="s">
        <v>480</v>
      </c>
      <c r="D350" s="367">
        <v>15</v>
      </c>
      <c r="E350" s="368"/>
      <c r="F350" s="363">
        <f t="shared" si="106"/>
        <v>523761</v>
      </c>
      <c r="H350" s="113">
        <f>(VLOOKUP($D350,comp,AA$372))*$F350</f>
        <v>184311.4959</v>
      </c>
      <c r="J350" s="113">
        <f>(VLOOKUP($D350,comp,AC$372))*$F350</f>
        <v>82335.2292</v>
      </c>
      <c r="K350" s="113"/>
      <c r="L350" s="113">
        <f>(VLOOKUP($D350,comp,AE$372))*$F350</f>
        <v>86472.9411</v>
      </c>
      <c r="M350" s="113"/>
      <c r="N350" s="113">
        <f>(VLOOKUP($D350,comp,AG$372))*$F350</f>
        <v>3666.327</v>
      </c>
      <c r="P350" s="113">
        <f>(VLOOKUP($D350,comp,AI$372))*$F350</f>
        <v>0</v>
      </c>
      <c r="Q350" s="113"/>
      <c r="R350" s="113">
        <f>(VLOOKUP($D350,comp,AK$372))*$F350</f>
        <v>109361.29680000001</v>
      </c>
      <c r="S350" s="113"/>
      <c r="T350" s="113">
        <f>(VLOOKUP($D350,comp,AM$372))*$F350</f>
        <v>35091.987</v>
      </c>
      <c r="V350" s="113">
        <f>(VLOOKUP($D350,comp,AO$372))*$F350</f>
        <v>9741.9546</v>
      </c>
      <c r="W350" s="113"/>
      <c r="X350" s="113">
        <f>(VLOOKUP($D350,comp,AQ$372))*$F350</f>
        <v>12779.7684</v>
      </c>
      <c r="Z350" s="126">
        <f t="shared" si="105"/>
        <v>0</v>
      </c>
    </row>
    <row r="351" spans="1:26" ht="12.75">
      <c r="A351" s="126">
        <v>-30854190</v>
      </c>
      <c r="B351" s="371" t="s">
        <v>479</v>
      </c>
      <c r="D351" s="367">
        <v>17</v>
      </c>
      <c r="E351" s="368"/>
      <c r="F351" s="363">
        <f t="shared" si="106"/>
        <v>-30854190</v>
      </c>
      <c r="H351" s="113">
        <f>(VLOOKUP($D351,comp,AA$372))*$F351</f>
        <v>-11311146.054</v>
      </c>
      <c r="J351" s="113">
        <f>(VLOOKUP($D351,comp,AC$372))*$F351</f>
        <v>-4566420.12</v>
      </c>
      <c r="K351" s="113"/>
      <c r="L351" s="113">
        <f>(VLOOKUP($D351,comp,AE$372))*$F351</f>
        <v>-6318938.112000001</v>
      </c>
      <c r="M351" s="113"/>
      <c r="N351" s="113">
        <f>(VLOOKUP($D351,comp,AG$372))*$F351</f>
        <v>-2434395.591</v>
      </c>
      <c r="P351" s="113">
        <f>(VLOOKUP($D351,comp,AI$372))*$F351</f>
        <v>-3168725.313</v>
      </c>
      <c r="Q351" s="113"/>
      <c r="R351" s="113">
        <f>(VLOOKUP($D351,comp,AK$372))*$F351</f>
        <v>-200552.235</v>
      </c>
      <c r="S351" s="113"/>
      <c r="T351" s="113">
        <f>(VLOOKUP($D351,comp,AM$372))*$F351</f>
        <v>-64793.799</v>
      </c>
      <c r="V351" s="113">
        <f>(VLOOKUP($D351,comp,AO$372))*$F351</f>
        <v>-792952.6830000001</v>
      </c>
      <c r="W351" s="113"/>
      <c r="X351" s="113">
        <f>(VLOOKUP($D351,comp,AQ$372))*$F351</f>
        <v>-1996266.0929999999</v>
      </c>
      <c r="Z351" s="126">
        <f t="shared" si="105"/>
        <v>0</v>
      </c>
    </row>
    <row r="352" spans="1:26" ht="12.75">
      <c r="A352" s="126">
        <v>-94805</v>
      </c>
      <c r="B352" s="371" t="s">
        <v>478</v>
      </c>
      <c r="D352" s="367">
        <v>17</v>
      </c>
      <c r="E352" s="368"/>
      <c r="F352" s="363">
        <f t="shared" si="106"/>
        <v>-94805</v>
      </c>
      <c r="H352" s="113">
        <f>(VLOOKUP($D352,comp,AA$372))*$F352</f>
        <v>-34755.513</v>
      </c>
      <c r="J352" s="113">
        <f>(VLOOKUP($D352,comp,AC$372))*$F352</f>
        <v>-14031.14</v>
      </c>
      <c r="K352" s="113"/>
      <c r="L352" s="113">
        <f>(VLOOKUP($D352,comp,AE$372))*$F352</f>
        <v>-19416.064000000002</v>
      </c>
      <c r="M352" s="113"/>
      <c r="N352" s="113">
        <f>(VLOOKUP($D352,comp,AG$372))*$F352</f>
        <v>-7480.1145</v>
      </c>
      <c r="P352" s="113">
        <f>(VLOOKUP($D352,comp,AI$372))*$F352</f>
        <v>-9736.4735</v>
      </c>
      <c r="Q352" s="113"/>
      <c r="R352" s="113">
        <f>(VLOOKUP($D352,comp,AK$372))*$F352</f>
        <v>-616.2325</v>
      </c>
      <c r="S352" s="113"/>
      <c r="T352" s="113">
        <f>(VLOOKUP($D352,comp,AM$372))*$F352</f>
        <v>-199.0905</v>
      </c>
      <c r="V352" s="113">
        <f>(VLOOKUP($D352,comp,AO$372))*$F352</f>
        <v>-2436.4885</v>
      </c>
      <c r="W352" s="113"/>
      <c r="X352" s="113">
        <f>(VLOOKUP($D352,comp,AQ$372))*$F352</f>
        <v>-6133.883499999999</v>
      </c>
      <c r="Z352" s="126">
        <f t="shared" si="105"/>
        <v>0</v>
      </c>
    </row>
    <row r="353" spans="1:26" ht="12.75">
      <c r="A353" s="126">
        <v>1741451</v>
      </c>
      <c r="B353" s="371" t="s">
        <v>477</v>
      </c>
      <c r="D353" s="367"/>
      <c r="E353" s="368"/>
      <c r="F353" s="363"/>
      <c r="H353" s="113"/>
      <c r="J353" s="113"/>
      <c r="K353" s="113"/>
      <c r="L353" s="113"/>
      <c r="M353" s="113"/>
      <c r="N353" s="113"/>
      <c r="P353" s="113"/>
      <c r="Q353" s="113"/>
      <c r="R353" s="113"/>
      <c r="S353" s="113"/>
      <c r="T353" s="113"/>
      <c r="V353" s="113"/>
      <c r="W353" s="113"/>
      <c r="X353" s="113"/>
      <c r="Z353" s="126">
        <f t="shared" si="105"/>
        <v>0</v>
      </c>
    </row>
    <row r="354" spans="1:26" ht="12.75">
      <c r="A354">
        <v>625158</v>
      </c>
      <c r="B354" s="371" t="s">
        <v>439</v>
      </c>
      <c r="D354" s="367">
        <v>2</v>
      </c>
      <c r="E354" s="368"/>
      <c r="F354" s="363">
        <f t="shared" si="106"/>
        <v>625158</v>
      </c>
      <c r="H354" s="113">
        <f>(VLOOKUP($D354,Factors,AA$394))*$F354</f>
        <v>378908.26379999996</v>
      </c>
      <c r="J354" s="113">
        <f>(VLOOKUP($D354,Factors,AC$394))*$F354</f>
        <v>246249.73619999998</v>
      </c>
      <c r="L354" s="113">
        <f>(VLOOKUP($D354,Factors,AE$394))*$F354</f>
        <v>0</v>
      </c>
      <c r="N354" s="113">
        <f>(VLOOKUP($D354,Factors,AG$394))*$F354</f>
        <v>0</v>
      </c>
      <c r="P354" s="113">
        <f>(VLOOKUP($D354,Factors,AI$394))*$F354</f>
        <v>0</v>
      </c>
      <c r="R354" s="113">
        <f>(VLOOKUP($D354,Factors,AK$394))*$F354</f>
        <v>0</v>
      </c>
      <c r="T354" s="113">
        <f>(VLOOKUP($D354,Factors,AM$394))*$F354</f>
        <v>0</v>
      </c>
      <c r="V354" s="113">
        <f>(VLOOKUP($D354,Factors,AO$394))*$F354</f>
        <v>0</v>
      </c>
      <c r="X354" s="113">
        <f>(VLOOKUP($D354,Factors,AQ$394))*$F354</f>
        <v>0</v>
      </c>
      <c r="Z354" s="126">
        <f t="shared" si="105"/>
        <v>0</v>
      </c>
    </row>
    <row r="355" spans="1:26" ht="12.75">
      <c r="A355">
        <v>1116295</v>
      </c>
      <c r="B355" s="371" t="s">
        <v>440</v>
      </c>
      <c r="D355" s="367">
        <v>5</v>
      </c>
      <c r="E355" s="368"/>
      <c r="F355" s="363">
        <f t="shared" si="106"/>
        <v>1116295</v>
      </c>
      <c r="H355" s="113">
        <f>(VLOOKUP($D355,Factors,AA$394))*$F355</f>
        <v>381884.5195</v>
      </c>
      <c r="J355" s="113">
        <f>(VLOOKUP($D355,Factors,AC$394))*$F355</f>
        <v>0</v>
      </c>
      <c r="L355" s="113">
        <f>(VLOOKUP($D355,Factors,AE$394))*$F355</f>
        <v>572770.9645</v>
      </c>
      <c r="N355" s="113">
        <f>(VLOOKUP($D355,Factors,AG$394))*$F355</f>
        <v>0</v>
      </c>
      <c r="P355" s="113">
        <f>(VLOOKUP($D355,Factors,AI$394))*$F355</f>
        <v>0</v>
      </c>
      <c r="R355" s="113">
        <f>(VLOOKUP($D355,Factors,AK$394))*$F355</f>
        <v>0</v>
      </c>
      <c r="T355" s="113">
        <f>(VLOOKUP($D355,Factors,AM$394))*$F355</f>
        <v>0</v>
      </c>
      <c r="V355" s="113">
        <f>(VLOOKUP($D355,Factors,AO$394))*$F355</f>
        <v>69880.06700000001</v>
      </c>
      <c r="X355" s="113">
        <f>(VLOOKUP($D355,Factors,AQ$394))*$F355</f>
        <v>91759.449</v>
      </c>
      <c r="Z355" s="126">
        <f t="shared" si="105"/>
        <v>0</v>
      </c>
    </row>
    <row r="356" spans="1:26" ht="12.75">
      <c r="A356" s="126">
        <v>1897923</v>
      </c>
      <c r="B356" s="371" t="s">
        <v>476</v>
      </c>
      <c r="D356" s="367"/>
      <c r="E356" s="368"/>
      <c r="F356" s="363"/>
      <c r="H356" s="113"/>
      <c r="J356" s="113"/>
      <c r="K356" s="113"/>
      <c r="L356" s="113"/>
      <c r="M356" s="113"/>
      <c r="N356" s="113"/>
      <c r="P356" s="113"/>
      <c r="Q356" s="113"/>
      <c r="R356" s="113"/>
      <c r="S356" s="113"/>
      <c r="T356" s="113"/>
      <c r="V356" s="113"/>
      <c r="W356" s="113"/>
      <c r="X356" s="113"/>
      <c r="Z356" s="126">
        <f t="shared" si="105"/>
        <v>0</v>
      </c>
    </row>
    <row r="357" spans="1:26" ht="12.75">
      <c r="A357">
        <v>1859858</v>
      </c>
      <c r="B357" s="371" t="s">
        <v>438</v>
      </c>
      <c r="D357" s="367">
        <v>2</v>
      </c>
      <c r="E357" s="368"/>
      <c r="F357" s="363">
        <f t="shared" si="106"/>
        <v>1859858</v>
      </c>
      <c r="H357" s="113">
        <f>(VLOOKUP($D357,Factors,AA$394))*$F357</f>
        <v>1127259.9338</v>
      </c>
      <c r="J357" s="113">
        <f>(VLOOKUP($D357,Factors,AC$394))*$F357</f>
        <v>732598.0662</v>
      </c>
      <c r="L357" s="113">
        <f>(VLOOKUP($D357,Factors,AE$394))*$F357</f>
        <v>0</v>
      </c>
      <c r="N357" s="113">
        <f>(VLOOKUP($D357,Factors,AG$394))*$F357</f>
        <v>0</v>
      </c>
      <c r="P357" s="113">
        <f>(VLOOKUP($D357,Factors,AI$394))*$F357</f>
        <v>0</v>
      </c>
      <c r="R357" s="113">
        <f>(VLOOKUP($D357,Factors,AK$394))*$F357</f>
        <v>0</v>
      </c>
      <c r="T357" s="113">
        <f>(VLOOKUP($D357,Factors,AM$394))*$F357</f>
        <v>0</v>
      </c>
      <c r="V357" s="113">
        <f>(VLOOKUP($D357,Factors,AO$394))*$F357</f>
        <v>0</v>
      </c>
      <c r="X357" s="113">
        <f>(VLOOKUP($D357,Factors,AQ$394))*$F357</f>
        <v>0</v>
      </c>
      <c r="Z357" s="126">
        <f t="shared" si="105"/>
        <v>0</v>
      </c>
    </row>
    <row r="358" spans="1:26" ht="12.75">
      <c r="A358">
        <v>38065</v>
      </c>
      <c r="B358" s="371" t="s">
        <v>437</v>
      </c>
      <c r="D358" s="367">
        <v>15</v>
      </c>
      <c r="E358" s="368"/>
      <c r="F358" s="363">
        <f t="shared" si="106"/>
        <v>38065</v>
      </c>
      <c r="H358" s="113">
        <f>(VLOOKUP($D358,comp,AA$372))*$F358</f>
        <v>13395.0735</v>
      </c>
      <c r="J358" s="113">
        <f>(VLOOKUP($D358,comp,AC$372))*$F358</f>
        <v>5983.818</v>
      </c>
      <c r="K358" s="113"/>
      <c r="L358" s="113">
        <f>(VLOOKUP($D358,comp,AE$372))*$F358</f>
        <v>6284.5315</v>
      </c>
      <c r="M358" s="113"/>
      <c r="N358" s="113">
        <f>(VLOOKUP($D358,comp,AG$372))*$F358</f>
        <v>266.455</v>
      </c>
      <c r="P358" s="113">
        <f>(VLOOKUP($D358,comp,AI$372))*$F358</f>
        <v>0</v>
      </c>
      <c r="Q358" s="113"/>
      <c r="R358" s="113">
        <f>(VLOOKUP($D358,comp,AK$372))*$F358</f>
        <v>7947.972000000001</v>
      </c>
      <c r="S358" s="113"/>
      <c r="T358" s="113">
        <f>(VLOOKUP($D358,comp,AM$372))*$F358</f>
        <v>2550.355</v>
      </c>
      <c r="V358" s="113">
        <f>(VLOOKUP($D358,comp,AO$372))*$F358</f>
        <v>708.0089999999999</v>
      </c>
      <c r="W358" s="113"/>
      <c r="X358" s="113">
        <f>(VLOOKUP($D358,comp,AQ$372))*$F358</f>
        <v>928.7860000000001</v>
      </c>
      <c r="Z358" s="126">
        <f t="shared" si="105"/>
        <v>0</v>
      </c>
    </row>
    <row r="359" spans="1:26" ht="12.75">
      <c r="A359" s="126">
        <v>-1552510.4166666667</v>
      </c>
      <c r="B359" s="371" t="s">
        <v>485</v>
      </c>
      <c r="D359" s="367">
        <v>17</v>
      </c>
      <c r="E359" s="368"/>
      <c r="F359" s="363">
        <f t="shared" si="106"/>
        <v>-1552510.4166666667</v>
      </c>
      <c r="H359" s="113">
        <f>(VLOOKUP($D359,comp,AA$372))*$F359</f>
        <v>-569150.31875</v>
      </c>
      <c r="J359" s="113">
        <f>(VLOOKUP($D359,comp,AC$372))*$F359</f>
        <v>-229771.54166666666</v>
      </c>
      <c r="K359" s="113"/>
      <c r="L359" s="113">
        <f>(VLOOKUP($D359,comp,AE$372))*$F359</f>
        <v>-317954.13333333336</v>
      </c>
      <c r="M359" s="113"/>
      <c r="N359" s="113">
        <f>(VLOOKUP($D359,comp,AG$372))*$F359</f>
        <v>-122493.07187500001</v>
      </c>
      <c r="P359" s="113">
        <f>(VLOOKUP($D359,comp,AI$372))*$F359</f>
        <v>-159442.81979166667</v>
      </c>
      <c r="Q359" s="113"/>
      <c r="R359" s="113">
        <f>(VLOOKUP($D359,comp,AK$372))*$F359</f>
        <v>-10091.317708333334</v>
      </c>
      <c r="S359" s="113"/>
      <c r="T359" s="113">
        <f>(VLOOKUP($D359,comp,AM$372))*$F359</f>
        <v>-3260.271875</v>
      </c>
      <c r="V359" s="113">
        <f>(VLOOKUP($D359,comp,AO$372))*$F359</f>
        <v>-39899.51770833333</v>
      </c>
      <c r="W359" s="113"/>
      <c r="X359" s="113">
        <f>(VLOOKUP($D359,comp,AQ$372))*$F359</f>
        <v>-100447.42395833333</v>
      </c>
      <c r="Z359" s="126">
        <f t="shared" si="105"/>
        <v>0</v>
      </c>
    </row>
    <row r="360" spans="2:26" ht="12.75">
      <c r="B360" s="371" t="s">
        <v>466</v>
      </c>
      <c r="D360" s="367">
        <v>11</v>
      </c>
      <c r="E360" s="368"/>
      <c r="F360" s="363">
        <f t="shared" si="106"/>
        <v>0</v>
      </c>
      <c r="G360" s="106"/>
      <c r="H360" s="114">
        <f>(VLOOKUP($D360,Factors,AA$394))*$F360</f>
        <v>0</v>
      </c>
      <c r="I360" s="186"/>
      <c r="J360" s="114">
        <f>(VLOOKUP($D360,Factors,AC$394))*$F360</f>
        <v>0</v>
      </c>
      <c r="K360" s="186"/>
      <c r="L360" s="114">
        <f>(VLOOKUP($D360,Factors,AE$394))*$F360</f>
        <v>0</v>
      </c>
      <c r="M360" s="186"/>
      <c r="N360" s="114">
        <f>(VLOOKUP($D360,Factors,AG$394))*$F360</f>
        <v>0</v>
      </c>
      <c r="O360" s="186"/>
      <c r="P360" s="114">
        <f>(VLOOKUP($D360,Factors,AI$394))*$F360</f>
        <v>0</v>
      </c>
      <c r="Q360" s="186"/>
      <c r="R360" s="114">
        <f>(VLOOKUP($D360,Factors,AK$394))*$F360</f>
        <v>0</v>
      </c>
      <c r="S360" s="186"/>
      <c r="T360" s="114">
        <f>(VLOOKUP($D360,Factors,AM$394))*$F360</f>
        <v>0</v>
      </c>
      <c r="U360" s="186"/>
      <c r="V360" s="114">
        <f>(VLOOKUP($D360,Factors,AO$394))*$F360</f>
        <v>0</v>
      </c>
      <c r="W360" s="186"/>
      <c r="X360" s="114">
        <f>(VLOOKUP($D360,Factors,AQ$394))*$F360</f>
        <v>0</v>
      </c>
      <c r="Z360" s="126">
        <f t="shared" si="105"/>
        <v>0</v>
      </c>
    </row>
    <row r="361" spans="2:26" ht="12.75">
      <c r="B361" s="65"/>
      <c r="D361" s="367"/>
      <c r="E361" s="368"/>
      <c r="F361" s="366"/>
      <c r="Z361" s="126">
        <f t="shared" si="105"/>
        <v>0</v>
      </c>
    </row>
    <row r="362" spans="2:26" ht="12.75">
      <c r="B362" s="65" t="s">
        <v>564</v>
      </c>
      <c r="D362" s="367"/>
      <c r="E362" s="368"/>
      <c r="F362" s="366">
        <f>SUM(F341:F361)</f>
        <v>-68661876.41666667</v>
      </c>
      <c r="G362" s="121"/>
      <c r="H362" s="121">
        <f aca="true" t="shared" si="107" ref="H362:X362">SUM(H341:H361)</f>
        <v>-19373763.759139266</v>
      </c>
      <c r="J362" s="121">
        <f t="shared" si="107"/>
        <v>-3069844.7219909956</v>
      </c>
      <c r="L362" s="121">
        <f t="shared" si="107"/>
        <v>-21860160.70871168</v>
      </c>
      <c r="N362" s="121">
        <f t="shared" si="107"/>
        <v>-2891064.419475</v>
      </c>
      <c r="P362" s="121">
        <f t="shared" si="107"/>
        <v>-20795753.45059167</v>
      </c>
      <c r="R362" s="121">
        <f t="shared" si="107"/>
        <v>5667001.023491668</v>
      </c>
      <c r="T362" s="121">
        <f t="shared" si="107"/>
        <v>1817970.8077250002</v>
      </c>
      <c r="V362" s="121">
        <f t="shared" si="107"/>
        <v>-2486208.6789190853</v>
      </c>
      <c r="X362" s="121">
        <f t="shared" si="107"/>
        <v>-5670052.5090556415</v>
      </c>
      <c r="Z362" s="126">
        <f t="shared" si="105"/>
        <v>0</v>
      </c>
    </row>
    <row r="363" spans="2:26" ht="12.75">
      <c r="B363" s="65"/>
      <c r="D363" s="367"/>
      <c r="E363" s="368"/>
      <c r="F363" s="366"/>
      <c r="Z363" s="126">
        <f t="shared" si="105"/>
        <v>0</v>
      </c>
    </row>
    <row r="364" spans="2:26" ht="13.5" thickBot="1">
      <c r="B364" s="65" t="s">
        <v>565</v>
      </c>
      <c r="D364" s="367"/>
      <c r="E364" s="368"/>
      <c r="F364" s="369">
        <f>F338+F362</f>
        <v>211572213.5833333</v>
      </c>
      <c r="G364" s="121"/>
      <c r="H364" s="226">
        <f>H338+H362</f>
        <v>83371739.63822967</v>
      </c>
      <c r="J364" s="226">
        <f>J338+J362</f>
        <v>38400664.73009573</v>
      </c>
      <c r="L364" s="226">
        <f>L338+L362</f>
        <v>35545255.81124805</v>
      </c>
      <c r="N364" s="226">
        <f>N338+N362</f>
        <v>19212976.519925002</v>
      </c>
      <c r="P364" s="226">
        <f>P338+P362</f>
        <v>7977599.1776083335</v>
      </c>
      <c r="R364" s="226">
        <f>R338+R362</f>
        <v>7486008.901691668</v>
      </c>
      <c r="T364" s="226">
        <f>T338+T362</f>
        <v>2401639.524325</v>
      </c>
      <c r="V364" s="226">
        <f>V338+V362</f>
        <v>4711654.633334577</v>
      </c>
      <c r="X364" s="226">
        <f>X338+X362</f>
        <v>12464674.64687528</v>
      </c>
      <c r="Z364" s="126">
        <f t="shared" si="105"/>
        <v>0</v>
      </c>
    </row>
    <row r="365" spans="4:27" ht="13.5" thickTop="1">
      <c r="D365" s="367"/>
      <c r="E365" s="368"/>
      <c r="F365" s="366"/>
      <c r="AA365" s="126">
        <f>SUM(H364:X364)</f>
        <v>211572213.58333334</v>
      </c>
    </row>
    <row r="366" ht="12.75">
      <c r="F366" s="121">
        <v>156483244</v>
      </c>
    </row>
    <row r="367" spans="6:27" ht="12.75">
      <c r="F367" s="121">
        <f>+F364-F366</f>
        <v>55088969.58333331</v>
      </c>
      <c r="AA367" s="126">
        <f>+F364-AA365</f>
        <v>0</v>
      </c>
    </row>
    <row r="369" spans="25:47" ht="12.75">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row>
    <row r="370" ht="12.75">
      <c r="AA370" s="134" t="s">
        <v>467</v>
      </c>
    </row>
    <row r="372" spans="26:45" ht="12.75">
      <c r="Z372">
        <v>1</v>
      </c>
      <c r="AA372" s="111">
        <v>2</v>
      </c>
      <c r="AB372" s="111"/>
      <c r="AC372" s="111">
        <v>4</v>
      </c>
      <c r="AD372" s="111"/>
      <c r="AE372" s="111">
        <v>6</v>
      </c>
      <c r="AF372" s="111"/>
      <c r="AG372" s="111">
        <v>8</v>
      </c>
      <c r="AH372" s="111"/>
      <c r="AI372" s="111">
        <v>10</v>
      </c>
      <c r="AJ372" s="111"/>
      <c r="AK372" s="111">
        <v>12</v>
      </c>
      <c r="AL372" s="111"/>
      <c r="AM372" s="111">
        <v>14</v>
      </c>
      <c r="AN372" s="111"/>
      <c r="AO372" s="111">
        <v>16</v>
      </c>
      <c r="AP372" s="111"/>
      <c r="AQ372" s="111">
        <v>18</v>
      </c>
      <c r="AR372" s="111"/>
      <c r="AS372" s="111">
        <v>20</v>
      </c>
    </row>
    <row r="373" spans="27:45" ht="12.75">
      <c r="AA373" s="297" t="s">
        <v>572</v>
      </c>
      <c r="AB373" s="298"/>
      <c r="AC373" s="297" t="s">
        <v>573</v>
      </c>
      <c r="AD373" s="298"/>
      <c r="AE373" s="297" t="s">
        <v>574</v>
      </c>
      <c r="AF373" s="298"/>
      <c r="AG373" s="297" t="s">
        <v>410</v>
      </c>
      <c r="AH373" s="298"/>
      <c r="AI373" s="297" t="s">
        <v>411</v>
      </c>
      <c r="AJ373" s="299"/>
      <c r="AK373" s="297" t="s">
        <v>412</v>
      </c>
      <c r="AL373" s="298"/>
      <c r="AM373" s="297" t="s">
        <v>413</v>
      </c>
      <c r="AN373" s="298"/>
      <c r="AO373" s="297" t="s">
        <v>575</v>
      </c>
      <c r="AP373" s="298"/>
      <c r="AQ373" s="297" t="s">
        <v>576</v>
      </c>
      <c r="AR373" s="298"/>
      <c r="AS373" s="297" t="s">
        <v>600</v>
      </c>
    </row>
    <row r="375" spans="27:45" ht="12.75">
      <c r="AA375" s="251">
        <f>SUM(H104:H105)+H117</f>
        <v>328263.3215439413</v>
      </c>
      <c r="AB375" s="251"/>
      <c r="AC375" s="251">
        <f>SUM(J104:J105)+J117</f>
        <v>62509.02212486471</v>
      </c>
      <c r="AD375" s="251"/>
      <c r="AE375" s="251">
        <f>SUM(L104:L105)+L117</f>
        <v>348135.4190801413</v>
      </c>
      <c r="AF375" s="251"/>
      <c r="AG375" s="251">
        <f>SUM(N104:N105)+N117</f>
        <v>0</v>
      </c>
      <c r="AH375" s="251"/>
      <c r="AI375" s="251">
        <f>SUM(P104:P105)+P117</f>
        <v>0</v>
      </c>
      <c r="AJ375" s="251"/>
      <c r="AK375" s="251">
        <f>SUM(R104:R105)+R117</f>
        <v>0</v>
      </c>
      <c r="AL375" s="251"/>
      <c r="AM375" s="251">
        <f>SUM(T104:T105)+T117</f>
        <v>0</v>
      </c>
      <c r="AN375" s="251"/>
      <c r="AO375" s="251">
        <f>SUM(V104:V105)+V117</f>
        <v>38257.85931957584</v>
      </c>
      <c r="AP375" s="251"/>
      <c r="AQ375" s="251">
        <f>SUM(X104:X105)+X117</f>
        <v>50140.147931476735</v>
      </c>
      <c r="AR375" s="126"/>
      <c r="AS375" s="126">
        <f aca="true" t="shared" si="108" ref="AS375:AS388">SUM(AA375:AR375)</f>
        <v>827305.7699999998</v>
      </c>
    </row>
    <row r="376" spans="26:46" ht="12.75">
      <c r="Z376">
        <v>8</v>
      </c>
      <c r="AA376" s="129">
        <f>ROUND(AA375/$AS375,4)</f>
        <v>0.3968</v>
      </c>
      <c r="AB376" s="129"/>
      <c r="AC376" s="129">
        <f>ROUND(AC375/$AS$375,4)</f>
        <v>0.0756</v>
      </c>
      <c r="AD376" s="129"/>
      <c r="AE376" s="129">
        <f>ROUND(AE375/$AS$375,4)</f>
        <v>0.4208</v>
      </c>
      <c r="AF376" s="129"/>
      <c r="AG376" s="129">
        <f>ROUND(AG375/$AS$375,4)</f>
        <v>0</v>
      </c>
      <c r="AH376" s="129"/>
      <c r="AI376" s="129">
        <f>ROUND(AI375/$AS$375,4)</f>
        <v>0</v>
      </c>
      <c r="AJ376" s="129"/>
      <c r="AK376" s="129">
        <f>ROUND(AK375/$AS$375,4)</f>
        <v>0</v>
      </c>
      <c r="AL376" s="129"/>
      <c r="AM376" s="129">
        <f>ROUND(AM375/$AS$375,4)</f>
        <v>0</v>
      </c>
      <c r="AN376" s="129"/>
      <c r="AO376" s="129">
        <f>ROUND(AO375/$AS$375,4)</f>
        <v>0.0462</v>
      </c>
      <c r="AP376" s="129"/>
      <c r="AQ376" s="129">
        <f>ROUND(AQ375/$AS$375,4)</f>
        <v>0.0606</v>
      </c>
      <c r="AR376" s="129"/>
      <c r="AS376" s="129">
        <f t="shared" si="108"/>
        <v>1</v>
      </c>
      <c r="AT376" s="300" t="str">
        <f>IF(AS376=1,"OK",IF(AS376&lt;1,"ROUND UP","ROUNDDOWN"))</f>
        <v>OK</v>
      </c>
    </row>
    <row r="377" spans="27:46" ht="12.75">
      <c r="AA377" s="251">
        <f>SUM(H130:H143)</f>
        <v>475570.5994758755</v>
      </c>
      <c r="AB377" s="251"/>
      <c r="AC377" s="251">
        <f>SUM(J130:J143)</f>
        <v>79900.80199448766</v>
      </c>
      <c r="AD377" s="251"/>
      <c r="AE377" s="251">
        <f>SUM(L130:L143)</f>
        <v>528951.0597360354</v>
      </c>
      <c r="AF377" s="251"/>
      <c r="AG377" s="251">
        <f>SUM(N130:N143)</f>
        <v>42962.44</v>
      </c>
      <c r="AH377" s="251"/>
      <c r="AI377" s="251">
        <f>SUM(P130:P143)</f>
        <v>0</v>
      </c>
      <c r="AJ377" s="251"/>
      <c r="AK377" s="251">
        <f>SUM(R130:R143)</f>
        <v>0</v>
      </c>
      <c r="AL377" s="251"/>
      <c r="AM377" s="251">
        <f>SUM(T130:T143)</f>
        <v>0</v>
      </c>
      <c r="AN377" s="251"/>
      <c r="AO377" s="251">
        <f>SUM(V130:V143)</f>
        <v>59145.023748140164</v>
      </c>
      <c r="AP377" s="251"/>
      <c r="AQ377" s="251">
        <f>SUM(X130:X143)</f>
        <v>77540.29504546098</v>
      </c>
      <c r="AS377" s="126">
        <f t="shared" si="108"/>
        <v>1264070.2199999995</v>
      </c>
      <c r="AT377" s="300"/>
    </row>
    <row r="378" spans="26:46" ht="12.75">
      <c r="Z378">
        <v>14</v>
      </c>
      <c r="AA378" s="129">
        <f>ROUND(AA377/$AS377,4)</f>
        <v>0.3762</v>
      </c>
      <c r="AB378" s="129"/>
      <c r="AC378" s="129">
        <f>ROUND(AC377/$AS377,4)</f>
        <v>0.0632</v>
      </c>
      <c r="AD378" s="129"/>
      <c r="AE378" s="129">
        <f>ROUND(AE377/$AS377,4)</f>
        <v>0.4185</v>
      </c>
      <c r="AF378" s="129"/>
      <c r="AG378" s="129">
        <f>ROUND(AG377/$AS377,4)</f>
        <v>0.034</v>
      </c>
      <c r="AH378" s="129"/>
      <c r="AI378" s="129">
        <f>ROUND(AI377/$AS377,4)</f>
        <v>0</v>
      </c>
      <c r="AJ378" s="129"/>
      <c r="AK378" s="129">
        <f>ROUND(AK377/$AS377,4)</f>
        <v>0</v>
      </c>
      <c r="AL378" s="129"/>
      <c r="AM378" s="129">
        <f>ROUND(AM377/$AS377,4)</f>
        <v>0</v>
      </c>
      <c r="AN378" s="129"/>
      <c r="AO378" s="129">
        <f>ROUND(AO377/$AS377,4)</f>
        <v>0.0468</v>
      </c>
      <c r="AP378" s="129"/>
      <c r="AQ378" s="129">
        <f>ROUND(AQ377/$AS377,4)</f>
        <v>0.0613</v>
      </c>
      <c r="AR378" s="129"/>
      <c r="AS378" s="129">
        <f t="shared" si="108"/>
        <v>1</v>
      </c>
      <c r="AT378" s="300" t="str">
        <f aca="true" t="shared" si="109" ref="AT378:AT388">IF(AS378=1,"OK",IF(AS378&lt;1,"ROUND UP","ROUNDDOWN"))</f>
        <v>OK</v>
      </c>
    </row>
    <row r="379" spans="27:46" ht="12.75">
      <c r="AA379" s="251">
        <f>H39+H68+H97+H150+H165-H20-H46-H74-H80</f>
        <v>3129978.584894816</v>
      </c>
      <c r="AB379" s="251"/>
      <c r="AC379" s="251">
        <f>J39+J68+J97+J150+J165-J20-J46-J74-J80</f>
        <v>1397907.1870443523</v>
      </c>
      <c r="AD379" s="251"/>
      <c r="AE379" s="251">
        <f>L39+L68+L97+L150+L165-L20-L46-L74-L80</f>
        <v>1468628.6290751768</v>
      </c>
      <c r="AF379" s="251"/>
      <c r="AG379" s="251">
        <f>N39+N68+N97+N150+N165-N20-N46-N74-N80</f>
        <v>62584.28200000001</v>
      </c>
      <c r="AH379" s="251"/>
      <c r="AI379" s="251">
        <f>P39+P68+P97+P150+P165-P20-P46-P74-P80</f>
        <v>0</v>
      </c>
      <c r="AJ379" s="251"/>
      <c r="AK379" s="251">
        <f>R39+R68+R97+R150+R165-R20-R46-R74-R80</f>
        <v>1857164.9439611502</v>
      </c>
      <c r="AL379" s="251"/>
      <c r="AM379" s="251">
        <f>T39+T68+T97+T150+T165-T20-T46-T74-T80</f>
        <v>595914.8</v>
      </c>
      <c r="AN379" s="251"/>
      <c r="AO379" s="251">
        <f>V39+V68+V97+V150+V165-V20-V46-V74-V80</f>
        <v>165200.525594716</v>
      </c>
      <c r="AP379" s="251"/>
      <c r="AQ379" s="251">
        <f>X39+X68+X97+X150+X165-X20-X46-X74-X80</f>
        <v>216574.0513909377</v>
      </c>
      <c r="AS379" s="126">
        <f t="shared" si="108"/>
        <v>8893953.00396115</v>
      </c>
      <c r="AT379" s="300"/>
    </row>
    <row r="380" spans="26:46" ht="12.75">
      <c r="Z380">
        <v>15</v>
      </c>
      <c r="AA380" s="198">
        <f>ROUND(AA379/$AS379,4)</f>
        <v>0.3519</v>
      </c>
      <c r="AB380" s="129"/>
      <c r="AC380" s="129">
        <f>ROUND(AC379/$AS379,4)</f>
        <v>0.1572</v>
      </c>
      <c r="AD380" s="129"/>
      <c r="AE380" s="129">
        <f>ROUND(AE379/$AS379,4)</f>
        <v>0.1651</v>
      </c>
      <c r="AF380" s="129"/>
      <c r="AG380" s="129">
        <f>ROUND(AG379/$AS379,4)</f>
        <v>0.007</v>
      </c>
      <c r="AH380" s="129"/>
      <c r="AI380" s="129">
        <f>ROUND(AI379/$AS379,4)</f>
        <v>0</v>
      </c>
      <c r="AJ380" s="129"/>
      <c r="AK380" s="129">
        <f>ROUND(AK379/$AS379,4)</f>
        <v>0.2088</v>
      </c>
      <c r="AL380" s="129"/>
      <c r="AM380" s="129">
        <f>ROUND(AM379/$AS379,4)</f>
        <v>0.067</v>
      </c>
      <c r="AN380" s="129"/>
      <c r="AO380" s="129">
        <f>ROUND(AO379/$AS379,4)</f>
        <v>0.0186</v>
      </c>
      <c r="AP380" s="129"/>
      <c r="AQ380" s="129">
        <f>ROUND(AQ379/$AS379,4)</f>
        <v>0.0244</v>
      </c>
      <c r="AR380" s="129"/>
      <c r="AS380" s="129">
        <f t="shared" si="108"/>
        <v>1</v>
      </c>
      <c r="AT380" s="300" t="str">
        <f t="shared" si="109"/>
        <v>OK</v>
      </c>
    </row>
    <row r="381" spans="27:46" ht="12.75">
      <c r="AA381" s="251">
        <f>H16+H19+H27+H35+H42+H45+H49+H55+H58+H61+H64+H73+H77+H81+H87+H90+H93+H101+H105+H108+H111+H114+H118+H125+H128+H131+H134+H137+H140+H143+H146+H153+H156+H159+H163+H172</f>
        <v>2525385.956896841</v>
      </c>
      <c r="AB381" s="251"/>
      <c r="AC381" s="251">
        <f>J16+J19+J27+J35+J42+J45+J49+J55+J58+J61+J64+J73+J77+J81+J87+J90+J93+J101+J105+J108+J111+J114+J118+J125+J128+J131+J134+J137+J140+J143+J146+J153+J156+J159+J163+J172</f>
        <v>1142730.1541476443</v>
      </c>
      <c r="AD381" s="251"/>
      <c r="AE381" s="251">
        <f>L16+L19+L27+L35+L42+L45+L49+L55+L58+L61+L64+L73+L77+L81+L87+L90+L93+L101+L105+L108+L111+L114+L118+L125+L128+L131+L134+L137+L140+L143+L146+L153+L156+L159+L163+L172</f>
        <v>1150721.5273828574</v>
      </c>
      <c r="AF381" s="251"/>
      <c r="AG381" s="251">
        <f>N16+N19+N27+N35+N42+N45+N49+N55+N58+N61+N64+N73+N77+N81+N87+N90+N93+N101+N105+N108+N111+N114+N118+N125+N128+N131+N134+N137+N140+N143+N146+N153+N156+N159+N163+N172</f>
        <v>49959.56895</v>
      </c>
      <c r="AH381" s="251"/>
      <c r="AI381" s="251">
        <f>P16+P19+P27+P35+P42+P45+P49+P55+P58+P61+P64+P73+P77+P81+P87+P90+P93+P101+P105+P108+P111+P114+P118+P125+P128+P131+P134+P137+P140+P143+P146+P153+P156+P159+P163+P172</f>
        <v>0</v>
      </c>
      <c r="AJ381" s="251"/>
      <c r="AK381" s="251">
        <f>R16+R19+R27+R35+R42+R45+R49+R55+R58+R61+R64+R73+R77+R81+R87+R90+R93+R101+R105+R108+R111+R114+R118+R125+R128+R131+R134+R137+R140+R143+R146+R153+R156+R159+R163+R172</f>
        <v>488182.86068000004</v>
      </c>
      <c r="AL381" s="251"/>
      <c r="AM381" s="251">
        <f>T16+T19+T27+T35+T42+T45+T49+T55+T58+T61+T64+T73+T77+T81+T87+T90+T93+T101+T105+T108+T111+T114+T118+T125+T128+T131+T134+T137+T140+T143+T146+T153+T156+T159+T163+T172</f>
        <v>662887.31995</v>
      </c>
      <c r="AN381" s="251"/>
      <c r="AO381" s="251">
        <f>V16+V19+V27+V35+V42+V45+V49+V55+V58+V61+V64+V73+V77+V81+V87+V90+V93+V101+V105+V108+V111+V114+V118+V125+V128+V131+V134+V137+V140+V143+V146+V153+V156+V159+V163+V172</f>
        <v>129252.23687823402</v>
      </c>
      <c r="AP381" s="251"/>
      <c r="AQ381" s="251">
        <f>X16+X19+X27+X35+X42+X45+X49+X55+X58+X61+X64+X73+X77+X81+X87+X90+X93+X101+X105+X108+X111+X114+X118+X125+X128+X131+X134+X137+X140+X143+X146+X153+X156+X159+X163+X172</f>
        <v>169460.66511442262</v>
      </c>
      <c r="AS381" s="126">
        <f t="shared" si="108"/>
        <v>6318580.289999999</v>
      </c>
      <c r="AT381" s="300"/>
    </row>
    <row r="382" spans="26:46" ht="12.75">
      <c r="Z382">
        <v>16</v>
      </c>
      <c r="AA382" s="133">
        <f>ROUND(AA381/$AS381,4)-0.0001</f>
        <v>0.3996</v>
      </c>
      <c r="AB382" s="129"/>
      <c r="AC382" s="129">
        <f>ROUND(AC381/$AS381,4)</f>
        <v>0.1809</v>
      </c>
      <c r="AD382" s="129"/>
      <c r="AE382" s="129">
        <f>ROUND(AE381/$AS381,4)</f>
        <v>0.1821</v>
      </c>
      <c r="AF382" s="129"/>
      <c r="AG382" s="129">
        <f>ROUND(AG381/$AS381,4)</f>
        <v>0.0079</v>
      </c>
      <c r="AH382" s="129"/>
      <c r="AI382" s="129">
        <f>ROUND(AI381/$AS381,4)</f>
        <v>0</v>
      </c>
      <c r="AJ382" s="129"/>
      <c r="AK382" s="129">
        <f>ROUND(AK381/$AS381,4)</f>
        <v>0.0773</v>
      </c>
      <c r="AL382" s="129"/>
      <c r="AM382" s="129">
        <f>ROUND(AM381/$AS381,4)</f>
        <v>0.1049</v>
      </c>
      <c r="AN382" s="129"/>
      <c r="AO382" s="129">
        <f>ROUND(AO381/$AS381,4)</f>
        <v>0.0205</v>
      </c>
      <c r="AP382" s="129"/>
      <c r="AQ382" s="129">
        <f>ROUND(AQ381/$AS381,4)</f>
        <v>0.0268</v>
      </c>
      <c r="AR382" s="129"/>
      <c r="AS382" s="129">
        <f t="shared" si="108"/>
        <v>1</v>
      </c>
      <c r="AT382" s="300" t="str">
        <f t="shared" si="109"/>
        <v>OK</v>
      </c>
    </row>
    <row r="383" spans="27:46" ht="12.75">
      <c r="AA383" s="251">
        <f>SUM(H299:H335)</f>
        <v>103176050.90176895</v>
      </c>
      <c r="AB383" s="251"/>
      <c r="AC383" s="251">
        <f>SUM(J299:J335)</f>
        <v>41644325.684086725</v>
      </c>
      <c r="AD383" s="251"/>
      <c r="AE383" s="251">
        <f>SUM(L299:L335)</f>
        <v>57645940.603159726</v>
      </c>
      <c r="AF383" s="251"/>
      <c r="AG383" s="251">
        <f>SUM(N299:N335)</f>
        <v>22196703.782</v>
      </c>
      <c r="AH383" s="251"/>
      <c r="AI383" s="251">
        <f>SUM(P299:P335)</f>
        <v>28893967</v>
      </c>
      <c r="AJ383" s="251"/>
      <c r="AK383" s="251">
        <f>SUM(R299:R335)</f>
        <v>1826641.6992000001</v>
      </c>
      <c r="AL383" s="251"/>
      <c r="AM383" s="251">
        <f>SUM(T299:T335)</f>
        <v>586135.0280000002</v>
      </c>
      <c r="AN383" s="251"/>
      <c r="AO383" s="251">
        <f>SUM(V299:V335)</f>
        <v>7228046.266053662</v>
      </c>
      <c r="AP383" s="251"/>
      <c r="AQ383" s="251">
        <f>SUM(X299:X335)</f>
        <v>18210713.035730924</v>
      </c>
      <c r="AS383" s="126">
        <f t="shared" si="108"/>
        <v>281408523.99999994</v>
      </c>
      <c r="AT383" s="300"/>
    </row>
    <row r="384" spans="26:46" ht="12.75">
      <c r="Z384">
        <v>17</v>
      </c>
      <c r="AA384" s="198">
        <f>ROUND(AA383/$AS383,4)</f>
        <v>0.3666</v>
      </c>
      <c r="AB384" s="129"/>
      <c r="AC384" s="129">
        <f>ROUND(AC383/$AS383,4)</f>
        <v>0.148</v>
      </c>
      <c r="AD384" s="129"/>
      <c r="AE384" s="129">
        <f>ROUND(AE383/$AS383,4)</f>
        <v>0.2048</v>
      </c>
      <c r="AF384" s="129"/>
      <c r="AG384" s="129">
        <f>ROUND(AG383/$AS383,4)</f>
        <v>0.0789</v>
      </c>
      <c r="AH384" s="129"/>
      <c r="AI384" s="129">
        <f>ROUND(AI383/$AS383,4)</f>
        <v>0.1027</v>
      </c>
      <c r="AJ384" s="129"/>
      <c r="AK384" s="129">
        <f>ROUND(AK383/$AS383,4)</f>
        <v>0.0065</v>
      </c>
      <c r="AL384" s="129"/>
      <c r="AM384" s="129">
        <f>ROUND(AM383/$AS383,4)</f>
        <v>0.0021</v>
      </c>
      <c r="AN384" s="129"/>
      <c r="AO384" s="129">
        <f>ROUND(AO383/$AS383,4)</f>
        <v>0.0257</v>
      </c>
      <c r="AP384" s="129"/>
      <c r="AQ384" s="129">
        <f>ROUND(AQ383/$AS383,4)</f>
        <v>0.0647</v>
      </c>
      <c r="AR384" s="129"/>
      <c r="AS384" s="129">
        <f t="shared" si="108"/>
        <v>0.9999999999999998</v>
      </c>
      <c r="AT384" s="300" t="str">
        <f t="shared" si="109"/>
        <v>OK</v>
      </c>
    </row>
    <row r="385" spans="27:46" ht="12.75">
      <c r="AA385" s="251">
        <f>H364</f>
        <v>83371739.63822967</v>
      </c>
      <c r="AB385" s="251"/>
      <c r="AC385" s="251">
        <f>J364</f>
        <v>38400664.73009573</v>
      </c>
      <c r="AD385" s="251"/>
      <c r="AE385" s="251">
        <f>L364</f>
        <v>35545255.81124805</v>
      </c>
      <c r="AF385" s="251"/>
      <c r="AG385" s="251">
        <f>N364</f>
        <v>19212976.519925002</v>
      </c>
      <c r="AH385" s="251"/>
      <c r="AI385" s="251">
        <f>P364</f>
        <v>7977599.1776083335</v>
      </c>
      <c r="AJ385" s="251"/>
      <c r="AK385" s="251">
        <f>R364</f>
        <v>7486008.901691668</v>
      </c>
      <c r="AL385" s="251"/>
      <c r="AM385" s="251">
        <f>T364</f>
        <v>2401639.524325</v>
      </c>
      <c r="AN385" s="251"/>
      <c r="AO385" s="251">
        <f>V364</f>
        <v>4711654.633334577</v>
      </c>
      <c r="AP385" s="251"/>
      <c r="AQ385" s="251">
        <f>X364</f>
        <v>12464674.64687528</v>
      </c>
      <c r="AS385" s="126">
        <f t="shared" si="108"/>
        <v>211572213.58333334</v>
      </c>
      <c r="AT385" s="300"/>
    </row>
    <row r="386" spans="26:46" ht="12.75">
      <c r="Z386">
        <v>18</v>
      </c>
      <c r="AA386" s="198">
        <f>ROUND(AA385/$AS385,4)-0.0001</f>
        <v>0.394</v>
      </c>
      <c r="AB386" s="129"/>
      <c r="AC386" s="129">
        <f>ROUND(AC385/$AS385,4)</f>
        <v>0.1815</v>
      </c>
      <c r="AD386" s="129"/>
      <c r="AE386" s="129">
        <f>ROUND(AE385/$AS385,4)</f>
        <v>0.168</v>
      </c>
      <c r="AF386" s="129"/>
      <c r="AG386" s="129">
        <f>ROUND(AG385/$AS385,4)</f>
        <v>0.0908</v>
      </c>
      <c r="AH386" s="129"/>
      <c r="AI386" s="129">
        <f>ROUND(AI385/$AS385,4)</f>
        <v>0.0377</v>
      </c>
      <c r="AJ386" s="129"/>
      <c r="AK386" s="129">
        <f>ROUND(AK385/$AS385,4)</f>
        <v>0.0354</v>
      </c>
      <c r="AL386" s="129"/>
      <c r="AM386" s="129">
        <f>ROUND(AM385/$AS385,4)</f>
        <v>0.0114</v>
      </c>
      <c r="AN386" s="129"/>
      <c r="AO386" s="129">
        <f>ROUND(AO385/$AS385,4)</f>
        <v>0.0223</v>
      </c>
      <c r="AP386" s="129"/>
      <c r="AQ386" s="129">
        <f>ROUND(AQ385/$AS385,4)</f>
        <v>0.0589</v>
      </c>
      <c r="AR386" s="129"/>
      <c r="AS386" s="129">
        <f t="shared" si="108"/>
        <v>0.9999999999999999</v>
      </c>
      <c r="AT386" s="300" t="str">
        <f t="shared" si="109"/>
        <v>OK</v>
      </c>
    </row>
    <row r="387" spans="27:46" ht="12.75">
      <c r="AA387" s="251">
        <f>H196+H250+H257+H260+H261+H268+H271</f>
        <v>27465442.069107607</v>
      </c>
      <c r="AB387" s="251"/>
      <c r="AC387" s="251">
        <f>J196+J250+J257+J260+J261+J268+J271</f>
        <v>10075641.651799839</v>
      </c>
      <c r="AD387" s="251"/>
      <c r="AE387" s="251">
        <f>L196+L250+L257+L260+L261+L268+L271</f>
        <v>9667774.643389735</v>
      </c>
      <c r="AF387" s="251"/>
      <c r="AG387" s="251">
        <f>N196+N250+N257+N260+N261+N268+N271</f>
        <v>3584941.64842158</v>
      </c>
      <c r="AH387" s="251"/>
      <c r="AI387" s="251">
        <f>P196+P250+P257+P260+P261+P268+P271</f>
        <v>1650556.4043682963</v>
      </c>
      <c r="AJ387" s="251"/>
      <c r="AK387" s="251">
        <f>R196+R250+R257+R260+R261+R268+R271</f>
        <v>7374189.182653585</v>
      </c>
      <c r="AL387" s="251"/>
      <c r="AM387" s="251">
        <f>T196+T250+T257+T260+T261+T268+T271</f>
        <v>2006211.5931367842</v>
      </c>
      <c r="AN387" s="251"/>
      <c r="AO387" s="251">
        <f>V196+V250+V257+V260+V261+V268+V271</f>
        <v>1200349.000307917</v>
      </c>
      <c r="AP387" s="251"/>
      <c r="AQ387" s="251">
        <f>X196+X250+X257+X260+X261+X268+X271</f>
        <v>2606636.7668146566</v>
      </c>
      <c r="AS387" s="126">
        <f t="shared" si="108"/>
        <v>65631742.96</v>
      </c>
      <c r="AT387" s="300"/>
    </row>
    <row r="388" spans="26:46" ht="12.75">
      <c r="Z388">
        <v>19</v>
      </c>
      <c r="AA388" s="133">
        <f>ROUND(AA387/$AS387,4)</f>
        <v>0.4185</v>
      </c>
      <c r="AB388" s="129"/>
      <c r="AC388" s="129">
        <f>ROUND(AC387/$AS387,4)</f>
        <v>0.1535</v>
      </c>
      <c r="AD388" s="129"/>
      <c r="AE388" s="129">
        <f>ROUND(AE387/$AS387,4)</f>
        <v>0.1473</v>
      </c>
      <c r="AF388" s="129"/>
      <c r="AG388" s="129">
        <f>ROUND(AG387/$AS387,4)</f>
        <v>0.0546</v>
      </c>
      <c r="AH388" s="129"/>
      <c r="AI388" s="129">
        <f>ROUND(AI387/$AS387,4)</f>
        <v>0.0251</v>
      </c>
      <c r="AJ388" s="129"/>
      <c r="AK388" s="129">
        <f>ROUND(AK387/$AS387,4)</f>
        <v>0.1124</v>
      </c>
      <c r="AL388" s="129"/>
      <c r="AM388" s="129">
        <f>ROUND(AM387/$AS387,4)</f>
        <v>0.0306</v>
      </c>
      <c r="AN388" s="129"/>
      <c r="AO388" s="129">
        <f>ROUND(AO387/$AS387,4)</f>
        <v>0.0183</v>
      </c>
      <c r="AP388" s="129"/>
      <c r="AQ388" s="129">
        <f>ROUND(AQ387/$AS387,4)</f>
        <v>0.0397</v>
      </c>
      <c r="AS388" s="129">
        <f t="shared" si="108"/>
        <v>0.9999999999999999</v>
      </c>
      <c r="AT388" s="300" t="str">
        <f t="shared" si="109"/>
        <v>OK</v>
      </c>
    </row>
    <row r="392" spans="27:45" ht="12.75">
      <c r="AA392" s="159" t="s">
        <v>468</v>
      </c>
      <c r="AB392" s="111"/>
      <c r="AC392" s="111"/>
      <c r="AD392" s="111"/>
      <c r="AE392" s="111"/>
      <c r="AF392" s="111"/>
      <c r="AG392" s="111"/>
      <c r="AH392" s="111"/>
      <c r="AI392" s="111"/>
      <c r="AJ392" s="111"/>
      <c r="AK392" s="111"/>
      <c r="AL392" s="111"/>
      <c r="AM392" s="111"/>
      <c r="AN392" s="111"/>
      <c r="AO392" s="111"/>
      <c r="AP392" s="111"/>
      <c r="AQ392" s="111"/>
      <c r="AR392" s="111"/>
      <c r="AS392" s="111"/>
    </row>
    <row r="393" spans="27:45" ht="12.75">
      <c r="AA393" s="154"/>
      <c r="AB393" s="111"/>
      <c r="AC393" s="111"/>
      <c r="AD393" s="111"/>
      <c r="AE393" s="111"/>
      <c r="AF393" s="111"/>
      <c r="AG393" s="111"/>
      <c r="AH393" s="111"/>
      <c r="AI393" s="111"/>
      <c r="AJ393" s="111"/>
      <c r="AK393" s="111"/>
      <c r="AL393" s="111"/>
      <c r="AM393" s="111"/>
      <c r="AN393" s="111"/>
      <c r="AO393" s="111"/>
      <c r="AP393" s="111"/>
      <c r="AQ393" s="111"/>
      <c r="AR393" s="111"/>
      <c r="AS393" s="111"/>
    </row>
    <row r="394" spans="26:45" ht="12.75">
      <c r="Z394" s="111"/>
      <c r="AA394" s="154">
        <v>2</v>
      </c>
      <c r="AB394" s="111"/>
      <c r="AC394" s="111">
        <v>4</v>
      </c>
      <c r="AD394" s="111"/>
      <c r="AE394" s="111">
        <v>6</v>
      </c>
      <c r="AF394" s="111"/>
      <c r="AG394" s="111">
        <v>8</v>
      </c>
      <c r="AH394" s="111"/>
      <c r="AI394" s="111">
        <v>10</v>
      </c>
      <c r="AJ394" s="111"/>
      <c r="AK394" s="111">
        <v>12</v>
      </c>
      <c r="AL394" s="111"/>
      <c r="AM394" s="111">
        <v>14</v>
      </c>
      <c r="AN394" s="111"/>
      <c r="AO394" s="111">
        <v>16</v>
      </c>
      <c r="AP394" s="111"/>
      <c r="AQ394" s="111">
        <v>18</v>
      </c>
      <c r="AR394" s="111"/>
      <c r="AS394" s="111">
        <v>20</v>
      </c>
    </row>
    <row r="395" spans="27:45" ht="12.75">
      <c r="AA395" s="135" t="s">
        <v>572</v>
      </c>
      <c r="AB395" s="111"/>
      <c r="AC395" s="135" t="s">
        <v>573</v>
      </c>
      <c r="AD395" s="111"/>
      <c r="AE395" s="135" t="s">
        <v>574</v>
      </c>
      <c r="AF395" s="111"/>
      <c r="AG395" s="135" t="s">
        <v>410</v>
      </c>
      <c r="AH395" s="111"/>
      <c r="AI395" s="135" t="s">
        <v>411</v>
      </c>
      <c r="AJ395" s="136"/>
      <c r="AK395" s="135" t="s">
        <v>412</v>
      </c>
      <c r="AL395" s="111"/>
      <c r="AM395" s="135" t="s">
        <v>413</v>
      </c>
      <c r="AN395" s="111"/>
      <c r="AO395" s="135" t="s">
        <v>575</v>
      </c>
      <c r="AP395" s="111"/>
      <c r="AQ395" s="135" t="s">
        <v>576</v>
      </c>
      <c r="AR395" s="111"/>
      <c r="AS395" s="135" t="s">
        <v>600</v>
      </c>
    </row>
    <row r="396" ht="12.75">
      <c r="AA396" s="154"/>
    </row>
    <row r="397" spans="27:45" ht="12.75">
      <c r="AA397" s="154"/>
      <c r="AS397" s="126"/>
    </row>
    <row r="398" spans="26:45" ht="12.75">
      <c r="Z398">
        <v>1</v>
      </c>
      <c r="AA398" s="271">
        <f>'Schedule E'!J18</f>
        <v>1</v>
      </c>
      <c r="AB398" s="271"/>
      <c r="AC398" s="271"/>
      <c r="AD398" s="271"/>
      <c r="AE398" s="271"/>
      <c r="AF398" s="271"/>
      <c r="AG398" s="271"/>
      <c r="AH398" s="271"/>
      <c r="AI398" s="271"/>
      <c r="AJ398" s="271"/>
      <c r="AK398" s="271"/>
      <c r="AL398" s="271"/>
      <c r="AM398" s="271"/>
      <c r="AN398" s="271"/>
      <c r="AO398" s="271"/>
      <c r="AP398" s="271"/>
      <c r="AQ398" s="271"/>
      <c r="AR398" s="160"/>
      <c r="AS398" s="160">
        <f>SUM(AA398:AR398)</f>
        <v>1</v>
      </c>
    </row>
    <row r="399" spans="27:45" ht="12.75">
      <c r="AA399" s="271"/>
      <c r="AB399" s="271"/>
      <c r="AC399" s="271"/>
      <c r="AD399" s="271"/>
      <c r="AE399" s="271"/>
      <c r="AF399" s="271"/>
      <c r="AG399" s="271"/>
      <c r="AH399" s="271"/>
      <c r="AI399" s="271"/>
      <c r="AJ399" s="271"/>
      <c r="AK399" s="271"/>
      <c r="AL399" s="271"/>
      <c r="AM399" s="271"/>
      <c r="AN399" s="271"/>
      <c r="AO399" s="271"/>
      <c r="AP399" s="271"/>
      <c r="AQ399" s="271"/>
      <c r="AR399" s="160"/>
      <c r="AS399" s="160"/>
    </row>
    <row r="400" spans="26:45" ht="12.75">
      <c r="Z400">
        <v>2</v>
      </c>
      <c r="AA400" s="271">
        <f>'Schedule E'!J32</f>
        <v>0.6061</v>
      </c>
      <c r="AB400" s="271"/>
      <c r="AC400" s="271">
        <f>'Schedule E'!J34</f>
        <v>0.3939</v>
      </c>
      <c r="AD400" s="271"/>
      <c r="AE400" s="271"/>
      <c r="AF400" s="271"/>
      <c r="AG400" s="271"/>
      <c r="AH400" s="271"/>
      <c r="AI400" s="271"/>
      <c r="AJ400" s="271"/>
      <c r="AK400" s="271"/>
      <c r="AL400" s="271"/>
      <c r="AM400" s="271"/>
      <c r="AN400" s="271"/>
      <c r="AO400" s="271"/>
      <c r="AP400" s="271"/>
      <c r="AQ400" s="271"/>
      <c r="AR400" s="160"/>
      <c r="AS400" s="160">
        <f aca="true" t="shared" si="110" ref="AS400:AS420">SUM(AA400:AR400)</f>
        <v>1</v>
      </c>
    </row>
    <row r="401" spans="27:45" ht="12.75">
      <c r="AA401" s="271"/>
      <c r="AB401" s="271"/>
      <c r="AC401" s="271"/>
      <c r="AD401" s="271"/>
      <c r="AE401" s="271"/>
      <c r="AF401" s="271"/>
      <c r="AG401" s="271"/>
      <c r="AH401" s="271"/>
      <c r="AI401" s="271"/>
      <c r="AJ401" s="271"/>
      <c r="AK401" s="271"/>
      <c r="AL401" s="271"/>
      <c r="AM401" s="271"/>
      <c r="AN401" s="271"/>
      <c r="AO401" s="271"/>
      <c r="AP401" s="271"/>
      <c r="AQ401" s="271"/>
      <c r="AR401" s="160"/>
      <c r="AS401" s="160"/>
    </row>
    <row r="402" spans="26:45" ht="12.75">
      <c r="Z402">
        <v>3</v>
      </c>
      <c r="AA402" s="271">
        <f>'Schedule E'!H49</f>
        <v>0.5759</v>
      </c>
      <c r="AB402" s="271"/>
      <c r="AC402" s="271">
        <f>'Schedule E'!H51</f>
        <v>0.3744</v>
      </c>
      <c r="AD402" s="271"/>
      <c r="AE402" s="271"/>
      <c r="AF402" s="271"/>
      <c r="AG402" s="271"/>
      <c r="AH402" s="271"/>
      <c r="AI402" s="271"/>
      <c r="AJ402" s="271"/>
      <c r="AK402" s="271"/>
      <c r="AL402" s="271"/>
      <c r="AM402" s="271"/>
      <c r="AN402" s="271"/>
      <c r="AO402" s="271">
        <f>'Schedule E'!L56</f>
        <v>0.0215</v>
      </c>
      <c r="AP402" s="271"/>
      <c r="AQ402" s="271">
        <f>'Schedule E'!L57</f>
        <v>0.0282</v>
      </c>
      <c r="AR402" s="160"/>
      <c r="AS402" s="160">
        <f t="shared" si="110"/>
        <v>0.9999999999999999</v>
      </c>
    </row>
    <row r="403" spans="27:45" ht="12.75">
      <c r="AA403" s="271"/>
      <c r="AB403" s="271"/>
      <c r="AC403" s="271"/>
      <c r="AD403" s="271"/>
      <c r="AE403" s="271"/>
      <c r="AF403" s="271"/>
      <c r="AG403" s="271"/>
      <c r="AH403" s="271"/>
      <c r="AI403" s="271"/>
      <c r="AJ403" s="271"/>
      <c r="AK403" s="271"/>
      <c r="AL403" s="271"/>
      <c r="AM403" s="271"/>
      <c r="AN403" s="271"/>
      <c r="AO403" s="271"/>
      <c r="AP403" s="271"/>
      <c r="AQ403" s="271"/>
      <c r="AR403" s="160"/>
      <c r="AS403" s="160"/>
    </row>
    <row r="404" spans="26:45" ht="12.75">
      <c r="Z404">
        <v>4</v>
      </c>
      <c r="AA404" s="271">
        <f>'Schedule E'!H71</f>
        <v>0.3515</v>
      </c>
      <c r="AB404" s="271"/>
      <c r="AC404" s="271"/>
      <c r="AD404" s="271"/>
      <c r="AE404" s="271">
        <f>'Schedule E'!H73</f>
        <v>0.5272</v>
      </c>
      <c r="AF404" s="271"/>
      <c r="AG404" s="271"/>
      <c r="AH404" s="271"/>
      <c r="AI404" s="271"/>
      <c r="AJ404" s="271"/>
      <c r="AK404" s="271"/>
      <c r="AL404" s="271"/>
      <c r="AM404" s="271"/>
      <c r="AN404" s="271"/>
      <c r="AO404" s="271">
        <f>'Schedule E'!L78</f>
        <v>0.0525</v>
      </c>
      <c r="AP404" s="271"/>
      <c r="AQ404" s="271">
        <f>'Schedule E'!L79</f>
        <v>0.0688</v>
      </c>
      <c r="AR404" s="160"/>
      <c r="AS404" s="160">
        <f t="shared" si="110"/>
        <v>1</v>
      </c>
    </row>
    <row r="405" spans="27:45" ht="12.75">
      <c r="AA405" s="271"/>
      <c r="AB405" s="271"/>
      <c r="AC405" s="271"/>
      <c r="AD405" s="271"/>
      <c r="AE405" s="271"/>
      <c r="AF405" s="271"/>
      <c r="AG405" s="271"/>
      <c r="AH405" s="271"/>
      <c r="AI405" s="271"/>
      <c r="AJ405" s="271"/>
      <c r="AK405" s="271"/>
      <c r="AL405" s="271"/>
      <c r="AM405" s="271"/>
      <c r="AN405" s="271"/>
      <c r="AO405" s="271"/>
      <c r="AP405" s="271"/>
      <c r="AQ405" s="271"/>
      <c r="AR405" s="160"/>
      <c r="AS405" s="160"/>
    </row>
    <row r="406" spans="26:45" ht="12.75">
      <c r="Z406">
        <v>5</v>
      </c>
      <c r="AA406" s="271">
        <f>'Schedule E'!H137</f>
        <v>0.3421</v>
      </c>
      <c r="AB406" s="271"/>
      <c r="AC406" s="271"/>
      <c r="AD406" s="271"/>
      <c r="AE406" s="271">
        <f>'Schedule E'!H139</f>
        <v>0.5131</v>
      </c>
      <c r="AF406" s="271"/>
      <c r="AG406" s="271"/>
      <c r="AH406" s="271"/>
      <c r="AI406" s="271"/>
      <c r="AJ406" s="271"/>
      <c r="AK406" s="271"/>
      <c r="AL406" s="271"/>
      <c r="AM406" s="271"/>
      <c r="AN406" s="271"/>
      <c r="AO406" s="271">
        <f>'Schedule E'!H143</f>
        <v>0.0626</v>
      </c>
      <c r="AP406" s="271"/>
      <c r="AQ406" s="271">
        <f>'Schedule E'!H144</f>
        <v>0.0822</v>
      </c>
      <c r="AR406" s="160"/>
      <c r="AS406" s="160">
        <f t="shared" si="110"/>
        <v>1</v>
      </c>
    </row>
    <row r="407" spans="27:45" ht="12.75">
      <c r="AA407" s="271"/>
      <c r="AB407" s="271"/>
      <c r="AC407" s="271"/>
      <c r="AD407" s="271"/>
      <c r="AE407" s="271"/>
      <c r="AF407" s="271"/>
      <c r="AG407" s="271"/>
      <c r="AH407" s="271"/>
      <c r="AI407" s="271"/>
      <c r="AJ407" s="271"/>
      <c r="AK407" s="271"/>
      <c r="AL407" s="271"/>
      <c r="AM407" s="271"/>
      <c r="AN407" s="271"/>
      <c r="AO407" s="271"/>
      <c r="AP407" s="271"/>
      <c r="AQ407" s="271"/>
      <c r="AR407" s="160"/>
      <c r="AS407" s="160"/>
    </row>
    <row r="408" spans="26:45" ht="12.75">
      <c r="Z408">
        <v>6</v>
      </c>
      <c r="AA408" s="271">
        <f>'Schedule E'!P162</f>
        <v>0.5631999999999999</v>
      </c>
      <c r="AB408" s="271"/>
      <c r="AC408" s="271">
        <f>'Schedule E'!P163</f>
        <v>0.3372</v>
      </c>
      <c r="AD408" s="271"/>
      <c r="AE408" s="271">
        <f>'Schedule E'!P164</f>
        <v>0.0665</v>
      </c>
      <c r="AF408" s="271"/>
      <c r="AG408" s="271"/>
      <c r="AH408" s="271"/>
      <c r="AI408" s="271"/>
      <c r="AJ408" s="271"/>
      <c r="AK408" s="271"/>
      <c r="AL408" s="271"/>
      <c r="AM408" s="271"/>
      <c r="AN408" s="271"/>
      <c r="AO408" s="271">
        <f>'Schedule E'!P165</f>
        <v>0.0143</v>
      </c>
      <c r="AP408" s="271"/>
      <c r="AQ408" s="271">
        <f>'Schedule E'!P166</f>
        <v>0.018799999999999997</v>
      </c>
      <c r="AR408" s="160"/>
      <c r="AS408" s="160">
        <f t="shared" si="110"/>
        <v>0.9999999999999999</v>
      </c>
    </row>
    <row r="409" spans="27:45" ht="12.75">
      <c r="AA409" s="271"/>
      <c r="AB409" s="271"/>
      <c r="AC409" s="271"/>
      <c r="AD409" s="271"/>
      <c r="AE409" s="271"/>
      <c r="AF409" s="271"/>
      <c r="AG409" s="271"/>
      <c r="AH409" s="271"/>
      <c r="AI409" s="271"/>
      <c r="AJ409" s="271"/>
      <c r="AK409" s="271"/>
      <c r="AL409" s="271"/>
      <c r="AM409" s="271"/>
      <c r="AN409" s="271"/>
      <c r="AO409" s="271"/>
      <c r="AP409" s="271"/>
      <c r="AQ409" s="271"/>
      <c r="AR409" s="160"/>
      <c r="AS409" s="160"/>
    </row>
    <row r="410" spans="26:45" ht="12.75">
      <c r="Z410">
        <v>7</v>
      </c>
      <c r="AA410" s="271">
        <f>'Schedule E'!L193</f>
        <v>0.39678596892167367</v>
      </c>
      <c r="AB410" s="271"/>
      <c r="AC410" s="271">
        <f>'Schedule E'!L194</f>
        <v>0.075557338521723</v>
      </c>
      <c r="AD410" s="271"/>
      <c r="AE410" s="271">
        <f>'Schedule E'!L195</f>
        <v>0.4208062263123601</v>
      </c>
      <c r="AF410" s="271"/>
      <c r="AG410" s="271"/>
      <c r="AH410" s="271"/>
      <c r="AI410" s="271"/>
      <c r="AJ410" s="271"/>
      <c r="AK410" s="271"/>
      <c r="AL410" s="271"/>
      <c r="AM410" s="271"/>
      <c r="AN410" s="271"/>
      <c r="AO410" s="271">
        <f>'Schedule E'!L196</f>
        <v>0.046243916949323144</v>
      </c>
      <c r="AP410" s="271"/>
      <c r="AQ410" s="271">
        <f>'Schedule E'!L197</f>
        <v>0.06060654929491999</v>
      </c>
      <c r="AR410" s="160"/>
      <c r="AS410" s="160">
        <f t="shared" si="110"/>
        <v>1</v>
      </c>
    </row>
    <row r="411" spans="27:45" ht="12.75">
      <c r="AA411" s="271"/>
      <c r="AB411" s="271"/>
      <c r="AC411" s="271"/>
      <c r="AD411" s="271"/>
      <c r="AE411" s="271"/>
      <c r="AF411" s="271"/>
      <c r="AG411" s="271"/>
      <c r="AH411" s="271"/>
      <c r="AI411" s="271"/>
      <c r="AJ411" s="271"/>
      <c r="AK411" s="271"/>
      <c r="AL411" s="271"/>
      <c r="AM411" s="271"/>
      <c r="AN411" s="271"/>
      <c r="AO411" s="271"/>
      <c r="AP411" s="271"/>
      <c r="AQ411" s="271"/>
      <c r="AR411" s="160"/>
      <c r="AS411" s="160"/>
    </row>
    <row r="412" spans="26:45" ht="12.75">
      <c r="Z412">
        <v>9</v>
      </c>
      <c r="AA412" s="271"/>
      <c r="AB412" s="271"/>
      <c r="AC412" s="271"/>
      <c r="AD412" s="271"/>
      <c r="AE412" s="271"/>
      <c r="AF412" s="271"/>
      <c r="AG412" s="271">
        <f>'Schedule E'!J244</f>
        <v>1</v>
      </c>
      <c r="AH412" s="271"/>
      <c r="AI412" s="271"/>
      <c r="AJ412" s="271"/>
      <c r="AK412" s="271"/>
      <c r="AL412" s="271"/>
      <c r="AM412" s="271"/>
      <c r="AN412" s="271"/>
      <c r="AO412" s="271"/>
      <c r="AP412" s="271"/>
      <c r="AQ412" s="271"/>
      <c r="AR412" s="160"/>
      <c r="AS412" s="160">
        <f t="shared" si="110"/>
        <v>1</v>
      </c>
    </row>
    <row r="413" spans="27:45" ht="12.75">
      <c r="AA413" s="271"/>
      <c r="AB413" s="271"/>
      <c r="AC413" s="271"/>
      <c r="AD413" s="271"/>
      <c r="AE413" s="271"/>
      <c r="AF413" s="271"/>
      <c r="AG413" s="271"/>
      <c r="AH413" s="271"/>
      <c r="AI413" s="271"/>
      <c r="AJ413" s="271"/>
      <c r="AK413" s="271"/>
      <c r="AL413" s="271"/>
      <c r="AM413" s="271"/>
      <c r="AN413" s="271"/>
      <c r="AO413" s="271"/>
      <c r="AP413" s="271"/>
      <c r="AQ413" s="271"/>
      <c r="AR413" s="160"/>
      <c r="AS413" s="160"/>
    </row>
    <row r="414" spans="26:45" ht="12.75">
      <c r="Z414">
        <v>10</v>
      </c>
      <c r="AA414" s="271"/>
      <c r="AB414" s="271"/>
      <c r="AC414" s="271"/>
      <c r="AD414" s="271"/>
      <c r="AE414" s="271"/>
      <c r="AF414" s="271"/>
      <c r="AG414" s="271"/>
      <c r="AH414" s="271"/>
      <c r="AI414" s="271">
        <f>'Schedule E'!J255</f>
        <v>1</v>
      </c>
      <c r="AJ414" s="271"/>
      <c r="AK414" s="271"/>
      <c r="AL414" s="271"/>
      <c r="AM414" s="271"/>
      <c r="AN414" s="271"/>
      <c r="AO414" s="271"/>
      <c r="AP414" s="271"/>
      <c r="AQ414" s="271"/>
      <c r="AR414" s="160"/>
      <c r="AS414" s="160">
        <f t="shared" si="110"/>
        <v>1</v>
      </c>
    </row>
    <row r="415" spans="27:45" ht="12.75">
      <c r="AA415" s="271"/>
      <c r="AB415" s="271"/>
      <c r="AC415" s="271"/>
      <c r="AD415" s="271"/>
      <c r="AE415" s="271"/>
      <c r="AF415" s="271"/>
      <c r="AG415" s="271"/>
      <c r="AH415" s="271"/>
      <c r="AI415" s="271"/>
      <c r="AJ415" s="271"/>
      <c r="AK415" s="271"/>
      <c r="AL415" s="271"/>
      <c r="AM415" s="271"/>
      <c r="AN415" s="271"/>
      <c r="AO415" s="271"/>
      <c r="AP415" s="271"/>
      <c r="AQ415" s="271"/>
      <c r="AR415" s="160"/>
      <c r="AS415" s="160"/>
    </row>
    <row r="416" spans="26:45" ht="12.75">
      <c r="Z416">
        <v>11</v>
      </c>
      <c r="AA416" s="271"/>
      <c r="AB416" s="271"/>
      <c r="AC416" s="271"/>
      <c r="AD416" s="271"/>
      <c r="AE416" s="271"/>
      <c r="AF416" s="271"/>
      <c r="AG416" s="271"/>
      <c r="AH416" s="271"/>
      <c r="AI416" s="271"/>
      <c r="AJ416" s="271"/>
      <c r="AK416" s="271">
        <f>'Schedule E'!J266</f>
        <v>1</v>
      </c>
      <c r="AL416" s="271"/>
      <c r="AM416" s="271"/>
      <c r="AN416" s="271"/>
      <c r="AO416" s="271"/>
      <c r="AP416" s="271"/>
      <c r="AQ416" s="271"/>
      <c r="AR416" s="160"/>
      <c r="AS416" s="160">
        <f t="shared" si="110"/>
        <v>1</v>
      </c>
    </row>
    <row r="417" spans="27:45" ht="12.75">
      <c r="AA417" s="271"/>
      <c r="AB417" s="271"/>
      <c r="AC417" s="271"/>
      <c r="AD417" s="271"/>
      <c r="AE417" s="271"/>
      <c r="AF417" s="271"/>
      <c r="AG417" s="271"/>
      <c r="AH417" s="271"/>
      <c r="AI417" s="271"/>
      <c r="AJ417" s="271"/>
      <c r="AK417" s="271"/>
      <c r="AL417" s="271"/>
      <c r="AM417" s="271"/>
      <c r="AN417" s="271"/>
      <c r="AO417" s="271"/>
      <c r="AP417" s="271"/>
      <c r="AQ417" s="271"/>
      <c r="AR417" s="160"/>
      <c r="AS417" s="160"/>
    </row>
    <row r="418" spans="26:45" ht="12.75">
      <c r="Z418">
        <v>12</v>
      </c>
      <c r="AA418" s="271"/>
      <c r="AB418" s="271"/>
      <c r="AC418" s="271"/>
      <c r="AD418" s="271"/>
      <c r="AE418" s="271"/>
      <c r="AF418" s="271"/>
      <c r="AG418" s="271"/>
      <c r="AH418" s="271"/>
      <c r="AI418" s="271"/>
      <c r="AJ418" s="271"/>
      <c r="AK418" s="271"/>
      <c r="AL418" s="271"/>
      <c r="AM418" s="271">
        <f>'Schedule E'!J277</f>
        <v>1</v>
      </c>
      <c r="AN418" s="271"/>
      <c r="AO418" s="271"/>
      <c r="AP418" s="271"/>
      <c r="AQ418" s="271"/>
      <c r="AR418" s="160"/>
      <c r="AS418" s="160">
        <f t="shared" si="110"/>
        <v>1</v>
      </c>
    </row>
    <row r="419" spans="27:45" ht="12.75">
      <c r="AA419" s="271"/>
      <c r="AB419" s="271"/>
      <c r="AC419" s="271"/>
      <c r="AD419" s="271"/>
      <c r="AE419" s="271"/>
      <c r="AF419" s="271"/>
      <c r="AG419" s="271"/>
      <c r="AH419" s="271"/>
      <c r="AI419" s="271"/>
      <c r="AJ419" s="271"/>
      <c r="AK419" s="271"/>
      <c r="AL419" s="271"/>
      <c r="AM419" s="271"/>
      <c r="AN419" s="271"/>
      <c r="AO419" s="271"/>
      <c r="AP419" s="271"/>
      <c r="AQ419" s="271"/>
      <c r="AR419" s="160"/>
      <c r="AS419" s="160"/>
    </row>
    <row r="420" spans="26:45" ht="12.75">
      <c r="Z420">
        <v>13</v>
      </c>
      <c r="AA420" s="271"/>
      <c r="AB420" s="271"/>
      <c r="AC420" s="271"/>
      <c r="AD420" s="271"/>
      <c r="AE420" s="271"/>
      <c r="AF420" s="271"/>
      <c r="AG420" s="271"/>
      <c r="AH420" s="271"/>
      <c r="AI420" s="271"/>
      <c r="AJ420" s="271"/>
      <c r="AK420" s="271"/>
      <c r="AL420" s="271"/>
      <c r="AM420" s="271"/>
      <c r="AN420" s="271"/>
      <c r="AO420" s="271"/>
      <c r="AP420" s="271"/>
      <c r="AQ420" s="271">
        <f>'Schedule E'!J289</f>
        <v>1</v>
      </c>
      <c r="AR420" s="160"/>
      <c r="AS420" s="160">
        <f t="shared" si="110"/>
        <v>1</v>
      </c>
    </row>
    <row r="421" spans="27:45" ht="12.75">
      <c r="AA421" s="271"/>
      <c r="AB421" s="271"/>
      <c r="AC421" s="271"/>
      <c r="AD421" s="271"/>
      <c r="AE421" s="271"/>
      <c r="AF421" s="271"/>
      <c r="AG421" s="271"/>
      <c r="AH421" s="271"/>
      <c r="AI421" s="271"/>
      <c r="AJ421" s="271"/>
      <c r="AK421" s="271"/>
      <c r="AL421" s="271"/>
      <c r="AM421" s="271"/>
      <c r="AN421" s="271"/>
      <c r="AO421" s="271"/>
      <c r="AP421" s="271"/>
      <c r="AQ421" s="271"/>
      <c r="AR421" s="160"/>
      <c r="AS421" s="160"/>
    </row>
    <row r="422" spans="27:45" ht="12.75">
      <c r="AA422" s="160"/>
      <c r="AB422" s="160"/>
      <c r="AC422" s="160"/>
      <c r="AD422" s="160"/>
      <c r="AE422" s="160"/>
      <c r="AF422" s="160"/>
      <c r="AG422" s="160"/>
      <c r="AH422" s="160"/>
      <c r="AI422" s="160"/>
      <c r="AJ422" s="160"/>
      <c r="AK422" s="160"/>
      <c r="AL422" s="160"/>
      <c r="AM422" s="160"/>
      <c r="AN422" s="160"/>
      <c r="AO422" s="160"/>
      <c r="AP422" s="160"/>
      <c r="AQ422" s="160"/>
      <c r="AR422" s="160"/>
      <c r="AS422" s="160"/>
    </row>
    <row r="423" spans="27:45" ht="12.75">
      <c r="AA423" s="161"/>
      <c r="AB423" s="157"/>
      <c r="AC423" s="157"/>
      <c r="AD423" s="157"/>
      <c r="AE423" s="157"/>
      <c r="AF423" s="157"/>
      <c r="AG423" s="157"/>
      <c r="AH423" s="157"/>
      <c r="AI423" s="157"/>
      <c r="AJ423" s="157"/>
      <c r="AK423" s="157"/>
      <c r="AL423" s="157"/>
      <c r="AM423" s="157"/>
      <c r="AN423" s="157"/>
      <c r="AO423" s="157"/>
      <c r="AP423" s="157"/>
      <c r="AQ423" s="157"/>
      <c r="AR423" s="157"/>
      <c r="AS423" s="157"/>
    </row>
    <row r="424" spans="27:45" ht="12.75">
      <c r="AA424" s="161"/>
      <c r="AB424" s="157"/>
      <c r="AC424" s="157"/>
      <c r="AD424" s="157"/>
      <c r="AE424" s="157"/>
      <c r="AF424" s="157"/>
      <c r="AG424" s="157"/>
      <c r="AH424" s="157"/>
      <c r="AI424" s="157"/>
      <c r="AJ424" s="157"/>
      <c r="AK424" s="157"/>
      <c r="AL424" s="157"/>
      <c r="AM424" s="157"/>
      <c r="AN424" s="157"/>
      <c r="AO424" s="157"/>
      <c r="AP424" s="157"/>
      <c r="AQ424" s="157"/>
      <c r="AR424" s="157"/>
      <c r="AS424" s="157"/>
    </row>
    <row r="425" ht="12.75">
      <c r="AA425" s="154"/>
    </row>
    <row r="426" ht="12.75">
      <c r="AA426" s="154"/>
    </row>
    <row r="427" ht="12.75">
      <c r="AA427" s="154"/>
    </row>
    <row r="428" ht="12.75">
      <c r="AA428" s="154"/>
    </row>
    <row r="429" ht="12.75">
      <c r="AA429" s="154"/>
    </row>
    <row r="430" ht="12.75">
      <c r="AA430" s="154"/>
    </row>
    <row r="431" ht="12.75">
      <c r="AA431" s="154"/>
    </row>
    <row r="432" ht="12.75">
      <c r="AA432" s="154"/>
    </row>
    <row r="433" ht="12.75">
      <c r="AA433" s="154"/>
    </row>
    <row r="434" ht="12.75">
      <c r="AA434" s="154"/>
    </row>
    <row r="435" ht="12.75">
      <c r="AA435" s="154"/>
    </row>
    <row r="436" ht="12.75">
      <c r="AA436" s="154"/>
    </row>
    <row r="437" ht="12.75">
      <c r="AA437" s="154"/>
    </row>
    <row r="438" ht="12.75">
      <c r="AA438" s="154"/>
    </row>
    <row r="439" ht="12.75">
      <c r="AA439" s="154"/>
    </row>
    <row r="440" ht="12.75">
      <c r="AA440" s="154"/>
    </row>
    <row r="441" ht="12.75">
      <c r="AA441" s="154"/>
    </row>
    <row r="442" ht="12.75">
      <c r="AA442" s="154"/>
    </row>
    <row r="443" ht="12.75">
      <c r="AA443" s="154"/>
    </row>
    <row r="444" ht="12.75">
      <c r="AA444" s="154"/>
    </row>
  </sheetData>
  <mergeCells count="9">
    <mergeCell ref="AG179:AK179"/>
    <mergeCell ref="AG169:AQ169"/>
    <mergeCell ref="AG171:AQ171"/>
    <mergeCell ref="B3:X3"/>
    <mergeCell ref="B4:X4"/>
    <mergeCell ref="J8:L8"/>
    <mergeCell ref="N8:P8"/>
    <mergeCell ref="R7:T7"/>
    <mergeCell ref="V7:X7"/>
  </mergeCells>
  <printOptions horizontalCentered="1"/>
  <pageMargins left="0.6" right="0.6" top="1" bottom="0.5" header="0.5" footer="0.5"/>
  <pageSetup fitToHeight="0" horizontalDpi="600" verticalDpi="600" orientation="landscape" scale="72" r:id="rId1"/>
  <rowBreaks count="8" manualBreakCount="8">
    <brk id="53" min="1" max="23" man="1"/>
    <brk id="97" min="1" max="23" man="1"/>
    <brk id="140" min="1" max="23" man="1"/>
    <brk id="187" min="1" max="23" man="1"/>
    <brk id="267" min="1" max="23" man="1"/>
    <brk id="284" max="255" man="1"/>
    <brk id="293" min="1" max="23" man="1"/>
    <brk id="339" min="1" max="23" man="1"/>
  </rowBreaks>
</worksheet>
</file>

<file path=xl/worksheets/sheet8.xml><?xml version="1.0" encoding="utf-8"?>
<worksheet xmlns="http://schemas.openxmlformats.org/spreadsheetml/2006/main" xmlns:r="http://schemas.openxmlformats.org/officeDocument/2006/relationships">
  <dimension ref="A1:AU440"/>
  <sheetViews>
    <sheetView zoomScale="87" zoomScaleNormal="87" workbookViewId="0" topLeftCell="A7">
      <selection activeCell="Q114" sqref="Q114:Q115"/>
    </sheetView>
  </sheetViews>
  <sheetFormatPr defaultColWidth="8.88671875" defaultRowHeight="12.75"/>
  <cols>
    <col min="1" max="1" width="6.88671875" style="107" customWidth="1"/>
    <col min="2" max="2" width="11.21484375" style="107" customWidth="1"/>
    <col min="3" max="3" width="1.66796875" style="118" customWidth="1"/>
    <col min="4" max="4" width="10.10546875" style="65" customWidth="1"/>
    <col min="5" max="5" width="1.66796875" style="121" customWidth="1"/>
    <col min="6" max="6" width="10.88671875" style="65" customWidth="1"/>
    <col min="7" max="7" width="1.66796875" style="121" customWidth="1"/>
    <col min="8" max="8" width="9.4453125" style="121" customWidth="1"/>
    <col min="9" max="9" width="1.66796875" style="121" customWidth="1"/>
    <col min="10" max="10" width="10.10546875" style="121" customWidth="1"/>
    <col min="11" max="11" width="3.5546875" style="121" customWidth="1"/>
    <col min="12" max="12" width="8.77734375" style="121" customWidth="1"/>
    <col min="13" max="13" width="0.55078125" style="121" customWidth="1"/>
    <col min="14" max="14" width="8.77734375" style="121" customWidth="1"/>
    <col min="15" max="15" width="1.77734375" style="121" customWidth="1"/>
    <col min="16" max="16" width="10.88671875" style="121" customWidth="1"/>
    <col min="17" max="17" width="10.6640625" style="121" customWidth="1"/>
    <col min="18" max="18" width="1.5625" style="121" customWidth="1"/>
    <col min="19" max="19" width="8.88671875" style="121" bestFit="1" customWidth="1"/>
    <col min="20" max="20" width="2.4453125" style="0" customWidth="1"/>
    <col min="21" max="21" width="6.4453125" style="0" customWidth="1"/>
    <col min="22" max="22" width="4.77734375" style="0" customWidth="1"/>
    <col min="23" max="23" width="0.78125" style="0" customWidth="1"/>
    <col min="24" max="24" width="5.88671875" style="0" customWidth="1"/>
    <col min="25" max="25" width="0.88671875" style="0" customWidth="1"/>
    <col min="26" max="26" width="6.3359375" style="0" customWidth="1"/>
    <col min="27" max="27" width="0.78125" style="0" customWidth="1"/>
    <col min="28" max="28" width="6.3359375" style="0" customWidth="1"/>
    <col min="29" max="29" width="0.78125" style="0" customWidth="1"/>
    <col min="30" max="30" width="6.21484375" style="0" customWidth="1"/>
    <col min="31" max="31" width="0.671875" style="0" customWidth="1"/>
    <col min="32" max="32" width="6.10546875" style="0" customWidth="1"/>
    <col min="33" max="33" width="0.671875" style="0" customWidth="1"/>
    <col min="34" max="34" width="6.77734375" style="0" customWidth="1"/>
    <col min="35" max="35" width="0.78125" style="0" customWidth="1"/>
    <col min="36" max="36" width="6.21484375" style="0" customWidth="1"/>
    <col min="37" max="37" width="0.78125" style="0" customWidth="1"/>
    <col min="38" max="38" width="6.3359375" style="0" customWidth="1"/>
    <col min="39" max="39" width="0.55078125" style="0" customWidth="1"/>
    <col min="40" max="40" width="5.88671875" style="0" customWidth="1"/>
    <col min="41" max="41" width="0.55078125" style="0" customWidth="1"/>
    <col min="42" max="42" width="6.88671875" style="0" customWidth="1"/>
    <col min="43" max="43" width="0.671875" style="0" customWidth="1"/>
    <col min="44" max="44" width="6.3359375" style="0" customWidth="1"/>
    <col min="45" max="45" width="0.671875" style="0" customWidth="1"/>
    <col min="46" max="46" width="6.77734375" style="0" customWidth="1"/>
  </cols>
  <sheetData>
    <row r="1" ht="15">
      <c r="K1" s="347" t="s">
        <v>263</v>
      </c>
    </row>
    <row r="3" spans="1:17" s="108" customFormat="1" ht="15">
      <c r="A3" s="470" t="s">
        <v>514</v>
      </c>
      <c r="B3" s="470"/>
      <c r="C3" s="470"/>
      <c r="D3" s="470"/>
      <c r="E3" s="470"/>
      <c r="F3" s="470"/>
      <c r="G3" s="470"/>
      <c r="H3" s="470"/>
      <c r="I3" s="470"/>
      <c r="J3" s="470"/>
      <c r="K3" s="470"/>
      <c r="L3" s="470"/>
      <c r="M3" s="65"/>
      <c r="N3" s="65"/>
      <c r="O3" s="65"/>
      <c r="P3" s="65"/>
      <c r="Q3" s="65"/>
    </row>
    <row r="4" spans="1:17" s="108" customFormat="1" ht="15">
      <c r="A4" s="65"/>
      <c r="B4" s="66"/>
      <c r="C4" s="66"/>
      <c r="D4" s="66"/>
      <c r="E4" s="66"/>
      <c r="F4" s="66"/>
      <c r="G4" s="66"/>
      <c r="H4" s="66"/>
      <c r="I4" s="66"/>
      <c r="J4" s="66"/>
      <c r="K4" s="66"/>
      <c r="L4" s="66"/>
      <c r="M4" s="65"/>
      <c r="N4" s="65"/>
      <c r="O4" s="65"/>
      <c r="P4" s="65"/>
      <c r="Q4" s="65"/>
    </row>
    <row r="5" spans="1:17" s="108" customFormat="1" ht="15">
      <c r="A5" s="470" t="s">
        <v>21</v>
      </c>
      <c r="B5" s="470"/>
      <c r="C5" s="470"/>
      <c r="D5" s="470"/>
      <c r="E5" s="470"/>
      <c r="F5" s="470"/>
      <c r="G5" s="470"/>
      <c r="H5" s="470"/>
      <c r="I5" s="470"/>
      <c r="J5" s="470"/>
      <c r="K5" s="470"/>
      <c r="L5" s="470"/>
      <c r="M5" s="65"/>
      <c r="N5" s="65"/>
      <c r="O5" s="65"/>
      <c r="P5" s="65"/>
      <c r="Q5" s="65"/>
    </row>
    <row r="6" spans="1:17" s="108" customFormat="1" ht="15">
      <c r="A6" s="65"/>
      <c r="B6" s="67"/>
      <c r="C6" s="67"/>
      <c r="D6" s="67"/>
      <c r="E6" s="67"/>
      <c r="F6" s="67"/>
      <c r="G6" s="67"/>
      <c r="H6" s="67"/>
      <c r="I6" s="67"/>
      <c r="J6" s="67"/>
      <c r="K6" s="67"/>
      <c r="L6" s="67"/>
      <c r="M6" s="65"/>
      <c r="N6" s="65"/>
      <c r="O6" s="65"/>
      <c r="P6" s="65"/>
      <c r="Q6" s="65"/>
    </row>
    <row r="7" spans="1:46" s="65" customFormat="1" ht="12.75">
      <c r="A7" s="68"/>
      <c r="B7" s="68"/>
      <c r="C7" s="68"/>
      <c r="D7" s="68"/>
      <c r="E7" s="68"/>
      <c r="F7" s="68"/>
      <c r="G7" s="68"/>
      <c r="H7" s="68"/>
      <c r="I7" s="68"/>
      <c r="J7" s="68"/>
      <c r="K7" s="68"/>
      <c r="L7" s="68"/>
      <c r="V7"/>
      <c r="W7"/>
      <c r="X7"/>
      <c r="Y7"/>
      <c r="Z7"/>
      <c r="AA7"/>
      <c r="AB7"/>
      <c r="AC7"/>
      <c r="AD7"/>
      <c r="AE7"/>
      <c r="AF7"/>
      <c r="AG7"/>
      <c r="AH7"/>
      <c r="AI7"/>
      <c r="AJ7"/>
      <c r="AK7"/>
      <c r="AL7"/>
      <c r="AM7"/>
      <c r="AN7"/>
      <c r="AO7"/>
      <c r="AP7"/>
      <c r="AQ7"/>
      <c r="AR7"/>
      <c r="AS7"/>
      <c r="AT7"/>
    </row>
    <row r="8" spans="1:46" s="103" customFormat="1" ht="12.75">
      <c r="A8" s="68" t="s">
        <v>516</v>
      </c>
      <c r="B8" s="68"/>
      <c r="C8" s="68"/>
      <c r="D8" s="68"/>
      <c r="E8" s="68"/>
      <c r="F8" s="68"/>
      <c r="G8" s="68"/>
      <c r="H8" s="68"/>
      <c r="I8" s="68"/>
      <c r="J8" s="68"/>
      <c r="K8" s="68"/>
      <c r="L8" s="68"/>
      <c r="M8" s="65"/>
      <c r="N8" s="65"/>
      <c r="O8" s="65"/>
      <c r="P8" s="65"/>
      <c r="Q8" s="65"/>
      <c r="V8"/>
      <c r="W8"/>
      <c r="X8"/>
      <c r="Y8"/>
      <c r="Z8"/>
      <c r="AA8"/>
      <c r="AB8"/>
      <c r="AC8"/>
      <c r="AD8"/>
      <c r="AE8"/>
      <c r="AF8"/>
      <c r="AG8"/>
      <c r="AH8"/>
      <c r="AI8"/>
      <c r="AJ8"/>
      <c r="AK8"/>
      <c r="AL8"/>
      <c r="AM8"/>
      <c r="AN8"/>
      <c r="AO8"/>
      <c r="AP8"/>
      <c r="AQ8"/>
      <c r="AR8"/>
      <c r="AS8"/>
      <c r="AT8"/>
    </row>
    <row r="9" spans="1:46" s="103" customFormat="1" ht="12.75">
      <c r="A9" s="68"/>
      <c r="B9" s="68"/>
      <c r="C9" s="68"/>
      <c r="D9" s="68"/>
      <c r="E9" s="68"/>
      <c r="F9" s="68"/>
      <c r="G9" s="68"/>
      <c r="H9" s="68"/>
      <c r="I9" s="68"/>
      <c r="J9" s="68"/>
      <c r="K9" s="68"/>
      <c r="L9" s="68"/>
      <c r="M9" s="65"/>
      <c r="N9" s="65"/>
      <c r="O9" s="65"/>
      <c r="P9" s="65"/>
      <c r="Q9" s="65"/>
      <c r="V9"/>
      <c r="W9"/>
      <c r="X9"/>
      <c r="Y9"/>
      <c r="Z9"/>
      <c r="AA9"/>
      <c r="AB9"/>
      <c r="AC9"/>
      <c r="AD9"/>
      <c r="AE9"/>
      <c r="AF9"/>
      <c r="AG9"/>
      <c r="AH9"/>
      <c r="AI9"/>
      <c r="AJ9"/>
      <c r="AK9"/>
      <c r="AL9"/>
      <c r="AM9"/>
      <c r="AN9"/>
      <c r="AO9"/>
      <c r="AP9"/>
      <c r="AQ9"/>
      <c r="AR9"/>
      <c r="AS9"/>
      <c r="AT9"/>
    </row>
    <row r="10" spans="1:47" s="111" customFormat="1" ht="12.75">
      <c r="A10" s="68"/>
      <c r="B10" s="68"/>
      <c r="C10" s="68"/>
      <c r="D10" s="68"/>
      <c r="E10" s="68"/>
      <c r="F10" s="68"/>
      <c r="G10" s="68"/>
      <c r="H10" s="68"/>
      <c r="I10" s="68"/>
      <c r="J10" s="68"/>
      <c r="K10" s="68"/>
      <c r="L10" s="68"/>
      <c r="M10" s="65"/>
      <c r="N10" s="65"/>
      <c r="O10" s="65"/>
      <c r="P10" s="65"/>
      <c r="Q10" s="65"/>
      <c r="V10"/>
      <c r="W10"/>
      <c r="X10"/>
      <c r="Y10"/>
      <c r="Z10"/>
      <c r="AA10"/>
      <c r="AB10"/>
      <c r="AC10"/>
      <c r="AD10"/>
      <c r="AE10"/>
      <c r="AF10"/>
      <c r="AG10"/>
      <c r="AH10"/>
      <c r="AI10"/>
      <c r="AJ10"/>
      <c r="AK10"/>
      <c r="AL10"/>
      <c r="AM10"/>
      <c r="AN10"/>
      <c r="AO10"/>
      <c r="AP10"/>
      <c r="AQ10"/>
      <c r="AR10"/>
      <c r="AS10"/>
      <c r="AT10"/>
      <c r="AU10" s="137"/>
    </row>
    <row r="11" spans="1:46" s="119" customFormat="1" ht="12.75">
      <c r="A11" s="68" t="s">
        <v>22</v>
      </c>
      <c r="B11" s="65"/>
      <c r="C11" s="68"/>
      <c r="D11" s="68"/>
      <c r="E11" s="68"/>
      <c r="F11" s="68"/>
      <c r="G11" s="68"/>
      <c r="H11" s="68"/>
      <c r="I11" s="68"/>
      <c r="J11" s="68"/>
      <c r="K11" s="68"/>
      <c r="L11" s="68"/>
      <c r="M11" s="65"/>
      <c r="N11" s="65"/>
      <c r="O11" s="65"/>
      <c r="P11" s="65"/>
      <c r="Q11" s="65"/>
      <c r="V11"/>
      <c r="W11"/>
      <c r="X11"/>
      <c r="Y11"/>
      <c r="Z11"/>
      <c r="AA11"/>
      <c r="AB11"/>
      <c r="AC11"/>
      <c r="AD11"/>
      <c r="AE11"/>
      <c r="AF11"/>
      <c r="AG11"/>
      <c r="AH11"/>
      <c r="AI11"/>
      <c r="AJ11"/>
      <c r="AK11"/>
      <c r="AL11"/>
      <c r="AM11"/>
      <c r="AN11"/>
      <c r="AO11"/>
      <c r="AP11"/>
      <c r="AQ11"/>
      <c r="AR11"/>
      <c r="AS11"/>
      <c r="AT11"/>
    </row>
    <row r="12" spans="1:46" s="111" customFormat="1" ht="12.75">
      <c r="A12" s="68"/>
      <c r="B12" s="68"/>
      <c r="C12" s="68"/>
      <c r="D12" s="68"/>
      <c r="E12" s="68"/>
      <c r="F12" s="68"/>
      <c r="G12" s="68"/>
      <c r="H12" s="68"/>
      <c r="I12" s="68"/>
      <c r="J12" s="68"/>
      <c r="K12" s="68"/>
      <c r="L12" s="68"/>
      <c r="M12" s="65"/>
      <c r="N12" s="65"/>
      <c r="O12" s="65"/>
      <c r="P12" s="65"/>
      <c r="Q12" s="65"/>
      <c r="V12"/>
      <c r="W12"/>
      <c r="X12"/>
      <c r="Y12"/>
      <c r="Z12"/>
      <c r="AA12"/>
      <c r="AB12"/>
      <c r="AC12"/>
      <c r="AD12"/>
      <c r="AE12"/>
      <c r="AF12"/>
      <c r="AG12"/>
      <c r="AH12"/>
      <c r="AI12"/>
      <c r="AJ12"/>
      <c r="AK12"/>
      <c r="AL12"/>
      <c r="AM12"/>
      <c r="AN12"/>
      <c r="AO12"/>
      <c r="AP12"/>
      <c r="AQ12"/>
      <c r="AR12"/>
      <c r="AS12"/>
      <c r="AT12"/>
    </row>
    <row r="13" spans="1:22" ht="12.75">
      <c r="A13" s="68"/>
      <c r="B13" s="68"/>
      <c r="C13" s="68"/>
      <c r="D13" s="68"/>
      <c r="E13" s="68"/>
      <c r="F13" s="69"/>
      <c r="G13" s="68"/>
      <c r="H13" s="68"/>
      <c r="I13" s="68"/>
      <c r="J13" s="68"/>
      <c r="K13" s="68"/>
      <c r="L13" s="68"/>
      <c r="M13" s="65"/>
      <c r="N13" s="65"/>
      <c r="O13" s="65"/>
      <c r="P13" s="65"/>
      <c r="Q13" s="65"/>
      <c r="V13" s="126"/>
    </row>
    <row r="14" spans="1:22" ht="12.75">
      <c r="A14" s="66"/>
      <c r="B14" s="494" t="s">
        <v>23</v>
      </c>
      <c r="C14" s="494"/>
      <c r="D14" s="494"/>
      <c r="E14" s="68"/>
      <c r="F14" s="69"/>
      <c r="G14" s="68"/>
      <c r="H14" s="67"/>
      <c r="I14" s="67"/>
      <c r="J14" s="69" t="s">
        <v>521</v>
      </c>
      <c r="K14" s="68"/>
      <c r="L14" s="68"/>
      <c r="M14" s="65"/>
      <c r="N14" s="65"/>
      <c r="O14" s="65"/>
      <c r="P14" s="65"/>
      <c r="Q14" s="65"/>
      <c r="V14" s="126"/>
    </row>
    <row r="15" spans="1:22" ht="12.75">
      <c r="A15" s="66"/>
      <c r="B15" s="493" t="s">
        <v>24</v>
      </c>
      <c r="C15" s="493"/>
      <c r="D15" s="493"/>
      <c r="E15" s="68"/>
      <c r="F15" s="69"/>
      <c r="G15" s="68"/>
      <c r="H15" s="67"/>
      <c r="I15" s="67"/>
      <c r="J15" s="69" t="s">
        <v>523</v>
      </c>
      <c r="K15" s="68"/>
      <c r="L15" s="68"/>
      <c r="M15" s="65"/>
      <c r="N15" s="65"/>
      <c r="O15" s="65"/>
      <c r="P15" s="65"/>
      <c r="Q15" s="65"/>
      <c r="V15" s="126"/>
    </row>
    <row r="16" spans="1:22" ht="12.75">
      <c r="A16" s="70"/>
      <c r="B16" s="492" t="s">
        <v>524</v>
      </c>
      <c r="C16" s="492"/>
      <c r="D16" s="492"/>
      <c r="E16" s="71"/>
      <c r="F16" s="72"/>
      <c r="G16" s="71"/>
      <c r="H16" s="67"/>
      <c r="I16" s="67"/>
      <c r="J16" s="97" t="s">
        <v>535</v>
      </c>
      <c r="K16" s="68"/>
      <c r="L16" s="68"/>
      <c r="M16" s="65"/>
      <c r="N16" s="65"/>
      <c r="O16" s="65"/>
      <c r="P16" s="65"/>
      <c r="Q16" s="65"/>
      <c r="V16" s="126"/>
    </row>
    <row r="17" spans="1:22" ht="12.75">
      <c r="A17" s="68"/>
      <c r="B17" s="68"/>
      <c r="C17" s="67"/>
      <c r="D17" s="67"/>
      <c r="E17" s="68"/>
      <c r="F17" s="68"/>
      <c r="G17" s="68"/>
      <c r="H17" s="67"/>
      <c r="I17" s="67"/>
      <c r="J17" s="68"/>
      <c r="K17" s="68"/>
      <c r="L17" s="68"/>
      <c r="M17" s="65"/>
      <c r="N17" s="65"/>
      <c r="O17" s="65"/>
      <c r="P17" s="65"/>
      <c r="Q17" s="65"/>
      <c r="V17" s="126"/>
    </row>
    <row r="18" spans="1:22" ht="13.5" thickBot="1">
      <c r="A18" s="68"/>
      <c r="B18" s="68" t="s">
        <v>25</v>
      </c>
      <c r="C18" s="67"/>
      <c r="D18" s="67"/>
      <c r="E18" s="68"/>
      <c r="F18" s="71"/>
      <c r="G18" s="68"/>
      <c r="H18" s="67"/>
      <c r="I18" s="67"/>
      <c r="J18" s="205">
        <v>1</v>
      </c>
      <c r="K18" s="68"/>
      <c r="L18" s="68"/>
      <c r="M18" s="65"/>
      <c r="N18" s="65"/>
      <c r="O18" s="65"/>
      <c r="P18" s="65"/>
      <c r="Q18" s="65"/>
      <c r="V18" s="126"/>
    </row>
    <row r="19" spans="1:22" ht="13.5" thickTop="1">
      <c r="A19" s="68"/>
      <c r="B19" s="67"/>
      <c r="C19" s="68"/>
      <c r="D19" s="68"/>
      <c r="E19" s="68"/>
      <c r="F19" s="74"/>
      <c r="G19" s="68"/>
      <c r="H19" s="74"/>
      <c r="I19" s="74"/>
      <c r="J19" s="68"/>
      <c r="K19" s="68"/>
      <c r="L19" s="68"/>
      <c r="M19" s="65"/>
      <c r="N19" s="65"/>
      <c r="O19" s="65"/>
      <c r="P19" s="65"/>
      <c r="Q19" s="65"/>
      <c r="V19" s="126"/>
    </row>
    <row r="20" spans="1:22" ht="12.75">
      <c r="A20" s="68"/>
      <c r="B20" s="68"/>
      <c r="C20" s="68"/>
      <c r="D20" s="68"/>
      <c r="E20" s="68"/>
      <c r="F20" s="71"/>
      <c r="G20" s="68"/>
      <c r="H20" s="68"/>
      <c r="I20" s="68"/>
      <c r="J20" s="68"/>
      <c r="K20" s="68"/>
      <c r="L20" s="68"/>
      <c r="M20" s="65"/>
      <c r="N20" s="65"/>
      <c r="O20" s="65"/>
      <c r="P20" s="65"/>
      <c r="Q20" s="65"/>
      <c r="V20" s="126"/>
    </row>
    <row r="21" spans="1:22" ht="12.75">
      <c r="A21" s="68"/>
      <c r="B21" s="68"/>
      <c r="C21" s="68"/>
      <c r="D21" s="68"/>
      <c r="E21" s="68"/>
      <c r="F21" s="68"/>
      <c r="G21" s="68"/>
      <c r="H21" s="68"/>
      <c r="I21" s="68"/>
      <c r="J21" s="68"/>
      <c r="K21" s="68"/>
      <c r="L21" s="68"/>
      <c r="M21" s="65"/>
      <c r="N21" s="65"/>
      <c r="O21" s="65"/>
      <c r="P21" s="65"/>
      <c r="Q21" s="65"/>
      <c r="V21" s="126"/>
    </row>
    <row r="22" spans="1:22" ht="12.75">
      <c r="A22" s="499" t="s">
        <v>448</v>
      </c>
      <c r="B22" s="499"/>
      <c r="C22" s="499"/>
      <c r="D22" s="499"/>
      <c r="E22" s="499"/>
      <c r="F22" s="499"/>
      <c r="G22" s="499"/>
      <c r="H22" s="499"/>
      <c r="I22" s="499"/>
      <c r="J22" s="499"/>
      <c r="K22" s="499"/>
      <c r="L22" s="499"/>
      <c r="M22" s="65"/>
      <c r="N22" s="65"/>
      <c r="O22" s="65"/>
      <c r="P22" s="65"/>
      <c r="Q22" s="65"/>
      <c r="V22" s="126"/>
    </row>
    <row r="23" spans="1:24" ht="12.75">
      <c r="A23" s="68" t="s">
        <v>447</v>
      </c>
      <c r="B23" s="68"/>
      <c r="C23" s="68"/>
      <c r="D23" s="68"/>
      <c r="E23" s="68"/>
      <c r="F23" s="68"/>
      <c r="G23" s="68"/>
      <c r="H23" s="68"/>
      <c r="I23" s="68"/>
      <c r="J23" s="68"/>
      <c r="K23" s="68"/>
      <c r="L23" s="68"/>
      <c r="M23" s="65"/>
      <c r="N23" s="65"/>
      <c r="O23" s="65"/>
      <c r="P23" s="65"/>
      <c r="Q23" s="65"/>
      <c r="V23" s="126"/>
      <c r="X23" s="126"/>
    </row>
    <row r="24" spans="1:24" ht="27.75" customHeight="1">
      <c r="A24" s="500" t="s">
        <v>369</v>
      </c>
      <c r="B24" s="500"/>
      <c r="C24" s="500"/>
      <c r="D24" s="500"/>
      <c r="E24" s="500"/>
      <c r="F24" s="500"/>
      <c r="G24" s="500"/>
      <c r="H24" s="500"/>
      <c r="I24" s="500"/>
      <c r="J24" s="500"/>
      <c r="K24" s="500"/>
      <c r="L24" s="500"/>
      <c r="M24" s="65"/>
      <c r="N24" s="65"/>
      <c r="O24" s="65"/>
      <c r="P24" s="65"/>
      <c r="Q24" s="65"/>
      <c r="V24" s="126"/>
      <c r="X24" s="126"/>
    </row>
    <row r="25" spans="1:22" ht="12.75">
      <c r="A25" s="68"/>
      <c r="B25" s="68"/>
      <c r="C25" s="68"/>
      <c r="D25" s="68"/>
      <c r="E25" s="68"/>
      <c r="F25" s="68"/>
      <c r="G25" s="68"/>
      <c r="H25" s="68"/>
      <c r="I25" s="68"/>
      <c r="J25" s="68"/>
      <c r="K25" s="68"/>
      <c r="L25" s="68"/>
      <c r="M25" s="65"/>
      <c r="N25" s="65"/>
      <c r="O25" s="65"/>
      <c r="P25" s="65"/>
      <c r="Q25" s="65"/>
      <c r="V25" s="126"/>
    </row>
    <row r="26" spans="1:22" ht="12.75">
      <c r="A26" s="68"/>
      <c r="B26" s="68"/>
      <c r="C26" s="68"/>
      <c r="D26" s="68"/>
      <c r="E26" s="68"/>
      <c r="F26" s="68"/>
      <c r="G26" s="68"/>
      <c r="H26" s="68"/>
      <c r="I26" s="68"/>
      <c r="J26" s="68"/>
      <c r="K26" s="68"/>
      <c r="L26" s="68"/>
      <c r="M26" s="65"/>
      <c r="N26" s="65"/>
      <c r="O26" s="65"/>
      <c r="P26" s="65"/>
      <c r="Q26" s="65"/>
      <c r="V26" s="126"/>
    </row>
    <row r="27" spans="1:22" ht="12.75">
      <c r="A27" s="68"/>
      <c r="B27" s="68"/>
      <c r="C27" s="68"/>
      <c r="D27" s="68"/>
      <c r="E27" s="68"/>
      <c r="F27" s="68"/>
      <c r="G27" s="68"/>
      <c r="H27" s="68"/>
      <c r="I27" s="68"/>
      <c r="J27" s="68"/>
      <c r="K27" s="68"/>
      <c r="L27" s="68"/>
      <c r="M27" s="65"/>
      <c r="N27" s="65"/>
      <c r="O27" s="65"/>
      <c r="P27" s="65"/>
      <c r="Q27" s="65"/>
      <c r="V27" s="126"/>
    </row>
    <row r="28" spans="1:22" ht="12.75">
      <c r="A28" s="66"/>
      <c r="B28" s="494" t="s">
        <v>23</v>
      </c>
      <c r="C28" s="494"/>
      <c r="D28" s="494"/>
      <c r="E28" s="68"/>
      <c r="F28" s="69" t="s">
        <v>544</v>
      </c>
      <c r="G28" s="69"/>
      <c r="H28" s="67"/>
      <c r="I28" s="67"/>
      <c r="J28" s="69" t="s">
        <v>521</v>
      </c>
      <c r="K28" s="68"/>
      <c r="L28" s="68"/>
      <c r="M28" s="65"/>
      <c r="N28" s="65"/>
      <c r="O28" s="65"/>
      <c r="P28" s="65"/>
      <c r="Q28" s="65"/>
      <c r="V28" s="126"/>
    </row>
    <row r="29" spans="1:22" ht="12.75">
      <c r="A29" s="66"/>
      <c r="B29" s="493" t="s">
        <v>24</v>
      </c>
      <c r="C29" s="493"/>
      <c r="D29" s="493"/>
      <c r="E29" s="68"/>
      <c r="F29" s="69" t="s">
        <v>26</v>
      </c>
      <c r="G29" s="69"/>
      <c r="H29" s="67"/>
      <c r="I29" s="67"/>
      <c r="J29" s="69" t="s">
        <v>523</v>
      </c>
      <c r="K29" s="68"/>
      <c r="L29" s="68"/>
      <c r="M29" s="65"/>
      <c r="N29" s="65"/>
      <c r="O29" s="65"/>
      <c r="P29" s="65"/>
      <c r="Q29" s="65"/>
      <c r="V29" s="126"/>
    </row>
    <row r="30" spans="1:17" ht="12.75">
      <c r="A30" s="70"/>
      <c r="B30" s="492" t="s">
        <v>524</v>
      </c>
      <c r="C30" s="492"/>
      <c r="D30" s="492"/>
      <c r="E30" s="68"/>
      <c r="F30" s="97" t="s">
        <v>535</v>
      </c>
      <c r="G30" s="71"/>
      <c r="H30" s="67"/>
      <c r="I30" s="67"/>
      <c r="J30" s="97" t="s">
        <v>525</v>
      </c>
      <c r="K30" s="68"/>
      <c r="L30" s="68"/>
      <c r="M30" s="65"/>
      <c r="N30" s="65"/>
      <c r="O30" s="65"/>
      <c r="P30" s="65"/>
      <c r="Q30" s="65"/>
    </row>
    <row r="31" spans="1:22" ht="12.75">
      <c r="A31" s="70"/>
      <c r="B31" s="70"/>
      <c r="C31" s="68"/>
      <c r="D31" s="68"/>
      <c r="E31" s="68"/>
      <c r="F31" s="68"/>
      <c r="G31" s="68"/>
      <c r="H31" s="67"/>
      <c r="I31" s="67"/>
      <c r="J31" s="68"/>
      <c r="K31" s="68"/>
      <c r="L31" s="68"/>
      <c r="M31" s="65"/>
      <c r="N31" s="65"/>
      <c r="O31" s="65"/>
      <c r="P31" s="65"/>
      <c r="Q31" s="65"/>
      <c r="V31" s="126"/>
    </row>
    <row r="32" spans="1:17" ht="12.75">
      <c r="A32" s="68"/>
      <c r="B32" s="68" t="s">
        <v>547</v>
      </c>
      <c r="C32" s="68"/>
      <c r="D32" s="68"/>
      <c r="E32" s="68"/>
      <c r="F32" s="272">
        <v>1</v>
      </c>
      <c r="G32" s="68"/>
      <c r="H32" s="67"/>
      <c r="I32" s="67"/>
      <c r="J32" s="73">
        <f>ROUND(F32/F36,4)</f>
        <v>0.6061</v>
      </c>
      <c r="K32" s="68"/>
      <c r="L32" s="68"/>
      <c r="M32" s="65"/>
      <c r="N32" s="65"/>
      <c r="O32" s="65"/>
      <c r="P32" s="65"/>
      <c r="Q32" s="65"/>
    </row>
    <row r="33" spans="1:17" ht="12.75">
      <c r="A33" s="68"/>
      <c r="B33" s="65"/>
      <c r="C33" s="68"/>
      <c r="D33" s="68"/>
      <c r="E33" s="68"/>
      <c r="F33" s="272"/>
      <c r="G33" s="68"/>
      <c r="H33" s="67"/>
      <c r="I33" s="67"/>
      <c r="J33" s="68"/>
      <c r="K33" s="68"/>
      <c r="L33" s="68"/>
      <c r="M33" s="65"/>
      <c r="N33" s="65"/>
      <c r="O33" s="65"/>
      <c r="P33" s="65"/>
      <c r="Q33" s="65"/>
    </row>
    <row r="34" spans="1:17" ht="12.75">
      <c r="A34" s="68"/>
      <c r="B34" s="68" t="s">
        <v>539</v>
      </c>
      <c r="C34" s="68"/>
      <c r="D34" s="68"/>
      <c r="E34" s="68"/>
      <c r="F34" s="272">
        <v>0.65</v>
      </c>
      <c r="G34" s="68"/>
      <c r="H34" s="67"/>
      <c r="I34" s="67"/>
      <c r="J34" s="73">
        <f>ROUND(F34/F36,4)</f>
        <v>0.3939</v>
      </c>
      <c r="K34" s="68"/>
      <c r="L34" s="68"/>
      <c r="M34" s="65"/>
      <c r="N34" s="65"/>
      <c r="O34" s="65"/>
      <c r="P34" s="65"/>
      <c r="Q34" s="65"/>
    </row>
    <row r="35" spans="1:17" ht="12.75">
      <c r="A35" s="68"/>
      <c r="B35" s="68"/>
      <c r="C35" s="68"/>
      <c r="D35" s="68"/>
      <c r="E35" s="68"/>
      <c r="F35" s="76"/>
      <c r="G35" s="68"/>
      <c r="H35" s="67"/>
      <c r="I35" s="67"/>
      <c r="J35" s="77"/>
      <c r="K35" s="68"/>
      <c r="L35" s="68"/>
      <c r="M35" s="65"/>
      <c r="N35" s="65"/>
      <c r="O35" s="65"/>
      <c r="P35" s="65"/>
      <c r="Q35" s="65"/>
    </row>
    <row r="36" spans="1:17" ht="13.5" thickBot="1">
      <c r="A36" s="68"/>
      <c r="B36" s="68" t="s">
        <v>548</v>
      </c>
      <c r="C36" s="68"/>
      <c r="D36" s="68"/>
      <c r="E36" s="68"/>
      <c r="F36" s="75">
        <f>SUM(F32:F35)</f>
        <v>1.65</v>
      </c>
      <c r="G36" s="68"/>
      <c r="H36" s="67"/>
      <c r="I36" s="67"/>
      <c r="J36" s="73">
        <f>SUM(J32:J35)</f>
        <v>1</v>
      </c>
      <c r="K36" s="68"/>
      <c r="L36" s="68"/>
      <c r="M36" s="65"/>
      <c r="N36" s="65"/>
      <c r="O36" s="65"/>
      <c r="P36" s="65"/>
      <c r="Q36" s="65"/>
    </row>
    <row r="37" spans="1:19" ht="13.5" thickTop="1">
      <c r="A37" s="68"/>
      <c r="B37" s="68"/>
      <c r="C37" s="68"/>
      <c r="D37" s="68"/>
      <c r="E37" s="68"/>
      <c r="F37" s="78"/>
      <c r="G37" s="68"/>
      <c r="H37" s="68"/>
      <c r="I37" s="67"/>
      <c r="J37" s="78"/>
      <c r="K37" s="68"/>
      <c r="L37" s="68"/>
      <c r="M37" s="65"/>
      <c r="N37" s="65"/>
      <c r="O37" s="65"/>
      <c r="P37" s="65"/>
      <c r="Q37" s="65"/>
      <c r="R37" s="126"/>
      <c r="S37" s="126"/>
    </row>
    <row r="38" spans="1:19" ht="12.75">
      <c r="A38" s="68"/>
      <c r="B38" s="68"/>
      <c r="C38" s="68"/>
      <c r="D38" s="68"/>
      <c r="E38" s="68"/>
      <c r="F38" s="68"/>
      <c r="G38" s="68"/>
      <c r="H38" s="68"/>
      <c r="I38" s="68"/>
      <c r="J38" s="68"/>
      <c r="K38" s="68"/>
      <c r="L38" s="68"/>
      <c r="M38" s="65"/>
      <c r="N38" s="65"/>
      <c r="O38" s="65"/>
      <c r="P38" s="65"/>
      <c r="Q38" s="65"/>
      <c r="R38" s="126"/>
      <c r="S38" s="126"/>
    </row>
    <row r="39" spans="1:19" ht="12.75">
      <c r="A39" s="79"/>
      <c r="B39" s="68"/>
      <c r="C39" s="68"/>
      <c r="D39" s="68"/>
      <c r="E39" s="68"/>
      <c r="F39" s="68"/>
      <c r="G39" s="68"/>
      <c r="H39" s="68"/>
      <c r="I39" s="68"/>
      <c r="J39" s="68"/>
      <c r="K39" s="68"/>
      <c r="L39" s="68"/>
      <c r="M39" s="65"/>
      <c r="N39" s="65"/>
      <c r="O39" s="65"/>
      <c r="P39" s="65"/>
      <c r="Q39" s="65"/>
      <c r="R39" s="126"/>
      <c r="S39" s="126"/>
    </row>
    <row r="40" spans="1:19" ht="12.75">
      <c r="A40" s="499" t="s">
        <v>455</v>
      </c>
      <c r="B40" s="499"/>
      <c r="C40" s="499"/>
      <c r="D40" s="499"/>
      <c r="E40" s="499"/>
      <c r="F40" s="499"/>
      <c r="G40" s="499"/>
      <c r="H40" s="499"/>
      <c r="I40" s="499"/>
      <c r="J40" s="499"/>
      <c r="K40" s="499"/>
      <c r="L40" s="499"/>
      <c r="M40" s="65"/>
      <c r="N40" s="65"/>
      <c r="O40" s="65"/>
      <c r="P40" s="65"/>
      <c r="Q40" s="65"/>
      <c r="R40" s="126"/>
      <c r="S40" s="126"/>
    </row>
    <row r="41" spans="1:19" ht="12.75">
      <c r="A41" s="68" t="s">
        <v>447</v>
      </c>
      <c r="B41" s="68"/>
      <c r="C41" s="68"/>
      <c r="D41" s="68"/>
      <c r="E41" s="68"/>
      <c r="F41" s="68"/>
      <c r="G41" s="68"/>
      <c r="H41" s="68"/>
      <c r="I41" s="68"/>
      <c r="J41" s="68"/>
      <c r="K41" s="68"/>
      <c r="L41" s="68"/>
      <c r="M41" s="65"/>
      <c r="N41" s="65"/>
      <c r="O41" s="65"/>
      <c r="P41" s="65"/>
      <c r="Q41" s="65"/>
      <c r="R41" s="126"/>
      <c r="S41" s="126"/>
    </row>
    <row r="42" spans="1:19" ht="70.5" customHeight="1">
      <c r="A42" s="500" t="s">
        <v>234</v>
      </c>
      <c r="B42" s="500"/>
      <c r="C42" s="500"/>
      <c r="D42" s="500"/>
      <c r="E42" s="500"/>
      <c r="F42" s="500"/>
      <c r="G42" s="500"/>
      <c r="H42" s="500"/>
      <c r="I42" s="500"/>
      <c r="J42" s="500"/>
      <c r="K42" s="500"/>
      <c r="L42" s="500"/>
      <c r="M42" s="65"/>
      <c r="N42" s="65"/>
      <c r="O42" s="65"/>
      <c r="P42" s="65"/>
      <c r="Q42" s="65"/>
      <c r="R42"/>
      <c r="S42"/>
    </row>
    <row r="43" spans="1:19" ht="12.75">
      <c r="A43" s="199"/>
      <c r="B43" s="199"/>
      <c r="C43" s="199"/>
      <c r="D43" s="199"/>
      <c r="E43" s="199"/>
      <c r="F43" s="199"/>
      <c r="G43" s="199"/>
      <c r="H43" s="199"/>
      <c r="I43" s="199"/>
      <c r="J43" s="199"/>
      <c r="K43" s="199"/>
      <c r="L43" s="199"/>
      <c r="M43" s="65"/>
      <c r="N43" s="65"/>
      <c r="O43" s="65"/>
      <c r="P43" s="65"/>
      <c r="Q43" s="65"/>
      <c r="R43"/>
      <c r="S43"/>
    </row>
    <row r="44" spans="1:19" ht="12.75">
      <c r="A44" s="68"/>
      <c r="B44" s="68"/>
      <c r="C44" s="68"/>
      <c r="D44" s="68"/>
      <c r="E44" s="68"/>
      <c r="F44" s="68"/>
      <c r="G44" s="68"/>
      <c r="H44" s="68"/>
      <c r="I44" s="68"/>
      <c r="J44" s="69" t="s">
        <v>521</v>
      </c>
      <c r="K44" s="69"/>
      <c r="L44" s="69"/>
      <c r="M44" s="65"/>
      <c r="N44" s="65"/>
      <c r="O44" s="65"/>
      <c r="P44" s="65"/>
      <c r="Q44" s="65"/>
      <c r="R44"/>
      <c r="S44"/>
    </row>
    <row r="45" spans="1:19" ht="12.75">
      <c r="A45" s="494" t="s">
        <v>23</v>
      </c>
      <c r="B45" s="494"/>
      <c r="C45" s="68"/>
      <c r="D45" s="68"/>
      <c r="E45" s="68"/>
      <c r="F45" s="69" t="s">
        <v>540</v>
      </c>
      <c r="G45" s="67"/>
      <c r="H45" s="69" t="s">
        <v>521</v>
      </c>
      <c r="I45" s="67"/>
      <c r="J45" s="103" t="s">
        <v>33</v>
      </c>
      <c r="K45" s="69"/>
      <c r="L45" s="69" t="s">
        <v>534</v>
      </c>
      <c r="M45" s="65"/>
      <c r="N45" s="65"/>
      <c r="O45" s="65"/>
      <c r="P45" s="65"/>
      <c r="Q45" s="65"/>
      <c r="R45"/>
      <c r="S45"/>
    </row>
    <row r="46" spans="1:19" ht="12.75">
      <c r="A46" s="493" t="s">
        <v>24</v>
      </c>
      <c r="B46" s="493"/>
      <c r="C46" s="68"/>
      <c r="D46" s="69" t="s">
        <v>545</v>
      </c>
      <c r="E46" s="67"/>
      <c r="F46" s="69" t="s">
        <v>553</v>
      </c>
      <c r="G46" s="67"/>
      <c r="H46" s="69" t="s">
        <v>523</v>
      </c>
      <c r="I46" s="67"/>
      <c r="J46" s="176" t="s">
        <v>34</v>
      </c>
      <c r="K46" s="69"/>
      <c r="L46" s="147" t="s">
        <v>523</v>
      </c>
      <c r="M46" s="65"/>
      <c r="N46" s="65"/>
      <c r="O46" s="65"/>
      <c r="P46" s="65"/>
      <c r="Q46" s="65"/>
      <c r="R46"/>
      <c r="S46"/>
    </row>
    <row r="47" spans="1:19" ht="12.75">
      <c r="A47" s="496" t="s">
        <v>524</v>
      </c>
      <c r="B47" s="496"/>
      <c r="C47" s="68"/>
      <c r="D47" s="211">
        <v>-2</v>
      </c>
      <c r="E47" s="212"/>
      <c r="F47" s="211">
        <v>-3</v>
      </c>
      <c r="G47" s="212"/>
      <c r="H47" s="211">
        <v>-4</v>
      </c>
      <c r="I47" s="212"/>
      <c r="J47" s="118">
        <v>-5</v>
      </c>
      <c r="K47" s="215"/>
      <c r="L47" s="215">
        <v>-6</v>
      </c>
      <c r="M47" s="65"/>
      <c r="N47" s="65"/>
      <c r="O47" s="65"/>
      <c r="P47" s="65"/>
      <c r="Q47" s="65"/>
      <c r="R47"/>
      <c r="S47"/>
    </row>
    <row r="48" spans="1:19" ht="12.75">
      <c r="A48" s="68"/>
      <c r="B48" s="68"/>
      <c r="C48" s="68"/>
      <c r="D48" s="173"/>
      <c r="E48" s="174"/>
      <c r="F48" s="173"/>
      <c r="G48" s="174"/>
      <c r="H48" s="173"/>
      <c r="I48" s="174"/>
      <c r="J48" s="65"/>
      <c r="K48" s="173"/>
      <c r="L48" s="68"/>
      <c r="M48" s="65"/>
      <c r="N48" s="65"/>
      <c r="O48" s="65"/>
      <c r="P48" s="65"/>
      <c r="Q48" s="65"/>
      <c r="R48"/>
      <c r="S48"/>
    </row>
    <row r="49" spans="1:19" ht="12.75">
      <c r="A49" s="68" t="s">
        <v>547</v>
      </c>
      <c r="B49" s="65"/>
      <c r="C49" s="68"/>
      <c r="D49" s="296">
        <f>+F32</f>
        <v>1</v>
      </c>
      <c r="E49" s="67"/>
      <c r="F49" s="273">
        <f>ROUND(Q49*748/365,0)</f>
        <v>41730943</v>
      </c>
      <c r="G49" s="67"/>
      <c r="H49" s="73">
        <f>ROUND(+F49/F$59,4)</f>
        <v>0.5759</v>
      </c>
      <c r="I49" s="67"/>
      <c r="J49" s="65"/>
      <c r="K49" s="68"/>
      <c r="L49" s="68"/>
      <c r="M49" s="65"/>
      <c r="N49" s="65"/>
      <c r="O49" s="65"/>
      <c r="P49" s="65"/>
      <c r="Q49" s="397">
        <v>20363361</v>
      </c>
      <c r="R49" t="s">
        <v>370</v>
      </c>
      <c r="S49"/>
    </row>
    <row r="50" spans="1:19" ht="12.75">
      <c r="A50" s="65"/>
      <c r="B50" s="65"/>
      <c r="C50" s="68"/>
      <c r="D50" s="296"/>
      <c r="E50" s="67"/>
      <c r="F50" s="273"/>
      <c r="G50" s="67"/>
      <c r="H50" s="73"/>
      <c r="I50" s="67"/>
      <c r="J50" s="65"/>
      <c r="K50" s="68"/>
      <c r="L50" s="68"/>
      <c r="M50" s="65"/>
      <c r="N50" s="65"/>
      <c r="O50" s="65"/>
      <c r="P50" s="65"/>
      <c r="Q50" s="65"/>
      <c r="R50"/>
      <c r="S50"/>
    </row>
    <row r="51" spans="1:19" ht="12.75">
      <c r="A51" s="68" t="s">
        <v>539</v>
      </c>
      <c r="B51" s="65"/>
      <c r="C51" s="68"/>
      <c r="D51" s="296">
        <f>+F34</f>
        <v>0.65</v>
      </c>
      <c r="E51" s="67"/>
      <c r="F51" s="71">
        <f>ROUND(F49*D51,0)</f>
        <v>27125113</v>
      </c>
      <c r="G51" s="67"/>
      <c r="H51" s="73">
        <f>ROUND(+F51/F$59,4)</f>
        <v>0.3744</v>
      </c>
      <c r="I51" s="67"/>
      <c r="J51" s="65"/>
      <c r="K51" s="68"/>
      <c r="L51" s="68"/>
      <c r="M51" s="65"/>
      <c r="N51" s="65"/>
      <c r="O51" s="65"/>
      <c r="P51" s="65"/>
      <c r="Q51" s="65"/>
      <c r="R51"/>
      <c r="S51"/>
    </row>
    <row r="52" spans="1:19" ht="12.75">
      <c r="A52" s="68"/>
      <c r="B52" s="65"/>
      <c r="C52" s="68"/>
      <c r="D52" s="76"/>
      <c r="E52" s="67"/>
      <c r="F52" s="80"/>
      <c r="G52" s="67"/>
      <c r="H52" s="81"/>
      <c r="I52" s="67"/>
      <c r="J52" s="65"/>
      <c r="K52" s="68"/>
      <c r="L52" s="68"/>
      <c r="M52" s="65"/>
      <c r="N52" s="65"/>
      <c r="O52" s="65"/>
      <c r="P52" s="65"/>
      <c r="Q52" s="65"/>
      <c r="R52"/>
      <c r="S52"/>
    </row>
    <row r="53" spans="1:19" ht="12.75">
      <c r="A53" s="68" t="s">
        <v>555</v>
      </c>
      <c r="B53" s="65"/>
      <c r="C53" s="68"/>
      <c r="D53" s="75">
        <f>SUM(D49:D52)</f>
        <v>1.65</v>
      </c>
      <c r="E53" s="67"/>
      <c r="F53" s="71">
        <f>SUM(F49:F52)</f>
        <v>68856056</v>
      </c>
      <c r="G53" s="67"/>
      <c r="H53" s="73">
        <f>SUM(H49:H52)</f>
        <v>0.9502999999999999</v>
      </c>
      <c r="I53" s="67"/>
      <c r="J53" s="65"/>
      <c r="K53" s="68"/>
      <c r="L53" s="68"/>
      <c r="M53" s="65"/>
      <c r="N53" s="65"/>
      <c r="O53" s="65"/>
      <c r="P53" s="65"/>
      <c r="Q53" s="65"/>
      <c r="R53"/>
      <c r="S53"/>
    </row>
    <row r="54" spans="1:19" ht="12.75">
      <c r="A54" s="68"/>
      <c r="B54" s="65"/>
      <c r="C54" s="68"/>
      <c r="D54" s="67"/>
      <c r="E54" s="68"/>
      <c r="F54" s="71"/>
      <c r="G54" s="67"/>
      <c r="H54" s="73"/>
      <c r="I54" s="67"/>
      <c r="J54" s="65"/>
      <c r="K54" s="68"/>
      <c r="L54" s="68"/>
      <c r="M54" s="65"/>
      <c r="N54" s="65"/>
      <c r="O54" s="65"/>
      <c r="P54" s="65"/>
      <c r="Q54" s="65"/>
      <c r="R54"/>
      <c r="S54"/>
    </row>
    <row r="55" spans="1:19" ht="12.75">
      <c r="A55" s="68" t="s">
        <v>549</v>
      </c>
      <c r="B55" s="65"/>
      <c r="C55" s="68"/>
      <c r="D55" s="67"/>
      <c r="E55" s="68"/>
      <c r="F55" s="273">
        <f>+F77*60*6</f>
        <v>3600000</v>
      </c>
      <c r="G55" s="67"/>
      <c r="H55" s="73">
        <f>ROUND(+F55/F$59,4)+0</f>
        <v>0.0497</v>
      </c>
      <c r="I55" s="67"/>
      <c r="J55" s="65"/>
      <c r="K55" s="68"/>
      <c r="L55" s="68"/>
      <c r="M55" s="65"/>
      <c r="N55" s="65"/>
      <c r="O55" s="65"/>
      <c r="P55" s="65"/>
      <c r="Q55" s="65"/>
      <c r="R55"/>
      <c r="S55"/>
    </row>
    <row r="56" spans="1:19" ht="12.75">
      <c r="A56" s="68" t="s">
        <v>450</v>
      </c>
      <c r="B56" s="65"/>
      <c r="C56" s="68"/>
      <c r="D56" s="67"/>
      <c r="E56" s="68"/>
      <c r="F56" s="71"/>
      <c r="G56" s="67"/>
      <c r="H56" s="73"/>
      <c r="I56" s="67"/>
      <c r="J56" s="274">
        <f>J105</f>
        <v>0.4324</v>
      </c>
      <c r="K56" s="68"/>
      <c r="L56" s="73">
        <f>ROUND(H55*J56,4)</f>
        <v>0.0215</v>
      </c>
      <c r="M56" s="65"/>
      <c r="N56" s="65"/>
      <c r="O56" s="65"/>
      <c r="P56" s="65"/>
      <c r="Q56" s="65"/>
      <c r="R56"/>
      <c r="S56"/>
    </row>
    <row r="57" spans="1:19" ht="12.75">
      <c r="A57" s="68" t="s">
        <v>451</v>
      </c>
      <c r="B57" s="65"/>
      <c r="C57" s="68"/>
      <c r="D57" s="67"/>
      <c r="E57" s="68"/>
      <c r="F57" s="71"/>
      <c r="G57" s="67"/>
      <c r="H57" s="73"/>
      <c r="I57" s="67"/>
      <c r="J57" s="275">
        <f>J111</f>
        <v>0.5676</v>
      </c>
      <c r="K57" s="68"/>
      <c r="L57" s="128">
        <f>ROUND(H55*J57,4)</f>
        <v>0.0282</v>
      </c>
      <c r="M57" s="65"/>
      <c r="N57" s="65"/>
      <c r="O57" s="65"/>
      <c r="P57" s="65"/>
      <c r="Q57" s="65"/>
      <c r="R57"/>
      <c r="S57"/>
    </row>
    <row r="58" spans="1:19" ht="12.75">
      <c r="A58" s="68"/>
      <c r="B58" s="65"/>
      <c r="C58" s="68"/>
      <c r="D58" s="68"/>
      <c r="E58" s="68"/>
      <c r="F58" s="80"/>
      <c r="G58" s="67"/>
      <c r="H58" s="81"/>
      <c r="I58" s="67"/>
      <c r="J58" s="65"/>
      <c r="K58" s="68"/>
      <c r="L58" s="68"/>
      <c r="M58" s="65"/>
      <c r="N58" s="65"/>
      <c r="O58" s="65"/>
      <c r="P58" s="65"/>
      <c r="Q58" s="65"/>
      <c r="R58"/>
      <c r="S58"/>
    </row>
    <row r="59" spans="1:19" ht="13.5" thickBot="1">
      <c r="A59" s="68" t="s">
        <v>548</v>
      </c>
      <c r="B59" s="65"/>
      <c r="C59" s="68"/>
      <c r="D59" s="68"/>
      <c r="E59" s="68"/>
      <c r="F59" s="71">
        <f>SUM(F53:F58)</f>
        <v>72456056</v>
      </c>
      <c r="G59" s="67"/>
      <c r="H59" s="73">
        <f>SUM(H53:H58)</f>
        <v>0.9999999999999999</v>
      </c>
      <c r="I59" s="67"/>
      <c r="J59" s="213">
        <f>SUM(J56:J58)</f>
        <v>1</v>
      </c>
      <c r="K59" s="68"/>
      <c r="L59" s="205">
        <f>SUM(L56:L58)</f>
        <v>0.049699999999999994</v>
      </c>
      <c r="M59" s="65"/>
      <c r="N59" s="65"/>
      <c r="O59" s="65"/>
      <c r="P59" s="65"/>
      <c r="Q59" s="65"/>
      <c r="R59"/>
      <c r="S59"/>
    </row>
    <row r="60" spans="1:19" ht="13.5" thickTop="1">
      <c r="A60" s="68"/>
      <c r="B60" s="68"/>
      <c r="C60" s="68"/>
      <c r="D60" s="68"/>
      <c r="E60" s="68"/>
      <c r="F60" s="82"/>
      <c r="G60" s="67"/>
      <c r="H60" s="82"/>
      <c r="I60" s="67"/>
      <c r="J60" s="65"/>
      <c r="K60" s="68"/>
      <c r="L60" s="68"/>
      <c r="M60" s="65"/>
      <c r="N60" s="65"/>
      <c r="O60" s="65"/>
      <c r="P60" s="65"/>
      <c r="Q60" s="65"/>
      <c r="R60"/>
      <c r="S60"/>
    </row>
    <row r="61" spans="1:19" ht="12.75">
      <c r="A61" s="68"/>
      <c r="B61" s="68"/>
      <c r="C61" s="68"/>
      <c r="D61" s="173"/>
      <c r="E61" s="173"/>
      <c r="F61" s="172"/>
      <c r="G61" s="174"/>
      <c r="H61" s="172"/>
      <c r="I61" s="174"/>
      <c r="J61" s="167"/>
      <c r="K61" s="68"/>
      <c r="L61" s="68"/>
      <c r="M61" s="65"/>
      <c r="N61" s="65"/>
      <c r="O61" s="65"/>
      <c r="P61" s="65"/>
      <c r="Q61" s="65"/>
      <c r="R61"/>
      <c r="S61"/>
    </row>
    <row r="62" spans="1:19" ht="12.75">
      <c r="A62" s="499" t="s">
        <v>456</v>
      </c>
      <c r="B62" s="499"/>
      <c r="C62" s="499"/>
      <c r="D62" s="499"/>
      <c r="E62" s="499"/>
      <c r="F62" s="499"/>
      <c r="G62" s="499"/>
      <c r="H62" s="499"/>
      <c r="I62" s="499"/>
      <c r="J62" s="499"/>
      <c r="K62" s="499"/>
      <c r="L62" s="499"/>
      <c r="M62" s="65"/>
      <c r="N62" s="65"/>
      <c r="O62" s="65"/>
      <c r="P62" s="65"/>
      <c r="Q62" s="65"/>
      <c r="R62"/>
      <c r="S62"/>
    </row>
    <row r="63" spans="1:19" ht="12.75">
      <c r="A63" s="68"/>
      <c r="B63" s="68"/>
      <c r="C63" s="68"/>
      <c r="D63" s="68"/>
      <c r="E63" s="68"/>
      <c r="F63" s="68"/>
      <c r="G63" s="68"/>
      <c r="H63" s="68"/>
      <c r="I63" s="68"/>
      <c r="J63" s="68"/>
      <c r="K63" s="68"/>
      <c r="L63" s="68"/>
      <c r="M63" s="65"/>
      <c r="N63" s="65"/>
      <c r="O63" s="65"/>
      <c r="P63" s="65"/>
      <c r="Q63" s="65"/>
      <c r="R63"/>
      <c r="S63"/>
    </row>
    <row r="64" spans="1:19" ht="52.5" customHeight="1">
      <c r="A64" s="500" t="s">
        <v>273</v>
      </c>
      <c r="B64" s="500"/>
      <c r="C64" s="500"/>
      <c r="D64" s="500"/>
      <c r="E64" s="500"/>
      <c r="F64" s="500"/>
      <c r="G64" s="500"/>
      <c r="H64" s="500"/>
      <c r="I64" s="500"/>
      <c r="J64" s="500"/>
      <c r="K64" s="500"/>
      <c r="L64" s="500"/>
      <c r="M64" s="65"/>
      <c r="N64" s="65"/>
      <c r="O64" s="65"/>
      <c r="P64" s="65"/>
      <c r="Q64" s="65"/>
      <c r="R64"/>
      <c r="S64"/>
    </row>
    <row r="65" spans="1:19" ht="12.75">
      <c r="A65" s="199"/>
      <c r="B65" s="199"/>
      <c r="C65" s="199"/>
      <c r="D65" s="199"/>
      <c r="E65" s="199"/>
      <c r="F65" s="199"/>
      <c r="G65" s="199"/>
      <c r="H65" s="199"/>
      <c r="I65" s="199"/>
      <c r="J65" s="199"/>
      <c r="K65" s="199"/>
      <c r="L65" s="199"/>
      <c r="M65" s="65"/>
      <c r="N65" s="65"/>
      <c r="O65" s="65"/>
      <c r="P65" s="65"/>
      <c r="Q65" s="65"/>
      <c r="R65"/>
      <c r="S65"/>
    </row>
    <row r="66" spans="1:19" ht="12.75">
      <c r="A66" s="68"/>
      <c r="B66" s="68"/>
      <c r="C66" s="68"/>
      <c r="D66" s="68"/>
      <c r="E66" s="68"/>
      <c r="F66" s="68"/>
      <c r="G66" s="68"/>
      <c r="H66" s="68"/>
      <c r="I66" s="68"/>
      <c r="J66" s="69" t="s">
        <v>521</v>
      </c>
      <c r="K66" s="69"/>
      <c r="L66" s="69"/>
      <c r="M66" s="65"/>
      <c r="N66" s="65"/>
      <c r="O66" s="65"/>
      <c r="P66" s="65"/>
      <c r="Q66" s="65"/>
      <c r="R66"/>
      <c r="S66"/>
    </row>
    <row r="67" spans="1:19" ht="12.75">
      <c r="A67" s="494" t="s">
        <v>23</v>
      </c>
      <c r="B67" s="494"/>
      <c r="C67" s="68"/>
      <c r="D67" s="68"/>
      <c r="E67" s="68"/>
      <c r="F67" s="69" t="s">
        <v>540</v>
      </c>
      <c r="G67" s="67"/>
      <c r="H67" s="69" t="s">
        <v>521</v>
      </c>
      <c r="I67" s="67"/>
      <c r="J67" s="103" t="s">
        <v>33</v>
      </c>
      <c r="K67" s="69"/>
      <c r="L67" s="69" t="s">
        <v>534</v>
      </c>
      <c r="M67" s="65"/>
      <c r="N67" s="65"/>
      <c r="O67" s="65"/>
      <c r="P67" s="65"/>
      <c r="Q67" s="65"/>
      <c r="R67"/>
      <c r="S67"/>
    </row>
    <row r="68" spans="1:19" ht="15">
      <c r="A68" s="493" t="s">
        <v>24</v>
      </c>
      <c r="B68" s="493"/>
      <c r="C68" s="68"/>
      <c r="D68" s="69" t="s">
        <v>545</v>
      </c>
      <c r="E68" s="67"/>
      <c r="F68" s="69" t="s">
        <v>556</v>
      </c>
      <c r="G68" s="67"/>
      <c r="H68" s="69" t="s">
        <v>523</v>
      </c>
      <c r="I68" s="67"/>
      <c r="J68" s="176" t="s">
        <v>34</v>
      </c>
      <c r="K68" s="69"/>
      <c r="L68" s="147" t="s">
        <v>523</v>
      </c>
      <c r="M68" s="65"/>
      <c r="N68" s="65"/>
      <c r="O68" s="65"/>
      <c r="P68" s="65"/>
      <c r="Q68" s="407" t="s">
        <v>235</v>
      </c>
      <c r="S68" s="406">
        <v>250000</v>
      </c>
    </row>
    <row r="69" spans="1:19" ht="12.75" customHeight="1">
      <c r="A69" s="496" t="s">
        <v>524</v>
      </c>
      <c r="B69" s="496"/>
      <c r="C69" s="68"/>
      <c r="D69" s="211">
        <v>-2</v>
      </c>
      <c r="E69" s="212"/>
      <c r="F69" s="211">
        <v>-3</v>
      </c>
      <c r="G69" s="212"/>
      <c r="H69" s="211">
        <v>-4</v>
      </c>
      <c r="I69" s="212"/>
      <c r="J69" s="118">
        <v>-5</v>
      </c>
      <c r="K69" s="215"/>
      <c r="L69" s="215">
        <v>-6</v>
      </c>
      <c r="M69" s="65"/>
      <c r="N69" s="65"/>
      <c r="O69" s="65"/>
      <c r="P69" s="65"/>
      <c r="Q69" s="407"/>
      <c r="S69" s="406"/>
    </row>
    <row r="70" spans="1:19" ht="15">
      <c r="A70" s="173"/>
      <c r="B70" s="173"/>
      <c r="C70" s="173"/>
      <c r="D70" s="173"/>
      <c r="E70" s="174"/>
      <c r="F70" s="173"/>
      <c r="G70" s="174"/>
      <c r="H70" s="173"/>
      <c r="I70" s="174"/>
      <c r="J70" s="216"/>
      <c r="K70" s="217"/>
      <c r="L70" s="217"/>
      <c r="M70" s="65"/>
      <c r="N70" s="65"/>
      <c r="O70" s="65"/>
      <c r="P70" s="65"/>
      <c r="Q70" s="407" t="s">
        <v>236</v>
      </c>
      <c r="S70" s="406">
        <f>1020*(S68/1000)^0.5*(1-0.01*(S68/1000)^0.5)</f>
        <v>13577.616066858734</v>
      </c>
    </row>
    <row r="71" spans="1:19" ht="12.75">
      <c r="A71" s="68" t="s">
        <v>554</v>
      </c>
      <c r="B71" s="65"/>
      <c r="C71" s="68"/>
      <c r="D71" s="272">
        <v>1</v>
      </c>
      <c r="E71" s="67"/>
      <c r="F71" s="71">
        <f>ROUND(F49/24/60,0)</f>
        <v>28980</v>
      </c>
      <c r="G71" s="67"/>
      <c r="H71" s="73">
        <f>ROUND(+F71/F$81,4)</f>
        <v>0.3515</v>
      </c>
      <c r="I71" s="67"/>
      <c r="J71" s="65"/>
      <c r="K71" s="68"/>
      <c r="L71" s="68"/>
      <c r="M71" s="65"/>
      <c r="N71" s="65"/>
      <c r="O71" s="65"/>
      <c r="P71" s="65"/>
      <c r="Q71" s="65"/>
      <c r="R71"/>
      <c r="S71"/>
    </row>
    <row r="72" spans="1:19" ht="12.75">
      <c r="A72" s="65"/>
      <c r="B72" s="65"/>
      <c r="C72" s="68"/>
      <c r="D72" s="272"/>
      <c r="E72" s="67"/>
      <c r="F72" s="71"/>
      <c r="G72" s="67"/>
      <c r="H72" s="73"/>
      <c r="I72" s="67"/>
      <c r="J72" s="65"/>
      <c r="K72" s="68"/>
      <c r="L72" s="68"/>
      <c r="M72" s="65"/>
      <c r="N72" s="65"/>
      <c r="O72" s="65"/>
      <c r="P72" s="65"/>
      <c r="Q72" s="65"/>
      <c r="R72"/>
      <c r="S72"/>
    </row>
    <row r="73" spans="1:19" ht="12.75">
      <c r="A73" s="68" t="s">
        <v>557</v>
      </c>
      <c r="B73" s="65"/>
      <c r="C73" s="68"/>
      <c r="D73" s="272">
        <v>1.5</v>
      </c>
      <c r="E73" s="67"/>
      <c r="F73" s="71">
        <f>ROUND(F71*D73,0)</f>
        <v>43470</v>
      </c>
      <c r="G73" s="67"/>
      <c r="H73" s="73">
        <f>ROUND(+F73/F$81,4)</f>
        <v>0.5272</v>
      </c>
      <c r="I73" s="67"/>
      <c r="J73" s="65"/>
      <c r="K73" s="68"/>
      <c r="L73" s="68"/>
      <c r="M73" s="65"/>
      <c r="N73" s="65"/>
      <c r="O73" s="65"/>
      <c r="P73" s="65"/>
      <c r="Q73" s="65"/>
      <c r="R73"/>
      <c r="S73"/>
    </row>
    <row r="74" spans="1:19" ht="12.75">
      <c r="A74" s="68"/>
      <c r="B74" s="65"/>
      <c r="C74" s="68"/>
      <c r="D74" s="76"/>
      <c r="E74" s="67"/>
      <c r="F74" s="80"/>
      <c r="G74" s="67"/>
      <c r="H74" s="81"/>
      <c r="I74" s="67"/>
      <c r="J74" s="65"/>
      <c r="K74" s="68"/>
      <c r="L74" s="68"/>
      <c r="M74" s="65"/>
      <c r="N74" s="65"/>
      <c r="O74" s="65"/>
      <c r="P74" s="65"/>
      <c r="Q74" s="65"/>
      <c r="R74"/>
      <c r="S74"/>
    </row>
    <row r="75" spans="1:19" ht="12.75">
      <c r="A75" s="68" t="s">
        <v>555</v>
      </c>
      <c r="B75" s="65"/>
      <c r="C75" s="68"/>
      <c r="D75" s="75">
        <f>SUM(D71:D74)</f>
        <v>2.5</v>
      </c>
      <c r="E75" s="67"/>
      <c r="F75" s="71">
        <f>SUM(F71:F74)</f>
        <v>72450</v>
      </c>
      <c r="G75" s="67"/>
      <c r="H75" s="73">
        <f>SUM(H71:H74)</f>
        <v>0.8787</v>
      </c>
      <c r="I75" s="67"/>
      <c r="J75" s="65"/>
      <c r="K75" s="68"/>
      <c r="L75" s="68"/>
      <c r="M75" s="65"/>
      <c r="N75" s="65"/>
      <c r="O75" s="65"/>
      <c r="P75" s="65"/>
      <c r="Q75" s="65"/>
      <c r="R75"/>
      <c r="S75"/>
    </row>
    <row r="76" spans="1:19" ht="12.75">
      <c r="A76" s="68"/>
      <c r="B76" s="65"/>
      <c r="C76" s="68"/>
      <c r="D76" s="75"/>
      <c r="E76" s="67"/>
      <c r="F76" s="71"/>
      <c r="G76" s="67"/>
      <c r="H76" s="73"/>
      <c r="I76" s="67"/>
      <c r="J76" s="65"/>
      <c r="K76" s="68"/>
      <c r="L76" s="68"/>
      <c r="M76" s="65"/>
      <c r="N76" s="65"/>
      <c r="O76" s="65"/>
      <c r="P76" s="65"/>
      <c r="Q76" s="65"/>
      <c r="R76"/>
      <c r="S76"/>
    </row>
    <row r="77" spans="1:19" ht="12.75">
      <c r="A77" s="16" t="s">
        <v>549</v>
      </c>
      <c r="B77" s="65"/>
      <c r="C77" s="68"/>
      <c r="D77" s="75"/>
      <c r="E77" s="67"/>
      <c r="F77" s="276">
        <v>10000</v>
      </c>
      <c r="G77" s="67"/>
      <c r="H77" s="168">
        <f>ROUND(F77/F81,4)</f>
        <v>0.1213</v>
      </c>
      <c r="I77" s="67"/>
      <c r="J77" s="65"/>
      <c r="K77" s="68"/>
      <c r="L77" s="68"/>
      <c r="M77" s="65"/>
      <c r="N77" s="65"/>
      <c r="O77" s="65"/>
      <c r="P77" s="65"/>
      <c r="Q77" s="65"/>
      <c r="R77"/>
      <c r="S77"/>
    </row>
    <row r="78" spans="1:19" ht="12.75">
      <c r="A78" s="68" t="s">
        <v>31</v>
      </c>
      <c r="B78" s="65"/>
      <c r="C78" s="68"/>
      <c r="D78" s="75"/>
      <c r="E78" s="67"/>
      <c r="F78" s="71"/>
      <c r="G78" s="67"/>
      <c r="H78" s="73"/>
      <c r="I78" s="67"/>
      <c r="J78" s="274">
        <f>J105</f>
        <v>0.4324</v>
      </c>
      <c r="K78" s="68"/>
      <c r="L78" s="73">
        <f>ROUND(H77*J105,4)</f>
        <v>0.0525</v>
      </c>
      <c r="M78" s="65"/>
      <c r="N78" s="65"/>
      <c r="O78" s="65"/>
      <c r="P78" s="65"/>
      <c r="Q78" s="65"/>
      <c r="R78"/>
      <c r="S78"/>
    </row>
    <row r="79" spans="1:19" ht="15">
      <c r="A79" s="65" t="s">
        <v>32</v>
      </c>
      <c r="B79" s="65"/>
      <c r="C79" s="16"/>
      <c r="D79" s="16"/>
      <c r="E79" s="15"/>
      <c r="F79" s="175"/>
      <c r="G79" s="167"/>
      <c r="H79" s="175"/>
      <c r="I79" s="167"/>
      <c r="J79" s="275">
        <f>J111</f>
        <v>0.5676</v>
      </c>
      <c r="K79" s="68"/>
      <c r="L79" s="128">
        <f>ROUND(H77*J111,4)</f>
        <v>0.0688</v>
      </c>
      <c r="M79" s="65"/>
      <c r="N79" s="65"/>
      <c r="O79" s="65"/>
      <c r="P79" s="65"/>
      <c r="Q79" s="65"/>
      <c r="R79"/>
      <c r="S79"/>
    </row>
    <row r="80" spans="1:19" ht="15">
      <c r="A80" s="16"/>
      <c r="B80" s="65"/>
      <c r="C80" s="16"/>
      <c r="D80" s="16"/>
      <c r="E80" s="15"/>
      <c r="F80" s="16"/>
      <c r="G80" s="162"/>
      <c r="H80" s="73"/>
      <c r="I80" s="168"/>
      <c r="J80" s="65"/>
      <c r="K80" s="68"/>
      <c r="L80" s="68"/>
      <c r="M80" s="65"/>
      <c r="N80" s="65"/>
      <c r="O80" s="65"/>
      <c r="P80" s="65"/>
      <c r="Q80" s="65"/>
      <c r="R80"/>
      <c r="S80"/>
    </row>
    <row r="81" spans="1:19" ht="15.75" thickBot="1">
      <c r="A81" s="16" t="s">
        <v>548</v>
      </c>
      <c r="B81" s="65"/>
      <c r="C81" s="16"/>
      <c r="D81" s="16"/>
      <c r="E81" s="15"/>
      <c r="F81" s="221">
        <f>SUM(F75:F80)</f>
        <v>82450</v>
      </c>
      <c r="G81" s="65"/>
      <c r="H81" s="163">
        <f>H75+H77</f>
        <v>1</v>
      </c>
      <c r="I81" s="65"/>
      <c r="J81" s="213">
        <f>SUM(J78:J80)</f>
        <v>1</v>
      </c>
      <c r="K81" s="68"/>
      <c r="L81" s="205">
        <f>SUM(L78:L80)</f>
        <v>0.12129999999999999</v>
      </c>
      <c r="M81" s="65"/>
      <c r="N81" s="65"/>
      <c r="O81" s="65"/>
      <c r="P81" s="65"/>
      <c r="Q81" s="65"/>
      <c r="R81"/>
      <c r="S81"/>
    </row>
    <row r="82" spans="1:19" ht="15.75" thickTop="1">
      <c r="A82" s="16"/>
      <c r="B82" s="65"/>
      <c r="C82" s="16"/>
      <c r="D82" s="16"/>
      <c r="E82" s="15"/>
      <c r="F82" s="171"/>
      <c r="G82" s="65"/>
      <c r="H82" s="168"/>
      <c r="I82" s="65"/>
      <c r="J82" s="224"/>
      <c r="K82" s="68"/>
      <c r="L82" s="225"/>
      <c r="M82" s="65"/>
      <c r="N82" s="65"/>
      <c r="O82" s="65"/>
      <c r="P82" s="65"/>
      <c r="Q82" s="65"/>
      <c r="R82"/>
      <c r="S82"/>
    </row>
    <row r="83" spans="1:19" ht="12.75">
      <c r="A83" s="495" t="s">
        <v>12</v>
      </c>
      <c r="B83" s="495"/>
      <c r="C83" s="495"/>
      <c r="D83" s="495"/>
      <c r="E83" s="495"/>
      <c r="F83" s="495"/>
      <c r="G83" s="495"/>
      <c r="H83" s="495"/>
      <c r="I83" s="495"/>
      <c r="J83" s="495"/>
      <c r="K83" s="495"/>
      <c r="L83" s="495"/>
      <c r="M83" s="65"/>
      <c r="N83" s="65"/>
      <c r="O83" s="65"/>
      <c r="P83" s="65"/>
      <c r="Q83" s="65"/>
      <c r="R83"/>
      <c r="S83"/>
    </row>
    <row r="84" spans="1:19" ht="12.75">
      <c r="A84" s="495" t="s">
        <v>452</v>
      </c>
      <c r="B84" s="495"/>
      <c r="C84" s="495"/>
      <c r="D84" s="495"/>
      <c r="E84" s="495"/>
      <c r="F84" s="495"/>
      <c r="G84" s="495"/>
      <c r="H84" s="495"/>
      <c r="I84" s="495"/>
      <c r="J84" s="495"/>
      <c r="K84" s="495"/>
      <c r="L84" s="495"/>
      <c r="M84" s="65"/>
      <c r="N84" s="65"/>
      <c r="O84" s="65"/>
      <c r="P84" s="65"/>
      <c r="Q84" s="65"/>
      <c r="R84"/>
      <c r="S84"/>
    </row>
    <row r="85" spans="1:19" ht="12.75">
      <c r="A85" s="68"/>
      <c r="B85" s="68"/>
      <c r="C85" s="68"/>
      <c r="D85" s="173"/>
      <c r="E85" s="173"/>
      <c r="F85" s="172"/>
      <c r="G85" s="174"/>
      <c r="H85" s="172"/>
      <c r="I85" s="174"/>
      <c r="J85" s="167"/>
      <c r="K85" s="68"/>
      <c r="L85" s="68"/>
      <c r="M85" s="65"/>
      <c r="N85" s="65"/>
      <c r="O85" s="65"/>
      <c r="P85" s="65"/>
      <c r="Q85" s="65"/>
      <c r="R85"/>
      <c r="S85"/>
    </row>
    <row r="86" spans="1:19" ht="27" customHeight="1">
      <c r="A86" s="500" t="s">
        <v>58</v>
      </c>
      <c r="B86" s="500"/>
      <c r="C86" s="500"/>
      <c r="D86" s="500"/>
      <c r="E86" s="500"/>
      <c r="F86" s="500"/>
      <c r="G86" s="500"/>
      <c r="H86" s="500"/>
      <c r="I86" s="500"/>
      <c r="J86" s="500"/>
      <c r="K86" s="500"/>
      <c r="L86" s="500"/>
      <c r="M86" s="65"/>
      <c r="N86" s="65"/>
      <c r="O86" s="65"/>
      <c r="P86" s="65"/>
      <c r="Q86" s="65"/>
      <c r="R86"/>
      <c r="S86"/>
    </row>
    <row r="87" spans="1:19" ht="12.75">
      <c r="A87" s="68"/>
      <c r="B87" s="68"/>
      <c r="C87" s="68"/>
      <c r="D87" s="68"/>
      <c r="E87" s="68"/>
      <c r="F87" s="67"/>
      <c r="G87" s="67"/>
      <c r="H87" s="67"/>
      <c r="I87" s="67"/>
      <c r="J87" s="68"/>
      <c r="K87" s="68"/>
      <c r="L87" s="68"/>
      <c r="M87" s="65"/>
      <c r="N87" s="65"/>
      <c r="O87" s="65"/>
      <c r="P87" s="65"/>
      <c r="Q87" s="65"/>
      <c r="R87"/>
      <c r="S87"/>
    </row>
    <row r="88" spans="1:19" ht="12.75">
      <c r="A88" s="68"/>
      <c r="B88" s="68"/>
      <c r="C88" s="68"/>
      <c r="D88" s="69" t="s">
        <v>13</v>
      </c>
      <c r="E88" s="68"/>
      <c r="F88" s="67"/>
      <c r="G88" s="69"/>
      <c r="H88" s="69"/>
      <c r="I88" s="69"/>
      <c r="J88" s="68"/>
      <c r="K88" s="68"/>
      <c r="L88"/>
      <c r="M88" s="65"/>
      <c r="N88" s="65"/>
      <c r="O88" s="65"/>
      <c r="P88" s="65"/>
      <c r="Q88" s="65"/>
      <c r="R88"/>
      <c r="S88"/>
    </row>
    <row r="89" spans="1:19" ht="12.75">
      <c r="A89" s="68"/>
      <c r="B89" s="68"/>
      <c r="C89" s="68"/>
      <c r="D89" s="69" t="s">
        <v>35</v>
      </c>
      <c r="E89" s="68"/>
      <c r="F89" s="67"/>
      <c r="G89" s="69"/>
      <c r="H89" s="69" t="s">
        <v>14</v>
      </c>
      <c r="I89" s="67"/>
      <c r="J89" s="69" t="s">
        <v>521</v>
      </c>
      <c r="K89" s="68"/>
      <c r="L89"/>
      <c r="M89" s="65"/>
      <c r="N89" s="65"/>
      <c r="O89" s="65"/>
      <c r="P89" s="65"/>
      <c r="Q89" s="65"/>
      <c r="R89"/>
      <c r="S89"/>
    </row>
    <row r="90" spans="1:19" ht="12.75">
      <c r="A90" s="68"/>
      <c r="B90" s="68"/>
      <c r="C90" s="68"/>
      <c r="D90" s="147" t="s">
        <v>15</v>
      </c>
      <c r="E90" s="68"/>
      <c r="F90" s="147" t="s">
        <v>16</v>
      </c>
      <c r="G90" s="67"/>
      <c r="H90" s="147" t="s">
        <v>460</v>
      </c>
      <c r="I90" s="67"/>
      <c r="J90" s="147" t="s">
        <v>523</v>
      </c>
      <c r="K90" s="68"/>
      <c r="L90"/>
      <c r="M90" s="65"/>
      <c r="N90" s="65"/>
      <c r="O90" s="65"/>
      <c r="P90" s="65"/>
      <c r="Q90" s="65"/>
      <c r="R90"/>
      <c r="S90"/>
    </row>
    <row r="91" spans="1:19" ht="12.75">
      <c r="A91" s="68"/>
      <c r="B91" s="68"/>
      <c r="C91" s="68"/>
      <c r="D91" s="215">
        <v>-1</v>
      </c>
      <c r="E91" s="214"/>
      <c r="F91" s="215">
        <v>-2</v>
      </c>
      <c r="G91" s="210"/>
      <c r="H91" s="215">
        <v>-3</v>
      </c>
      <c r="I91" s="210"/>
      <c r="J91" s="215">
        <v>-4</v>
      </c>
      <c r="K91" s="214"/>
      <c r="L91"/>
      <c r="M91" s="65"/>
      <c r="N91" s="65"/>
      <c r="O91" s="65"/>
      <c r="P91" s="65"/>
      <c r="Q91" s="65"/>
      <c r="R91"/>
      <c r="S91"/>
    </row>
    <row r="92" spans="1:19" ht="12.75">
      <c r="A92" s="83" t="s">
        <v>36</v>
      </c>
      <c r="B92" s="68"/>
      <c r="C92" s="67"/>
      <c r="D92" s="172"/>
      <c r="E92" s="173"/>
      <c r="F92" s="172"/>
      <c r="G92" s="174"/>
      <c r="H92" s="172"/>
      <c r="I92" s="174"/>
      <c r="J92" s="173"/>
      <c r="K92" s="173"/>
      <c r="L92"/>
      <c r="M92" s="65"/>
      <c r="N92" s="65"/>
      <c r="O92" s="65"/>
      <c r="P92" s="65"/>
      <c r="Q92" s="65"/>
      <c r="R92"/>
      <c r="S92"/>
    </row>
    <row r="93" spans="1:19" ht="12.75">
      <c r="A93" s="68"/>
      <c r="B93" s="68"/>
      <c r="C93" s="67"/>
      <c r="D93" s="67"/>
      <c r="E93" s="68"/>
      <c r="F93" s="67"/>
      <c r="G93" s="67"/>
      <c r="H93" s="67"/>
      <c r="I93" s="67"/>
      <c r="J93" s="68"/>
      <c r="K93" s="68"/>
      <c r="L93"/>
      <c r="M93" s="65"/>
      <c r="N93" s="65"/>
      <c r="O93" s="65"/>
      <c r="P93" s="65"/>
      <c r="Q93" s="65"/>
      <c r="R93"/>
      <c r="S93"/>
    </row>
    <row r="94" spans="1:19" ht="12.75">
      <c r="A94" s="68">
        <v>2</v>
      </c>
      <c r="B94" s="68" t="s">
        <v>37</v>
      </c>
      <c r="C94" s="67"/>
      <c r="D94" s="151">
        <v>4</v>
      </c>
      <c r="E94" s="68"/>
      <c r="F94" s="391">
        <f>+P94</f>
        <v>45</v>
      </c>
      <c r="G94" s="67"/>
      <c r="H94" s="85">
        <f aca="true" t="shared" si="0" ref="H94:H103">ROUND(F94*D94*1.5,0)</f>
        <v>270</v>
      </c>
      <c r="I94" s="67"/>
      <c r="J94" s="68"/>
      <c r="K94" s="68"/>
      <c r="L94"/>
      <c r="M94" s="65"/>
      <c r="N94" s="65"/>
      <c r="O94" s="65"/>
      <c r="P94" s="121">
        <f>+'[1]WPS BA'!$E303</f>
        <v>45</v>
      </c>
      <c r="Q94" s="65"/>
      <c r="R94"/>
      <c r="S94"/>
    </row>
    <row r="95" spans="1:19" ht="12.75">
      <c r="A95" s="68">
        <v>3</v>
      </c>
      <c r="B95" s="68" t="s">
        <v>37</v>
      </c>
      <c r="C95" s="67"/>
      <c r="D95" s="152">
        <f aca="true" t="shared" si="1" ref="D95:D102">A95*A95</f>
        <v>9</v>
      </c>
      <c r="E95" s="67"/>
      <c r="F95" s="391">
        <f aca="true" t="shared" si="2" ref="F95:F103">+P95</f>
        <v>0</v>
      </c>
      <c r="G95" s="67"/>
      <c r="H95" s="85">
        <f t="shared" si="0"/>
        <v>0</v>
      </c>
      <c r="I95" s="67"/>
      <c r="J95" s="68"/>
      <c r="K95" s="68"/>
      <c r="L95"/>
      <c r="M95" s="65"/>
      <c r="N95" s="65"/>
      <c r="O95" s="65"/>
      <c r="Q95" s="65"/>
      <c r="R95"/>
      <c r="S95"/>
    </row>
    <row r="96" spans="1:19" ht="12.75">
      <c r="A96" s="68">
        <v>4</v>
      </c>
      <c r="B96" s="68" t="s">
        <v>37</v>
      </c>
      <c r="C96" s="67"/>
      <c r="D96" s="152">
        <f t="shared" si="1"/>
        <v>16</v>
      </c>
      <c r="E96" s="67"/>
      <c r="F96" s="391">
        <f t="shared" si="2"/>
        <v>313</v>
      </c>
      <c r="G96" s="67"/>
      <c r="H96" s="85">
        <f t="shared" si="0"/>
        <v>7512</v>
      </c>
      <c r="I96" s="67"/>
      <c r="J96" s="68"/>
      <c r="K96" s="68"/>
      <c r="L96"/>
      <c r="M96" s="65"/>
      <c r="N96" s="65"/>
      <c r="O96" s="65"/>
      <c r="P96" s="121">
        <f>+'[1]WPS BA'!$E304</f>
        <v>313</v>
      </c>
      <c r="Q96" s="65"/>
      <c r="R96"/>
      <c r="S96"/>
    </row>
    <row r="97" spans="1:19" ht="12.75">
      <c r="A97" s="68">
        <v>6</v>
      </c>
      <c r="B97" s="68" t="s">
        <v>37</v>
      </c>
      <c r="C97" s="67"/>
      <c r="D97" s="152">
        <f t="shared" si="1"/>
        <v>36</v>
      </c>
      <c r="E97" s="67"/>
      <c r="F97" s="391">
        <f t="shared" si="2"/>
        <v>779</v>
      </c>
      <c r="G97" s="67"/>
      <c r="H97" s="85">
        <f t="shared" si="0"/>
        <v>42066</v>
      </c>
      <c r="I97" s="67"/>
      <c r="J97" s="68"/>
      <c r="K97" s="68"/>
      <c r="L97"/>
      <c r="M97" s="65"/>
      <c r="N97" s="65"/>
      <c r="O97" s="65"/>
      <c r="P97" s="121">
        <f>+'[1]WPS BA'!$E305</f>
        <v>779</v>
      </c>
      <c r="Q97" s="65"/>
      <c r="R97"/>
      <c r="S97"/>
    </row>
    <row r="98" spans="1:19" ht="12.75">
      <c r="A98" s="68">
        <v>8</v>
      </c>
      <c r="B98" s="68" t="s">
        <v>37</v>
      </c>
      <c r="C98" s="67"/>
      <c r="D98" s="152">
        <f t="shared" si="1"/>
        <v>64</v>
      </c>
      <c r="E98" s="67"/>
      <c r="F98" s="391">
        <f t="shared" si="2"/>
        <v>269</v>
      </c>
      <c r="G98" s="67"/>
      <c r="H98" s="85">
        <f t="shared" si="0"/>
        <v>25824</v>
      </c>
      <c r="I98" s="67"/>
      <c r="J98" s="68"/>
      <c r="K98" s="68"/>
      <c r="L98"/>
      <c r="M98" s="65"/>
      <c r="N98" s="65"/>
      <c r="O98" s="65"/>
      <c r="P98" s="121">
        <f>+'[1]WPS BA'!$E306</f>
        <v>269</v>
      </c>
      <c r="Q98" s="65"/>
      <c r="R98"/>
      <c r="S98"/>
    </row>
    <row r="99" spans="1:19" ht="12.75">
      <c r="A99" s="68">
        <v>10</v>
      </c>
      <c r="B99" s="68" t="s">
        <v>37</v>
      </c>
      <c r="C99" s="67"/>
      <c r="D99" s="152">
        <f t="shared" si="1"/>
        <v>100</v>
      </c>
      <c r="E99" s="67"/>
      <c r="F99" s="391">
        <f t="shared" si="2"/>
        <v>7</v>
      </c>
      <c r="G99" s="67"/>
      <c r="H99" s="85">
        <f t="shared" si="0"/>
        <v>1050</v>
      </c>
      <c r="I99" s="67"/>
      <c r="J99" s="68"/>
      <c r="K99" s="68"/>
      <c r="L99"/>
      <c r="M99" s="65"/>
      <c r="N99" s="65"/>
      <c r="O99" s="65"/>
      <c r="P99" s="121">
        <f>+'[1]WPS BA'!$E307</f>
        <v>7</v>
      </c>
      <c r="Q99" s="65"/>
      <c r="R99"/>
      <c r="S99"/>
    </row>
    <row r="100" spans="1:19" ht="12.75">
      <c r="A100" s="68">
        <v>12</v>
      </c>
      <c r="B100" s="68" t="s">
        <v>37</v>
      </c>
      <c r="C100" s="67"/>
      <c r="D100" s="152">
        <f t="shared" si="1"/>
        <v>144</v>
      </c>
      <c r="E100" s="67"/>
      <c r="F100" s="391">
        <f t="shared" si="2"/>
        <v>4</v>
      </c>
      <c r="G100" s="67"/>
      <c r="H100" s="85">
        <f t="shared" si="0"/>
        <v>864</v>
      </c>
      <c r="I100" s="67"/>
      <c r="J100" s="68"/>
      <c r="K100" s="68"/>
      <c r="L100"/>
      <c r="M100" s="65"/>
      <c r="N100" s="65"/>
      <c r="O100" s="65"/>
      <c r="P100" s="121">
        <f>+'[1]WPS BA'!$E308</f>
        <v>4</v>
      </c>
      <c r="Q100" s="65"/>
      <c r="R100"/>
      <c r="S100"/>
    </row>
    <row r="101" spans="1:19" ht="12.75">
      <c r="A101" s="68">
        <v>14</v>
      </c>
      <c r="B101" s="68" t="s">
        <v>37</v>
      </c>
      <c r="C101" s="67"/>
      <c r="D101" s="152">
        <f>A101*A101</f>
        <v>196</v>
      </c>
      <c r="E101" s="67"/>
      <c r="F101" s="391">
        <f t="shared" si="2"/>
        <v>1</v>
      </c>
      <c r="G101" s="67"/>
      <c r="H101" s="85">
        <f>ROUND(F101*D101*1.5,0)</f>
        <v>294</v>
      </c>
      <c r="I101" s="67"/>
      <c r="J101" s="68"/>
      <c r="K101" s="68"/>
      <c r="L101"/>
      <c r="M101" s="65"/>
      <c r="N101" s="65"/>
      <c r="O101" s="65"/>
      <c r="P101" s="121">
        <f>+'[1]WPS BA'!$E309</f>
        <v>1</v>
      </c>
      <c r="Q101" s="65"/>
      <c r="R101"/>
      <c r="S101"/>
    </row>
    <row r="102" spans="1:19" ht="12.75">
      <c r="A102" s="68">
        <v>16</v>
      </c>
      <c r="B102" s="68" t="s">
        <v>37</v>
      </c>
      <c r="C102" s="67"/>
      <c r="D102" s="152">
        <f t="shared" si="1"/>
        <v>256</v>
      </c>
      <c r="E102" s="67"/>
      <c r="F102" s="391">
        <f t="shared" si="2"/>
        <v>1</v>
      </c>
      <c r="G102" s="67"/>
      <c r="H102" s="85">
        <f t="shared" si="0"/>
        <v>384</v>
      </c>
      <c r="I102" s="67"/>
      <c r="J102" s="68"/>
      <c r="K102" s="68"/>
      <c r="L102"/>
      <c r="M102" s="65"/>
      <c r="N102" s="65"/>
      <c r="O102" s="65"/>
      <c r="P102" s="121">
        <f>+'[1]WPS BA'!$E310</f>
        <v>1</v>
      </c>
      <c r="Q102" s="65"/>
      <c r="R102"/>
      <c r="S102"/>
    </row>
    <row r="103" spans="1:19" ht="12.75">
      <c r="A103" s="494" t="s">
        <v>484</v>
      </c>
      <c r="B103" s="494"/>
      <c r="C103" s="67"/>
      <c r="D103" s="277">
        <v>27.6</v>
      </c>
      <c r="E103" s="166"/>
      <c r="F103" s="391">
        <f t="shared" si="2"/>
        <v>857</v>
      </c>
      <c r="G103" s="67"/>
      <c r="H103" s="85">
        <f t="shared" si="0"/>
        <v>35480</v>
      </c>
      <c r="I103" s="67"/>
      <c r="J103" s="68"/>
      <c r="K103" s="68"/>
      <c r="L103"/>
      <c r="M103" s="65"/>
      <c r="N103" s="65"/>
      <c r="O103" s="65"/>
      <c r="P103" s="121">
        <f>+'[1]WPS BA'!$E311</f>
        <v>857</v>
      </c>
      <c r="Q103" s="65"/>
      <c r="R103"/>
      <c r="S103"/>
    </row>
    <row r="104" spans="1:19" ht="12.75">
      <c r="A104" s="68"/>
      <c r="B104" s="68"/>
      <c r="C104" s="67"/>
      <c r="D104" s="67"/>
      <c r="E104" s="68"/>
      <c r="F104" s="84"/>
      <c r="G104" s="67"/>
      <c r="H104" s="86"/>
      <c r="I104" s="67"/>
      <c r="J104" s="68"/>
      <c r="K104" s="68"/>
      <c r="L104"/>
      <c r="M104" s="65"/>
      <c r="N104" s="65"/>
      <c r="O104" s="65"/>
      <c r="Q104" s="65"/>
      <c r="R104"/>
      <c r="S104"/>
    </row>
    <row r="105" spans="1:19" ht="13.5" thickBot="1">
      <c r="A105" s="68"/>
      <c r="B105" s="68" t="s">
        <v>28</v>
      </c>
      <c r="C105" s="67"/>
      <c r="D105" s="67"/>
      <c r="E105" s="68"/>
      <c r="F105" s="218">
        <f>SUM(F94:F104)</f>
        <v>2276</v>
      </c>
      <c r="G105" s="67"/>
      <c r="H105" s="220">
        <f>SUM(H94:H104)</f>
        <v>113744</v>
      </c>
      <c r="I105" s="67"/>
      <c r="J105" s="205">
        <f>ROUND(H105/H113,4)</f>
        <v>0.4324</v>
      </c>
      <c r="K105" s="68"/>
      <c r="L105"/>
      <c r="M105" s="65"/>
      <c r="N105" s="65"/>
      <c r="O105" s="65"/>
      <c r="P105" s="65"/>
      <c r="Q105" s="65"/>
      <c r="R105"/>
      <c r="S105"/>
    </row>
    <row r="106" spans="1:19" ht="13.5" thickTop="1">
      <c r="A106" s="68"/>
      <c r="B106" s="68"/>
      <c r="C106" s="67"/>
      <c r="D106" s="67"/>
      <c r="E106" s="68"/>
      <c r="F106" s="195"/>
      <c r="G106" s="67"/>
      <c r="H106" s="85"/>
      <c r="I106" s="67"/>
      <c r="J106" s="73"/>
      <c r="K106" s="68"/>
      <c r="L106"/>
      <c r="M106" s="65"/>
      <c r="N106" s="65"/>
      <c r="O106" s="65"/>
      <c r="P106" s="65"/>
      <c r="Q106" s="65"/>
      <c r="R106"/>
      <c r="S106"/>
    </row>
    <row r="107" spans="1:19" ht="12.75">
      <c r="A107" s="83" t="s">
        <v>38</v>
      </c>
      <c r="B107" s="68"/>
      <c r="C107" s="67"/>
      <c r="D107" s="67"/>
      <c r="E107" s="68"/>
      <c r="F107" s="195"/>
      <c r="G107" s="67"/>
      <c r="H107" s="67"/>
      <c r="I107" s="67"/>
      <c r="J107" s="68"/>
      <c r="K107" s="68"/>
      <c r="L107"/>
      <c r="M107" s="65"/>
      <c r="N107" s="65"/>
      <c r="O107" s="65"/>
      <c r="P107" s="65"/>
      <c r="Q107" s="65"/>
      <c r="R107"/>
      <c r="S107"/>
    </row>
    <row r="108" spans="1:19" ht="12.75">
      <c r="A108" s="68" t="s">
        <v>453</v>
      </c>
      <c r="B108" s="67"/>
      <c r="C108" s="67"/>
      <c r="D108" s="278">
        <v>20.3</v>
      </c>
      <c r="E108" s="104"/>
      <c r="F108" s="279">
        <f>+P108-F109</f>
        <v>5995</v>
      </c>
      <c r="G108" s="67"/>
      <c r="H108" s="85">
        <f>ROUND(F108*D108,0)</f>
        <v>121699</v>
      </c>
      <c r="I108" s="67"/>
      <c r="J108"/>
      <c r="K108"/>
      <c r="L108"/>
      <c r="M108"/>
      <c r="N108" s="65"/>
      <c r="O108" s="65"/>
      <c r="P108" s="400">
        <f>+'[1]WPS BA'!$E$315</f>
        <v>6995</v>
      </c>
      <c r="Q108" s="65"/>
      <c r="R108"/>
      <c r="S108"/>
    </row>
    <row r="109" spans="1:19" ht="12.75">
      <c r="A109" s="68" t="s">
        <v>454</v>
      </c>
      <c r="B109" s="67"/>
      <c r="C109" s="67"/>
      <c r="D109" s="278">
        <v>27.6</v>
      </c>
      <c r="E109" s="104"/>
      <c r="F109" s="280">
        <v>1000</v>
      </c>
      <c r="G109" s="67"/>
      <c r="H109" s="169">
        <f>ROUND(F109*D109,0)</f>
        <v>27600</v>
      </c>
      <c r="I109" s="67"/>
      <c r="J109"/>
      <c r="K109"/>
      <c r="L109"/>
      <c r="M109"/>
      <c r="N109" s="65"/>
      <c r="O109" s="65"/>
      <c r="P109" s="65"/>
      <c r="Q109" s="65"/>
      <c r="R109"/>
      <c r="S109"/>
    </row>
    <row r="110" spans="1:19" ht="12.75">
      <c r="A110" s="68"/>
      <c r="B110" s="68"/>
      <c r="C110" s="67"/>
      <c r="D110" s="68"/>
      <c r="E110" s="68"/>
      <c r="F110" s="195"/>
      <c r="G110" s="67"/>
      <c r="H110" s="149"/>
      <c r="I110" s="149"/>
      <c r="J110"/>
      <c r="K110"/>
      <c r="L110"/>
      <c r="M110"/>
      <c r="N110" s="65"/>
      <c r="O110" s="65"/>
      <c r="P110" s="65"/>
      <c r="Q110" s="65"/>
      <c r="R110"/>
      <c r="S110"/>
    </row>
    <row r="111" spans="1:19" ht="12.75">
      <c r="A111" s="68"/>
      <c r="B111" s="68" t="s">
        <v>29</v>
      </c>
      <c r="C111" s="67"/>
      <c r="D111" s="68"/>
      <c r="E111" s="68"/>
      <c r="F111" s="196">
        <f>SUM(F108:F110)</f>
        <v>6995</v>
      </c>
      <c r="G111" s="67"/>
      <c r="H111" s="169">
        <f>SUM(H108:H110)</f>
        <v>149299</v>
      </c>
      <c r="I111" s="174"/>
      <c r="J111" s="128">
        <f>ROUND(H111/H113,4)</f>
        <v>0.5676</v>
      </c>
      <c r="K111" s="173"/>
      <c r="L111"/>
      <c r="M111" s="65"/>
      <c r="N111" s="65"/>
      <c r="O111" s="65"/>
      <c r="P111" s="65"/>
      <c r="Q111" s="65"/>
      <c r="R111"/>
      <c r="S111"/>
    </row>
    <row r="112" spans="1:19" ht="12.75">
      <c r="A112" s="68"/>
      <c r="B112" s="68"/>
      <c r="C112" s="67"/>
      <c r="D112" s="68"/>
      <c r="E112" s="68"/>
      <c r="F112" s="195"/>
      <c r="G112" s="67"/>
      <c r="H112" s="172"/>
      <c r="I112" s="67"/>
      <c r="J112" s="173"/>
      <c r="K112" s="68"/>
      <c r="L112"/>
      <c r="M112" s="65"/>
      <c r="N112" s="65"/>
      <c r="O112" s="65"/>
      <c r="P112" s="65"/>
      <c r="Q112" s="65"/>
      <c r="R112"/>
      <c r="S112"/>
    </row>
    <row r="113" spans="1:19" ht="13.5" thickBot="1">
      <c r="A113" s="68"/>
      <c r="B113" s="68" t="s">
        <v>30</v>
      </c>
      <c r="C113" s="67"/>
      <c r="D113" s="68"/>
      <c r="E113" s="68"/>
      <c r="F113" s="218">
        <f>F105+F111</f>
        <v>9271</v>
      </c>
      <c r="G113" s="67"/>
      <c r="H113" s="219">
        <f>H105+H111</f>
        <v>263043</v>
      </c>
      <c r="I113" s="67"/>
      <c r="J113" s="205">
        <f>J105+J111</f>
        <v>1</v>
      </c>
      <c r="K113" s="68"/>
      <c r="L113"/>
      <c r="M113" s="65"/>
      <c r="N113" s="65"/>
      <c r="O113" s="65"/>
      <c r="P113" s="65"/>
      <c r="Q113" s="65"/>
      <c r="R113"/>
      <c r="S113"/>
    </row>
    <row r="114" spans="1:19" ht="13.5" thickTop="1">
      <c r="A114" s="68"/>
      <c r="B114" s="68"/>
      <c r="C114" s="67"/>
      <c r="D114" s="68"/>
      <c r="E114" s="68"/>
      <c r="F114" s="67"/>
      <c r="G114" s="67"/>
      <c r="H114" s="71"/>
      <c r="I114" s="67"/>
      <c r="J114" s="73"/>
      <c r="K114" s="68"/>
      <c r="L114"/>
      <c r="M114" s="65"/>
      <c r="N114" s="65"/>
      <c r="O114" s="65"/>
      <c r="P114" s="65"/>
      <c r="Q114" s="65"/>
      <c r="R114"/>
      <c r="S114"/>
    </row>
    <row r="115" spans="1:21" ht="12.75">
      <c r="A115" s="180"/>
      <c r="B115" s="170"/>
      <c r="C115" s="67"/>
      <c r="D115" s="68"/>
      <c r="E115" s="68"/>
      <c r="F115" s="67"/>
      <c r="G115" s="67"/>
      <c r="H115" s="71"/>
      <c r="I115" s="67"/>
      <c r="J115" s="73"/>
      <c r="K115" s="68"/>
      <c r="L115" s="73"/>
      <c r="M115" s="65"/>
      <c r="N115" s="65"/>
      <c r="O115" s="65"/>
      <c r="P115" s="65"/>
      <c r="Q115" s="65"/>
      <c r="R115"/>
      <c r="S115"/>
      <c r="U115" s="126"/>
    </row>
    <row r="116" spans="1:19" ht="12.75">
      <c r="A116" t="s">
        <v>512</v>
      </c>
      <c r="B116" s="68"/>
      <c r="C116" s="67"/>
      <c r="D116" s="68"/>
      <c r="E116" s="68"/>
      <c r="F116" s="67"/>
      <c r="G116" s="67"/>
      <c r="H116" s="71"/>
      <c r="I116" s="67"/>
      <c r="J116" s="73"/>
      <c r="K116" s="68"/>
      <c r="L116" s="73"/>
      <c r="M116" s="65"/>
      <c r="N116" s="65"/>
      <c r="O116" s="65"/>
      <c r="P116" s="65"/>
      <c r="Q116" s="65"/>
      <c r="R116"/>
      <c r="S116"/>
    </row>
    <row r="117" spans="1:19" ht="12.75">
      <c r="A117" t="s">
        <v>513</v>
      </c>
      <c r="B117" s="68"/>
      <c r="C117" s="67"/>
      <c r="D117" s="68"/>
      <c r="E117" s="68"/>
      <c r="F117" s="67"/>
      <c r="G117" s="67"/>
      <c r="H117" s="71"/>
      <c r="I117" s="67"/>
      <c r="J117" s="73"/>
      <c r="K117" s="68"/>
      <c r="L117" s="73"/>
      <c r="M117" s="65"/>
      <c r="N117" s="65"/>
      <c r="O117" s="65"/>
      <c r="P117" s="65"/>
      <c r="Q117" s="65"/>
      <c r="R117"/>
      <c r="S117"/>
    </row>
    <row r="118" spans="1:19" ht="12.75">
      <c r="A118"/>
      <c r="B118" s="68"/>
      <c r="C118" s="67"/>
      <c r="D118" s="68"/>
      <c r="E118" s="68"/>
      <c r="F118" s="67"/>
      <c r="G118" s="67"/>
      <c r="H118" s="71"/>
      <c r="I118" s="67"/>
      <c r="J118" s="73"/>
      <c r="K118" s="68"/>
      <c r="L118" s="73"/>
      <c r="M118" s="65"/>
      <c r="N118" s="65"/>
      <c r="O118" s="65"/>
      <c r="P118" s="65"/>
      <c r="Q118" s="65"/>
      <c r="R118"/>
      <c r="S118"/>
    </row>
    <row r="119" spans="1:19" ht="12.75">
      <c r="A119" s="68"/>
      <c r="B119" s="68"/>
      <c r="C119" s="68"/>
      <c r="D119" s="67"/>
      <c r="E119" s="68"/>
      <c r="F119" s="71"/>
      <c r="G119" s="67"/>
      <c r="H119" s="67"/>
      <c r="I119" s="67"/>
      <c r="J119" s="73"/>
      <c r="K119" s="68"/>
      <c r="L119" s="68"/>
      <c r="M119" s="65"/>
      <c r="N119" s="65"/>
      <c r="O119" s="65"/>
      <c r="P119" s="65"/>
      <c r="Q119" s="65"/>
      <c r="R119"/>
      <c r="S119"/>
    </row>
    <row r="120" spans="1:19" ht="12.75">
      <c r="A120" s="68"/>
      <c r="B120" s="68"/>
      <c r="C120" s="67"/>
      <c r="D120" s="68"/>
      <c r="E120" s="68"/>
      <c r="F120" s="67"/>
      <c r="G120" s="67"/>
      <c r="H120" s="71"/>
      <c r="I120" s="67"/>
      <c r="J120" s="73"/>
      <c r="K120" s="68"/>
      <c r="L120" s="73"/>
      <c r="M120" s="65"/>
      <c r="N120" s="65"/>
      <c r="O120" s="65"/>
      <c r="P120" s="65"/>
      <c r="Q120" s="65"/>
      <c r="R120"/>
      <c r="S120"/>
    </row>
    <row r="121" spans="1:19" ht="12.75">
      <c r="A121" s="68"/>
      <c r="B121" s="68"/>
      <c r="C121" s="67"/>
      <c r="D121" s="68"/>
      <c r="E121" s="68"/>
      <c r="F121" s="67"/>
      <c r="G121" s="67"/>
      <c r="H121" s="71"/>
      <c r="I121" s="67"/>
      <c r="J121" s="73"/>
      <c r="K121" s="68"/>
      <c r="L121" s="73"/>
      <c r="M121" s="65"/>
      <c r="N121" s="65"/>
      <c r="O121" s="65"/>
      <c r="P121" s="65"/>
      <c r="Q121" s="65"/>
      <c r="R121"/>
      <c r="S121"/>
    </row>
    <row r="122" spans="1:19" ht="12.75">
      <c r="A122" s="68" t="s">
        <v>560</v>
      </c>
      <c r="B122" s="68"/>
      <c r="C122" s="67"/>
      <c r="D122" s="68"/>
      <c r="E122" s="68"/>
      <c r="F122" s="67"/>
      <c r="G122" s="67"/>
      <c r="H122" s="67"/>
      <c r="I122" s="67"/>
      <c r="J122" s="68"/>
      <c r="K122" s="68"/>
      <c r="L122" s="68"/>
      <c r="M122" s="65"/>
      <c r="N122" s="65"/>
      <c r="O122" s="65"/>
      <c r="P122" s="65"/>
      <c r="Q122" s="65"/>
      <c r="R122"/>
      <c r="S122"/>
    </row>
    <row r="123" spans="1:19" ht="12.75">
      <c r="A123" s="68"/>
      <c r="B123" s="68"/>
      <c r="C123" s="67"/>
      <c r="D123" s="68"/>
      <c r="E123" s="68"/>
      <c r="F123" s="67"/>
      <c r="G123" s="67"/>
      <c r="H123" s="67"/>
      <c r="I123" s="67"/>
      <c r="J123" s="68"/>
      <c r="K123" s="68"/>
      <c r="L123" s="68"/>
      <c r="M123" s="65"/>
      <c r="N123" s="65"/>
      <c r="O123" s="65"/>
      <c r="P123" s="65"/>
      <c r="Q123" s="65"/>
      <c r="R123"/>
      <c r="S123"/>
    </row>
    <row r="124" spans="1:19" ht="26.25" customHeight="1">
      <c r="A124" s="500" t="s">
        <v>113</v>
      </c>
      <c r="B124" s="500"/>
      <c r="C124" s="500"/>
      <c r="D124" s="500"/>
      <c r="E124" s="500"/>
      <c r="F124" s="500"/>
      <c r="G124" s="500"/>
      <c r="H124" s="500"/>
      <c r="I124" s="500"/>
      <c r="J124" s="500"/>
      <c r="K124" s="500"/>
      <c r="L124" s="500"/>
      <c r="M124" s="65"/>
      <c r="N124" s="65"/>
      <c r="O124" s="65"/>
      <c r="P124" s="65"/>
      <c r="Q124" s="65"/>
      <c r="R124"/>
      <c r="S124"/>
    </row>
    <row r="125" spans="1:19" ht="12.75">
      <c r="A125" s="68"/>
      <c r="B125" s="68"/>
      <c r="C125" s="67"/>
      <c r="D125" s="68"/>
      <c r="E125" s="68"/>
      <c r="F125" s="67"/>
      <c r="G125" s="67"/>
      <c r="H125" s="67"/>
      <c r="I125" s="67"/>
      <c r="J125" s="68"/>
      <c r="K125" s="68"/>
      <c r="L125" s="68"/>
      <c r="M125" s="65"/>
      <c r="N125" s="65"/>
      <c r="O125" s="65"/>
      <c r="P125" s="65"/>
      <c r="Q125" s="65"/>
      <c r="R125"/>
      <c r="S125"/>
    </row>
    <row r="126" spans="1:19" ht="12.75">
      <c r="A126" s="68"/>
      <c r="B126" s="68"/>
      <c r="C126" s="67"/>
      <c r="D126" s="68"/>
      <c r="E126" s="68"/>
      <c r="F126" s="67"/>
      <c r="G126" s="67"/>
      <c r="H126" s="67"/>
      <c r="I126" s="67"/>
      <c r="J126" s="68"/>
      <c r="K126" s="68"/>
      <c r="L126" s="68"/>
      <c r="M126" s="65"/>
      <c r="N126" s="65"/>
      <c r="O126" s="65"/>
      <c r="P126" s="65"/>
      <c r="Q126" s="65"/>
      <c r="R126"/>
      <c r="S126"/>
    </row>
    <row r="127" spans="1:19" ht="12.75">
      <c r="A127" s="67"/>
      <c r="B127" s="469" t="s">
        <v>39</v>
      </c>
      <c r="C127" s="469"/>
      <c r="D127" s="469"/>
      <c r="E127" s="469"/>
      <c r="F127" s="273">
        <f>+F77</f>
        <v>10000</v>
      </c>
      <c r="G127" s="71" t="s">
        <v>271</v>
      </c>
      <c r="H127" s="71"/>
      <c r="I127" s="69" t="s">
        <v>566</v>
      </c>
      <c r="J127" s="87">
        <f>ROUND(F127*60*6/F128,4)</f>
        <v>0.1448</v>
      </c>
      <c r="K127" s="68"/>
      <c r="L127" s="392"/>
      <c r="M127" s="65"/>
      <c r="N127" s="65"/>
      <c r="O127" s="65"/>
      <c r="P127" s="65"/>
      <c r="Q127" s="65"/>
      <c r="R127"/>
      <c r="S127"/>
    </row>
    <row r="128" spans="1:19" ht="12.75">
      <c r="A128" s="68"/>
      <c r="B128" s="68"/>
      <c r="C128" s="67"/>
      <c r="E128" s="65"/>
      <c r="F128" s="281">
        <f>24360000+500000</f>
        <v>24860000</v>
      </c>
      <c r="G128" s="77" t="s">
        <v>40</v>
      </c>
      <c r="H128" s="84"/>
      <c r="I128" s="67"/>
      <c r="J128" s="67"/>
      <c r="K128" s="68"/>
      <c r="L128" s="68"/>
      <c r="M128" s="65"/>
      <c r="N128" s="65"/>
      <c r="O128" s="65"/>
      <c r="P128" s="65"/>
      <c r="Q128" s="65"/>
      <c r="R128"/>
      <c r="S128"/>
    </row>
    <row r="129" spans="1:19" ht="12.75">
      <c r="A129" s="68"/>
      <c r="B129" s="68"/>
      <c r="C129" s="67"/>
      <c r="D129" s="68"/>
      <c r="E129" s="68"/>
      <c r="F129" s="67"/>
      <c r="G129" s="67"/>
      <c r="H129" s="67"/>
      <c r="I129" s="67"/>
      <c r="J129" s="68"/>
      <c r="K129" s="68"/>
      <c r="L129" s="68"/>
      <c r="M129" s="65"/>
      <c r="N129" s="65"/>
      <c r="O129" s="65"/>
      <c r="P129" s="65"/>
      <c r="Q129" s="65"/>
      <c r="R129"/>
      <c r="S129"/>
    </row>
    <row r="130" spans="1:19" ht="12.75">
      <c r="A130" s="67"/>
      <c r="B130" s="469" t="s">
        <v>41</v>
      </c>
      <c r="C130" s="469"/>
      <c r="D130" s="469"/>
      <c r="E130" s="469"/>
      <c r="F130" s="87">
        <v>1</v>
      </c>
      <c r="G130" s="69" t="s">
        <v>567</v>
      </c>
      <c r="H130" s="87">
        <f>J127</f>
        <v>0.1448</v>
      </c>
      <c r="I130" s="69" t="s">
        <v>566</v>
      </c>
      <c r="J130" s="87">
        <f>1-H130</f>
        <v>0.8552</v>
      </c>
      <c r="K130" s="68"/>
      <c r="L130" s="68"/>
      <c r="M130" s="65"/>
      <c r="N130" s="65"/>
      <c r="O130" s="65"/>
      <c r="P130" s="65"/>
      <c r="Q130" s="65"/>
      <c r="R130"/>
      <c r="S130"/>
    </row>
    <row r="131" spans="1:19" ht="12.75">
      <c r="A131" s="67"/>
      <c r="B131" s="68"/>
      <c r="C131" s="67"/>
      <c r="D131" s="68"/>
      <c r="E131" s="69"/>
      <c r="F131" s="87"/>
      <c r="G131" s="88"/>
      <c r="H131" s="87"/>
      <c r="I131" s="67"/>
      <c r="J131" s="68"/>
      <c r="K131" s="68"/>
      <c r="L131" s="68"/>
      <c r="M131" s="65"/>
      <c r="N131" s="65"/>
      <c r="O131" s="65"/>
      <c r="P131" s="65"/>
      <c r="Q131" s="65"/>
      <c r="R131"/>
      <c r="S131"/>
    </row>
    <row r="132" spans="1:19" ht="12.75">
      <c r="A132" s="67"/>
      <c r="B132" s="68"/>
      <c r="C132" s="67"/>
      <c r="D132" s="68"/>
      <c r="E132" s="69"/>
      <c r="F132" s="87"/>
      <c r="G132" s="88"/>
      <c r="H132" s="87"/>
      <c r="I132" s="67"/>
      <c r="J132" s="68"/>
      <c r="K132" s="68"/>
      <c r="L132" s="68"/>
      <c r="M132" s="65"/>
      <c r="N132" s="65"/>
      <c r="O132" s="65"/>
      <c r="P132" s="65"/>
      <c r="Q132" s="65"/>
      <c r="R132"/>
      <c r="S132"/>
    </row>
    <row r="133" spans="1:19" ht="27" customHeight="1">
      <c r="A133" s="500" t="s">
        <v>59</v>
      </c>
      <c r="B133" s="501"/>
      <c r="C133" s="501"/>
      <c r="D133" s="501"/>
      <c r="E133" s="501"/>
      <c r="F133" s="501"/>
      <c r="G133" s="501"/>
      <c r="H133" s="501"/>
      <c r="I133" s="501"/>
      <c r="J133" s="501"/>
      <c r="K133" s="501"/>
      <c r="L133" s="501"/>
      <c r="M133" s="65"/>
      <c r="N133" s="65"/>
      <c r="O133" s="65"/>
      <c r="P133" s="65"/>
      <c r="Q133" s="65"/>
      <c r="R133"/>
      <c r="S133"/>
    </row>
    <row r="134" spans="1:19" ht="12.75">
      <c r="A134" s="68"/>
      <c r="B134" s="68"/>
      <c r="C134" s="67"/>
      <c r="D134" s="68"/>
      <c r="E134" s="68"/>
      <c r="F134" s="67"/>
      <c r="G134" s="67"/>
      <c r="H134" s="67"/>
      <c r="I134" s="67"/>
      <c r="J134" s="68"/>
      <c r="K134" s="68"/>
      <c r="L134" s="68"/>
      <c r="M134" s="65"/>
      <c r="N134" s="65"/>
      <c r="O134" s="65"/>
      <c r="P134" s="65"/>
      <c r="Q134" s="65"/>
      <c r="R134"/>
      <c r="S134"/>
    </row>
    <row r="135" spans="1:19" ht="12.75">
      <c r="A135" s="68"/>
      <c r="B135" s="68"/>
      <c r="C135" s="67"/>
      <c r="D135" s="147" t="s">
        <v>545</v>
      </c>
      <c r="E135" s="69"/>
      <c r="F135" s="147" t="s">
        <v>568</v>
      </c>
      <c r="G135" s="67"/>
      <c r="H135" s="147" t="s">
        <v>546</v>
      </c>
      <c r="I135" s="67"/>
      <c r="J135" s="68"/>
      <c r="K135" s="68"/>
      <c r="L135" s="68"/>
      <c r="M135" s="65"/>
      <c r="N135" s="65"/>
      <c r="O135" s="65"/>
      <c r="P135" s="65"/>
      <c r="Q135" s="65"/>
      <c r="R135"/>
      <c r="S135"/>
    </row>
    <row r="136" spans="1:19" ht="12.75">
      <c r="A136" s="68"/>
      <c r="B136" s="68"/>
      <c r="C136" s="67"/>
      <c r="D136" s="173"/>
      <c r="E136" s="173"/>
      <c r="F136" s="172"/>
      <c r="G136" s="174"/>
      <c r="H136" s="172"/>
      <c r="I136" s="67"/>
      <c r="J136" s="68"/>
      <c r="K136" s="68"/>
      <c r="L136" s="68"/>
      <c r="M136" s="65"/>
      <c r="N136" s="65"/>
      <c r="O136" s="65"/>
      <c r="P136" s="65"/>
      <c r="Q136" s="65"/>
      <c r="R136"/>
      <c r="S136"/>
    </row>
    <row r="137" spans="1:19" ht="12.75">
      <c r="A137" s="68"/>
      <c r="B137" s="68" t="s">
        <v>25</v>
      </c>
      <c r="C137" s="67"/>
      <c r="D137" s="282">
        <f>D71</f>
        <v>1</v>
      </c>
      <c r="E137" s="67"/>
      <c r="F137" s="87">
        <f>(+D137/D$141)</f>
        <v>0.4</v>
      </c>
      <c r="G137" s="67"/>
      <c r="H137" s="87">
        <f>ROUND(F137*J130,4)</f>
        <v>0.3421</v>
      </c>
      <c r="I137" s="67"/>
      <c r="J137" s="68"/>
      <c r="K137" s="68"/>
      <c r="L137" s="68"/>
      <c r="M137" s="65"/>
      <c r="N137" s="65"/>
      <c r="O137" s="65"/>
      <c r="P137" s="65"/>
      <c r="Q137" s="65"/>
      <c r="R137"/>
      <c r="S137"/>
    </row>
    <row r="138" spans="1:19" ht="12.75">
      <c r="A138" s="68"/>
      <c r="B138" s="68" t="s">
        <v>552</v>
      </c>
      <c r="C138" s="67"/>
      <c r="D138" s="283"/>
      <c r="E138" s="67"/>
      <c r="F138" s="87"/>
      <c r="G138" s="67"/>
      <c r="H138" s="67"/>
      <c r="I138" s="67"/>
      <c r="J138" s="68"/>
      <c r="K138" s="68"/>
      <c r="L138" s="68"/>
      <c r="M138" s="65"/>
      <c r="N138" s="65"/>
      <c r="O138" s="65"/>
      <c r="P138" s="65"/>
      <c r="Q138" s="65"/>
      <c r="R138"/>
      <c r="S138"/>
    </row>
    <row r="139" spans="1:19" ht="12.75">
      <c r="A139" s="68"/>
      <c r="B139" s="68" t="s">
        <v>27</v>
      </c>
      <c r="C139" s="67"/>
      <c r="D139" s="284">
        <f>D73</f>
        <v>1.5</v>
      </c>
      <c r="E139" s="67"/>
      <c r="F139" s="127">
        <f>(+D139/D$141)</f>
        <v>0.6</v>
      </c>
      <c r="G139" s="67"/>
      <c r="H139" s="128">
        <f>ROUND(+F139*J130,4)</f>
        <v>0.5131</v>
      </c>
      <c r="I139" s="67"/>
      <c r="J139" s="68"/>
      <c r="K139" s="68"/>
      <c r="L139" s="68"/>
      <c r="M139" s="65"/>
      <c r="N139" s="65"/>
      <c r="O139" s="65"/>
      <c r="P139" s="65"/>
      <c r="Q139" s="65"/>
      <c r="R139"/>
      <c r="S139"/>
    </row>
    <row r="140" spans="1:19" ht="12.75">
      <c r="A140" s="68"/>
      <c r="B140" s="68"/>
      <c r="C140" s="67"/>
      <c r="E140" s="65"/>
      <c r="G140" s="65"/>
      <c r="H140" s="65"/>
      <c r="I140" s="67"/>
      <c r="J140" s="68"/>
      <c r="K140" s="68"/>
      <c r="L140" s="68"/>
      <c r="M140" s="65"/>
      <c r="N140" s="65"/>
      <c r="O140" s="65"/>
      <c r="P140" s="65"/>
      <c r="Q140" s="65"/>
      <c r="R140"/>
      <c r="S140"/>
    </row>
    <row r="141" spans="1:19" ht="12.75">
      <c r="A141" s="68"/>
      <c r="B141" s="68" t="s">
        <v>583</v>
      </c>
      <c r="C141" s="67"/>
      <c r="D141" s="89">
        <f>D139+D137</f>
        <v>2.5</v>
      </c>
      <c r="E141" s="67"/>
      <c r="F141" s="294">
        <f>+F139+F137</f>
        <v>1</v>
      </c>
      <c r="G141" s="67"/>
      <c r="H141" s="73">
        <f>H139+H137</f>
        <v>0.8552</v>
      </c>
      <c r="I141" s="67"/>
      <c r="J141" s="68"/>
      <c r="K141" s="68"/>
      <c r="L141" s="68"/>
      <c r="M141" s="65"/>
      <c r="N141" s="65"/>
      <c r="O141" s="65"/>
      <c r="P141" s="65"/>
      <c r="Q141" s="65"/>
      <c r="R141"/>
      <c r="S141"/>
    </row>
    <row r="142" spans="1:19" ht="12.75">
      <c r="A142" s="68"/>
      <c r="B142" s="68"/>
      <c r="C142" s="65"/>
      <c r="E142" s="65"/>
      <c r="G142" s="65"/>
      <c r="H142" s="65"/>
      <c r="I142" s="67"/>
      <c r="J142" s="68"/>
      <c r="K142" s="68"/>
      <c r="L142" s="68"/>
      <c r="M142" s="65"/>
      <c r="N142" s="65"/>
      <c r="O142" s="65"/>
      <c r="P142" s="65"/>
      <c r="Q142" s="65"/>
      <c r="R142"/>
      <c r="S142"/>
    </row>
    <row r="143" spans="1:19" ht="12.75">
      <c r="A143" s="68"/>
      <c r="B143" s="68" t="s">
        <v>406</v>
      </c>
      <c r="C143" s="65"/>
      <c r="E143" s="65"/>
      <c r="F143" s="274">
        <f>+J105</f>
        <v>0.4324</v>
      </c>
      <c r="G143" s="65"/>
      <c r="H143" s="87">
        <f>ROUND(J127*F143,4)</f>
        <v>0.0626</v>
      </c>
      <c r="I143" s="67"/>
      <c r="J143" s="68"/>
      <c r="K143" s="68"/>
      <c r="L143" s="68"/>
      <c r="M143" s="65"/>
      <c r="N143" s="65"/>
      <c r="O143" s="65"/>
      <c r="P143" s="65"/>
      <c r="Q143" s="65"/>
      <c r="R143"/>
      <c r="S143"/>
    </row>
    <row r="144" spans="1:19" ht="12.75">
      <c r="A144" s="68"/>
      <c r="B144" s="68" t="s">
        <v>407</v>
      </c>
      <c r="C144" s="65"/>
      <c r="E144" s="65"/>
      <c r="F144" s="295">
        <f>+J111</f>
        <v>0.5676</v>
      </c>
      <c r="G144" s="65"/>
      <c r="H144" s="128">
        <f>ROUND(J127*F144,4)</f>
        <v>0.0822</v>
      </c>
      <c r="I144" s="67"/>
      <c r="J144" s="68"/>
      <c r="K144" s="68"/>
      <c r="L144" s="68"/>
      <c r="M144" s="65"/>
      <c r="N144" s="65"/>
      <c r="O144" s="65"/>
      <c r="P144" s="65"/>
      <c r="Q144" s="65"/>
      <c r="R144"/>
      <c r="S144"/>
    </row>
    <row r="145" spans="1:19" ht="12.75">
      <c r="A145" s="68"/>
      <c r="B145" s="68"/>
      <c r="C145" s="65"/>
      <c r="E145" s="65"/>
      <c r="G145" s="65"/>
      <c r="H145" s="65"/>
      <c r="I145" s="67"/>
      <c r="J145" s="68"/>
      <c r="K145" s="68"/>
      <c r="L145" s="68"/>
      <c r="M145" s="65"/>
      <c r="N145" s="65"/>
      <c r="O145" s="65"/>
      <c r="P145" s="65"/>
      <c r="Q145" s="65"/>
      <c r="R145"/>
      <c r="S145"/>
    </row>
    <row r="146" spans="1:19" ht="12.75">
      <c r="A146" s="68"/>
      <c r="B146" s="68" t="s">
        <v>495</v>
      </c>
      <c r="C146" s="65"/>
      <c r="E146" s="65"/>
      <c r="F146" s="133">
        <f>+F144+F143</f>
        <v>1</v>
      </c>
      <c r="G146" s="65"/>
      <c r="H146" s="132">
        <f>H143+H144</f>
        <v>0.14479999999999998</v>
      </c>
      <c r="I146" s="67"/>
      <c r="J146" s="68"/>
      <c r="K146" s="68"/>
      <c r="L146" s="68"/>
      <c r="M146" s="65"/>
      <c r="N146" s="65"/>
      <c r="O146" s="65"/>
      <c r="P146" s="65"/>
      <c r="Q146" s="65"/>
      <c r="R146"/>
      <c r="S146"/>
    </row>
    <row r="147" spans="1:19" ht="12.75">
      <c r="A147" s="68"/>
      <c r="B147" s="68"/>
      <c r="C147" s="65"/>
      <c r="E147" s="65"/>
      <c r="G147" s="65"/>
      <c r="H147" s="133"/>
      <c r="I147" s="67"/>
      <c r="J147" s="68"/>
      <c r="K147" s="68"/>
      <c r="L147" s="68"/>
      <c r="M147" s="65"/>
      <c r="N147" s="65"/>
      <c r="O147" s="65"/>
      <c r="P147" s="65"/>
      <c r="Q147" s="65"/>
      <c r="R147"/>
      <c r="S147"/>
    </row>
    <row r="148" spans="1:19" ht="13.5" thickBot="1">
      <c r="A148" s="68"/>
      <c r="B148" s="68" t="s">
        <v>583</v>
      </c>
      <c r="C148" s="65"/>
      <c r="E148" s="65"/>
      <c r="G148" s="65"/>
      <c r="H148" s="213">
        <f>H141+H146</f>
        <v>1</v>
      </c>
      <c r="I148" s="67"/>
      <c r="J148" s="68"/>
      <c r="K148" s="68"/>
      <c r="L148" s="68"/>
      <c r="M148" s="65"/>
      <c r="N148" s="65"/>
      <c r="O148" s="65"/>
      <c r="P148" s="65"/>
      <c r="Q148" s="65"/>
      <c r="R148"/>
      <c r="S148"/>
    </row>
    <row r="149" spans="1:19" ht="13.5" thickTop="1">
      <c r="A149" s="68"/>
      <c r="B149" s="68"/>
      <c r="C149" s="65"/>
      <c r="E149" s="65"/>
      <c r="G149" s="65"/>
      <c r="H149" s="224"/>
      <c r="I149" s="67"/>
      <c r="J149" s="68"/>
      <c r="K149" s="68"/>
      <c r="L149" s="68"/>
      <c r="M149" s="65"/>
      <c r="N149" s="65"/>
      <c r="O149" s="65"/>
      <c r="P149" s="65"/>
      <c r="Q149" s="65"/>
      <c r="R149"/>
      <c r="S149"/>
    </row>
    <row r="150" spans="1:19" ht="12.75">
      <c r="A150" s="68"/>
      <c r="B150" s="68"/>
      <c r="C150" s="65"/>
      <c r="E150" s="65"/>
      <c r="G150" s="65"/>
      <c r="H150" s="224"/>
      <c r="I150" s="67"/>
      <c r="J150" s="68"/>
      <c r="K150" s="68"/>
      <c r="L150" s="68"/>
      <c r="M150" s="65"/>
      <c r="N150" s="65"/>
      <c r="O150" s="65"/>
      <c r="P150" s="65"/>
      <c r="Q150" s="65"/>
      <c r="R150"/>
      <c r="S150"/>
    </row>
    <row r="151" spans="1:19" ht="12.75">
      <c r="A151" s="470" t="s">
        <v>514</v>
      </c>
      <c r="B151" s="470"/>
      <c r="C151" s="470"/>
      <c r="D151" s="470"/>
      <c r="E151" s="470"/>
      <c r="F151" s="470"/>
      <c r="G151" s="470"/>
      <c r="H151" s="470"/>
      <c r="I151" s="470"/>
      <c r="J151" s="470"/>
      <c r="K151" s="470"/>
      <c r="L151" s="470"/>
      <c r="M151" s="470"/>
      <c r="N151" s="470"/>
      <c r="O151" s="470"/>
      <c r="P151" s="470"/>
      <c r="Q151" s="65"/>
      <c r="R151"/>
      <c r="S151"/>
    </row>
    <row r="152" spans="1:19" ht="12.75">
      <c r="A152" s="65"/>
      <c r="B152" s="66"/>
      <c r="C152" s="66"/>
      <c r="D152" s="66"/>
      <c r="E152" s="66"/>
      <c r="F152" s="66"/>
      <c r="G152" s="66"/>
      <c r="H152" s="66"/>
      <c r="I152" s="66"/>
      <c r="J152" s="66"/>
      <c r="K152" s="66"/>
      <c r="L152" s="66"/>
      <c r="M152" s="65"/>
      <c r="N152" s="65"/>
      <c r="O152" s="65"/>
      <c r="P152" s="65"/>
      <c r="Q152" s="65"/>
      <c r="R152"/>
      <c r="S152"/>
    </row>
    <row r="153" spans="1:19" ht="12.75">
      <c r="A153" s="470" t="s">
        <v>21</v>
      </c>
      <c r="B153" s="470"/>
      <c r="C153" s="470"/>
      <c r="D153" s="470"/>
      <c r="E153" s="470"/>
      <c r="F153" s="470"/>
      <c r="G153" s="470"/>
      <c r="H153" s="470"/>
      <c r="I153" s="470"/>
      <c r="J153" s="470"/>
      <c r="K153" s="470"/>
      <c r="L153" s="470"/>
      <c r="M153" s="470"/>
      <c r="N153" s="470"/>
      <c r="O153" s="470"/>
      <c r="P153" s="470"/>
      <c r="Q153" s="65"/>
      <c r="R153"/>
      <c r="S153"/>
    </row>
    <row r="154" spans="1:19" ht="12.75">
      <c r="A154" s="103"/>
      <c r="B154" s="103"/>
      <c r="C154" s="103"/>
      <c r="D154" s="103"/>
      <c r="E154" s="103"/>
      <c r="F154" s="103"/>
      <c r="G154" s="103"/>
      <c r="H154" s="103"/>
      <c r="I154" s="103"/>
      <c r="J154" s="103"/>
      <c r="K154" s="103"/>
      <c r="L154" s="103"/>
      <c r="M154" s="65"/>
      <c r="N154" s="65"/>
      <c r="O154" s="65"/>
      <c r="P154" s="65"/>
      <c r="Q154" s="65"/>
      <c r="R154"/>
      <c r="S154"/>
    </row>
    <row r="155" spans="1:19" ht="12.75">
      <c r="A155" s="65" t="s">
        <v>458</v>
      </c>
      <c r="B155" s="65"/>
      <c r="C155" s="65"/>
      <c r="E155" s="65"/>
      <c r="G155" s="65"/>
      <c r="H155" s="65"/>
      <c r="I155" s="65"/>
      <c r="J155" s="65"/>
      <c r="K155" s="65"/>
      <c r="L155" s="68"/>
      <c r="M155" s="65"/>
      <c r="N155" s="65"/>
      <c r="O155" s="65"/>
      <c r="P155" s="65"/>
      <c r="Q155" s="65"/>
      <c r="R155"/>
      <c r="S155"/>
    </row>
    <row r="156" spans="1:19" ht="12.75">
      <c r="A156" s="65"/>
      <c r="B156" s="65"/>
      <c r="C156" s="65"/>
      <c r="D156" s="103"/>
      <c r="E156" s="103"/>
      <c r="F156" s="103"/>
      <c r="G156" s="103"/>
      <c r="H156" s="103"/>
      <c r="I156" s="103"/>
      <c r="J156" s="103"/>
      <c r="K156" s="65"/>
      <c r="L156" s="65"/>
      <c r="M156" s="65"/>
      <c r="N156" s="65"/>
      <c r="O156" s="65"/>
      <c r="P156" s="65"/>
      <c r="Q156" s="65"/>
      <c r="R156"/>
      <c r="S156"/>
    </row>
    <row r="157" spans="1:19" ht="12.75">
      <c r="A157" s="494" t="s">
        <v>23</v>
      </c>
      <c r="B157" s="494"/>
      <c r="C157" s="65"/>
      <c r="D157" s="103"/>
      <c r="E157" s="103"/>
      <c r="F157" s="103" t="s">
        <v>534</v>
      </c>
      <c r="G157" s="103"/>
      <c r="H157" s="103"/>
      <c r="I157" s="103"/>
      <c r="J157" s="103" t="s">
        <v>534</v>
      </c>
      <c r="K157" s="65"/>
      <c r="L157" s="103"/>
      <c r="M157" s="103"/>
      <c r="N157" s="103" t="s">
        <v>534</v>
      </c>
      <c r="O157" s="65"/>
      <c r="P157" s="69" t="s">
        <v>521</v>
      </c>
      <c r="Q157" s="65"/>
      <c r="R157"/>
      <c r="S157"/>
    </row>
    <row r="158" spans="1:19" ht="12.75">
      <c r="A158" s="493" t="s">
        <v>24</v>
      </c>
      <c r="B158" s="493"/>
      <c r="C158" s="65"/>
      <c r="D158" s="176" t="s">
        <v>569</v>
      </c>
      <c r="E158" s="103"/>
      <c r="F158" s="176" t="s">
        <v>523</v>
      </c>
      <c r="G158" s="103"/>
      <c r="H158" s="176" t="s">
        <v>570</v>
      </c>
      <c r="I158" s="103"/>
      <c r="J158" s="176" t="s">
        <v>523</v>
      </c>
      <c r="K158" s="65"/>
      <c r="L158" s="176" t="s">
        <v>571</v>
      </c>
      <c r="M158" s="103"/>
      <c r="N158" s="176" t="s">
        <v>523</v>
      </c>
      <c r="O158" s="65"/>
      <c r="P158" s="147" t="s">
        <v>523</v>
      </c>
      <c r="Q158" s="65"/>
      <c r="R158"/>
      <c r="S158"/>
    </row>
    <row r="159" spans="1:19" ht="12.75">
      <c r="A159" s="468">
        <v>-1</v>
      </c>
      <c r="B159" s="468"/>
      <c r="C159" s="177"/>
      <c r="D159" s="178">
        <v>-2</v>
      </c>
      <c r="E159" s="118"/>
      <c r="F159" s="190" t="s">
        <v>536</v>
      </c>
      <c r="G159" s="118"/>
      <c r="H159" s="178">
        <v>-4</v>
      </c>
      <c r="I159" s="118"/>
      <c r="J159" s="190" t="s">
        <v>537</v>
      </c>
      <c r="K159" s="177"/>
      <c r="L159" s="178">
        <v>-6</v>
      </c>
      <c r="M159" s="118"/>
      <c r="N159" s="190" t="s">
        <v>64</v>
      </c>
      <c r="O159" s="65"/>
      <c r="P159" s="179" t="s">
        <v>551</v>
      </c>
      <c r="Q159" s="65"/>
      <c r="R159"/>
      <c r="S159"/>
    </row>
    <row r="160" spans="1:19" ht="12.75">
      <c r="A160" s="90"/>
      <c r="B160" s="65"/>
      <c r="C160" s="65"/>
      <c r="D160" s="103"/>
      <c r="E160" s="103"/>
      <c r="F160" s="285">
        <f>L176</f>
        <v>0.5141</v>
      </c>
      <c r="G160" s="103"/>
      <c r="H160" s="103"/>
      <c r="I160" s="103"/>
      <c r="J160" s="285">
        <f>L178</f>
        <v>0.3597</v>
      </c>
      <c r="K160" s="65"/>
      <c r="L160" s="65"/>
      <c r="M160" s="65"/>
      <c r="N160" s="285">
        <f>L180</f>
        <v>0.1262</v>
      </c>
      <c r="O160" s="65"/>
      <c r="P160" s="65"/>
      <c r="Q160" s="65"/>
      <c r="R160"/>
      <c r="S160"/>
    </row>
    <row r="161" spans="1:19" ht="12.75">
      <c r="A161" s="90"/>
      <c r="B161" s="65"/>
      <c r="C161" s="65"/>
      <c r="D161" s="103"/>
      <c r="E161" s="103"/>
      <c r="F161" s="188"/>
      <c r="G161" s="103"/>
      <c r="H161" s="103"/>
      <c r="I161" s="103"/>
      <c r="J161" s="188"/>
      <c r="K161" s="65"/>
      <c r="L161" s="65"/>
      <c r="M161" s="65"/>
      <c r="N161" s="189"/>
      <c r="O161" s="65"/>
      <c r="P161" s="65"/>
      <c r="Q161" s="65"/>
      <c r="R161"/>
      <c r="S161"/>
    </row>
    <row r="162" spans="1:19" ht="12.75">
      <c r="A162" s="90" t="s">
        <v>25</v>
      </c>
      <c r="B162" s="65"/>
      <c r="C162" s="65"/>
      <c r="D162" s="274">
        <f>+J32</f>
        <v>0.6061</v>
      </c>
      <c r="E162" s="133"/>
      <c r="F162" s="133">
        <f>ROUND(D162*F$160,4)</f>
        <v>0.3116</v>
      </c>
      <c r="G162" s="133"/>
      <c r="H162" s="274">
        <f>+H49</f>
        <v>0.5759</v>
      </c>
      <c r="I162" s="133"/>
      <c r="J162" s="133">
        <f>ROUND(H162*J$160,4)</f>
        <v>0.2072</v>
      </c>
      <c r="K162" s="65"/>
      <c r="L162" s="274">
        <f>+H71</f>
        <v>0.3515</v>
      </c>
      <c r="M162" s="133"/>
      <c r="N162" s="133">
        <f>ROUND(L162*N$160,4)</f>
        <v>0.0444</v>
      </c>
      <c r="O162" s="65"/>
      <c r="P162" s="133">
        <f>+N162+J162+F162</f>
        <v>0.5631999999999999</v>
      </c>
      <c r="Q162" s="65"/>
      <c r="R162"/>
      <c r="S162"/>
    </row>
    <row r="163" spans="1:19" ht="12.75">
      <c r="A163" s="90" t="s">
        <v>539</v>
      </c>
      <c r="B163" s="65"/>
      <c r="C163" s="65"/>
      <c r="D163" s="274">
        <f>+J34</f>
        <v>0.3939</v>
      </c>
      <c r="E163" s="133"/>
      <c r="F163" s="133">
        <f>ROUND(D163*F$160,4)</f>
        <v>0.2025</v>
      </c>
      <c r="G163" s="133"/>
      <c r="H163" s="274">
        <f>+H51</f>
        <v>0.3744</v>
      </c>
      <c r="I163" s="133"/>
      <c r="J163" s="133">
        <f>ROUND(H163*J$160,4)</f>
        <v>0.1347</v>
      </c>
      <c r="K163" s="65"/>
      <c r="L163" s="274"/>
      <c r="M163" s="133"/>
      <c r="N163" s="133"/>
      <c r="O163" s="65"/>
      <c r="P163" s="133">
        <f>+N163+J163+F163</f>
        <v>0.3372</v>
      </c>
      <c r="Q163" s="65"/>
      <c r="R163"/>
      <c r="S163"/>
    </row>
    <row r="164" spans="1:19" ht="12.75">
      <c r="A164" s="90" t="s">
        <v>557</v>
      </c>
      <c r="B164" s="65"/>
      <c r="C164" s="65"/>
      <c r="D164" s="133"/>
      <c r="E164" s="133"/>
      <c r="F164" s="133"/>
      <c r="G164" s="133"/>
      <c r="H164" s="274"/>
      <c r="I164" s="133"/>
      <c r="J164" s="133"/>
      <c r="K164" s="65"/>
      <c r="L164" s="274">
        <f>+H73</f>
        <v>0.5272</v>
      </c>
      <c r="M164" s="133"/>
      <c r="N164" s="133">
        <f>ROUND(L164*N$160,4)</f>
        <v>0.0665</v>
      </c>
      <c r="O164" s="65"/>
      <c r="P164" s="133">
        <f>+N164+J164+F164</f>
        <v>0.0665</v>
      </c>
      <c r="Q164" s="65"/>
      <c r="R164"/>
      <c r="S164"/>
    </row>
    <row r="165" spans="1:19" ht="12.75">
      <c r="A165" s="90" t="s">
        <v>44</v>
      </c>
      <c r="B165" s="65"/>
      <c r="C165" s="65"/>
      <c r="D165" s="133"/>
      <c r="E165" s="133"/>
      <c r="F165" s="133"/>
      <c r="G165" s="133"/>
      <c r="H165" s="274">
        <f>L56</f>
        <v>0.0215</v>
      </c>
      <c r="I165" s="133"/>
      <c r="J165" s="133">
        <f>ROUND(H165*J$160,4)</f>
        <v>0.0077</v>
      </c>
      <c r="K165" s="65"/>
      <c r="L165" s="274">
        <f>+L78</f>
        <v>0.0525</v>
      </c>
      <c r="M165" s="133"/>
      <c r="N165" s="133">
        <f>ROUND(L165*N$160,4)</f>
        <v>0.0066</v>
      </c>
      <c r="O165" s="65"/>
      <c r="P165" s="133">
        <f>+N165+J165+F165</f>
        <v>0.0143</v>
      </c>
      <c r="Q165" s="65"/>
      <c r="R165"/>
      <c r="S165"/>
    </row>
    <row r="166" spans="1:19" ht="12.75">
      <c r="A166" s="90" t="s">
        <v>45</v>
      </c>
      <c r="B166" s="65"/>
      <c r="C166" s="65"/>
      <c r="D166" s="132"/>
      <c r="E166" s="133"/>
      <c r="F166" s="132"/>
      <c r="G166" s="133"/>
      <c r="H166" s="275">
        <f>L57</f>
        <v>0.0282</v>
      </c>
      <c r="I166" s="133"/>
      <c r="J166" s="132">
        <f>ROUND(H166*J$160,4)</f>
        <v>0.0101</v>
      </c>
      <c r="K166" s="65"/>
      <c r="L166" s="275">
        <f>+L79</f>
        <v>0.0688</v>
      </c>
      <c r="M166" s="133"/>
      <c r="N166" s="132">
        <f>ROUND(L166*N$160,4)</f>
        <v>0.0087</v>
      </c>
      <c r="O166" s="65"/>
      <c r="P166" s="132">
        <f>+N166+J166+F166</f>
        <v>0.018799999999999997</v>
      </c>
      <c r="Q166" s="65"/>
      <c r="R166"/>
      <c r="S166"/>
    </row>
    <row r="167" spans="1:19" ht="12.75">
      <c r="A167" s="90"/>
      <c r="B167" s="65"/>
      <c r="C167" s="65"/>
      <c r="D167" s="133"/>
      <c r="E167" s="133"/>
      <c r="F167" s="133"/>
      <c r="G167" s="133"/>
      <c r="H167" s="133"/>
      <c r="I167" s="133"/>
      <c r="J167" s="133"/>
      <c r="K167" s="65"/>
      <c r="L167" s="133"/>
      <c r="M167" s="133"/>
      <c r="N167" s="65"/>
      <c r="O167" s="65"/>
      <c r="P167" s="133"/>
      <c r="Q167" s="65"/>
      <c r="R167"/>
      <c r="S167"/>
    </row>
    <row r="168" spans="1:19" ht="13.5" thickBot="1">
      <c r="A168" s="90" t="s">
        <v>532</v>
      </c>
      <c r="B168" s="65"/>
      <c r="C168" s="65"/>
      <c r="D168" s="213">
        <f>SUM(D162:D167)</f>
        <v>1</v>
      </c>
      <c r="E168" s="133"/>
      <c r="F168" s="213">
        <f>SUM(F162:F167)</f>
        <v>0.5141</v>
      </c>
      <c r="G168" s="133"/>
      <c r="H168" s="213">
        <f>SUM(H162:H167)</f>
        <v>0.9999999999999999</v>
      </c>
      <c r="I168" s="133"/>
      <c r="J168" s="213">
        <f>SUM(J162:J167)</f>
        <v>0.35969999999999996</v>
      </c>
      <c r="K168" s="65"/>
      <c r="L168" s="213">
        <f>SUM(L162:L167)</f>
        <v>1</v>
      </c>
      <c r="M168" s="133"/>
      <c r="N168" s="213">
        <f>SUM(N162:N167)</f>
        <v>0.12619999999999998</v>
      </c>
      <c r="O168" s="133"/>
      <c r="P168" s="213">
        <f>SUM(P162:P167)</f>
        <v>0.9999999999999999</v>
      </c>
      <c r="Q168" s="65"/>
      <c r="R168"/>
      <c r="S168"/>
    </row>
    <row r="169" spans="1:19" ht="13.5" thickTop="1">
      <c r="A169" s="65"/>
      <c r="B169" s="65"/>
      <c r="C169" s="65"/>
      <c r="D169" s="133"/>
      <c r="E169" s="133"/>
      <c r="F169" s="133"/>
      <c r="G169" s="133"/>
      <c r="H169" s="133"/>
      <c r="I169" s="133"/>
      <c r="J169" s="133"/>
      <c r="K169" s="65"/>
      <c r="L169" s="133"/>
      <c r="M169" s="133"/>
      <c r="N169" s="133"/>
      <c r="O169" s="65"/>
      <c r="P169" s="133"/>
      <c r="Q169" s="65"/>
      <c r="R169"/>
      <c r="S169"/>
    </row>
    <row r="170" spans="1:19" ht="12.75">
      <c r="A170" s="65"/>
      <c r="B170" s="65"/>
      <c r="C170" s="65"/>
      <c r="D170" s="133"/>
      <c r="E170" s="133"/>
      <c r="F170" s="133"/>
      <c r="G170" s="133"/>
      <c r="H170" s="133"/>
      <c r="I170" s="133"/>
      <c r="J170" s="133"/>
      <c r="K170" s="65"/>
      <c r="L170" s="133"/>
      <c r="M170" s="133"/>
      <c r="N170" s="133"/>
      <c r="O170" s="65"/>
      <c r="P170" s="133"/>
      <c r="Q170" s="65"/>
      <c r="R170"/>
      <c r="S170"/>
    </row>
    <row r="171" spans="1:19" ht="31.5" customHeight="1">
      <c r="A171" s="498" t="s">
        <v>577</v>
      </c>
      <c r="B171" s="498"/>
      <c r="C171" s="498"/>
      <c r="D171" s="498"/>
      <c r="E171" s="498"/>
      <c r="F171" s="498"/>
      <c r="G171" s="498"/>
      <c r="H171" s="498"/>
      <c r="I171" s="498"/>
      <c r="J171" s="498"/>
      <c r="K171" s="498"/>
      <c r="L171" s="498"/>
      <c r="M171" s="498"/>
      <c r="N171" s="498"/>
      <c r="O171" s="498"/>
      <c r="P171" s="498"/>
      <c r="Q171" s="65"/>
      <c r="R171"/>
      <c r="S171"/>
    </row>
    <row r="172" spans="1:19" ht="12.75">
      <c r="A172" s="17"/>
      <c r="B172" s="17"/>
      <c r="C172" s="17"/>
      <c r="D172" s="17"/>
      <c r="E172" s="17"/>
      <c r="F172" s="17"/>
      <c r="G172" s="17"/>
      <c r="H172" s="17"/>
      <c r="I172" s="17"/>
      <c r="J172" s="17"/>
      <c r="K172" s="17"/>
      <c r="L172" s="17"/>
      <c r="M172" s="17"/>
      <c r="N172" s="17"/>
      <c r="O172" s="17"/>
      <c r="P172" s="17"/>
      <c r="Q172" s="65"/>
      <c r="R172"/>
      <c r="S172"/>
    </row>
    <row r="173" spans="1:19" ht="15">
      <c r="A173" s="17"/>
      <c r="B173" s="17"/>
      <c r="C173" s="17"/>
      <c r="D173" s="17"/>
      <c r="E173" s="17"/>
      <c r="F173" s="18"/>
      <c r="G173" s="19"/>
      <c r="H173" s="19" t="s">
        <v>578</v>
      </c>
      <c r="I173" s="19"/>
      <c r="J173" s="18"/>
      <c r="K173" s="19"/>
      <c r="L173" s="19"/>
      <c r="M173" s="19"/>
      <c r="N173" s="19"/>
      <c r="O173" s="17"/>
      <c r="P173" s="17"/>
      <c r="Q173" s="65"/>
      <c r="R173"/>
      <c r="S173"/>
    </row>
    <row r="174" spans="1:19" ht="15">
      <c r="A174" s="17"/>
      <c r="B174" s="17"/>
      <c r="C174" s="17"/>
      <c r="D174" s="17"/>
      <c r="E174" s="17"/>
      <c r="F174" s="18"/>
      <c r="G174" s="19"/>
      <c r="H174" s="223" t="s">
        <v>579</v>
      </c>
      <c r="I174" s="19"/>
      <c r="J174" s="65"/>
      <c r="K174" s="19"/>
      <c r="L174" s="223" t="s">
        <v>546</v>
      </c>
      <c r="M174" s="19"/>
      <c r="N174" s="65"/>
      <c r="O174" s="17"/>
      <c r="P174" s="17"/>
      <c r="Q174" s="65"/>
      <c r="R174"/>
      <c r="S174"/>
    </row>
    <row r="175" spans="1:19" ht="15">
      <c r="A175" s="17"/>
      <c r="B175" s="17"/>
      <c r="C175" s="17"/>
      <c r="D175" s="17"/>
      <c r="E175" s="17"/>
      <c r="F175" s="18"/>
      <c r="G175" s="17"/>
      <c r="H175" s="17"/>
      <c r="I175" s="17"/>
      <c r="J175" s="65"/>
      <c r="K175" s="17"/>
      <c r="L175" s="17"/>
      <c r="M175" s="17"/>
      <c r="N175" s="65"/>
      <c r="O175" s="17"/>
      <c r="P175" s="17"/>
      <c r="Q175" s="65"/>
      <c r="R175"/>
      <c r="S175"/>
    </row>
    <row r="176" spans="1:19" ht="15">
      <c r="A176" s="17" t="s">
        <v>580</v>
      </c>
      <c r="B176" s="18"/>
      <c r="C176" s="17"/>
      <c r="D176" s="17"/>
      <c r="E176" s="17"/>
      <c r="F176" s="18"/>
      <c r="G176" s="17"/>
      <c r="H176" s="286">
        <v>10130</v>
      </c>
      <c r="I176" s="17"/>
      <c r="J176" s="65"/>
      <c r="K176" s="17"/>
      <c r="L176" s="20">
        <f>ROUND(+H176/H182,4)</f>
        <v>0.5141</v>
      </c>
      <c r="M176" s="17"/>
      <c r="N176" s="65"/>
      <c r="O176" s="17"/>
      <c r="P176" s="17"/>
      <c r="Q176" s="65"/>
      <c r="R176"/>
      <c r="S176"/>
    </row>
    <row r="177" spans="1:19" ht="15">
      <c r="A177" s="17"/>
      <c r="B177" s="18"/>
      <c r="C177" s="17"/>
      <c r="D177" s="17"/>
      <c r="E177" s="17"/>
      <c r="F177" s="18"/>
      <c r="G177" s="17"/>
      <c r="H177" s="286"/>
      <c r="I177" s="17"/>
      <c r="J177" s="65"/>
      <c r="K177" s="17"/>
      <c r="L177" s="20"/>
      <c r="M177" s="17"/>
      <c r="N177" s="65"/>
      <c r="O177" s="17"/>
      <c r="P177" s="17"/>
      <c r="Q177" s="65"/>
      <c r="R177"/>
      <c r="S177"/>
    </row>
    <row r="178" spans="1:19" ht="15">
      <c r="A178" s="17" t="s">
        <v>581</v>
      </c>
      <c r="B178" s="18"/>
      <c r="C178" s="17"/>
      <c r="D178" s="17"/>
      <c r="E178" s="17"/>
      <c r="F178" s="18"/>
      <c r="G178" s="17"/>
      <c r="H178" s="286">
        <v>7087</v>
      </c>
      <c r="I178" s="17"/>
      <c r="J178" s="65"/>
      <c r="K178" s="17"/>
      <c r="L178" s="20">
        <f>ROUND(+H178/H182,4)</f>
        <v>0.3597</v>
      </c>
      <c r="M178" s="17"/>
      <c r="N178" s="65"/>
      <c r="O178" s="17"/>
      <c r="P178" s="17"/>
      <c r="Q178" s="65"/>
      <c r="R178"/>
      <c r="S178"/>
    </row>
    <row r="179" spans="1:19" ht="15">
      <c r="A179" s="17"/>
      <c r="B179" s="18"/>
      <c r="C179" s="17"/>
      <c r="D179" s="17"/>
      <c r="E179" s="17"/>
      <c r="F179" s="18"/>
      <c r="G179" s="17"/>
      <c r="H179" s="286"/>
      <c r="I179" s="17"/>
      <c r="J179" s="65"/>
      <c r="K179" s="17"/>
      <c r="L179" s="20"/>
      <c r="M179" s="17"/>
      <c r="N179" s="65"/>
      <c r="O179" s="17"/>
      <c r="P179" s="17"/>
      <c r="Q179" s="65"/>
      <c r="R179"/>
      <c r="S179"/>
    </row>
    <row r="180" spans="1:19" ht="15">
      <c r="A180" s="17" t="s">
        <v>582</v>
      </c>
      <c r="B180" s="18"/>
      <c r="C180" s="17"/>
      <c r="D180" s="17"/>
      <c r="E180" s="17"/>
      <c r="F180" s="18"/>
      <c r="G180" s="17"/>
      <c r="H180" s="286">
        <v>2486</v>
      </c>
      <c r="I180" s="17"/>
      <c r="J180" s="65"/>
      <c r="K180" s="17"/>
      <c r="L180" s="20">
        <f>ROUND(+H180/H182,4)</f>
        <v>0.1262</v>
      </c>
      <c r="M180" s="17"/>
      <c r="N180" s="65"/>
      <c r="O180" s="17"/>
      <c r="P180" s="17"/>
      <c r="Q180" s="65"/>
      <c r="R180"/>
      <c r="S180"/>
    </row>
    <row r="181" spans="1:19" ht="15">
      <c r="A181" s="17"/>
      <c r="B181" s="17"/>
      <c r="C181" s="17"/>
      <c r="D181" s="17"/>
      <c r="E181" s="17"/>
      <c r="F181" s="18"/>
      <c r="G181" s="17"/>
      <c r="H181" s="25"/>
      <c r="I181" s="17"/>
      <c r="J181" s="65"/>
      <c r="K181" s="17"/>
      <c r="L181" s="21"/>
      <c r="M181" s="17"/>
      <c r="N181" s="65"/>
      <c r="O181" s="17"/>
      <c r="P181" s="17"/>
      <c r="Q181" s="65"/>
      <c r="R181"/>
      <c r="S181"/>
    </row>
    <row r="182" spans="1:19" ht="15.75" thickBot="1">
      <c r="A182" s="17"/>
      <c r="B182" s="17" t="s">
        <v>583</v>
      </c>
      <c r="C182" s="17"/>
      <c r="D182" s="17"/>
      <c r="E182" s="17"/>
      <c r="F182" s="18"/>
      <c r="G182" s="17"/>
      <c r="H182" s="181">
        <f>SUM(H176:H181)</f>
        <v>19703</v>
      </c>
      <c r="I182" s="17"/>
      <c r="J182" s="65"/>
      <c r="K182" s="17"/>
      <c r="L182" s="182">
        <f>SUM(L176:L181)</f>
        <v>1</v>
      </c>
      <c r="M182" s="17"/>
      <c r="N182" s="65"/>
      <c r="O182" s="17"/>
      <c r="P182" s="17"/>
      <c r="Q182" s="65"/>
      <c r="R182"/>
      <c r="S182"/>
    </row>
    <row r="183" spans="1:19" ht="13.5" thickTop="1">
      <c r="A183" s="65"/>
      <c r="B183" s="65"/>
      <c r="C183" s="65"/>
      <c r="D183" s="133"/>
      <c r="E183" s="133"/>
      <c r="F183" s="133"/>
      <c r="G183" s="133"/>
      <c r="H183" s="133"/>
      <c r="I183" s="133"/>
      <c r="J183" s="65"/>
      <c r="K183" s="65"/>
      <c r="L183" s="133"/>
      <c r="M183" s="133"/>
      <c r="N183" s="133"/>
      <c r="O183" s="65"/>
      <c r="P183" s="133"/>
      <c r="Q183" s="65"/>
      <c r="R183"/>
      <c r="S183"/>
    </row>
    <row r="184" spans="1:19" ht="12.75">
      <c r="A184" s="68"/>
      <c r="B184" s="68"/>
      <c r="C184" s="65"/>
      <c r="E184" s="65"/>
      <c r="G184" s="65"/>
      <c r="H184" s="65"/>
      <c r="I184" s="67"/>
      <c r="J184" s="68"/>
      <c r="K184" s="68"/>
      <c r="L184" s="68"/>
      <c r="M184" s="65"/>
      <c r="N184" s="65"/>
      <c r="O184" s="65"/>
      <c r="P184" s="65"/>
      <c r="Q184" s="65"/>
      <c r="R184"/>
      <c r="S184"/>
    </row>
    <row r="185" spans="1:19" ht="12.75">
      <c r="A185" s="65" t="s">
        <v>459</v>
      </c>
      <c r="B185" s="65"/>
      <c r="C185" s="65"/>
      <c r="E185" s="65"/>
      <c r="G185" s="65"/>
      <c r="H185" s="65"/>
      <c r="I185" s="65"/>
      <c r="J185" s="65"/>
      <c r="K185" s="65"/>
      <c r="L185" s="68"/>
      <c r="M185" s="65"/>
      <c r="N185" s="65"/>
      <c r="O185" s="65"/>
      <c r="P185" s="65"/>
      <c r="Q185" s="65"/>
      <c r="R185"/>
      <c r="S185"/>
    </row>
    <row r="186" spans="1:19" ht="12.75">
      <c r="A186" s="65"/>
      <c r="B186" s="65"/>
      <c r="C186" s="65"/>
      <c r="E186" s="65"/>
      <c r="G186" s="65"/>
      <c r="H186" s="65"/>
      <c r="I186" s="65"/>
      <c r="J186" s="65"/>
      <c r="K186" s="65"/>
      <c r="L186" s="68"/>
      <c r="M186" s="65"/>
      <c r="N186" s="65"/>
      <c r="O186" s="65"/>
      <c r="P186" s="65"/>
      <c r="Q186" s="65"/>
      <c r="R186"/>
      <c r="S186"/>
    </row>
    <row r="187" spans="1:19" ht="12.75">
      <c r="A187" s="65"/>
      <c r="B187" s="65"/>
      <c r="C187" s="65"/>
      <c r="D187" s="502" t="s">
        <v>587</v>
      </c>
      <c r="E187" s="502"/>
      <c r="F187" s="502"/>
      <c r="G187" s="65"/>
      <c r="H187" s="502" t="s">
        <v>588</v>
      </c>
      <c r="I187" s="502"/>
      <c r="J187" s="502"/>
      <c r="K187" s="65"/>
      <c r="L187" s="68"/>
      <c r="M187" s="65"/>
      <c r="N187" s="65"/>
      <c r="O187" s="65"/>
      <c r="P187" s="65"/>
      <c r="Q187" s="65"/>
      <c r="R187"/>
      <c r="S187"/>
    </row>
    <row r="188" spans="1:19" ht="12.75">
      <c r="A188" s="494" t="s">
        <v>23</v>
      </c>
      <c r="B188" s="494"/>
      <c r="C188" s="65"/>
      <c r="D188" s="103"/>
      <c r="E188" s="103"/>
      <c r="F188" s="103" t="s">
        <v>534</v>
      </c>
      <c r="G188" s="103"/>
      <c r="H188" s="103"/>
      <c r="I188" s="103"/>
      <c r="J188" s="103" t="s">
        <v>534</v>
      </c>
      <c r="K188" s="103"/>
      <c r="L188" s="69" t="s">
        <v>521</v>
      </c>
      <c r="M188" s="65"/>
      <c r="N188" s="65"/>
      <c r="O188" s="65"/>
      <c r="P188" s="65"/>
      <c r="Q188" s="65"/>
      <c r="R188"/>
      <c r="S188"/>
    </row>
    <row r="189" spans="1:19" ht="12.75">
      <c r="A189" s="493" t="s">
        <v>24</v>
      </c>
      <c r="B189" s="493"/>
      <c r="C189" s="65"/>
      <c r="D189" s="176" t="s">
        <v>570</v>
      </c>
      <c r="E189" s="103"/>
      <c r="F189" s="176" t="s">
        <v>523</v>
      </c>
      <c r="G189" s="103"/>
      <c r="H189" s="176" t="s">
        <v>571</v>
      </c>
      <c r="I189" s="103"/>
      <c r="J189" s="176" t="s">
        <v>523</v>
      </c>
      <c r="K189" s="103"/>
      <c r="L189" s="147" t="s">
        <v>523</v>
      </c>
      <c r="M189" s="65"/>
      <c r="N189" s="65"/>
      <c r="O189" s="65"/>
      <c r="P189" s="65"/>
      <c r="Q189" s="65"/>
      <c r="R189"/>
      <c r="S189"/>
    </row>
    <row r="190" spans="1:19" ht="12.75">
      <c r="A190" s="467">
        <v>-1</v>
      </c>
      <c r="B190" s="467"/>
      <c r="C190" s="65"/>
      <c r="D190" s="178">
        <v>-2</v>
      </c>
      <c r="E190" s="118"/>
      <c r="F190" s="190" t="s">
        <v>536</v>
      </c>
      <c r="G190" s="118"/>
      <c r="H190" s="178">
        <v>-4</v>
      </c>
      <c r="I190" s="118"/>
      <c r="J190" s="190" t="s">
        <v>537</v>
      </c>
      <c r="K190" s="177"/>
      <c r="L190" s="179" t="s">
        <v>538</v>
      </c>
      <c r="M190" s="65"/>
      <c r="N190" s="65"/>
      <c r="O190" s="65"/>
      <c r="P190" s="65"/>
      <c r="Q190" s="65"/>
      <c r="R190"/>
      <c r="S190"/>
    </row>
    <row r="191" spans="1:19" ht="12.75">
      <c r="A191" s="90"/>
      <c r="B191" s="65"/>
      <c r="C191" s="65"/>
      <c r="D191" s="191"/>
      <c r="E191" s="192"/>
      <c r="F191" s="287">
        <f>J208</f>
        <v>0.20180913066699518</v>
      </c>
      <c r="G191" s="288"/>
      <c r="H191" s="289"/>
      <c r="I191" s="288"/>
      <c r="J191" s="287">
        <f>J210</f>
        <v>0.7981908693330048</v>
      </c>
      <c r="K191" s="193"/>
      <c r="L191" s="194"/>
      <c r="M191" s="65"/>
      <c r="N191" s="65"/>
      <c r="O191" s="65"/>
      <c r="P191" s="65"/>
      <c r="Q191" s="65"/>
      <c r="R191"/>
      <c r="S191"/>
    </row>
    <row r="192" spans="1:19" ht="12.75">
      <c r="A192" s="90"/>
      <c r="B192" s="65"/>
      <c r="C192" s="65"/>
      <c r="D192" s="178"/>
      <c r="E192" s="118"/>
      <c r="F192" s="178"/>
      <c r="G192" s="118"/>
      <c r="H192" s="178"/>
      <c r="I192" s="118"/>
      <c r="J192" s="178"/>
      <c r="K192" s="177"/>
      <c r="L192" s="179"/>
      <c r="M192" s="65"/>
      <c r="N192" s="65"/>
      <c r="O192" s="65"/>
      <c r="P192" s="65"/>
      <c r="Q192" s="65"/>
      <c r="R192"/>
      <c r="S192"/>
    </row>
    <row r="193" spans="1:19" ht="12.75">
      <c r="A193" s="90" t="s">
        <v>25</v>
      </c>
      <c r="B193" s="65"/>
      <c r="C193" s="65"/>
      <c r="D193" s="274">
        <f>H49</f>
        <v>0.5759</v>
      </c>
      <c r="E193" s="133"/>
      <c r="F193" s="133">
        <f>D193*$F$191</f>
        <v>0.11622187835112252</v>
      </c>
      <c r="G193" s="133"/>
      <c r="H193" s="274">
        <f>H71</f>
        <v>0.3515</v>
      </c>
      <c r="I193" s="133"/>
      <c r="J193" s="133">
        <f>H193*$J$191</f>
        <v>0.28056409057055115</v>
      </c>
      <c r="K193" s="65"/>
      <c r="L193" s="133">
        <f>F193+J193</f>
        <v>0.39678596892167367</v>
      </c>
      <c r="M193" s="65"/>
      <c r="N193" s="65"/>
      <c r="O193" s="65"/>
      <c r="P193" s="65"/>
      <c r="Q193" s="65"/>
      <c r="R193"/>
      <c r="S193"/>
    </row>
    <row r="194" spans="1:19" ht="12.75">
      <c r="A194" s="90" t="s">
        <v>539</v>
      </c>
      <c r="B194" s="65"/>
      <c r="C194" s="65"/>
      <c r="D194" s="274">
        <f>H51</f>
        <v>0.3744</v>
      </c>
      <c r="E194" s="133"/>
      <c r="F194" s="133">
        <f>D194*$F$191</f>
        <v>0.075557338521723</v>
      </c>
      <c r="G194" s="133"/>
      <c r="H194" s="274">
        <v>0</v>
      </c>
      <c r="I194" s="133"/>
      <c r="J194" s="133">
        <f>H194*$J$191</f>
        <v>0</v>
      </c>
      <c r="K194" s="65"/>
      <c r="L194" s="133">
        <f>F194+J194</f>
        <v>0.075557338521723</v>
      </c>
      <c r="M194" s="65"/>
      <c r="N194" s="65"/>
      <c r="O194" s="65"/>
      <c r="P194" s="65"/>
      <c r="Q194" s="65"/>
      <c r="R194"/>
      <c r="S194"/>
    </row>
    <row r="195" spans="1:19" ht="12.75">
      <c r="A195" s="90" t="s">
        <v>557</v>
      </c>
      <c r="B195" s="65"/>
      <c r="C195" s="65"/>
      <c r="D195" s="274">
        <v>0</v>
      </c>
      <c r="E195" s="133"/>
      <c r="F195" s="133">
        <f>D195*$F$191</f>
        <v>0</v>
      </c>
      <c r="G195" s="133"/>
      <c r="H195" s="274">
        <f>H73</f>
        <v>0.5272</v>
      </c>
      <c r="I195" s="133"/>
      <c r="J195" s="133">
        <f>H195*$J$191</f>
        <v>0.4208062263123601</v>
      </c>
      <c r="K195" s="65"/>
      <c r="L195" s="133">
        <f>F195+J195</f>
        <v>0.4208062263123601</v>
      </c>
      <c r="M195" s="65"/>
      <c r="N195" s="65"/>
      <c r="O195" s="65"/>
      <c r="P195" s="65"/>
      <c r="Q195" s="65"/>
      <c r="R195"/>
      <c r="S195"/>
    </row>
    <row r="196" spans="1:19" ht="12.75">
      <c r="A196" s="90" t="s">
        <v>44</v>
      </c>
      <c r="B196" s="65"/>
      <c r="C196" s="65"/>
      <c r="D196" s="274">
        <f>L56</f>
        <v>0.0215</v>
      </c>
      <c r="E196" s="133"/>
      <c r="F196" s="133">
        <f>D196*$F$191</f>
        <v>0.004338896309340396</v>
      </c>
      <c r="G196" s="133"/>
      <c r="H196" s="274">
        <f>L78</f>
        <v>0.0525</v>
      </c>
      <c r="I196" s="133"/>
      <c r="J196" s="133">
        <f>H196*$J$191</f>
        <v>0.04190502063998275</v>
      </c>
      <c r="K196" s="65"/>
      <c r="L196" s="133">
        <f>F196+J196</f>
        <v>0.046243916949323144</v>
      </c>
      <c r="M196" s="65"/>
      <c r="N196" s="65"/>
      <c r="O196" s="65"/>
      <c r="P196" s="65"/>
      <c r="Q196" s="65"/>
      <c r="R196"/>
      <c r="S196"/>
    </row>
    <row r="197" spans="1:19" ht="12.75">
      <c r="A197" s="90" t="s">
        <v>45</v>
      </c>
      <c r="B197" s="65"/>
      <c r="C197" s="65"/>
      <c r="D197" s="275">
        <f>L57</f>
        <v>0.0282</v>
      </c>
      <c r="E197" s="133"/>
      <c r="F197" s="132">
        <f>D197*$F$191</f>
        <v>0.005691017484809264</v>
      </c>
      <c r="G197" s="133"/>
      <c r="H197" s="275">
        <f>L79</f>
        <v>0.0688</v>
      </c>
      <c r="I197" s="133"/>
      <c r="J197" s="132">
        <f>H197*$J$191</f>
        <v>0.054915531810110725</v>
      </c>
      <c r="K197" s="65"/>
      <c r="L197" s="132">
        <f>F197+J197</f>
        <v>0.06060654929491999</v>
      </c>
      <c r="M197" s="65"/>
      <c r="N197" s="65"/>
      <c r="O197" s="65"/>
      <c r="P197" s="65"/>
      <c r="Q197" s="65"/>
      <c r="R197"/>
      <c r="S197"/>
    </row>
    <row r="198" spans="1:19" ht="12.75">
      <c r="A198" s="90"/>
      <c r="B198" s="65"/>
      <c r="C198" s="65"/>
      <c r="D198" s="133"/>
      <c r="E198" s="133"/>
      <c r="F198" s="133"/>
      <c r="G198" s="133"/>
      <c r="H198" s="133"/>
      <c r="I198" s="133"/>
      <c r="J198" s="133"/>
      <c r="K198" s="65"/>
      <c r="L198" s="133"/>
      <c r="M198" s="65"/>
      <c r="N198" s="65"/>
      <c r="O198" s="65"/>
      <c r="P198" s="65"/>
      <c r="Q198" s="65"/>
      <c r="R198"/>
      <c r="S198"/>
    </row>
    <row r="199" spans="1:19" ht="13.5" thickBot="1">
      <c r="A199" s="90" t="s">
        <v>532</v>
      </c>
      <c r="B199" s="65"/>
      <c r="C199" s="65"/>
      <c r="D199" s="213">
        <f>SUM(D193:D198)</f>
        <v>0.9999999999999999</v>
      </c>
      <c r="E199" s="133"/>
      <c r="F199" s="213">
        <f>SUM(F193:F198)</f>
        <v>0.20180913066699518</v>
      </c>
      <c r="G199" s="133"/>
      <c r="H199" s="213">
        <f>SUM(H193:H198)</f>
        <v>1</v>
      </c>
      <c r="I199" s="133"/>
      <c r="J199" s="213">
        <f>SUM(J193:J198)</f>
        <v>0.7981908693330048</v>
      </c>
      <c r="K199" s="65"/>
      <c r="L199" s="213">
        <f>SUM(L193:L198)</f>
        <v>1</v>
      </c>
      <c r="M199" s="65"/>
      <c r="N199" s="65"/>
      <c r="O199" s="65"/>
      <c r="P199" s="65"/>
      <c r="Q199" s="65"/>
      <c r="R199"/>
      <c r="S199"/>
    </row>
    <row r="200" spans="1:19" ht="13.5" thickTop="1">
      <c r="A200" s="65"/>
      <c r="B200" s="65"/>
      <c r="C200" s="65"/>
      <c r="D200" s="133"/>
      <c r="E200" s="133"/>
      <c r="F200" s="133"/>
      <c r="G200" s="133"/>
      <c r="H200" s="133"/>
      <c r="I200" s="133"/>
      <c r="J200" s="133"/>
      <c r="K200" s="65"/>
      <c r="L200" s="133"/>
      <c r="M200" s="65"/>
      <c r="N200" s="65"/>
      <c r="O200" s="65"/>
      <c r="P200" s="65"/>
      <c r="Q200" s="65"/>
      <c r="R200"/>
      <c r="S200"/>
    </row>
    <row r="201" spans="1:19" ht="12.75">
      <c r="A201" s="65"/>
      <c r="B201" s="65"/>
      <c r="C201" s="65"/>
      <c r="D201" s="133"/>
      <c r="E201" s="133"/>
      <c r="F201" s="133"/>
      <c r="G201" s="133"/>
      <c r="H201" s="133"/>
      <c r="I201" s="133"/>
      <c r="J201" s="133"/>
      <c r="K201" s="65"/>
      <c r="L201" s="133"/>
      <c r="M201" s="65"/>
      <c r="N201" s="65"/>
      <c r="O201" s="65"/>
      <c r="P201" s="65"/>
      <c r="Q201" s="65"/>
      <c r="R201"/>
      <c r="S201"/>
    </row>
    <row r="202" spans="1:19" ht="27" customHeight="1">
      <c r="A202" s="489" t="s">
        <v>584</v>
      </c>
      <c r="B202" s="489"/>
      <c r="C202" s="489"/>
      <c r="D202" s="489"/>
      <c r="E202" s="489"/>
      <c r="F202" s="489"/>
      <c r="G202" s="489"/>
      <c r="H202" s="489"/>
      <c r="I202" s="489"/>
      <c r="J202" s="489"/>
      <c r="K202" s="489"/>
      <c r="L202" s="489"/>
      <c r="M202"/>
      <c r="N202"/>
      <c r="O202"/>
      <c r="P202"/>
      <c r="Q202" s="65"/>
      <c r="R202"/>
      <c r="S202"/>
    </row>
    <row r="203" spans="1:19" ht="12.75">
      <c r="A203" s="17"/>
      <c r="B203" s="17"/>
      <c r="C203" s="17"/>
      <c r="D203" s="17"/>
      <c r="E203" s="17"/>
      <c r="F203" s="17"/>
      <c r="G203" s="17"/>
      <c r="H203" s="17"/>
      <c r="I203" s="17"/>
      <c r="J203" s="17"/>
      <c r="K203" s="17"/>
      <c r="L203" s="17"/>
      <c r="M203" s="17"/>
      <c r="N203" s="17"/>
      <c r="O203" s="17"/>
      <c r="P203" s="17"/>
      <c r="Q203" s="65"/>
      <c r="R203"/>
      <c r="S203"/>
    </row>
    <row r="204" spans="1:19" ht="15">
      <c r="A204" s="17"/>
      <c r="B204" s="17"/>
      <c r="C204" s="17"/>
      <c r="D204" s="17"/>
      <c r="E204" s="17"/>
      <c r="F204" s="19" t="s">
        <v>585</v>
      </c>
      <c r="G204" s="19"/>
      <c r="H204" s="65"/>
      <c r="I204" s="19"/>
      <c r="J204" s="18"/>
      <c r="K204" s="19"/>
      <c r="L204" s="19"/>
      <c r="M204" s="19"/>
      <c r="N204" s="19"/>
      <c r="O204" s="17"/>
      <c r="P204" s="17"/>
      <c r="Q204" s="65"/>
      <c r="R204"/>
      <c r="S204"/>
    </row>
    <row r="205" spans="1:19" ht="12.75">
      <c r="A205" s="17"/>
      <c r="B205" s="17"/>
      <c r="C205" s="17"/>
      <c r="D205" s="17"/>
      <c r="E205" s="17"/>
      <c r="F205" s="19" t="s">
        <v>586</v>
      </c>
      <c r="G205" s="19"/>
      <c r="H205" s="65"/>
      <c r="I205" s="19"/>
      <c r="J205" s="19" t="s">
        <v>546</v>
      </c>
      <c r="K205" s="19"/>
      <c r="L205" s="19"/>
      <c r="M205" s="19"/>
      <c r="N205" s="65"/>
      <c r="O205" s="17"/>
      <c r="P205" s="17"/>
      <c r="Q205" s="65"/>
      <c r="R205"/>
      <c r="S205"/>
    </row>
    <row r="206" spans="1:19" ht="12.75">
      <c r="A206" s="17"/>
      <c r="B206" s="17"/>
      <c r="C206" s="17"/>
      <c r="D206" s="17"/>
      <c r="E206" s="17"/>
      <c r="F206" s="23"/>
      <c r="G206" s="17"/>
      <c r="H206" s="65"/>
      <c r="I206" s="17"/>
      <c r="J206" s="23"/>
      <c r="K206" s="17"/>
      <c r="L206" s="17"/>
      <c r="M206" s="17"/>
      <c r="N206" s="65"/>
      <c r="O206" s="17"/>
      <c r="P206" s="17"/>
      <c r="Q206" s="65"/>
      <c r="R206"/>
      <c r="S206"/>
    </row>
    <row r="207" spans="1:19" ht="12.75">
      <c r="A207" s="17"/>
      <c r="B207" s="17"/>
      <c r="C207" s="17"/>
      <c r="D207" s="17"/>
      <c r="E207" s="17"/>
      <c r="F207" s="17"/>
      <c r="G207" s="17"/>
      <c r="H207" s="65"/>
      <c r="I207" s="17"/>
      <c r="J207" s="17"/>
      <c r="K207" s="17"/>
      <c r="L207" s="17"/>
      <c r="M207" s="17"/>
      <c r="N207" s="65"/>
      <c r="O207" s="17"/>
      <c r="P207" s="17"/>
      <c r="Q207" s="65"/>
      <c r="R207"/>
      <c r="S207"/>
    </row>
    <row r="208" spans="1:19" ht="15">
      <c r="A208" s="17" t="s">
        <v>587</v>
      </c>
      <c r="B208" s="18"/>
      <c r="C208" s="17"/>
      <c r="D208" s="17"/>
      <c r="E208" s="17"/>
      <c r="F208" s="286">
        <v>1978836</v>
      </c>
      <c r="G208" s="17"/>
      <c r="H208" s="65"/>
      <c r="I208" s="17"/>
      <c r="J208" s="20">
        <f>F208/F212</f>
        <v>0.20180913066699518</v>
      </c>
      <c r="K208" s="17"/>
      <c r="L208" s="17"/>
      <c r="M208" s="17"/>
      <c r="N208" s="65"/>
      <c r="O208" s="17"/>
      <c r="P208" s="17"/>
      <c r="Q208" s="65"/>
      <c r="R208"/>
      <c r="S208"/>
    </row>
    <row r="209" spans="1:19" ht="15">
      <c r="A209" s="17"/>
      <c r="B209" s="18"/>
      <c r="C209" s="17"/>
      <c r="D209" s="17"/>
      <c r="E209" s="17"/>
      <c r="F209" s="286"/>
      <c r="G209" s="17"/>
      <c r="H209" s="65"/>
      <c r="I209" s="17"/>
      <c r="J209" s="20"/>
      <c r="K209" s="17"/>
      <c r="L209" s="17"/>
      <c r="M209" s="17"/>
      <c r="N209" s="65"/>
      <c r="O209" s="17"/>
      <c r="P209" s="17"/>
      <c r="Q209" s="65"/>
      <c r="R209"/>
      <c r="S209"/>
    </row>
    <row r="210" spans="1:19" ht="15">
      <c r="A210" s="17" t="s">
        <v>588</v>
      </c>
      <c r="B210" s="18"/>
      <c r="C210" s="17"/>
      <c r="D210" s="17"/>
      <c r="E210" s="17"/>
      <c r="F210" s="286">
        <v>7826647</v>
      </c>
      <c r="G210" s="17"/>
      <c r="H210" s="65"/>
      <c r="I210" s="17"/>
      <c r="J210" s="20">
        <f>F210/F212</f>
        <v>0.7981908693330048</v>
      </c>
      <c r="K210" s="17"/>
      <c r="L210" s="17"/>
      <c r="M210" s="17"/>
      <c r="N210" s="65"/>
      <c r="O210" s="17"/>
      <c r="P210" s="17"/>
      <c r="Q210" s="65"/>
      <c r="R210"/>
      <c r="S210"/>
    </row>
    <row r="211" spans="1:19" ht="12.75">
      <c r="A211" s="17"/>
      <c r="B211" s="17"/>
      <c r="C211" s="17"/>
      <c r="D211" s="17"/>
      <c r="E211" s="17"/>
      <c r="F211" s="25"/>
      <c r="G211" s="17"/>
      <c r="H211" s="65"/>
      <c r="I211" s="17"/>
      <c r="J211" s="21"/>
      <c r="K211" s="17"/>
      <c r="L211" s="17"/>
      <c r="M211" s="17"/>
      <c r="N211" s="65"/>
      <c r="O211" s="17"/>
      <c r="P211" s="17"/>
      <c r="Q211" s="65"/>
      <c r="R211"/>
      <c r="S211"/>
    </row>
    <row r="212" spans="1:19" ht="13.5" thickBot="1">
      <c r="A212" s="17"/>
      <c r="B212" s="17" t="s">
        <v>583</v>
      </c>
      <c r="C212" s="17"/>
      <c r="D212" s="17"/>
      <c r="E212" s="17"/>
      <c r="F212" s="24">
        <f>SUM(F208:F211)</f>
        <v>9805483</v>
      </c>
      <c r="G212" s="17"/>
      <c r="H212" s="65"/>
      <c r="I212" s="17"/>
      <c r="J212" s="20">
        <f>SUM(J208:J211)</f>
        <v>1</v>
      </c>
      <c r="K212" s="17"/>
      <c r="L212" s="17"/>
      <c r="M212" s="17"/>
      <c r="N212" s="65"/>
      <c r="O212" s="17"/>
      <c r="P212" s="17"/>
      <c r="Q212" s="65"/>
      <c r="R212"/>
      <c r="S212"/>
    </row>
    <row r="213" spans="1:19" ht="13.5" thickTop="1">
      <c r="A213" s="17"/>
      <c r="B213" s="17"/>
      <c r="C213" s="17"/>
      <c r="D213" s="17"/>
      <c r="E213" s="17"/>
      <c r="F213" s="22"/>
      <c r="G213" s="17"/>
      <c r="H213" s="65"/>
      <c r="I213" s="17"/>
      <c r="J213" s="22"/>
      <c r="K213" s="17"/>
      <c r="L213" s="17"/>
      <c r="M213" s="17"/>
      <c r="N213" s="65"/>
      <c r="O213" s="17"/>
      <c r="P213" s="17"/>
      <c r="Q213" s="65"/>
      <c r="R213"/>
      <c r="S213"/>
    </row>
    <row r="214" spans="1:19" ht="12.75">
      <c r="A214" s="17"/>
      <c r="B214" s="17"/>
      <c r="C214" s="17"/>
      <c r="D214" s="17"/>
      <c r="E214" s="17"/>
      <c r="F214" s="17"/>
      <c r="G214" s="17"/>
      <c r="H214" s="26"/>
      <c r="I214" s="27"/>
      <c r="J214" s="27"/>
      <c r="K214" s="17"/>
      <c r="L214" s="17"/>
      <c r="M214" s="17"/>
      <c r="N214" s="17"/>
      <c r="O214" s="17"/>
      <c r="P214" s="17"/>
      <c r="Q214" s="65"/>
      <c r="R214"/>
      <c r="S214"/>
    </row>
    <row r="215" spans="1:19" ht="12.75">
      <c r="A215" s="67"/>
      <c r="B215" s="67"/>
      <c r="C215" s="67"/>
      <c r="D215" s="67"/>
      <c r="E215" s="67"/>
      <c r="F215" s="67"/>
      <c r="G215" s="67"/>
      <c r="H215" s="67"/>
      <c r="I215" s="67"/>
      <c r="J215" s="67"/>
      <c r="K215" s="67"/>
      <c r="L215" s="68"/>
      <c r="M215" s="65"/>
      <c r="N215" s="65"/>
      <c r="O215" s="65"/>
      <c r="P215" s="65"/>
      <c r="Q215" s="65"/>
      <c r="R215"/>
      <c r="S215"/>
    </row>
    <row r="216" spans="1:19" ht="12.75">
      <c r="A216" s="497" t="s">
        <v>345</v>
      </c>
      <c r="B216" s="497"/>
      <c r="C216" s="497"/>
      <c r="D216" s="497"/>
      <c r="E216" s="497"/>
      <c r="F216" s="497"/>
      <c r="G216" s="497"/>
      <c r="H216" s="497"/>
      <c r="I216" s="497"/>
      <c r="J216" s="497"/>
      <c r="K216" s="497"/>
      <c r="L216" s="497"/>
      <c r="M216" s="65"/>
      <c r="N216" s="65"/>
      <c r="O216" s="65"/>
      <c r="P216" s="65"/>
      <c r="Q216" s="65"/>
      <c r="R216"/>
      <c r="S216"/>
    </row>
    <row r="217" spans="1:19" ht="12.75">
      <c r="A217" s="17" t="s">
        <v>346</v>
      </c>
      <c r="B217" s="375"/>
      <c r="C217" s="375"/>
      <c r="D217" s="375"/>
      <c r="E217" s="375"/>
      <c r="F217" s="375"/>
      <c r="G217" s="375"/>
      <c r="H217" s="375"/>
      <c r="I217" s="375"/>
      <c r="J217" s="375"/>
      <c r="K217" s="375"/>
      <c r="L217" s="375"/>
      <c r="M217" s="65"/>
      <c r="N217" s="65"/>
      <c r="O217" s="65"/>
      <c r="P217" s="65"/>
      <c r="Q217" s="65"/>
      <c r="R217"/>
      <c r="S217"/>
    </row>
    <row r="218" spans="1:19" ht="12.75">
      <c r="A218" s="90"/>
      <c r="B218" s="90"/>
      <c r="C218" s="90"/>
      <c r="D218" s="90"/>
      <c r="E218" s="90"/>
      <c r="F218" s="90"/>
      <c r="G218" s="90"/>
      <c r="H218" s="90"/>
      <c r="I218" s="90"/>
      <c r="J218" s="90"/>
      <c r="K218" s="90"/>
      <c r="L218" s="68"/>
      <c r="M218" s="65"/>
      <c r="N218" s="65"/>
      <c r="O218" s="65"/>
      <c r="P218" s="65"/>
      <c r="Q218" s="65"/>
      <c r="R218"/>
      <c r="S218"/>
    </row>
    <row r="219" spans="1:19" ht="12.75" customHeight="1">
      <c r="A219" s="500" t="s">
        <v>60</v>
      </c>
      <c r="B219" s="501"/>
      <c r="C219" s="501"/>
      <c r="D219" s="501"/>
      <c r="E219" s="501"/>
      <c r="F219" s="501"/>
      <c r="G219" s="501"/>
      <c r="H219" s="501"/>
      <c r="I219" s="501"/>
      <c r="J219" s="501"/>
      <c r="K219" s="501"/>
      <c r="L219" s="501"/>
      <c r="M219" s="65"/>
      <c r="N219" s="65"/>
      <c r="O219" s="65"/>
      <c r="P219" s="65"/>
      <c r="Q219" s="65"/>
      <c r="R219"/>
      <c r="S219"/>
    </row>
    <row r="220" spans="1:19" ht="12.75">
      <c r="A220" s="90"/>
      <c r="B220" s="90"/>
      <c r="C220" s="90"/>
      <c r="D220" s="90"/>
      <c r="E220" s="90"/>
      <c r="F220" s="90"/>
      <c r="G220" s="90"/>
      <c r="H220" s="90"/>
      <c r="I220" s="90"/>
      <c r="J220" s="90"/>
      <c r="K220" s="90"/>
      <c r="L220" s="68"/>
      <c r="M220" s="65"/>
      <c r="N220" s="65"/>
      <c r="O220" s="65"/>
      <c r="P220" s="65"/>
      <c r="Q220" s="65"/>
      <c r="R220"/>
      <c r="S220"/>
    </row>
    <row r="221" spans="1:19" ht="12.75">
      <c r="A221" s="90"/>
      <c r="B221" s="90"/>
      <c r="C221" s="90"/>
      <c r="D221" s="67"/>
      <c r="E221" s="90"/>
      <c r="F221" s="69" t="s">
        <v>623</v>
      </c>
      <c r="G221" s="67"/>
      <c r="H221" s="65"/>
      <c r="I221" s="69"/>
      <c r="J221" s="69"/>
      <c r="K221" s="69"/>
      <c r="L221" s="68"/>
      <c r="M221" s="65"/>
      <c r="N221" s="65"/>
      <c r="O221" s="65"/>
      <c r="P221" s="65"/>
      <c r="Q221" s="65"/>
      <c r="R221"/>
      <c r="S221"/>
    </row>
    <row r="222" spans="1:19" ht="12.75">
      <c r="A222" s="90"/>
      <c r="B222" s="90"/>
      <c r="C222" s="90"/>
      <c r="D222" s="67"/>
      <c r="E222" s="90"/>
      <c r="F222" s="69" t="s">
        <v>42</v>
      </c>
      <c r="G222" s="67"/>
      <c r="H222" s="65"/>
      <c r="I222" s="69"/>
      <c r="J222" s="69"/>
      <c r="K222" s="69"/>
      <c r="L222" s="68"/>
      <c r="M222" s="65"/>
      <c r="N222" s="65"/>
      <c r="O222" s="65"/>
      <c r="P222" s="65"/>
      <c r="Q222" s="65"/>
      <c r="R222"/>
      <c r="S222"/>
    </row>
    <row r="223" spans="1:19" ht="12.75">
      <c r="A223" s="67"/>
      <c r="B223" s="494" t="s">
        <v>23</v>
      </c>
      <c r="C223" s="494"/>
      <c r="D223" s="494"/>
      <c r="E223" s="90"/>
      <c r="F223" s="69" t="s">
        <v>624</v>
      </c>
      <c r="G223" s="67"/>
      <c r="H223" s="65"/>
      <c r="I223" s="69"/>
      <c r="J223" s="69" t="s">
        <v>521</v>
      </c>
      <c r="K223" s="67"/>
      <c r="L223" s="65"/>
      <c r="M223" s="65"/>
      <c r="N223" s="65"/>
      <c r="O223" s="65"/>
      <c r="P223" s="65"/>
      <c r="Q223" s="65"/>
      <c r="R223"/>
      <c r="S223"/>
    </row>
    <row r="224" spans="1:19" ht="12.75">
      <c r="A224" s="67"/>
      <c r="B224" s="493" t="s">
        <v>24</v>
      </c>
      <c r="C224" s="493"/>
      <c r="D224" s="493"/>
      <c r="E224" s="90"/>
      <c r="F224" s="69" t="s">
        <v>625</v>
      </c>
      <c r="G224" s="67"/>
      <c r="H224" s="65"/>
      <c r="I224" s="69"/>
      <c r="J224" s="69" t="s">
        <v>523</v>
      </c>
      <c r="K224" s="67"/>
      <c r="L224" s="65"/>
      <c r="M224" s="65"/>
      <c r="N224" s="65"/>
      <c r="O224" s="65"/>
      <c r="P224" s="65"/>
      <c r="Q224" s="65"/>
      <c r="R224"/>
      <c r="S224"/>
    </row>
    <row r="225" spans="1:19" ht="12.75">
      <c r="A225" s="67"/>
      <c r="B225" s="492" t="s">
        <v>524</v>
      </c>
      <c r="C225" s="492"/>
      <c r="D225" s="492"/>
      <c r="E225" s="91" t="s">
        <v>594</v>
      </c>
      <c r="F225" s="97" t="s">
        <v>535</v>
      </c>
      <c r="G225" s="67"/>
      <c r="H225" s="65"/>
      <c r="I225" s="69"/>
      <c r="J225" s="97" t="s">
        <v>525</v>
      </c>
      <c r="K225" s="67"/>
      <c r="L225" s="65"/>
      <c r="M225" s="65"/>
      <c r="N225" s="65"/>
      <c r="O225" s="65"/>
      <c r="P225" s="65"/>
      <c r="Q225" s="65"/>
      <c r="R225"/>
      <c r="S225"/>
    </row>
    <row r="226" spans="1:19" ht="12.75">
      <c r="A226" s="67"/>
      <c r="B226" s="90"/>
      <c r="C226" s="90"/>
      <c r="D226" s="67"/>
      <c r="E226" s="90"/>
      <c r="F226" s="90"/>
      <c r="G226" s="67"/>
      <c r="H226" s="65"/>
      <c r="I226" s="67"/>
      <c r="J226" s="92"/>
      <c r="K226" s="67"/>
      <c r="L226" s="65"/>
      <c r="M226" s="65"/>
      <c r="N226" s="65"/>
      <c r="O226" s="65"/>
      <c r="P226" s="65"/>
      <c r="Q226" s="65"/>
      <c r="R226"/>
      <c r="S226"/>
    </row>
    <row r="227" spans="1:19" ht="12.75">
      <c r="A227" s="67"/>
      <c r="B227" s="90" t="s">
        <v>25</v>
      </c>
      <c r="C227" s="90"/>
      <c r="D227" s="67"/>
      <c r="E227" s="90"/>
      <c r="F227" s="290">
        <f>'Schedule D'!AA375</f>
        <v>328263.3215439413</v>
      </c>
      <c r="G227" s="67"/>
      <c r="H227" s="65"/>
      <c r="I227" s="67"/>
      <c r="J227" s="93">
        <f>ROUND(F227/F$233,4)</f>
        <v>0.3968</v>
      </c>
      <c r="K227" s="67"/>
      <c r="L227" s="65"/>
      <c r="M227"/>
      <c r="N227"/>
      <c r="O227"/>
      <c r="P227"/>
      <c r="Q227"/>
      <c r="R227"/>
      <c r="S227"/>
    </row>
    <row r="228" spans="1:19" ht="12.75">
      <c r="A228" s="67"/>
      <c r="B228" s="90" t="s">
        <v>539</v>
      </c>
      <c r="C228" s="90"/>
      <c r="D228" s="67"/>
      <c r="E228" s="90"/>
      <c r="F228" s="291">
        <f>'Schedule D'!AC375</f>
        <v>62509.02212486471</v>
      </c>
      <c r="G228" s="67"/>
      <c r="H228" s="65"/>
      <c r="I228" s="67"/>
      <c r="J228" s="93">
        <f>ROUND(F228/F$233,4)</f>
        <v>0.0756</v>
      </c>
      <c r="K228" s="67"/>
      <c r="L228" s="65"/>
      <c r="M228"/>
      <c r="N228"/>
      <c r="O228"/>
      <c r="P228"/>
      <c r="Q228"/>
      <c r="R228"/>
      <c r="S228"/>
    </row>
    <row r="229" spans="1:19" ht="12.75">
      <c r="A229" s="67"/>
      <c r="B229" s="90" t="s">
        <v>557</v>
      </c>
      <c r="C229" s="90"/>
      <c r="D229" s="67"/>
      <c r="E229" s="90"/>
      <c r="F229" s="291">
        <f>'Schedule D'!AE375</f>
        <v>348135.4190801413</v>
      </c>
      <c r="G229" s="67"/>
      <c r="H229" s="65"/>
      <c r="I229" s="67"/>
      <c r="J229" s="93">
        <f>ROUND(F229/F$233,4)</f>
        <v>0.4208</v>
      </c>
      <c r="K229" s="67"/>
      <c r="L229" s="65"/>
      <c r="M229"/>
      <c r="N229"/>
      <c r="O229"/>
      <c r="P229"/>
      <c r="Q229"/>
      <c r="R229"/>
      <c r="S229"/>
    </row>
    <row r="230" spans="1:19" ht="12.75">
      <c r="A230" s="67"/>
      <c r="B230" s="90" t="s">
        <v>44</v>
      </c>
      <c r="C230" s="90"/>
      <c r="D230" s="67"/>
      <c r="E230" s="90"/>
      <c r="F230" s="291">
        <f>'Schedule D'!AO375</f>
        <v>38257.85931957584</v>
      </c>
      <c r="G230" s="67"/>
      <c r="H230" s="65"/>
      <c r="I230" s="67"/>
      <c r="J230" s="93">
        <f>ROUND(F230/F$233,4)</f>
        <v>0.0462</v>
      </c>
      <c r="K230" s="67"/>
      <c r="L230" s="65"/>
      <c r="M230"/>
      <c r="N230"/>
      <c r="O230"/>
      <c r="P230"/>
      <c r="Q230"/>
      <c r="R230"/>
      <c r="S230"/>
    </row>
    <row r="231" spans="1:19" ht="12.75">
      <c r="A231" s="67"/>
      <c r="B231" s="90" t="s">
        <v>45</v>
      </c>
      <c r="C231" s="90"/>
      <c r="D231" s="67"/>
      <c r="E231" s="90"/>
      <c r="F231" s="291">
        <f>'Schedule D'!AQ375</f>
        <v>50140.147931476735</v>
      </c>
      <c r="G231" s="67"/>
      <c r="H231" s="65"/>
      <c r="I231" s="67"/>
      <c r="J231" s="93">
        <f>ROUND(F231/F$233,4)</f>
        <v>0.0606</v>
      </c>
      <c r="K231" s="67"/>
      <c r="L231" s="65"/>
      <c r="M231"/>
      <c r="N231"/>
      <c r="O231"/>
      <c r="P231"/>
      <c r="Q231"/>
      <c r="R231"/>
      <c r="S231"/>
    </row>
    <row r="232" spans="1:19" ht="12.75">
      <c r="A232" s="67"/>
      <c r="B232" s="90"/>
      <c r="C232" s="90"/>
      <c r="D232" s="67"/>
      <c r="E232" s="90"/>
      <c r="F232" s="84"/>
      <c r="G232" s="67"/>
      <c r="H232" s="65"/>
      <c r="I232" s="67"/>
      <c r="J232" s="94"/>
      <c r="K232" s="67"/>
      <c r="L232" s="65"/>
      <c r="M232"/>
      <c r="N232"/>
      <c r="O232"/>
      <c r="P232"/>
      <c r="Q232"/>
      <c r="R232"/>
      <c r="S232"/>
    </row>
    <row r="233" spans="1:19" ht="13.5" thickBot="1">
      <c r="A233" s="67"/>
      <c r="B233" s="90" t="s">
        <v>532</v>
      </c>
      <c r="C233" s="90"/>
      <c r="D233" s="67"/>
      <c r="E233" s="90"/>
      <c r="F233" s="233">
        <f>SUM(F227:F232)</f>
        <v>827305.7699999998</v>
      </c>
      <c r="G233" s="67"/>
      <c r="H233" s="65"/>
      <c r="I233" s="67"/>
      <c r="J233" s="93">
        <f>SUM(J227:J232)</f>
        <v>1</v>
      </c>
      <c r="K233" s="67"/>
      <c r="L233" s="65"/>
      <c r="M233"/>
      <c r="N233"/>
      <c r="O233"/>
      <c r="P233"/>
      <c r="Q233"/>
      <c r="R233"/>
      <c r="S233"/>
    </row>
    <row r="234" spans="1:19" ht="13.5" thickTop="1">
      <c r="A234" s="79"/>
      <c r="B234" s="68"/>
      <c r="C234" s="68"/>
      <c r="D234" s="68"/>
      <c r="E234" s="68"/>
      <c r="F234" s="78"/>
      <c r="G234" s="68"/>
      <c r="H234" s="65"/>
      <c r="I234" s="68"/>
      <c r="J234" s="78"/>
      <c r="K234" s="68"/>
      <c r="L234" s="65"/>
      <c r="M234" s="65"/>
      <c r="N234" s="65"/>
      <c r="O234" s="65"/>
      <c r="P234" s="65"/>
      <c r="Q234" s="65"/>
      <c r="R234"/>
      <c r="S234"/>
    </row>
    <row r="235" spans="1:19" ht="12.75">
      <c r="A235" s="79"/>
      <c r="B235" s="68"/>
      <c r="C235" s="68"/>
      <c r="E235" s="65"/>
      <c r="G235" s="65"/>
      <c r="H235" s="68"/>
      <c r="I235" s="65"/>
      <c r="J235" s="65"/>
      <c r="K235" s="68"/>
      <c r="L235" s="65"/>
      <c r="M235" s="65"/>
      <c r="N235" s="65"/>
      <c r="O235" s="65"/>
      <c r="P235" s="65"/>
      <c r="Q235" s="65"/>
      <c r="R235"/>
      <c r="S235"/>
    </row>
    <row r="236" spans="1:19" ht="12.75">
      <c r="A236" s="68" t="s">
        <v>590</v>
      </c>
      <c r="B236" s="68"/>
      <c r="C236" s="68"/>
      <c r="D236" s="68"/>
      <c r="E236" s="68"/>
      <c r="F236" s="67"/>
      <c r="G236" s="67"/>
      <c r="H236" s="67"/>
      <c r="I236" s="67"/>
      <c r="J236" s="68"/>
      <c r="K236" s="68"/>
      <c r="L236" s="68"/>
      <c r="M236" s="65"/>
      <c r="N236" s="65"/>
      <c r="O236" s="65"/>
      <c r="P236" s="65"/>
      <c r="Q236" s="65"/>
      <c r="R236"/>
      <c r="S236"/>
    </row>
    <row r="237" spans="1:19" ht="12.75">
      <c r="A237" s="68"/>
      <c r="B237" s="68"/>
      <c r="C237" s="68"/>
      <c r="D237" s="68"/>
      <c r="E237" s="68"/>
      <c r="F237" s="67"/>
      <c r="G237" s="67"/>
      <c r="H237" s="67"/>
      <c r="I237" s="67"/>
      <c r="J237" s="68"/>
      <c r="K237" s="68"/>
      <c r="L237" s="68"/>
      <c r="M237" s="65"/>
      <c r="N237" s="65"/>
      <c r="O237" s="65"/>
      <c r="P237" s="65"/>
      <c r="Q237" s="65"/>
      <c r="R237"/>
      <c r="S237"/>
    </row>
    <row r="238" spans="1:19" ht="12.75">
      <c r="A238" s="68" t="s">
        <v>61</v>
      </c>
      <c r="B238" s="67"/>
      <c r="C238" s="68"/>
      <c r="D238" s="68"/>
      <c r="E238" s="68"/>
      <c r="F238" s="67"/>
      <c r="G238" s="67"/>
      <c r="H238" s="67"/>
      <c r="I238" s="67"/>
      <c r="J238" s="68"/>
      <c r="K238" s="68"/>
      <c r="L238" s="68"/>
      <c r="M238" s="65"/>
      <c r="N238" s="65"/>
      <c r="O238" s="65"/>
      <c r="P238" s="65"/>
      <c r="Q238" s="65"/>
      <c r="R238"/>
      <c r="S238"/>
    </row>
    <row r="239" spans="1:19" ht="12.75">
      <c r="A239" s="67"/>
      <c r="B239" s="67"/>
      <c r="C239" s="67"/>
      <c r="D239" s="67"/>
      <c r="E239" s="67"/>
      <c r="F239" s="67"/>
      <c r="G239" s="67"/>
      <c r="H239" s="67"/>
      <c r="I239" s="67"/>
      <c r="J239" s="68"/>
      <c r="K239" s="68"/>
      <c r="L239" s="68"/>
      <c r="M239" s="65"/>
      <c r="N239" s="65"/>
      <c r="O239" s="65"/>
      <c r="P239" s="65"/>
      <c r="Q239" s="65"/>
      <c r="R239"/>
      <c r="S239"/>
    </row>
    <row r="240" spans="1:19" ht="12.75">
      <c r="A240" s="67"/>
      <c r="B240" s="494" t="s">
        <v>23</v>
      </c>
      <c r="C240" s="494"/>
      <c r="D240" s="494"/>
      <c r="E240" s="68"/>
      <c r="F240" s="67"/>
      <c r="G240" s="68"/>
      <c r="H240" s="67"/>
      <c r="I240" s="67"/>
      <c r="J240" s="69" t="s">
        <v>521</v>
      </c>
      <c r="K240" s="68"/>
      <c r="L240" s="68"/>
      <c r="M240" s="65"/>
      <c r="N240" s="65"/>
      <c r="O240" s="65"/>
      <c r="P240" s="65"/>
      <c r="Q240" s="65"/>
      <c r="R240"/>
      <c r="S240"/>
    </row>
    <row r="241" spans="1:19" ht="12.75">
      <c r="A241" s="67"/>
      <c r="B241" s="493" t="s">
        <v>24</v>
      </c>
      <c r="C241" s="493"/>
      <c r="D241" s="493"/>
      <c r="E241" s="68"/>
      <c r="F241" s="67"/>
      <c r="G241" s="68"/>
      <c r="H241" s="67"/>
      <c r="I241" s="67"/>
      <c r="J241" s="69" t="s">
        <v>523</v>
      </c>
      <c r="K241" s="68"/>
      <c r="L241" s="68"/>
      <c r="M241" s="65"/>
      <c r="N241" s="65"/>
      <c r="O241" s="65"/>
      <c r="P241" s="65"/>
      <c r="Q241" s="65"/>
      <c r="R241"/>
      <c r="S241"/>
    </row>
    <row r="242" spans="1:19" ht="12.75">
      <c r="A242" s="67"/>
      <c r="B242" s="492" t="s">
        <v>524</v>
      </c>
      <c r="C242" s="492"/>
      <c r="D242" s="492"/>
      <c r="E242" s="68"/>
      <c r="F242" s="67"/>
      <c r="G242" s="68"/>
      <c r="H242" s="67"/>
      <c r="I242" s="67"/>
      <c r="J242" s="97" t="s">
        <v>535</v>
      </c>
      <c r="K242" s="68"/>
      <c r="L242" s="68"/>
      <c r="M242" s="65"/>
      <c r="N242" s="65"/>
      <c r="O242" s="65"/>
      <c r="P242" s="65"/>
      <c r="Q242" s="65"/>
      <c r="R242"/>
      <c r="S242"/>
    </row>
    <row r="243" spans="1:19" ht="12.75">
      <c r="A243" s="67"/>
      <c r="B243" s="68"/>
      <c r="C243" s="67"/>
      <c r="D243" s="67"/>
      <c r="E243" s="68"/>
      <c r="F243" s="68"/>
      <c r="G243" s="68"/>
      <c r="H243" s="67"/>
      <c r="I243" s="67"/>
      <c r="J243" s="68"/>
      <c r="K243" s="68"/>
      <c r="L243" s="68"/>
      <c r="M243" s="65"/>
      <c r="N243" s="65"/>
      <c r="O243" s="65"/>
      <c r="P243" s="65"/>
      <c r="Q243" s="65"/>
      <c r="R243"/>
      <c r="S243"/>
    </row>
    <row r="244" spans="1:19" ht="13.5" thickBot="1">
      <c r="A244" s="67"/>
      <c r="B244" s="68" t="s">
        <v>3</v>
      </c>
      <c r="C244" s="67"/>
      <c r="D244" s="67"/>
      <c r="E244" s="68"/>
      <c r="F244" s="67"/>
      <c r="G244" s="68"/>
      <c r="H244" s="67"/>
      <c r="I244" s="67"/>
      <c r="J244" s="205">
        <v>1</v>
      </c>
      <c r="K244" s="68"/>
      <c r="L244" s="68"/>
      <c r="M244" s="65"/>
      <c r="N244" s="65"/>
      <c r="O244" s="65"/>
      <c r="P244" s="65"/>
      <c r="Q244" s="65"/>
      <c r="R244"/>
      <c r="S244"/>
    </row>
    <row r="245" spans="1:19" ht="13.5" thickTop="1">
      <c r="A245" s="67"/>
      <c r="B245" s="68"/>
      <c r="C245" s="67"/>
      <c r="D245" s="67"/>
      <c r="E245" s="68"/>
      <c r="F245" s="67"/>
      <c r="G245" s="68"/>
      <c r="H245" s="67"/>
      <c r="I245" s="67"/>
      <c r="J245" s="73"/>
      <c r="K245" s="68"/>
      <c r="L245" s="68"/>
      <c r="M245" s="65"/>
      <c r="N245" s="65"/>
      <c r="O245" s="65"/>
      <c r="P245" s="65"/>
      <c r="Q245" s="65"/>
      <c r="R245"/>
      <c r="S245"/>
    </row>
    <row r="246" spans="1:19" ht="12.75">
      <c r="A246" s="67"/>
      <c r="B246" s="67"/>
      <c r="C246" s="67"/>
      <c r="D246" s="67"/>
      <c r="E246" s="67"/>
      <c r="F246" s="67"/>
      <c r="G246" s="67"/>
      <c r="H246" s="67"/>
      <c r="I246" s="67"/>
      <c r="J246" s="68"/>
      <c r="K246" s="68"/>
      <c r="L246" s="68"/>
      <c r="M246" s="65"/>
      <c r="N246" s="65"/>
      <c r="O246" s="65"/>
      <c r="P246" s="65"/>
      <c r="Q246" s="65"/>
      <c r="R246"/>
      <c r="S246"/>
    </row>
    <row r="247" spans="1:19" ht="12.75">
      <c r="A247" s="68" t="s">
        <v>595</v>
      </c>
      <c r="B247" s="68"/>
      <c r="C247" s="68"/>
      <c r="D247" s="68"/>
      <c r="E247" s="68"/>
      <c r="F247" s="67"/>
      <c r="G247" s="67"/>
      <c r="H247" s="67"/>
      <c r="I247" s="67"/>
      <c r="J247" s="68"/>
      <c r="K247" s="68"/>
      <c r="L247" s="68"/>
      <c r="M247" s="65"/>
      <c r="N247" s="65"/>
      <c r="O247" s="65"/>
      <c r="P247" s="65"/>
      <c r="Q247" s="65"/>
      <c r="R247"/>
      <c r="S247"/>
    </row>
    <row r="248" spans="1:19" ht="12.75">
      <c r="A248" s="68"/>
      <c r="B248" s="68"/>
      <c r="C248" s="68"/>
      <c r="D248" s="68"/>
      <c r="E248" s="68"/>
      <c r="F248" s="67"/>
      <c r="G248" s="67"/>
      <c r="H248" s="67"/>
      <c r="I248" s="67"/>
      <c r="J248" s="68"/>
      <c r="K248" s="68"/>
      <c r="L248" s="68"/>
      <c r="M248" s="65"/>
      <c r="N248" s="65"/>
      <c r="O248" s="65"/>
      <c r="P248" s="65"/>
      <c r="Q248" s="65"/>
      <c r="R248"/>
      <c r="S248"/>
    </row>
    <row r="249" spans="1:19" ht="12.75">
      <c r="A249" s="68" t="s">
        <v>61</v>
      </c>
      <c r="B249" s="67"/>
      <c r="C249" s="68"/>
      <c r="D249" s="68"/>
      <c r="E249" s="68"/>
      <c r="F249" s="67"/>
      <c r="G249" s="67"/>
      <c r="H249" s="67"/>
      <c r="I249" s="67"/>
      <c r="J249" s="68"/>
      <c r="K249" s="68"/>
      <c r="L249" s="68"/>
      <c r="M249" s="65"/>
      <c r="N249" s="65"/>
      <c r="O249" s="65"/>
      <c r="P249" s="65"/>
      <c r="Q249" s="65"/>
      <c r="R249"/>
      <c r="S249"/>
    </row>
    <row r="250" spans="1:19" ht="12.75">
      <c r="A250" s="67"/>
      <c r="B250" s="67"/>
      <c r="C250" s="67"/>
      <c r="D250" s="67"/>
      <c r="E250" s="67"/>
      <c r="F250" s="67"/>
      <c r="G250" s="67"/>
      <c r="H250" s="67"/>
      <c r="I250" s="67"/>
      <c r="J250" s="68"/>
      <c r="K250" s="68"/>
      <c r="L250" s="68"/>
      <c r="M250" s="65"/>
      <c r="N250" s="65"/>
      <c r="O250" s="65"/>
      <c r="P250" s="65"/>
      <c r="Q250" s="65"/>
      <c r="R250"/>
      <c r="S250"/>
    </row>
    <row r="251" spans="1:19" ht="12.75">
      <c r="A251" s="67"/>
      <c r="B251" s="494" t="s">
        <v>23</v>
      </c>
      <c r="C251" s="494"/>
      <c r="D251" s="494"/>
      <c r="E251" s="68"/>
      <c r="F251" s="67"/>
      <c r="G251" s="68"/>
      <c r="H251" s="67"/>
      <c r="I251" s="67"/>
      <c r="J251" s="69" t="s">
        <v>521</v>
      </c>
      <c r="K251" s="68"/>
      <c r="L251" s="68"/>
      <c r="M251" s="65"/>
      <c r="N251" s="65"/>
      <c r="O251" s="65"/>
      <c r="P251" s="65"/>
      <c r="Q251" s="65"/>
      <c r="R251"/>
      <c r="S251"/>
    </row>
    <row r="252" spans="1:19" ht="12.75">
      <c r="A252" s="67"/>
      <c r="B252" s="493" t="s">
        <v>24</v>
      </c>
      <c r="C252" s="493"/>
      <c r="D252" s="493"/>
      <c r="E252" s="68"/>
      <c r="F252" s="67"/>
      <c r="G252" s="68"/>
      <c r="H252" s="67"/>
      <c r="I252" s="67"/>
      <c r="J252" s="69" t="s">
        <v>523</v>
      </c>
      <c r="K252" s="68"/>
      <c r="L252" s="68"/>
      <c r="M252" s="65"/>
      <c r="N252" s="65"/>
      <c r="O252" s="65"/>
      <c r="P252" s="65"/>
      <c r="Q252" s="65"/>
      <c r="R252"/>
      <c r="S252"/>
    </row>
    <row r="253" spans="1:19" ht="12.75">
      <c r="A253" s="67"/>
      <c r="B253" s="492" t="s">
        <v>524</v>
      </c>
      <c r="C253" s="492"/>
      <c r="D253" s="492"/>
      <c r="E253" s="68"/>
      <c r="F253" s="67"/>
      <c r="G253" s="68"/>
      <c r="H253" s="67"/>
      <c r="I253" s="67"/>
      <c r="J253" s="97" t="s">
        <v>535</v>
      </c>
      <c r="K253" s="68"/>
      <c r="L253" s="68"/>
      <c r="M253" s="65"/>
      <c r="N253" s="65"/>
      <c r="O253" s="65"/>
      <c r="P253" s="65"/>
      <c r="Q253" s="65"/>
      <c r="R253"/>
      <c r="S253"/>
    </row>
    <row r="254" spans="1:19" ht="12.75">
      <c r="A254" s="67"/>
      <c r="B254" s="68"/>
      <c r="C254" s="67"/>
      <c r="D254" s="67"/>
      <c r="E254" s="68"/>
      <c r="F254" s="68"/>
      <c r="G254" s="68"/>
      <c r="H254" s="67"/>
      <c r="I254" s="67"/>
      <c r="J254" s="68"/>
      <c r="K254" s="68"/>
      <c r="L254" s="68"/>
      <c r="M254" s="65"/>
      <c r="N254" s="65"/>
      <c r="O254" s="65"/>
      <c r="P254" s="65"/>
      <c r="Q254" s="65"/>
      <c r="R254"/>
      <c r="S254"/>
    </row>
    <row r="255" spans="1:19" ht="13.5" thickBot="1">
      <c r="A255" s="67"/>
      <c r="B255" s="68" t="s">
        <v>605</v>
      </c>
      <c r="C255" s="67"/>
      <c r="D255" s="67"/>
      <c r="E255" s="68"/>
      <c r="F255" s="67"/>
      <c r="G255" s="68"/>
      <c r="H255" s="67"/>
      <c r="I255" s="67"/>
      <c r="J255" s="205">
        <v>1</v>
      </c>
      <c r="K255" s="68"/>
      <c r="L255" s="68"/>
      <c r="M255" s="65"/>
      <c r="N255" s="65"/>
      <c r="O255" s="65"/>
      <c r="P255" s="65"/>
      <c r="Q255" s="65"/>
      <c r="R255"/>
      <c r="S255"/>
    </row>
    <row r="256" spans="1:19" ht="13.5" thickTop="1">
      <c r="A256" s="67"/>
      <c r="B256" s="67"/>
      <c r="C256" s="67"/>
      <c r="D256" s="67"/>
      <c r="E256" s="67"/>
      <c r="F256" s="67"/>
      <c r="G256" s="67"/>
      <c r="H256" s="67"/>
      <c r="I256" s="67"/>
      <c r="J256" s="68"/>
      <c r="K256" s="68"/>
      <c r="L256" s="68"/>
      <c r="M256" s="65"/>
      <c r="N256" s="65"/>
      <c r="O256" s="65"/>
      <c r="P256" s="65"/>
      <c r="Q256" s="65"/>
      <c r="R256"/>
      <c r="S256"/>
    </row>
    <row r="257" spans="1:19" ht="12.75">
      <c r="A257" s="67"/>
      <c r="B257" s="67"/>
      <c r="C257" s="67"/>
      <c r="D257" s="67"/>
      <c r="E257" s="67"/>
      <c r="F257" s="67"/>
      <c r="G257" s="67"/>
      <c r="H257" s="67"/>
      <c r="I257" s="67"/>
      <c r="J257" s="68"/>
      <c r="K257" s="68"/>
      <c r="L257" s="68"/>
      <c r="M257" s="65"/>
      <c r="N257" s="65"/>
      <c r="O257" s="65"/>
      <c r="P257" s="65"/>
      <c r="Q257" s="65"/>
      <c r="R257"/>
      <c r="S257"/>
    </row>
    <row r="258" spans="1:19" ht="12.75">
      <c r="A258" s="68" t="s">
        <v>469</v>
      </c>
      <c r="B258" s="68"/>
      <c r="C258" s="68"/>
      <c r="D258" s="68"/>
      <c r="E258" s="68"/>
      <c r="F258" s="67"/>
      <c r="G258" s="67"/>
      <c r="H258" s="67"/>
      <c r="I258" s="67"/>
      <c r="J258" s="68"/>
      <c r="K258" s="68"/>
      <c r="L258" s="68"/>
      <c r="M258" s="65"/>
      <c r="N258" s="65"/>
      <c r="O258" s="65"/>
      <c r="P258" s="65"/>
      <c r="Q258" s="65"/>
      <c r="R258"/>
      <c r="S258"/>
    </row>
    <row r="259" spans="1:19" ht="12.75">
      <c r="A259" s="68"/>
      <c r="B259" s="68"/>
      <c r="C259" s="68"/>
      <c r="D259" s="68"/>
      <c r="E259" s="68"/>
      <c r="F259" s="67"/>
      <c r="G259" s="67"/>
      <c r="H259" s="67"/>
      <c r="I259" s="67"/>
      <c r="J259" s="68"/>
      <c r="K259" s="68"/>
      <c r="L259" s="68"/>
      <c r="M259" s="65"/>
      <c r="N259" s="65"/>
      <c r="O259" s="65"/>
      <c r="P259" s="65"/>
      <c r="Q259" s="65"/>
      <c r="R259"/>
      <c r="S259"/>
    </row>
    <row r="260" spans="1:19" ht="12.75">
      <c r="A260" s="68" t="s">
        <v>62</v>
      </c>
      <c r="B260" s="67"/>
      <c r="C260" s="68"/>
      <c r="D260" s="68"/>
      <c r="E260" s="68"/>
      <c r="F260" s="67"/>
      <c r="G260" s="67"/>
      <c r="H260" s="67"/>
      <c r="I260" s="67"/>
      <c r="J260" s="68"/>
      <c r="K260" s="68"/>
      <c r="L260" s="68"/>
      <c r="M260" s="65"/>
      <c r="N260" s="65"/>
      <c r="O260" s="65"/>
      <c r="P260" s="65"/>
      <c r="Q260" s="65"/>
      <c r="R260"/>
      <c r="S260"/>
    </row>
    <row r="261" spans="1:19" ht="12.75">
      <c r="A261" s="67"/>
      <c r="B261" s="67"/>
      <c r="C261" s="67"/>
      <c r="D261" s="67"/>
      <c r="E261" s="67"/>
      <c r="F261" s="67"/>
      <c r="G261" s="67"/>
      <c r="H261" s="67"/>
      <c r="I261" s="67"/>
      <c r="J261" s="68"/>
      <c r="K261" s="68"/>
      <c r="L261" s="68"/>
      <c r="M261" s="65"/>
      <c r="N261" s="65"/>
      <c r="O261" s="65"/>
      <c r="P261" s="65"/>
      <c r="Q261" s="65"/>
      <c r="R261"/>
      <c r="S261"/>
    </row>
    <row r="262" spans="1:19" ht="12.75">
      <c r="A262" s="67"/>
      <c r="B262" s="494" t="s">
        <v>23</v>
      </c>
      <c r="C262" s="494"/>
      <c r="D262" s="494"/>
      <c r="E262" s="68"/>
      <c r="F262" s="67"/>
      <c r="G262" s="68"/>
      <c r="H262" s="68"/>
      <c r="I262" s="67"/>
      <c r="J262" s="69" t="s">
        <v>521</v>
      </c>
      <c r="K262" s="68"/>
      <c r="L262" s="68"/>
      <c r="M262" s="65"/>
      <c r="N262" s="65"/>
      <c r="O262" s="65"/>
      <c r="P262" s="65"/>
      <c r="Q262" s="65"/>
      <c r="R262"/>
      <c r="S262"/>
    </row>
    <row r="263" spans="1:19" ht="12.75">
      <c r="A263" s="67"/>
      <c r="B263" s="493" t="s">
        <v>24</v>
      </c>
      <c r="C263" s="493"/>
      <c r="D263" s="493"/>
      <c r="E263" s="68"/>
      <c r="F263" s="67"/>
      <c r="G263" s="68"/>
      <c r="H263" s="68"/>
      <c r="I263" s="67"/>
      <c r="J263" s="69" t="s">
        <v>523</v>
      </c>
      <c r="K263" s="68"/>
      <c r="L263" s="68"/>
      <c r="M263" s="65"/>
      <c r="N263" s="65"/>
      <c r="O263" s="65"/>
      <c r="P263" s="65"/>
      <c r="Q263" s="65"/>
      <c r="R263"/>
      <c r="S263"/>
    </row>
    <row r="264" spans="1:19" ht="12.75">
      <c r="A264" s="67"/>
      <c r="B264" s="492" t="s">
        <v>524</v>
      </c>
      <c r="C264" s="492"/>
      <c r="D264" s="492"/>
      <c r="E264" s="68"/>
      <c r="F264" s="67"/>
      <c r="G264" s="68"/>
      <c r="H264" s="68"/>
      <c r="I264" s="67"/>
      <c r="J264" s="97" t="s">
        <v>535</v>
      </c>
      <c r="K264" s="68"/>
      <c r="L264" s="68"/>
      <c r="M264" s="65"/>
      <c r="N264" s="65"/>
      <c r="O264" s="65"/>
      <c r="P264" s="65"/>
      <c r="Q264" s="65"/>
      <c r="R264"/>
      <c r="S264"/>
    </row>
    <row r="265" spans="1:19" ht="12.75">
      <c r="A265" s="67"/>
      <c r="B265" s="68"/>
      <c r="C265" s="67"/>
      <c r="D265" s="68"/>
      <c r="E265" s="68"/>
      <c r="F265" s="68"/>
      <c r="G265" s="68"/>
      <c r="H265" s="68"/>
      <c r="I265" s="67"/>
      <c r="J265" s="68"/>
      <c r="K265" s="68"/>
      <c r="L265" s="68"/>
      <c r="M265" s="65"/>
      <c r="N265" s="65"/>
      <c r="O265" s="65"/>
      <c r="P265" s="65"/>
      <c r="Q265" s="65"/>
      <c r="R265"/>
      <c r="S265"/>
    </row>
    <row r="266" spans="1:19" ht="13.5" thickBot="1">
      <c r="A266" s="67"/>
      <c r="B266" s="68" t="s">
        <v>408</v>
      </c>
      <c r="C266" s="67"/>
      <c r="D266" s="68"/>
      <c r="E266" s="68"/>
      <c r="F266" s="67"/>
      <c r="G266" s="68"/>
      <c r="H266" s="68"/>
      <c r="I266" s="67"/>
      <c r="J266" s="205">
        <v>1</v>
      </c>
      <c r="K266" s="68"/>
      <c r="L266" s="68"/>
      <c r="M266" s="65"/>
      <c r="N266" s="65"/>
      <c r="O266" s="65"/>
      <c r="P266" s="65"/>
      <c r="Q266" s="65"/>
      <c r="R266"/>
      <c r="S266"/>
    </row>
    <row r="267" spans="1:19" ht="13.5" thickTop="1">
      <c r="A267" s="67"/>
      <c r="B267" s="68"/>
      <c r="C267" s="67"/>
      <c r="D267" s="68"/>
      <c r="E267" s="68"/>
      <c r="F267" s="67"/>
      <c r="G267" s="68"/>
      <c r="H267" s="68"/>
      <c r="I267" s="67"/>
      <c r="J267" s="73"/>
      <c r="K267" s="68"/>
      <c r="L267" s="68"/>
      <c r="M267" s="65"/>
      <c r="N267" s="65"/>
      <c r="O267" s="65"/>
      <c r="P267" s="65"/>
      <c r="Q267" s="65"/>
      <c r="R267"/>
      <c r="S267"/>
    </row>
    <row r="268" spans="1:19" ht="12.75">
      <c r="A268" s="67"/>
      <c r="B268" s="68"/>
      <c r="C268" s="67"/>
      <c r="D268" s="68"/>
      <c r="E268" s="68"/>
      <c r="F268" s="67"/>
      <c r="G268" s="68"/>
      <c r="H268" s="68"/>
      <c r="I268" s="67"/>
      <c r="J268" s="73"/>
      <c r="K268" s="68"/>
      <c r="L268" s="68"/>
      <c r="M268" s="65"/>
      <c r="N268" s="65"/>
      <c r="O268" s="65"/>
      <c r="P268" s="65"/>
      <c r="Q268" s="65"/>
      <c r="R268"/>
      <c r="S268"/>
    </row>
    <row r="269" spans="1:19" ht="12.75">
      <c r="A269" s="68" t="s">
        <v>470</v>
      </c>
      <c r="B269" s="68"/>
      <c r="C269" s="68"/>
      <c r="D269" s="68"/>
      <c r="E269" s="68"/>
      <c r="F269" s="67"/>
      <c r="G269" s="67"/>
      <c r="H269" s="67"/>
      <c r="I269" s="67"/>
      <c r="J269" s="68"/>
      <c r="K269" s="68"/>
      <c r="L269" s="68"/>
      <c r="M269" s="65"/>
      <c r="N269" s="65"/>
      <c r="O269" s="65"/>
      <c r="P269" s="65"/>
      <c r="Q269" s="65"/>
      <c r="R269"/>
      <c r="S269"/>
    </row>
    <row r="270" spans="1:19" ht="12.75">
      <c r="A270" s="68"/>
      <c r="B270" s="68"/>
      <c r="C270" s="68"/>
      <c r="D270" s="68"/>
      <c r="E270" s="68"/>
      <c r="F270" s="67"/>
      <c r="G270" s="67"/>
      <c r="H270" s="67"/>
      <c r="I270" s="67"/>
      <c r="J270" s="68"/>
      <c r="K270" s="68"/>
      <c r="L270" s="68"/>
      <c r="M270" s="65"/>
      <c r="N270" s="65"/>
      <c r="O270" s="65"/>
      <c r="P270" s="65"/>
      <c r="Q270" s="65"/>
      <c r="R270"/>
      <c r="S270"/>
    </row>
    <row r="271" spans="1:19" ht="12.75">
      <c r="A271" s="68" t="s">
        <v>62</v>
      </c>
      <c r="B271" s="67"/>
      <c r="C271" s="68"/>
      <c r="D271" s="68"/>
      <c r="E271" s="68"/>
      <c r="F271" s="67"/>
      <c r="G271" s="67"/>
      <c r="H271" s="67"/>
      <c r="I271" s="67"/>
      <c r="J271" s="68"/>
      <c r="K271" s="68"/>
      <c r="L271" s="68"/>
      <c r="M271" s="65"/>
      <c r="N271" s="65"/>
      <c r="O271" s="65"/>
      <c r="P271" s="65"/>
      <c r="Q271" s="65"/>
      <c r="R271"/>
      <c r="S271"/>
    </row>
    <row r="272" spans="1:19" ht="12.75">
      <c r="A272" s="67"/>
      <c r="B272" s="67"/>
      <c r="C272" s="67"/>
      <c r="D272" s="67"/>
      <c r="E272" s="67"/>
      <c r="F272" s="67"/>
      <c r="G272" s="67"/>
      <c r="H272" s="67"/>
      <c r="I272" s="67"/>
      <c r="J272" s="68"/>
      <c r="K272" s="68"/>
      <c r="L272" s="68"/>
      <c r="M272" s="65"/>
      <c r="N272" s="65"/>
      <c r="O272" s="65"/>
      <c r="P272" s="65"/>
      <c r="Q272" s="65"/>
      <c r="R272"/>
      <c r="S272"/>
    </row>
    <row r="273" spans="1:19" ht="12.75">
      <c r="A273" s="67"/>
      <c r="B273" s="494" t="s">
        <v>23</v>
      </c>
      <c r="C273" s="494"/>
      <c r="D273" s="494"/>
      <c r="E273" s="68"/>
      <c r="F273" s="67"/>
      <c r="G273" s="68"/>
      <c r="H273" s="68"/>
      <c r="I273" s="67"/>
      <c r="J273" s="69" t="s">
        <v>521</v>
      </c>
      <c r="K273" s="68"/>
      <c r="L273" s="68"/>
      <c r="M273" s="65"/>
      <c r="N273" s="65"/>
      <c r="O273" s="65"/>
      <c r="P273" s="65"/>
      <c r="Q273" s="65"/>
      <c r="R273"/>
      <c r="S273"/>
    </row>
    <row r="274" spans="1:19" ht="12.75">
      <c r="A274" s="67"/>
      <c r="B274" s="493" t="s">
        <v>24</v>
      </c>
      <c r="C274" s="493"/>
      <c r="D274" s="493"/>
      <c r="E274" s="68"/>
      <c r="F274" s="67"/>
      <c r="G274" s="68"/>
      <c r="H274" s="68"/>
      <c r="I274" s="67"/>
      <c r="J274" s="69" t="s">
        <v>523</v>
      </c>
      <c r="K274" s="68"/>
      <c r="L274" s="68"/>
      <c r="M274" s="65"/>
      <c r="N274" s="65"/>
      <c r="O274" s="65"/>
      <c r="P274" s="65"/>
      <c r="Q274" s="65"/>
      <c r="R274"/>
      <c r="S274"/>
    </row>
    <row r="275" spans="1:19" ht="12.75">
      <c r="A275" s="67"/>
      <c r="B275" s="492" t="s">
        <v>524</v>
      </c>
      <c r="C275" s="492"/>
      <c r="D275" s="492"/>
      <c r="E275" s="68"/>
      <c r="F275" s="67"/>
      <c r="G275" s="68"/>
      <c r="H275" s="68"/>
      <c r="I275" s="67"/>
      <c r="J275" s="97" t="s">
        <v>535</v>
      </c>
      <c r="K275" s="68"/>
      <c r="L275" s="68"/>
      <c r="M275" s="65"/>
      <c r="N275" s="65"/>
      <c r="O275" s="65"/>
      <c r="P275" s="65"/>
      <c r="Q275" s="65"/>
      <c r="R275"/>
      <c r="S275"/>
    </row>
    <row r="276" spans="1:19" ht="12.75">
      <c r="A276" s="67"/>
      <c r="B276" s="68"/>
      <c r="C276" s="67"/>
      <c r="D276" s="68"/>
      <c r="E276" s="68"/>
      <c r="F276" s="68"/>
      <c r="G276" s="68"/>
      <c r="H276" s="68"/>
      <c r="I276" s="67"/>
      <c r="J276" s="68"/>
      <c r="K276" s="68"/>
      <c r="L276" s="68"/>
      <c r="M276" s="65"/>
      <c r="N276" s="65"/>
      <c r="O276" s="65"/>
      <c r="P276" s="65"/>
      <c r="Q276" s="65"/>
      <c r="R276"/>
      <c r="S276"/>
    </row>
    <row r="277" spans="1:19" ht="13.5" thickBot="1">
      <c r="A277" s="67"/>
      <c r="B277" s="68" t="s">
        <v>409</v>
      </c>
      <c r="C277" s="67"/>
      <c r="D277" s="68"/>
      <c r="E277" s="68"/>
      <c r="F277" s="67"/>
      <c r="G277" s="68"/>
      <c r="H277" s="68"/>
      <c r="I277" s="67"/>
      <c r="J277" s="205">
        <v>1</v>
      </c>
      <c r="K277" s="68"/>
      <c r="L277" s="68"/>
      <c r="M277" s="65"/>
      <c r="N277" s="65"/>
      <c r="O277" s="65"/>
      <c r="P277" s="65"/>
      <c r="Q277" s="65"/>
      <c r="R277"/>
      <c r="S277"/>
    </row>
    <row r="278" spans="1:19" ht="13.5" thickTop="1">
      <c r="A278" s="67"/>
      <c r="B278" s="68"/>
      <c r="C278" s="67"/>
      <c r="D278" s="68"/>
      <c r="E278" s="68"/>
      <c r="F278" s="67"/>
      <c r="G278" s="68"/>
      <c r="H278" s="68"/>
      <c r="I278" s="67"/>
      <c r="J278" s="73"/>
      <c r="K278" s="68"/>
      <c r="L278" s="68"/>
      <c r="M278" s="65"/>
      <c r="N278" s="65"/>
      <c r="O278" s="65"/>
      <c r="P278" s="65"/>
      <c r="Q278" s="65"/>
      <c r="R278"/>
      <c r="S278"/>
    </row>
    <row r="279" spans="1:19" ht="12.75">
      <c r="A279" s="67"/>
      <c r="B279" s="68"/>
      <c r="C279" s="67"/>
      <c r="D279" s="68"/>
      <c r="E279" s="68"/>
      <c r="F279" s="67"/>
      <c r="G279" s="68"/>
      <c r="H279" s="68"/>
      <c r="I279" s="67"/>
      <c r="J279" s="73"/>
      <c r="K279" s="68"/>
      <c r="L279" s="68"/>
      <c r="M279" s="65"/>
      <c r="N279" s="65"/>
      <c r="O279" s="65"/>
      <c r="P279" s="65"/>
      <c r="Q279" s="65"/>
      <c r="R279"/>
      <c r="S279"/>
    </row>
    <row r="280" spans="1:19" ht="12.75">
      <c r="A280" s="67"/>
      <c r="B280" s="68"/>
      <c r="C280" s="67"/>
      <c r="D280" s="68"/>
      <c r="E280" s="68"/>
      <c r="F280" s="67"/>
      <c r="G280" s="68"/>
      <c r="H280" s="68"/>
      <c r="I280" s="67"/>
      <c r="J280" s="73"/>
      <c r="K280" s="68"/>
      <c r="L280" s="68"/>
      <c r="M280" s="65"/>
      <c r="N280" s="65"/>
      <c r="O280" s="65"/>
      <c r="P280" s="65"/>
      <c r="Q280" s="65"/>
      <c r="R280"/>
      <c r="S280"/>
    </row>
    <row r="281" spans="1:19" ht="12.75">
      <c r="A281" s="68" t="s">
        <v>471</v>
      </c>
      <c r="B281" s="68"/>
      <c r="C281" s="68"/>
      <c r="D281" s="68"/>
      <c r="E281" s="68"/>
      <c r="F281" s="68"/>
      <c r="G281" s="68"/>
      <c r="H281" s="68"/>
      <c r="I281" s="68"/>
      <c r="J281" s="68"/>
      <c r="K281" s="68"/>
      <c r="L281" s="68"/>
      <c r="M281" s="65"/>
      <c r="N281" s="65"/>
      <c r="O281" s="65"/>
      <c r="P281" s="65"/>
      <c r="Q281" s="65"/>
      <c r="R281"/>
      <c r="S281"/>
    </row>
    <row r="282" spans="1:19" ht="12.75">
      <c r="A282" s="68"/>
      <c r="B282" s="68"/>
      <c r="C282" s="68"/>
      <c r="D282" s="68"/>
      <c r="E282" s="68"/>
      <c r="F282" s="68"/>
      <c r="G282" s="68"/>
      <c r="H282" s="68"/>
      <c r="I282" s="68"/>
      <c r="J282" s="68"/>
      <c r="K282" s="68"/>
      <c r="L282" s="68"/>
      <c r="M282" s="65"/>
      <c r="N282" s="65"/>
      <c r="O282" s="65"/>
      <c r="P282" s="65"/>
      <c r="Q282" s="65"/>
      <c r="R282"/>
      <c r="S282"/>
    </row>
    <row r="283" spans="1:19" ht="12.75">
      <c r="A283" s="68" t="s">
        <v>47</v>
      </c>
      <c r="B283" s="65"/>
      <c r="C283" s="68"/>
      <c r="D283" s="68"/>
      <c r="E283" s="68"/>
      <c r="F283" s="68"/>
      <c r="G283" s="68"/>
      <c r="H283" s="68"/>
      <c r="I283" s="68"/>
      <c r="J283" s="68"/>
      <c r="K283" s="68"/>
      <c r="L283" s="68"/>
      <c r="M283" s="65"/>
      <c r="N283" s="65"/>
      <c r="O283" s="65"/>
      <c r="P283" s="65"/>
      <c r="Q283" s="65"/>
      <c r="R283"/>
      <c r="S283"/>
    </row>
    <row r="284" spans="1:19" ht="12.75">
      <c r="A284" s="68"/>
      <c r="B284" s="68"/>
      <c r="C284" s="68"/>
      <c r="D284" s="68"/>
      <c r="E284" s="68"/>
      <c r="F284" s="68"/>
      <c r="G284" s="68"/>
      <c r="H284" s="68"/>
      <c r="I284" s="68"/>
      <c r="J284" s="68"/>
      <c r="K284" s="68"/>
      <c r="L284" s="68"/>
      <c r="M284" s="65"/>
      <c r="N284" s="65"/>
      <c r="O284" s="65"/>
      <c r="P284" s="65"/>
      <c r="Q284" s="65"/>
      <c r="R284"/>
      <c r="S284"/>
    </row>
    <row r="285" spans="1:19" ht="12.75">
      <c r="A285" s="67"/>
      <c r="B285" s="494" t="s">
        <v>23</v>
      </c>
      <c r="C285" s="494"/>
      <c r="D285" s="494"/>
      <c r="E285" s="68"/>
      <c r="F285" s="67"/>
      <c r="G285" s="68"/>
      <c r="H285" s="68"/>
      <c r="I285" s="67"/>
      <c r="J285" s="69" t="s">
        <v>521</v>
      </c>
      <c r="K285" s="68"/>
      <c r="L285" s="68"/>
      <c r="M285" s="65"/>
      <c r="N285" s="65"/>
      <c r="O285" s="65"/>
      <c r="P285" s="65"/>
      <c r="Q285" s="65"/>
      <c r="R285"/>
      <c r="S285"/>
    </row>
    <row r="286" spans="1:19" ht="12.75">
      <c r="A286" s="67"/>
      <c r="B286" s="493" t="s">
        <v>24</v>
      </c>
      <c r="C286" s="493"/>
      <c r="D286" s="493"/>
      <c r="E286" s="68"/>
      <c r="F286" s="67"/>
      <c r="G286" s="68"/>
      <c r="H286" s="68"/>
      <c r="I286" s="67"/>
      <c r="J286" s="69" t="s">
        <v>523</v>
      </c>
      <c r="K286" s="68"/>
      <c r="L286" s="68"/>
      <c r="M286" s="65"/>
      <c r="N286" s="65"/>
      <c r="O286" s="65"/>
      <c r="P286" s="65"/>
      <c r="Q286" s="65"/>
      <c r="R286"/>
      <c r="S286"/>
    </row>
    <row r="287" spans="1:19" ht="12.75">
      <c r="A287" s="67"/>
      <c r="B287" s="492" t="s">
        <v>524</v>
      </c>
      <c r="C287" s="492"/>
      <c r="D287" s="492"/>
      <c r="E287" s="68"/>
      <c r="F287" s="67"/>
      <c r="G287" s="68"/>
      <c r="H287" s="68"/>
      <c r="I287" s="67"/>
      <c r="J287" s="97" t="s">
        <v>535</v>
      </c>
      <c r="K287" s="68"/>
      <c r="L287" s="68"/>
      <c r="M287" s="65"/>
      <c r="N287" s="65"/>
      <c r="O287" s="65"/>
      <c r="P287" s="65"/>
      <c r="Q287" s="65"/>
      <c r="R287"/>
      <c r="S287"/>
    </row>
    <row r="288" spans="1:19" ht="12.75">
      <c r="A288" s="68"/>
      <c r="B288" s="68"/>
      <c r="C288" s="67"/>
      <c r="D288" s="68"/>
      <c r="E288" s="68"/>
      <c r="F288" s="68"/>
      <c r="G288" s="68"/>
      <c r="H288" s="68"/>
      <c r="I288" s="67"/>
      <c r="J288" s="68"/>
      <c r="K288" s="68"/>
      <c r="L288" s="68"/>
      <c r="M288" s="65"/>
      <c r="N288" s="65"/>
      <c r="O288" s="65"/>
      <c r="P288" s="65"/>
      <c r="Q288" s="65"/>
      <c r="R288"/>
      <c r="S288"/>
    </row>
    <row r="289" spans="1:19" ht="13.5" thickBot="1">
      <c r="A289" s="68"/>
      <c r="B289" s="68" t="s">
        <v>531</v>
      </c>
      <c r="C289" s="67"/>
      <c r="D289" s="68"/>
      <c r="E289" s="68"/>
      <c r="F289" s="67"/>
      <c r="G289" s="68"/>
      <c r="H289" s="68"/>
      <c r="I289" s="67"/>
      <c r="J289" s="205">
        <v>1</v>
      </c>
      <c r="K289" s="68"/>
      <c r="L289" s="68"/>
      <c r="M289" s="65"/>
      <c r="N289" s="65"/>
      <c r="O289" s="65"/>
      <c r="P289" s="65"/>
      <c r="Q289" s="65"/>
      <c r="R289"/>
      <c r="S289"/>
    </row>
    <row r="290" spans="1:19" ht="13.5" thickTop="1">
      <c r="A290" s="68"/>
      <c r="B290" s="68"/>
      <c r="C290" s="68"/>
      <c r="D290" s="68"/>
      <c r="E290" s="68"/>
      <c r="F290" s="68"/>
      <c r="G290" s="68"/>
      <c r="H290" s="68"/>
      <c r="I290" s="68"/>
      <c r="J290" s="68"/>
      <c r="K290" s="68"/>
      <c r="L290" s="68"/>
      <c r="M290" s="65"/>
      <c r="N290" s="65"/>
      <c r="O290" s="65"/>
      <c r="P290" s="65"/>
      <c r="Q290" s="65"/>
      <c r="R290"/>
      <c r="S290"/>
    </row>
    <row r="291" spans="1:19" ht="12.75">
      <c r="A291" s="68"/>
      <c r="B291" s="68"/>
      <c r="C291" s="68"/>
      <c r="D291" s="68"/>
      <c r="E291" s="68"/>
      <c r="F291" s="68"/>
      <c r="G291" s="68"/>
      <c r="H291" s="68"/>
      <c r="I291" s="68"/>
      <c r="J291" s="68"/>
      <c r="K291" s="68"/>
      <c r="L291" s="68"/>
      <c r="M291" s="65"/>
      <c r="N291" s="65"/>
      <c r="O291" s="65"/>
      <c r="P291" s="65"/>
      <c r="Q291" s="65"/>
      <c r="R291"/>
      <c r="S291"/>
    </row>
    <row r="292" spans="1:19" ht="12.75">
      <c r="A292" s="79"/>
      <c r="B292" s="90"/>
      <c r="C292" s="90"/>
      <c r="D292" s="90"/>
      <c r="E292" s="90"/>
      <c r="F292" s="90"/>
      <c r="G292" s="90"/>
      <c r="H292" s="90"/>
      <c r="I292" s="90"/>
      <c r="J292" s="90"/>
      <c r="K292" s="90"/>
      <c r="L292" s="67"/>
      <c r="M292" s="65"/>
      <c r="N292" s="65"/>
      <c r="O292" s="65"/>
      <c r="P292" s="65"/>
      <c r="Q292" s="65"/>
      <c r="R292"/>
      <c r="S292"/>
    </row>
    <row r="293" spans="1:19" ht="12.75">
      <c r="A293" s="499" t="s">
        <v>449</v>
      </c>
      <c r="B293" s="499"/>
      <c r="C293" s="499"/>
      <c r="D293" s="499"/>
      <c r="E293" s="499"/>
      <c r="F293" s="499"/>
      <c r="G293" s="499"/>
      <c r="H293" s="499"/>
      <c r="I293" s="499"/>
      <c r="J293" s="499"/>
      <c r="K293" s="499"/>
      <c r="L293" s="499"/>
      <c r="M293" s="65"/>
      <c r="N293" s="65"/>
      <c r="O293" s="65"/>
      <c r="P293" s="65"/>
      <c r="Q293" s="65"/>
      <c r="R293"/>
      <c r="S293"/>
    </row>
    <row r="294" spans="1:19" ht="12.75">
      <c r="A294" s="90"/>
      <c r="B294" s="90"/>
      <c r="C294" s="90"/>
      <c r="D294" s="90"/>
      <c r="E294" s="90"/>
      <c r="F294" s="90"/>
      <c r="G294" s="90"/>
      <c r="H294" s="90"/>
      <c r="I294" s="90"/>
      <c r="J294" s="90"/>
      <c r="K294" s="90"/>
      <c r="L294" s="67"/>
      <c r="M294" s="65"/>
      <c r="N294" s="65"/>
      <c r="O294" s="65"/>
      <c r="P294" s="65"/>
      <c r="Q294" s="65"/>
      <c r="R294"/>
      <c r="S294"/>
    </row>
    <row r="295" spans="1:19" ht="12.75">
      <c r="A295" s="497" t="s">
        <v>628</v>
      </c>
      <c r="B295" s="497"/>
      <c r="C295" s="497"/>
      <c r="D295" s="497"/>
      <c r="E295" s="497"/>
      <c r="F295" s="497"/>
      <c r="G295" s="497"/>
      <c r="H295" s="497"/>
      <c r="I295" s="497"/>
      <c r="J295" s="497"/>
      <c r="K295" s="497"/>
      <c r="L295" s="497"/>
      <c r="M295" s="65"/>
      <c r="N295" s="65"/>
      <c r="O295" s="65"/>
      <c r="P295" s="65"/>
      <c r="Q295" s="65"/>
      <c r="R295"/>
      <c r="S295"/>
    </row>
    <row r="296" spans="1:19" ht="12.75">
      <c r="A296" s="90"/>
      <c r="B296" s="90"/>
      <c r="C296" s="90"/>
      <c r="D296" s="90"/>
      <c r="E296" s="90"/>
      <c r="F296" s="90"/>
      <c r="G296" s="90"/>
      <c r="H296" s="90"/>
      <c r="I296" s="90"/>
      <c r="J296" s="90"/>
      <c r="K296" s="90"/>
      <c r="L296" s="67"/>
      <c r="M296" s="65"/>
      <c r="N296" s="65"/>
      <c r="O296" s="65"/>
      <c r="P296" s="65"/>
      <c r="Q296" s="65"/>
      <c r="R296"/>
      <c r="S296"/>
    </row>
    <row r="297" spans="1:19" ht="12.75">
      <c r="A297" s="90"/>
      <c r="B297" s="90"/>
      <c r="C297" s="90"/>
      <c r="D297" s="90"/>
      <c r="E297" s="90"/>
      <c r="F297" s="90"/>
      <c r="G297" s="90"/>
      <c r="H297" s="90"/>
      <c r="I297" s="90"/>
      <c r="J297" s="90"/>
      <c r="K297" s="90"/>
      <c r="L297" s="67"/>
      <c r="M297" s="65"/>
      <c r="N297" s="65"/>
      <c r="O297" s="65"/>
      <c r="P297" s="65"/>
      <c r="Q297" s="65"/>
      <c r="R297"/>
      <c r="S297"/>
    </row>
    <row r="298" spans="1:19" ht="12.75">
      <c r="A298" s="90"/>
      <c r="B298" s="90"/>
      <c r="C298" s="90"/>
      <c r="D298" s="67"/>
      <c r="E298" s="90"/>
      <c r="F298" s="69" t="s">
        <v>623</v>
      </c>
      <c r="G298" s="67"/>
      <c r="H298" s="69"/>
      <c r="I298" s="69"/>
      <c r="J298" s="69"/>
      <c r="K298" s="69"/>
      <c r="L298" s="67"/>
      <c r="M298" s="65"/>
      <c r="N298" s="65"/>
      <c r="O298" s="65"/>
      <c r="P298" s="65"/>
      <c r="Q298" s="65"/>
      <c r="R298"/>
      <c r="S298"/>
    </row>
    <row r="299" spans="1:19" ht="12.75">
      <c r="A299" s="90"/>
      <c r="B299" s="90"/>
      <c r="C299" s="90"/>
      <c r="D299" s="67"/>
      <c r="E299" s="90"/>
      <c r="F299" s="69" t="s">
        <v>42</v>
      </c>
      <c r="G299" s="67"/>
      <c r="H299" s="69"/>
      <c r="I299" s="69"/>
      <c r="J299" s="69"/>
      <c r="K299" s="69"/>
      <c r="L299" s="67"/>
      <c r="M299" s="65"/>
      <c r="N299" s="65"/>
      <c r="O299" s="65"/>
      <c r="P299" s="65"/>
      <c r="Q299" s="65"/>
      <c r="R299"/>
      <c r="S299"/>
    </row>
    <row r="300" spans="1:19" ht="12.75">
      <c r="A300" s="67"/>
      <c r="B300" s="494" t="s">
        <v>23</v>
      </c>
      <c r="C300" s="494"/>
      <c r="D300" s="494"/>
      <c r="E300" s="90"/>
      <c r="F300" s="69" t="s">
        <v>626</v>
      </c>
      <c r="G300" s="67"/>
      <c r="H300" s="69"/>
      <c r="I300" s="69"/>
      <c r="J300" s="69" t="s">
        <v>521</v>
      </c>
      <c r="K300" s="67"/>
      <c r="L300" s="67"/>
      <c r="M300" s="65"/>
      <c r="N300" s="65"/>
      <c r="O300" s="65"/>
      <c r="P300" s="65"/>
      <c r="Q300" s="65"/>
      <c r="R300"/>
      <c r="S300"/>
    </row>
    <row r="301" spans="1:19" ht="12.75">
      <c r="A301" s="67"/>
      <c r="B301" s="493" t="s">
        <v>24</v>
      </c>
      <c r="C301" s="493"/>
      <c r="D301" s="493"/>
      <c r="E301" s="90"/>
      <c r="F301" s="69" t="s">
        <v>625</v>
      </c>
      <c r="G301" s="67"/>
      <c r="H301" s="69"/>
      <c r="I301" s="69"/>
      <c r="J301" s="69" t="s">
        <v>523</v>
      </c>
      <c r="K301" s="67"/>
      <c r="L301" s="67"/>
      <c r="M301" s="65"/>
      <c r="N301" s="65"/>
      <c r="O301" s="65"/>
      <c r="P301" s="65"/>
      <c r="Q301" s="65"/>
      <c r="R301"/>
      <c r="S301"/>
    </row>
    <row r="302" spans="1:19" ht="12.75">
      <c r="A302" s="67"/>
      <c r="B302" s="492" t="s">
        <v>524</v>
      </c>
      <c r="C302" s="492"/>
      <c r="D302" s="492"/>
      <c r="E302" s="91" t="s">
        <v>594</v>
      </c>
      <c r="F302" s="97" t="s">
        <v>535</v>
      </c>
      <c r="G302" s="67"/>
      <c r="H302" s="69"/>
      <c r="I302" s="69"/>
      <c r="J302" s="97" t="s">
        <v>525</v>
      </c>
      <c r="K302" s="67"/>
      <c r="L302" s="67"/>
      <c r="M302" s="65"/>
      <c r="N302" s="65"/>
      <c r="O302" s="65"/>
      <c r="P302" s="65"/>
      <c r="Q302" s="65"/>
      <c r="R302"/>
      <c r="S302"/>
    </row>
    <row r="303" spans="1:19" ht="12.75">
      <c r="A303" s="67"/>
      <c r="B303" s="90"/>
      <c r="C303" s="90"/>
      <c r="D303" s="67"/>
      <c r="E303" s="90"/>
      <c r="F303" s="90"/>
      <c r="G303" s="67"/>
      <c r="H303" s="90"/>
      <c r="I303" s="67"/>
      <c r="J303" s="92"/>
      <c r="K303" s="67"/>
      <c r="L303" s="67"/>
      <c r="M303" s="65"/>
      <c r="N303" s="65"/>
      <c r="O303" s="65"/>
      <c r="P303" s="65"/>
      <c r="Q303" s="65"/>
      <c r="R303"/>
      <c r="S303"/>
    </row>
    <row r="304" spans="1:19" ht="12.75">
      <c r="A304" s="67"/>
      <c r="B304" s="90" t="s">
        <v>25</v>
      </c>
      <c r="C304" s="90"/>
      <c r="D304" s="67"/>
      <c r="E304" s="90"/>
      <c r="F304" s="290">
        <f>'Schedule D'!AA377</f>
        <v>475570.5994758755</v>
      </c>
      <c r="G304" s="67"/>
      <c r="H304" s="90"/>
      <c r="I304" s="67"/>
      <c r="J304" s="93">
        <f>+'Schedule D'!AA378</f>
        <v>0.3762</v>
      </c>
      <c r="K304" s="67"/>
      <c r="L304" s="67"/>
      <c r="M304" s="65"/>
      <c r="N304" s="65"/>
      <c r="O304" s="65"/>
      <c r="P304" s="65"/>
      <c r="Q304" s="65"/>
      <c r="R304"/>
      <c r="S304"/>
    </row>
    <row r="305" spans="1:19" ht="12.75">
      <c r="A305" s="67"/>
      <c r="B305" s="90" t="s">
        <v>539</v>
      </c>
      <c r="C305" s="90"/>
      <c r="D305" s="67"/>
      <c r="E305" s="90"/>
      <c r="F305" s="291">
        <f>'Schedule D'!AC377</f>
        <v>79900.80199448766</v>
      </c>
      <c r="G305" s="67"/>
      <c r="H305" s="90"/>
      <c r="I305" s="67"/>
      <c r="J305" s="93">
        <f>+'Schedule D'!AC378</f>
        <v>0.0632</v>
      </c>
      <c r="K305" s="67"/>
      <c r="L305" s="67"/>
      <c r="M305" s="65"/>
      <c r="N305" s="65"/>
      <c r="O305" s="65"/>
      <c r="P305" s="65"/>
      <c r="Q305" s="65"/>
      <c r="R305"/>
      <c r="S305"/>
    </row>
    <row r="306" spans="1:19" ht="12.75">
      <c r="A306" s="67"/>
      <c r="B306" s="90" t="s">
        <v>557</v>
      </c>
      <c r="C306" s="90"/>
      <c r="D306" s="67"/>
      <c r="E306" s="90"/>
      <c r="F306" s="291">
        <f>'Schedule D'!AE377</f>
        <v>528951.0597360354</v>
      </c>
      <c r="G306" s="67"/>
      <c r="H306" s="90"/>
      <c r="I306" s="67"/>
      <c r="J306" s="93">
        <f>+'Schedule D'!AE378</f>
        <v>0.4185</v>
      </c>
      <c r="K306" s="67"/>
      <c r="L306" s="67"/>
      <c r="M306" s="65"/>
      <c r="N306" s="65"/>
      <c r="O306" s="65"/>
      <c r="P306" s="65"/>
      <c r="Q306" s="65"/>
      <c r="R306"/>
      <c r="S306"/>
    </row>
    <row r="307" spans="1:19" ht="12.75">
      <c r="A307" s="67"/>
      <c r="B307" s="90" t="s">
        <v>3</v>
      </c>
      <c r="C307" s="90"/>
      <c r="D307" s="67"/>
      <c r="E307" s="90"/>
      <c r="F307" s="291">
        <f>'Schedule D'!AG377</f>
        <v>42962.44</v>
      </c>
      <c r="G307" s="67"/>
      <c r="H307" s="90"/>
      <c r="I307" s="67"/>
      <c r="J307" s="93">
        <f>+'Schedule D'!AG378</f>
        <v>0.034</v>
      </c>
      <c r="K307" s="67"/>
      <c r="L307" s="67"/>
      <c r="M307" s="65"/>
      <c r="N307" s="65"/>
      <c r="O307" s="65"/>
      <c r="P307" s="65"/>
      <c r="Q307" s="65"/>
      <c r="R307"/>
      <c r="S307"/>
    </row>
    <row r="308" spans="1:19" ht="12.75">
      <c r="A308" s="67"/>
      <c r="B308" s="90" t="s">
        <v>605</v>
      </c>
      <c r="C308" s="90"/>
      <c r="D308" s="67"/>
      <c r="E308" s="90"/>
      <c r="F308" s="291">
        <f>'Schedule D'!AI377</f>
        <v>0</v>
      </c>
      <c r="G308" s="67"/>
      <c r="H308" s="90"/>
      <c r="I308" s="67"/>
      <c r="J308" s="93">
        <f>+'Schedule D'!AI378</f>
        <v>0</v>
      </c>
      <c r="K308" s="67"/>
      <c r="L308" s="67"/>
      <c r="M308" s="65"/>
      <c r="N308" s="65"/>
      <c r="O308" s="65"/>
      <c r="P308" s="65"/>
      <c r="Q308" s="65"/>
      <c r="R308"/>
      <c r="S308"/>
    </row>
    <row r="309" spans="1:19" ht="12.75">
      <c r="A309" s="67"/>
      <c r="B309" s="90" t="s">
        <v>44</v>
      </c>
      <c r="C309" s="90"/>
      <c r="D309" s="67"/>
      <c r="E309" s="90"/>
      <c r="F309" s="291">
        <f>'Schedule D'!AO377</f>
        <v>59145.023748140164</v>
      </c>
      <c r="G309" s="67"/>
      <c r="H309" s="90"/>
      <c r="I309" s="67"/>
      <c r="J309" s="93">
        <f>+'Schedule D'!AO378</f>
        <v>0.0468</v>
      </c>
      <c r="K309" s="67"/>
      <c r="L309" s="67"/>
      <c r="M309" s="65"/>
      <c r="N309" s="65"/>
      <c r="O309" s="65"/>
      <c r="P309" s="65"/>
      <c r="Q309" s="65"/>
      <c r="R309"/>
      <c r="S309"/>
    </row>
    <row r="310" spans="1:19" ht="12.75">
      <c r="A310" s="67"/>
      <c r="B310" s="90" t="s">
        <v>45</v>
      </c>
      <c r="C310" s="90"/>
      <c r="D310" s="67"/>
      <c r="E310" s="90"/>
      <c r="F310" s="291">
        <f>'Schedule D'!AQ377</f>
        <v>77540.29504546098</v>
      </c>
      <c r="G310" s="67"/>
      <c r="H310" s="90"/>
      <c r="I310" s="67"/>
      <c r="J310" s="93">
        <f>+'Schedule D'!AQ378</f>
        <v>0.0613</v>
      </c>
      <c r="K310" s="67"/>
      <c r="L310" s="67"/>
      <c r="M310" s="65"/>
      <c r="N310" s="65"/>
      <c r="O310" s="65"/>
      <c r="P310" s="65"/>
      <c r="Q310" s="65"/>
      <c r="R310"/>
      <c r="S310"/>
    </row>
    <row r="311" spans="1:19" ht="12.75">
      <c r="A311" s="67"/>
      <c r="B311" s="90"/>
      <c r="C311" s="90"/>
      <c r="D311" s="67"/>
      <c r="E311" s="90"/>
      <c r="F311" s="84"/>
      <c r="G311" s="67"/>
      <c r="H311" s="90"/>
      <c r="I311" s="67"/>
      <c r="J311" s="94"/>
      <c r="K311" s="67"/>
      <c r="L311" s="67"/>
      <c r="M311" s="65"/>
      <c r="N311" s="65"/>
      <c r="O311" s="65"/>
      <c r="P311" s="65"/>
      <c r="Q311" s="65"/>
      <c r="R311"/>
      <c r="S311"/>
    </row>
    <row r="312" spans="1:19" ht="13.5" thickBot="1">
      <c r="A312" s="67"/>
      <c r="B312" s="90" t="s">
        <v>532</v>
      </c>
      <c r="C312" s="90"/>
      <c r="D312" s="67"/>
      <c r="E312" s="90"/>
      <c r="F312" s="233">
        <f>SUM(F304:F311)</f>
        <v>1264070.2199999995</v>
      </c>
      <c r="G312" s="67"/>
      <c r="H312" s="90"/>
      <c r="I312" s="67"/>
      <c r="J312" s="93">
        <f>SUM(J304:J311)</f>
        <v>1</v>
      </c>
      <c r="K312" s="67"/>
      <c r="L312" s="67"/>
      <c r="M312" s="65"/>
      <c r="N312" s="65"/>
      <c r="O312" s="65"/>
      <c r="P312" s="65"/>
      <c r="Q312" s="65"/>
      <c r="R312"/>
      <c r="S312"/>
    </row>
    <row r="313" spans="1:19" ht="13.5" thickTop="1">
      <c r="A313" s="90"/>
      <c r="B313" s="90"/>
      <c r="C313" s="90"/>
      <c r="D313" s="91"/>
      <c r="E313" s="95"/>
      <c r="F313" s="96"/>
      <c r="G313" s="67"/>
      <c r="H313" s="90"/>
      <c r="I313" s="67"/>
      <c r="J313" s="96"/>
      <c r="K313" s="90"/>
      <c r="L313" s="67"/>
      <c r="M313" s="65"/>
      <c r="N313" s="65"/>
      <c r="O313" s="65"/>
      <c r="P313" s="65"/>
      <c r="Q313" s="65"/>
      <c r="R313"/>
      <c r="S313"/>
    </row>
    <row r="314" spans="1:19" ht="12.75">
      <c r="A314" s="90"/>
      <c r="B314" s="90"/>
      <c r="C314" s="90"/>
      <c r="D314" s="90"/>
      <c r="E314" s="90"/>
      <c r="F314" s="90"/>
      <c r="G314" s="90"/>
      <c r="H314" s="90"/>
      <c r="I314" s="67"/>
      <c r="J314" s="90"/>
      <c r="K314" s="90"/>
      <c r="L314" s="67"/>
      <c r="M314" s="65"/>
      <c r="N314" s="65"/>
      <c r="O314" s="65"/>
      <c r="P314" s="65"/>
      <c r="Q314" s="65"/>
      <c r="R314"/>
      <c r="S314"/>
    </row>
    <row r="315" spans="1:19" ht="12.75">
      <c r="A315" s="90"/>
      <c r="B315" s="90"/>
      <c r="C315" s="90"/>
      <c r="D315" s="90"/>
      <c r="E315" s="90"/>
      <c r="F315" s="90"/>
      <c r="G315" s="90"/>
      <c r="H315" s="90"/>
      <c r="I315" s="67"/>
      <c r="J315" s="90"/>
      <c r="K315" s="90"/>
      <c r="L315" s="67"/>
      <c r="M315" s="65"/>
      <c r="N315" s="65"/>
      <c r="O315" s="65"/>
      <c r="P315" s="65"/>
      <c r="Q315" s="65"/>
      <c r="R315"/>
      <c r="S315"/>
    </row>
    <row r="316" spans="1:19" ht="12.75">
      <c r="A316" s="90" t="s">
        <v>472</v>
      </c>
      <c r="B316" s="90"/>
      <c r="C316" s="90"/>
      <c r="D316" s="90"/>
      <c r="E316" s="90"/>
      <c r="F316" s="90"/>
      <c r="G316" s="90"/>
      <c r="H316" s="90"/>
      <c r="I316" s="90"/>
      <c r="J316" s="90"/>
      <c r="K316" s="90"/>
      <c r="L316" s="67"/>
      <c r="M316" s="65"/>
      <c r="N316" s="65"/>
      <c r="O316" s="65"/>
      <c r="P316" s="65"/>
      <c r="Q316" s="65"/>
      <c r="R316"/>
      <c r="S316"/>
    </row>
    <row r="317" spans="1:19" ht="12.75">
      <c r="A317" s="90"/>
      <c r="B317" s="90"/>
      <c r="C317" s="90"/>
      <c r="D317" s="90"/>
      <c r="E317" s="90"/>
      <c r="F317" s="90"/>
      <c r="G317" s="90"/>
      <c r="H317" s="90"/>
      <c r="I317" s="90"/>
      <c r="J317" s="90"/>
      <c r="K317" s="90"/>
      <c r="L317" s="67"/>
      <c r="M317" s="65"/>
      <c r="N317" s="65"/>
      <c r="O317" s="65"/>
      <c r="P317" s="65"/>
      <c r="Q317" s="65"/>
      <c r="R317"/>
      <c r="S317"/>
    </row>
    <row r="318" spans="1:19" ht="27" customHeight="1">
      <c r="A318" s="497" t="s">
        <v>496</v>
      </c>
      <c r="B318" s="497"/>
      <c r="C318" s="497"/>
      <c r="D318" s="497"/>
      <c r="E318" s="497"/>
      <c r="F318" s="497"/>
      <c r="G318" s="497"/>
      <c r="H318" s="497"/>
      <c r="I318" s="497"/>
      <c r="J318" s="497"/>
      <c r="K318" s="497"/>
      <c r="L318" s="497"/>
      <c r="M318" s="65"/>
      <c r="N318" s="65"/>
      <c r="O318" s="65"/>
      <c r="P318" s="65"/>
      <c r="Q318" s="65"/>
      <c r="R318"/>
      <c r="S318"/>
    </row>
    <row r="319" spans="1:19" ht="12.75">
      <c r="A319" s="90"/>
      <c r="B319" s="90"/>
      <c r="C319" s="90"/>
      <c r="D319" s="90"/>
      <c r="E319" s="90"/>
      <c r="F319" s="90"/>
      <c r="G319" s="90"/>
      <c r="H319" s="90"/>
      <c r="I319" s="90"/>
      <c r="J319" s="90"/>
      <c r="K319" s="90"/>
      <c r="L319" s="67"/>
      <c r="M319" s="65"/>
      <c r="N319" s="65"/>
      <c r="O319" s="65"/>
      <c r="P319" s="65"/>
      <c r="Q319" s="65"/>
      <c r="R319"/>
      <c r="S319"/>
    </row>
    <row r="320" spans="1:19" ht="12.75">
      <c r="A320" s="90"/>
      <c r="B320" s="90"/>
      <c r="C320" s="90"/>
      <c r="D320" s="67"/>
      <c r="E320" s="90"/>
      <c r="F320" s="69" t="s">
        <v>48</v>
      </c>
      <c r="G320" s="67"/>
      <c r="H320" s="69"/>
      <c r="I320" s="69"/>
      <c r="J320" s="69"/>
      <c r="K320" s="69"/>
      <c r="L320" s="67"/>
      <c r="M320" s="65"/>
      <c r="N320" s="65"/>
      <c r="O320" s="65"/>
      <c r="P320" s="65"/>
      <c r="Q320" s="65"/>
      <c r="R320"/>
      <c r="S320"/>
    </row>
    <row r="321" spans="1:19" ht="12.75">
      <c r="A321" s="67"/>
      <c r="B321" s="494" t="s">
        <v>23</v>
      </c>
      <c r="C321" s="494"/>
      <c r="D321" s="494"/>
      <c r="E321" s="90"/>
      <c r="F321" s="69" t="s">
        <v>624</v>
      </c>
      <c r="G321" s="67"/>
      <c r="H321" s="69"/>
      <c r="I321" s="69"/>
      <c r="J321" s="69" t="s">
        <v>521</v>
      </c>
      <c r="K321" s="67"/>
      <c r="L321" s="67"/>
      <c r="M321" s="65"/>
      <c r="N321" s="65"/>
      <c r="O321" s="65"/>
      <c r="P321" s="65"/>
      <c r="Q321" s="65"/>
      <c r="R321"/>
      <c r="S321"/>
    </row>
    <row r="322" spans="1:19" ht="12.75">
      <c r="A322" s="67"/>
      <c r="B322" s="493" t="s">
        <v>24</v>
      </c>
      <c r="C322" s="493"/>
      <c r="D322" s="493"/>
      <c r="E322" s="90"/>
      <c r="F322" s="69" t="s">
        <v>625</v>
      </c>
      <c r="G322" s="67"/>
      <c r="H322" s="69"/>
      <c r="I322" s="69"/>
      <c r="J322" s="69" t="s">
        <v>523</v>
      </c>
      <c r="K322" s="67"/>
      <c r="L322" s="67"/>
      <c r="M322" s="65"/>
      <c r="N322" s="65"/>
      <c r="O322" s="65"/>
      <c r="P322" s="65"/>
      <c r="Q322" s="65"/>
      <c r="R322"/>
      <c r="S322"/>
    </row>
    <row r="323" spans="1:19" ht="12.75">
      <c r="A323" s="67"/>
      <c r="B323" s="492" t="s">
        <v>524</v>
      </c>
      <c r="C323" s="492"/>
      <c r="D323" s="492"/>
      <c r="E323" s="91" t="s">
        <v>594</v>
      </c>
      <c r="F323" s="97" t="s">
        <v>535</v>
      </c>
      <c r="G323" s="67"/>
      <c r="H323" s="69"/>
      <c r="I323" s="69"/>
      <c r="J323" s="97" t="s">
        <v>525</v>
      </c>
      <c r="K323" s="67"/>
      <c r="L323" s="67"/>
      <c r="M323" s="65"/>
      <c r="N323" s="65"/>
      <c r="O323" s="65"/>
      <c r="P323" s="65"/>
      <c r="Q323" s="65"/>
      <c r="R323"/>
      <c r="S323"/>
    </row>
    <row r="324" spans="1:19" ht="12.75">
      <c r="A324" s="67"/>
      <c r="B324" s="90"/>
      <c r="C324" s="90"/>
      <c r="D324" s="67"/>
      <c r="E324" s="90"/>
      <c r="F324" s="90"/>
      <c r="G324" s="67"/>
      <c r="H324" s="90"/>
      <c r="I324" s="67"/>
      <c r="J324" s="92"/>
      <c r="K324" s="67"/>
      <c r="L324" s="67"/>
      <c r="M324" s="65"/>
      <c r="N324" s="65"/>
      <c r="O324" s="65"/>
      <c r="P324" s="65"/>
      <c r="Q324" s="65"/>
      <c r="R324"/>
      <c r="S324"/>
    </row>
    <row r="325" spans="1:19" ht="12.75">
      <c r="A325" s="67"/>
      <c r="B325" s="90" t="s">
        <v>25</v>
      </c>
      <c r="C325" s="90"/>
      <c r="D325" s="67"/>
      <c r="E325" s="90"/>
      <c r="F325" s="290">
        <f>'Schedule D'!AA379</f>
        <v>3129978.584894816</v>
      </c>
      <c r="G325" s="67"/>
      <c r="H325" s="90"/>
      <c r="I325" s="67"/>
      <c r="J325" s="232">
        <f>ROUND(F325/F$335,4)</f>
        <v>0.3519</v>
      </c>
      <c r="K325" s="67"/>
      <c r="L325" s="67"/>
      <c r="M325" s="65"/>
      <c r="N325" s="65"/>
      <c r="O325" s="65"/>
      <c r="P325" s="65"/>
      <c r="Q325" s="65"/>
      <c r="R325"/>
      <c r="S325"/>
    </row>
    <row r="326" spans="1:19" ht="12.75">
      <c r="A326" s="67"/>
      <c r="B326" s="90" t="s">
        <v>539</v>
      </c>
      <c r="C326" s="90"/>
      <c r="D326" s="67"/>
      <c r="E326" s="90"/>
      <c r="F326" s="291">
        <f>'Schedule D'!AC379</f>
        <v>1397907.1870443523</v>
      </c>
      <c r="G326" s="67"/>
      <c r="H326" s="90"/>
      <c r="I326" s="67"/>
      <c r="J326" s="93">
        <f aca="true" t="shared" si="3" ref="J326:J333">ROUND(F326/F$335,4)</f>
        <v>0.1572</v>
      </c>
      <c r="K326" s="67"/>
      <c r="L326" s="67"/>
      <c r="M326" s="65"/>
      <c r="N326" s="65"/>
      <c r="O326" s="65"/>
      <c r="P326" s="65"/>
      <c r="Q326" s="65"/>
      <c r="R326"/>
      <c r="S326"/>
    </row>
    <row r="327" spans="1:19" ht="12.75">
      <c r="A327" s="67"/>
      <c r="B327" s="90" t="s">
        <v>557</v>
      </c>
      <c r="C327" s="90"/>
      <c r="D327" s="67"/>
      <c r="E327" s="90"/>
      <c r="F327" s="291">
        <f>'Schedule D'!AE379</f>
        <v>1468628.6290751768</v>
      </c>
      <c r="G327" s="67"/>
      <c r="H327" s="90"/>
      <c r="I327" s="67"/>
      <c r="J327" s="93">
        <f t="shared" si="3"/>
        <v>0.1651</v>
      </c>
      <c r="K327" s="67"/>
      <c r="L327" s="67"/>
      <c r="M327" s="65"/>
      <c r="N327" s="65"/>
      <c r="O327" s="65"/>
      <c r="P327" s="65"/>
      <c r="Q327" s="65"/>
      <c r="R327"/>
      <c r="S327"/>
    </row>
    <row r="328" spans="1:19" ht="12.75">
      <c r="A328" s="67"/>
      <c r="B328" s="90" t="s">
        <v>3</v>
      </c>
      <c r="C328" s="90"/>
      <c r="D328" s="67"/>
      <c r="E328" s="90"/>
      <c r="F328" s="291">
        <f>'Schedule D'!AG379</f>
        <v>62584.28200000001</v>
      </c>
      <c r="G328" s="67"/>
      <c r="H328" s="90"/>
      <c r="I328" s="67"/>
      <c r="J328" s="93">
        <f t="shared" si="3"/>
        <v>0.007</v>
      </c>
      <c r="K328" s="67"/>
      <c r="L328" s="67"/>
      <c r="M328" s="65"/>
      <c r="N328" s="65"/>
      <c r="O328" s="65"/>
      <c r="P328" s="65"/>
      <c r="Q328" s="65"/>
      <c r="R328"/>
      <c r="S328"/>
    </row>
    <row r="329" spans="1:19" ht="12.75">
      <c r="A329" s="67"/>
      <c r="B329" s="90" t="s">
        <v>605</v>
      </c>
      <c r="C329" s="90"/>
      <c r="D329" s="67"/>
      <c r="E329" s="90"/>
      <c r="F329" s="291">
        <f>'Schedule D'!AI379</f>
        <v>0</v>
      </c>
      <c r="G329" s="67"/>
      <c r="H329" s="90"/>
      <c r="I329" s="67"/>
      <c r="J329" s="93">
        <f t="shared" si="3"/>
        <v>0</v>
      </c>
      <c r="K329" s="67"/>
      <c r="L329" s="67"/>
      <c r="M329" s="65"/>
      <c r="N329" s="65"/>
      <c r="O329" s="65"/>
      <c r="P329" s="65"/>
      <c r="Q329" s="65"/>
      <c r="R329"/>
      <c r="S329"/>
    </row>
    <row r="330" spans="1:19" ht="12.75">
      <c r="A330" s="67"/>
      <c r="B330" s="90" t="s">
        <v>408</v>
      </c>
      <c r="C330" s="90"/>
      <c r="D330" s="67"/>
      <c r="E330" s="90"/>
      <c r="F330" s="291">
        <f>'Schedule D'!AK379</f>
        <v>1857164.9439611502</v>
      </c>
      <c r="G330" s="67"/>
      <c r="H330" s="90"/>
      <c r="I330" s="67"/>
      <c r="J330" s="93">
        <f t="shared" si="3"/>
        <v>0.2088</v>
      </c>
      <c r="K330" s="67"/>
      <c r="L330" s="67"/>
      <c r="M330" s="65"/>
      <c r="N330" s="65"/>
      <c r="O330" s="65"/>
      <c r="P330" s="65"/>
      <c r="Q330" s="65"/>
      <c r="R330"/>
      <c r="S330"/>
    </row>
    <row r="331" spans="1:19" ht="12.75">
      <c r="A331" s="67"/>
      <c r="B331" s="90" t="s">
        <v>409</v>
      </c>
      <c r="C331" s="90"/>
      <c r="D331" s="67"/>
      <c r="E331" s="90"/>
      <c r="F331" s="291">
        <f>'Schedule D'!AM379</f>
        <v>595914.8</v>
      </c>
      <c r="G331" s="67"/>
      <c r="H331" s="90"/>
      <c r="I331" s="67"/>
      <c r="J331" s="93">
        <f t="shared" si="3"/>
        <v>0.067</v>
      </c>
      <c r="K331" s="67"/>
      <c r="L331" s="67"/>
      <c r="M331" s="65"/>
      <c r="N331" s="65"/>
      <c r="O331" s="65"/>
      <c r="P331" s="65"/>
      <c r="Q331" s="65"/>
      <c r="R331"/>
      <c r="S331"/>
    </row>
    <row r="332" spans="1:19" ht="12.75">
      <c r="A332" s="67"/>
      <c r="B332" s="90" t="s">
        <v>44</v>
      </c>
      <c r="C332" s="90"/>
      <c r="D332" s="67"/>
      <c r="E332" s="90"/>
      <c r="F332" s="291">
        <f>'Schedule D'!AO379</f>
        <v>165200.525594716</v>
      </c>
      <c r="G332" s="67"/>
      <c r="H332" s="90"/>
      <c r="I332" s="67"/>
      <c r="J332" s="93">
        <f t="shared" si="3"/>
        <v>0.0186</v>
      </c>
      <c r="K332" s="67"/>
      <c r="L332" s="67"/>
      <c r="M332" s="65"/>
      <c r="N332" s="65"/>
      <c r="O332" s="65"/>
      <c r="P332" s="65"/>
      <c r="Q332" s="65"/>
      <c r="R332"/>
      <c r="S332"/>
    </row>
    <row r="333" spans="1:19" ht="12.75">
      <c r="A333" s="67"/>
      <c r="B333" s="90" t="s">
        <v>45</v>
      </c>
      <c r="C333" s="90"/>
      <c r="D333" s="67"/>
      <c r="E333" s="90"/>
      <c r="F333" s="291">
        <f>'Schedule D'!AQ379</f>
        <v>216574.0513909377</v>
      </c>
      <c r="G333" s="67"/>
      <c r="H333" s="90"/>
      <c r="I333" s="67"/>
      <c r="J333" s="93">
        <f t="shared" si="3"/>
        <v>0.0244</v>
      </c>
      <c r="K333" s="67"/>
      <c r="L333" s="67"/>
      <c r="M333" s="65"/>
      <c r="N333" s="65"/>
      <c r="O333" s="65"/>
      <c r="P333" s="65"/>
      <c r="Q333" s="65"/>
      <c r="R333"/>
      <c r="S333"/>
    </row>
    <row r="334" spans="1:19" ht="12.75">
      <c r="A334" s="67"/>
      <c r="B334" s="90"/>
      <c r="C334" s="90"/>
      <c r="D334" s="67"/>
      <c r="E334" s="90"/>
      <c r="F334" s="84"/>
      <c r="G334" s="67"/>
      <c r="H334" s="90"/>
      <c r="I334" s="67"/>
      <c r="J334" s="94"/>
      <c r="K334" s="67"/>
      <c r="L334" s="67"/>
      <c r="M334" s="65"/>
      <c r="N334" s="65"/>
      <c r="O334" s="65"/>
      <c r="P334" s="65"/>
      <c r="Q334" s="65"/>
      <c r="R334"/>
      <c r="S334"/>
    </row>
    <row r="335" spans="1:19" ht="13.5" thickBot="1">
      <c r="A335" s="67"/>
      <c r="B335" s="90" t="s">
        <v>532</v>
      </c>
      <c r="C335" s="90"/>
      <c r="D335" s="67"/>
      <c r="E335" s="90"/>
      <c r="F335" s="233">
        <f>SUM(F325:F334)</f>
        <v>8893953.00396115</v>
      </c>
      <c r="G335" s="67"/>
      <c r="H335" s="90"/>
      <c r="I335" s="67"/>
      <c r="J335" s="93">
        <f>SUM(J325:J334)</f>
        <v>1</v>
      </c>
      <c r="K335" s="67"/>
      <c r="L335" s="67"/>
      <c r="M335" s="65"/>
      <c r="N335" s="65"/>
      <c r="O335" s="65"/>
      <c r="P335" s="65"/>
      <c r="Q335" s="65"/>
      <c r="R335"/>
      <c r="S335"/>
    </row>
    <row r="336" spans="1:19" ht="13.5" thickTop="1">
      <c r="A336" s="90"/>
      <c r="B336" s="90"/>
      <c r="C336" s="90"/>
      <c r="D336" s="90"/>
      <c r="E336" s="90"/>
      <c r="F336" s="96"/>
      <c r="G336" s="67"/>
      <c r="H336" s="90"/>
      <c r="I336" s="90"/>
      <c r="J336" s="96"/>
      <c r="K336" s="90"/>
      <c r="L336" s="67"/>
      <c r="M336" s="65"/>
      <c r="N336" s="65"/>
      <c r="O336" s="65"/>
      <c r="P336" s="65"/>
      <c r="Q336" s="65"/>
      <c r="R336"/>
      <c r="S336"/>
    </row>
    <row r="337" spans="1:19" ht="12.75">
      <c r="A337" s="222"/>
      <c r="B337" s="222"/>
      <c r="C337" s="222"/>
      <c r="D337" s="222"/>
      <c r="E337" s="222"/>
      <c r="F337" s="222"/>
      <c r="G337" s="174"/>
      <c r="H337" s="222"/>
      <c r="I337" s="222"/>
      <c r="J337" s="222"/>
      <c r="K337" s="222"/>
      <c r="L337" s="174"/>
      <c r="M337" s="167"/>
      <c r="N337" s="167"/>
      <c r="O337" s="167"/>
      <c r="P337" s="167"/>
      <c r="Q337" s="167"/>
      <c r="R337"/>
      <c r="S337"/>
    </row>
    <row r="338" spans="1:19" ht="12.75">
      <c r="A338" s="90" t="s">
        <v>629</v>
      </c>
      <c r="B338" s="90"/>
      <c r="C338" s="90"/>
      <c r="D338" s="90"/>
      <c r="E338" s="90"/>
      <c r="F338" s="90"/>
      <c r="G338" s="90"/>
      <c r="H338" s="90"/>
      <c r="I338" s="90"/>
      <c r="J338" s="90"/>
      <c r="K338" s="90"/>
      <c r="L338" s="67"/>
      <c r="M338" s="65"/>
      <c r="N338" s="65"/>
      <c r="O338" s="65"/>
      <c r="P338" s="65"/>
      <c r="Q338" s="65"/>
      <c r="R338"/>
      <c r="S338"/>
    </row>
    <row r="339" spans="1:19" ht="12.75">
      <c r="A339" s="90"/>
      <c r="B339" s="90"/>
      <c r="C339" s="90"/>
      <c r="D339" s="90"/>
      <c r="E339" s="90"/>
      <c r="F339" s="90"/>
      <c r="G339" s="90"/>
      <c r="H339" s="90"/>
      <c r="I339" s="90"/>
      <c r="J339" s="90"/>
      <c r="K339" s="90"/>
      <c r="L339" s="67"/>
      <c r="M339" s="65"/>
      <c r="N339" s="65"/>
      <c r="O339" s="65"/>
      <c r="P339" s="65"/>
      <c r="Q339" s="65"/>
      <c r="R339"/>
      <c r="S339"/>
    </row>
    <row r="340" spans="1:19" ht="12.75">
      <c r="A340" s="497" t="s">
        <v>414</v>
      </c>
      <c r="B340" s="497"/>
      <c r="C340" s="497"/>
      <c r="D340" s="497"/>
      <c r="E340" s="497"/>
      <c r="F340" s="497"/>
      <c r="G340" s="497"/>
      <c r="H340" s="497"/>
      <c r="I340" s="497"/>
      <c r="J340" s="497"/>
      <c r="K340" s="497"/>
      <c r="L340" s="497"/>
      <c r="M340" s="65"/>
      <c r="N340" s="65"/>
      <c r="O340" s="65"/>
      <c r="P340" s="65"/>
      <c r="Q340" s="65"/>
      <c r="R340"/>
      <c r="S340"/>
    </row>
    <row r="341" spans="1:19" ht="12.75">
      <c r="A341" s="90"/>
      <c r="B341" s="90"/>
      <c r="C341" s="90"/>
      <c r="D341" s="67"/>
      <c r="E341" s="90"/>
      <c r="F341" s="67"/>
      <c r="G341" s="69"/>
      <c r="H341" s="69"/>
      <c r="I341" s="69"/>
      <c r="J341" s="69"/>
      <c r="K341" s="69"/>
      <c r="L341" s="67"/>
      <c r="M341" s="65"/>
      <c r="N341" s="65"/>
      <c r="O341" s="65"/>
      <c r="P341" s="65"/>
      <c r="Q341" s="65"/>
      <c r="R341"/>
      <c r="S341"/>
    </row>
    <row r="342" spans="1:19" ht="12.75">
      <c r="A342" s="90"/>
      <c r="B342" s="90"/>
      <c r="C342" s="90"/>
      <c r="D342" s="67"/>
      <c r="E342" s="90"/>
      <c r="F342" s="69" t="s">
        <v>49</v>
      </c>
      <c r="G342" s="69"/>
      <c r="H342" s="69"/>
      <c r="I342" s="69"/>
      <c r="J342" s="69"/>
      <c r="K342" s="67"/>
      <c r="L342" s="67"/>
      <c r="M342" s="65"/>
      <c r="N342" s="65"/>
      <c r="O342" s="65"/>
      <c r="P342" s="65"/>
      <c r="Q342" s="65"/>
      <c r="R342"/>
      <c r="S342"/>
    </row>
    <row r="343" spans="1:19" ht="12.75">
      <c r="A343" s="67"/>
      <c r="B343" s="494" t="s">
        <v>23</v>
      </c>
      <c r="C343" s="494"/>
      <c r="D343" s="494"/>
      <c r="E343" s="90"/>
      <c r="F343" s="69" t="s">
        <v>50</v>
      </c>
      <c r="G343" s="69"/>
      <c r="H343" s="69"/>
      <c r="I343" s="69"/>
      <c r="J343" s="69" t="s">
        <v>521</v>
      </c>
      <c r="K343" s="67"/>
      <c r="L343" s="67"/>
      <c r="M343" s="65"/>
      <c r="N343" s="65"/>
      <c r="O343" s="65"/>
      <c r="P343" s="65"/>
      <c r="Q343" s="65"/>
      <c r="R343"/>
      <c r="S343"/>
    </row>
    <row r="344" spans="1:19" ht="12.75">
      <c r="A344" s="67"/>
      <c r="B344" s="493" t="s">
        <v>24</v>
      </c>
      <c r="C344" s="493"/>
      <c r="D344" s="493"/>
      <c r="E344" s="90"/>
      <c r="F344" s="69" t="s">
        <v>630</v>
      </c>
      <c r="G344" s="69"/>
      <c r="H344" s="69"/>
      <c r="I344" s="69"/>
      <c r="J344" s="69" t="s">
        <v>523</v>
      </c>
      <c r="K344" s="67"/>
      <c r="L344" s="67"/>
      <c r="M344" s="65"/>
      <c r="N344" s="65"/>
      <c r="O344" s="65"/>
      <c r="P344" s="65"/>
      <c r="Q344" s="65"/>
      <c r="R344"/>
      <c r="S344"/>
    </row>
    <row r="345" spans="1:19" ht="12.75">
      <c r="A345" s="67"/>
      <c r="B345" s="492" t="s">
        <v>524</v>
      </c>
      <c r="C345" s="492"/>
      <c r="D345" s="492"/>
      <c r="E345" s="91" t="s">
        <v>594</v>
      </c>
      <c r="F345" s="97" t="s">
        <v>535</v>
      </c>
      <c r="G345" s="69"/>
      <c r="H345" s="69"/>
      <c r="I345" s="69"/>
      <c r="J345" s="97" t="s">
        <v>525</v>
      </c>
      <c r="K345" s="67"/>
      <c r="L345" s="67"/>
      <c r="M345" s="65"/>
      <c r="N345" s="65"/>
      <c r="O345" s="65"/>
      <c r="P345" s="65"/>
      <c r="Q345" s="65"/>
      <c r="R345"/>
      <c r="S345"/>
    </row>
    <row r="346" spans="1:19" ht="12.75">
      <c r="A346" s="67"/>
      <c r="B346" s="90"/>
      <c r="C346" s="90"/>
      <c r="D346" s="67"/>
      <c r="E346" s="90"/>
      <c r="F346" s="90"/>
      <c r="G346" s="90"/>
      <c r="H346" s="67"/>
      <c r="I346" s="90"/>
      <c r="J346" s="92"/>
      <c r="K346" s="67"/>
      <c r="L346" s="67"/>
      <c r="M346" s="65"/>
      <c r="N346" s="65"/>
      <c r="O346" s="65"/>
      <c r="P346" s="65"/>
      <c r="Q346" s="65"/>
      <c r="R346"/>
      <c r="S346"/>
    </row>
    <row r="347" spans="1:19" ht="12.75">
      <c r="A347" s="67"/>
      <c r="B347" s="90" t="s">
        <v>25</v>
      </c>
      <c r="C347" s="90"/>
      <c r="D347" s="67"/>
      <c r="E347" s="90"/>
      <c r="F347" s="290">
        <f>'Schedule D'!AA381</f>
        <v>2525385.956896841</v>
      </c>
      <c r="G347" s="90"/>
      <c r="H347" s="67"/>
      <c r="I347" s="90"/>
      <c r="J347" s="232">
        <f>ROUND(F347/F$357,4)-0.0001</f>
        <v>0.3996</v>
      </c>
      <c r="K347" s="67"/>
      <c r="L347" s="65"/>
      <c r="M347" s="65"/>
      <c r="N347" s="153"/>
      <c r="O347" s="65"/>
      <c r="P347" s="153"/>
      <c r="Q347" s="65"/>
      <c r="R347"/>
      <c r="S347"/>
    </row>
    <row r="348" spans="1:19" ht="12.75">
      <c r="A348" s="67"/>
      <c r="B348" s="90" t="s">
        <v>539</v>
      </c>
      <c r="C348" s="90"/>
      <c r="D348" s="67"/>
      <c r="E348" s="90"/>
      <c r="F348" s="291">
        <f>'Schedule D'!AC381</f>
        <v>1142730.1541476443</v>
      </c>
      <c r="G348" s="90"/>
      <c r="H348" s="67"/>
      <c r="I348" s="90"/>
      <c r="J348" s="93">
        <f aca="true" t="shared" si="4" ref="J348:J355">ROUND(F348/F$357,4)</f>
        <v>0.1809</v>
      </c>
      <c r="K348" s="67"/>
      <c r="L348" s="67"/>
      <c r="M348" s="65"/>
      <c r="N348" s="65"/>
      <c r="O348" s="65"/>
      <c r="P348" s="65"/>
      <c r="Q348" s="65"/>
      <c r="R348"/>
      <c r="S348"/>
    </row>
    <row r="349" spans="1:19" ht="12.75">
      <c r="A349" s="67"/>
      <c r="B349" s="90" t="s">
        <v>557</v>
      </c>
      <c r="C349" s="90"/>
      <c r="D349" s="67"/>
      <c r="E349" s="90"/>
      <c r="F349" s="291">
        <f>'Schedule D'!AE381</f>
        <v>1150721.5273828574</v>
      </c>
      <c r="G349" s="90"/>
      <c r="H349" s="67"/>
      <c r="I349" s="90"/>
      <c r="J349" s="93">
        <f t="shared" si="4"/>
        <v>0.1821</v>
      </c>
      <c r="K349" s="67"/>
      <c r="L349" s="67"/>
      <c r="M349" s="65"/>
      <c r="N349" s="65"/>
      <c r="O349" s="65"/>
      <c r="P349" s="65"/>
      <c r="Q349" s="65"/>
      <c r="R349"/>
      <c r="S349"/>
    </row>
    <row r="350" spans="1:19" ht="12.75">
      <c r="A350" s="67"/>
      <c r="B350" s="90" t="s">
        <v>3</v>
      </c>
      <c r="C350" s="90"/>
      <c r="D350" s="67"/>
      <c r="E350" s="90"/>
      <c r="F350" s="291">
        <f>'Schedule D'!AG381</f>
        <v>49959.56895</v>
      </c>
      <c r="G350" s="90"/>
      <c r="H350" s="67"/>
      <c r="I350" s="90"/>
      <c r="J350" s="93">
        <f t="shared" si="4"/>
        <v>0.0079</v>
      </c>
      <c r="K350" s="67"/>
      <c r="L350" s="67"/>
      <c r="M350" s="65"/>
      <c r="N350" s="65"/>
      <c r="O350" s="65"/>
      <c r="P350" s="65"/>
      <c r="Q350" s="65"/>
      <c r="R350"/>
      <c r="S350"/>
    </row>
    <row r="351" spans="1:19" ht="12.75">
      <c r="A351" s="67"/>
      <c r="B351" s="90" t="s">
        <v>605</v>
      </c>
      <c r="C351" s="90"/>
      <c r="D351" s="67"/>
      <c r="E351" s="90"/>
      <c r="F351" s="291">
        <f>'Schedule D'!AI381</f>
        <v>0</v>
      </c>
      <c r="G351" s="90"/>
      <c r="H351" s="67"/>
      <c r="I351" s="90"/>
      <c r="J351" s="93">
        <f t="shared" si="4"/>
        <v>0</v>
      </c>
      <c r="K351" s="67"/>
      <c r="L351" s="67"/>
      <c r="M351" s="65"/>
      <c r="N351" s="65"/>
      <c r="O351" s="65"/>
      <c r="P351" s="65"/>
      <c r="Q351" s="65"/>
      <c r="R351"/>
      <c r="S351"/>
    </row>
    <row r="352" spans="1:19" ht="12.75">
      <c r="A352" s="67"/>
      <c r="B352" s="90" t="s">
        <v>408</v>
      </c>
      <c r="C352" s="90"/>
      <c r="D352" s="67"/>
      <c r="E352" s="90"/>
      <c r="F352" s="291">
        <f>'Schedule D'!AK381</f>
        <v>488182.86068000004</v>
      </c>
      <c r="G352" s="90"/>
      <c r="H352" s="67"/>
      <c r="I352" s="90"/>
      <c r="J352" s="93">
        <f t="shared" si="4"/>
        <v>0.0773</v>
      </c>
      <c r="K352" s="67"/>
      <c r="L352" s="67"/>
      <c r="M352" s="65"/>
      <c r="N352" s="65"/>
      <c r="O352" s="65"/>
      <c r="P352" s="65"/>
      <c r="Q352" s="65"/>
      <c r="R352"/>
      <c r="S352"/>
    </row>
    <row r="353" spans="1:19" ht="12.75">
      <c r="A353" s="67"/>
      <c r="B353" s="90" t="s">
        <v>409</v>
      </c>
      <c r="C353" s="90"/>
      <c r="D353" s="67"/>
      <c r="E353" s="90"/>
      <c r="F353" s="291">
        <f>'Schedule D'!AM381</f>
        <v>662887.31995</v>
      </c>
      <c r="G353" s="90"/>
      <c r="H353" s="67"/>
      <c r="I353" s="90"/>
      <c r="J353" s="93">
        <f t="shared" si="4"/>
        <v>0.1049</v>
      </c>
      <c r="K353" s="67"/>
      <c r="L353" s="67"/>
      <c r="M353" s="65"/>
      <c r="N353" s="65"/>
      <c r="O353" s="65"/>
      <c r="P353" s="65"/>
      <c r="Q353" s="65"/>
      <c r="R353"/>
      <c r="S353"/>
    </row>
    <row r="354" spans="1:19" ht="12.75">
      <c r="A354" s="67"/>
      <c r="B354" s="90" t="s">
        <v>44</v>
      </c>
      <c r="C354" s="90"/>
      <c r="D354" s="67"/>
      <c r="E354" s="90"/>
      <c r="F354" s="291">
        <f>'Schedule D'!AO381</f>
        <v>129252.23687823402</v>
      </c>
      <c r="G354" s="90"/>
      <c r="H354" s="67"/>
      <c r="I354" s="90"/>
      <c r="J354" s="93">
        <f t="shared" si="4"/>
        <v>0.0205</v>
      </c>
      <c r="K354" s="67"/>
      <c r="L354" s="67"/>
      <c r="M354" s="65"/>
      <c r="N354" s="65"/>
      <c r="O354" s="65"/>
      <c r="P354" s="65"/>
      <c r="Q354" s="65"/>
      <c r="R354"/>
      <c r="S354"/>
    </row>
    <row r="355" spans="1:19" ht="12.75">
      <c r="A355" s="67"/>
      <c r="B355" s="90" t="s">
        <v>45</v>
      </c>
      <c r="C355" s="90"/>
      <c r="D355" s="67"/>
      <c r="E355" s="90"/>
      <c r="F355" s="291">
        <f>'Schedule D'!AQ381</f>
        <v>169460.66511442262</v>
      </c>
      <c r="G355" s="90"/>
      <c r="H355" s="67"/>
      <c r="I355" s="90"/>
      <c r="J355" s="93">
        <f t="shared" si="4"/>
        <v>0.0268</v>
      </c>
      <c r="K355" s="67"/>
      <c r="L355" s="67"/>
      <c r="M355" s="65"/>
      <c r="N355" s="65"/>
      <c r="O355" s="65"/>
      <c r="P355" s="65"/>
      <c r="Q355" s="65"/>
      <c r="R355"/>
      <c r="S355"/>
    </row>
    <row r="356" spans="1:19" ht="12.75">
      <c r="A356" s="67"/>
      <c r="B356" s="90"/>
      <c r="C356" s="90"/>
      <c r="D356" s="67"/>
      <c r="E356" s="90"/>
      <c r="F356" s="84"/>
      <c r="G356" s="90"/>
      <c r="H356" s="67"/>
      <c r="I356" s="90"/>
      <c r="J356" s="94"/>
      <c r="K356" s="67"/>
      <c r="L356" s="67"/>
      <c r="M356" s="65"/>
      <c r="N356" s="65"/>
      <c r="O356" s="65"/>
      <c r="P356" s="65"/>
      <c r="Q356" s="65"/>
      <c r="R356"/>
      <c r="S356"/>
    </row>
    <row r="357" spans="1:19" ht="13.5" thickBot="1">
      <c r="A357" s="67"/>
      <c r="B357" s="90" t="s">
        <v>532</v>
      </c>
      <c r="C357" s="90"/>
      <c r="D357" s="67"/>
      <c r="E357" s="90"/>
      <c r="F357" s="233">
        <f>SUM(F347:F356)</f>
        <v>6318580.289999999</v>
      </c>
      <c r="G357" s="90"/>
      <c r="H357" s="67"/>
      <c r="I357" s="90"/>
      <c r="J357" s="93">
        <f>SUM(J347:J356)</f>
        <v>1</v>
      </c>
      <c r="K357" s="67"/>
      <c r="L357" s="67"/>
      <c r="M357" s="65"/>
      <c r="N357" s="65"/>
      <c r="O357" s="65"/>
      <c r="P357" s="65"/>
      <c r="Q357" s="65"/>
      <c r="R357"/>
      <c r="S357"/>
    </row>
    <row r="358" spans="1:19" ht="13.5" thickTop="1">
      <c r="A358" s="90"/>
      <c r="B358" s="90"/>
      <c r="C358" s="90"/>
      <c r="D358" s="90"/>
      <c r="E358" s="90"/>
      <c r="F358" s="96"/>
      <c r="G358" s="90"/>
      <c r="H358" s="90"/>
      <c r="I358" s="90"/>
      <c r="J358" s="96"/>
      <c r="K358" s="67"/>
      <c r="L358" s="67"/>
      <c r="M358" s="65"/>
      <c r="N358" s="65"/>
      <c r="O358" s="65"/>
      <c r="P358" s="65"/>
      <c r="Q358" s="65"/>
      <c r="R358"/>
      <c r="S358"/>
    </row>
    <row r="359" spans="1:19" ht="12.75">
      <c r="A359" s="67"/>
      <c r="B359" s="67"/>
      <c r="C359" s="67"/>
      <c r="D359" s="67"/>
      <c r="E359" s="67"/>
      <c r="F359" s="67"/>
      <c r="G359" s="67"/>
      <c r="H359" s="67"/>
      <c r="I359" s="67"/>
      <c r="J359" s="67"/>
      <c r="K359" s="67"/>
      <c r="L359" s="67"/>
      <c r="M359" s="65"/>
      <c r="N359" s="65"/>
      <c r="O359" s="65"/>
      <c r="P359" s="65"/>
      <c r="Q359" s="65"/>
      <c r="R359"/>
      <c r="S359"/>
    </row>
    <row r="360" spans="1:19" ht="12.75">
      <c r="A360" s="90" t="s">
        <v>473</v>
      </c>
      <c r="B360" s="90"/>
      <c r="C360" s="90"/>
      <c r="D360" s="90"/>
      <c r="E360" s="90"/>
      <c r="F360" s="90"/>
      <c r="G360" s="90"/>
      <c r="H360" s="90"/>
      <c r="I360" s="90"/>
      <c r="J360" s="90"/>
      <c r="K360" s="67"/>
      <c r="L360" s="67"/>
      <c r="M360" s="65"/>
      <c r="N360" s="65"/>
      <c r="O360" s="65"/>
      <c r="P360" s="65"/>
      <c r="Q360" s="65"/>
      <c r="R360"/>
      <c r="S360"/>
    </row>
    <row r="361" spans="1:19" ht="12.75">
      <c r="A361" s="90"/>
      <c r="B361" s="90"/>
      <c r="C361" s="90"/>
      <c r="D361" s="90"/>
      <c r="E361" s="90"/>
      <c r="F361" s="90"/>
      <c r="G361" s="90"/>
      <c r="H361" s="90"/>
      <c r="I361" s="90"/>
      <c r="J361" s="90"/>
      <c r="K361" s="67"/>
      <c r="L361" s="67"/>
      <c r="M361" s="65"/>
      <c r="N361" s="65"/>
      <c r="O361" s="65"/>
      <c r="P361" s="65"/>
      <c r="Q361" s="65"/>
      <c r="R361"/>
      <c r="S361"/>
    </row>
    <row r="362" spans="1:19" ht="12.75">
      <c r="A362" s="90" t="s">
        <v>51</v>
      </c>
      <c r="B362" s="65"/>
      <c r="C362" s="90"/>
      <c r="D362" s="90"/>
      <c r="E362" s="90"/>
      <c r="F362" s="90"/>
      <c r="G362" s="90"/>
      <c r="H362" s="90"/>
      <c r="I362" s="90"/>
      <c r="J362" s="90"/>
      <c r="K362" s="67"/>
      <c r="L362" s="67"/>
      <c r="M362" s="65"/>
      <c r="N362" s="65"/>
      <c r="O362" s="65"/>
      <c r="P362" s="65"/>
      <c r="Q362" s="65"/>
      <c r="R362"/>
      <c r="S362"/>
    </row>
    <row r="363" spans="1:19" ht="12.75">
      <c r="A363" s="90"/>
      <c r="B363" s="90"/>
      <c r="C363" s="90"/>
      <c r="D363" s="90"/>
      <c r="E363" s="90"/>
      <c r="F363" s="90"/>
      <c r="G363" s="90"/>
      <c r="H363" s="90"/>
      <c r="I363" s="90"/>
      <c r="J363" s="90"/>
      <c r="K363" s="67"/>
      <c r="L363" s="67"/>
      <c r="M363" s="65"/>
      <c r="N363" s="65"/>
      <c r="O363" s="65"/>
      <c r="P363" s="65"/>
      <c r="Q363" s="65"/>
      <c r="R363"/>
      <c r="S363"/>
    </row>
    <row r="364" spans="1:19" ht="12.75">
      <c r="A364" s="90"/>
      <c r="B364" s="90"/>
      <c r="C364" s="90"/>
      <c r="D364" s="67"/>
      <c r="E364" s="90"/>
      <c r="F364" s="67"/>
      <c r="G364" s="69"/>
      <c r="H364" s="69"/>
      <c r="I364" s="69"/>
      <c r="J364" s="69"/>
      <c r="K364" s="67"/>
      <c r="L364" s="67"/>
      <c r="M364" s="65"/>
      <c r="N364" s="65"/>
      <c r="O364" s="65"/>
      <c r="P364" s="65"/>
      <c r="Q364" s="65"/>
      <c r="R364"/>
      <c r="S364"/>
    </row>
    <row r="365" spans="1:19" ht="12.75">
      <c r="A365" s="67"/>
      <c r="B365" s="494" t="s">
        <v>23</v>
      </c>
      <c r="C365" s="494"/>
      <c r="D365" s="494"/>
      <c r="E365" s="90"/>
      <c r="F365" s="69" t="s">
        <v>52</v>
      </c>
      <c r="G365" s="69"/>
      <c r="H365" s="69"/>
      <c r="I365" s="69"/>
      <c r="J365" s="69" t="s">
        <v>521</v>
      </c>
      <c r="K365" s="67"/>
      <c r="L365" s="67"/>
      <c r="M365" s="65"/>
      <c r="N365" s="65"/>
      <c r="O365" s="65"/>
      <c r="P365" s="65"/>
      <c r="Q365" s="65"/>
      <c r="R365"/>
      <c r="S365"/>
    </row>
    <row r="366" spans="1:19" ht="12.75">
      <c r="A366" s="67"/>
      <c r="B366" s="493" t="s">
        <v>24</v>
      </c>
      <c r="C366" s="493"/>
      <c r="D366" s="493"/>
      <c r="E366" s="90"/>
      <c r="F366" s="69" t="s">
        <v>53</v>
      </c>
      <c r="G366" s="69"/>
      <c r="H366" s="69"/>
      <c r="I366" s="69"/>
      <c r="J366" s="69" t="s">
        <v>523</v>
      </c>
      <c r="K366" s="67"/>
      <c r="L366" s="67"/>
      <c r="M366" s="65"/>
      <c r="N366" s="65"/>
      <c r="O366" s="65"/>
      <c r="P366" s="65"/>
      <c r="Q366" s="65"/>
      <c r="R366"/>
      <c r="S366"/>
    </row>
    <row r="367" spans="1:19" ht="12.75">
      <c r="A367" s="67"/>
      <c r="B367" s="492" t="s">
        <v>524</v>
      </c>
      <c r="C367" s="492"/>
      <c r="D367" s="492"/>
      <c r="E367" s="91" t="s">
        <v>594</v>
      </c>
      <c r="F367" s="97" t="s">
        <v>535</v>
      </c>
      <c r="G367" s="69"/>
      <c r="H367" s="69"/>
      <c r="I367" s="69"/>
      <c r="J367" s="97" t="s">
        <v>525</v>
      </c>
      <c r="K367" s="67"/>
      <c r="L367" s="67"/>
      <c r="M367" s="65"/>
      <c r="N367" s="65"/>
      <c r="O367" s="65"/>
      <c r="P367" s="65"/>
      <c r="Q367" s="65"/>
      <c r="R367"/>
      <c r="S367"/>
    </row>
    <row r="368" spans="1:19" ht="12.75">
      <c r="A368" s="67"/>
      <c r="B368" s="90"/>
      <c r="C368" s="90"/>
      <c r="D368" s="67"/>
      <c r="E368" s="90"/>
      <c r="F368" s="90"/>
      <c r="G368" s="90"/>
      <c r="H368" s="67"/>
      <c r="I368" s="90"/>
      <c r="J368" s="92"/>
      <c r="K368" s="67"/>
      <c r="L368" s="67"/>
      <c r="M368" s="65"/>
      <c r="N368" s="65"/>
      <c r="O368" s="65"/>
      <c r="P368" s="65"/>
      <c r="Q368" s="65"/>
      <c r="R368"/>
      <c r="S368"/>
    </row>
    <row r="369" spans="1:19" ht="12.75">
      <c r="A369" s="67"/>
      <c r="B369" s="90" t="s">
        <v>25</v>
      </c>
      <c r="C369" s="90"/>
      <c r="D369" s="67"/>
      <c r="E369" s="90"/>
      <c r="F369" s="290">
        <f>'Schedule D'!AA383</f>
        <v>103176050.90176895</v>
      </c>
      <c r="G369" s="90"/>
      <c r="H369" s="67"/>
      <c r="I369" s="90"/>
      <c r="J369" s="232">
        <f>ROUND(F369/F$379,4)</f>
        <v>0.3666</v>
      </c>
      <c r="K369" s="67"/>
      <c r="L369" s="65"/>
      <c r="M369" s="65"/>
      <c r="N369" s="153"/>
      <c r="O369" s="65"/>
      <c r="P369" s="153"/>
      <c r="Q369" s="65"/>
      <c r="R369"/>
      <c r="S369"/>
    </row>
    <row r="370" spans="1:19" ht="12.75">
      <c r="A370" s="67"/>
      <c r="B370" s="90" t="s">
        <v>539</v>
      </c>
      <c r="C370" s="90"/>
      <c r="D370" s="67"/>
      <c r="E370" s="90"/>
      <c r="F370" s="291">
        <f>'Schedule D'!AC383</f>
        <v>41644325.684086725</v>
      </c>
      <c r="G370" s="90"/>
      <c r="H370" s="67"/>
      <c r="I370" s="90"/>
      <c r="J370" s="93">
        <f aca="true" t="shared" si="5" ref="J370:J377">ROUND(F370/F$379,4)</f>
        <v>0.148</v>
      </c>
      <c r="K370" s="67"/>
      <c r="L370" s="67"/>
      <c r="M370" s="65"/>
      <c r="N370" s="65"/>
      <c r="O370" s="65"/>
      <c r="P370" s="65"/>
      <c r="Q370" s="65"/>
      <c r="R370"/>
      <c r="S370"/>
    </row>
    <row r="371" spans="1:19" ht="12.75">
      <c r="A371" s="67"/>
      <c r="B371" s="90" t="s">
        <v>557</v>
      </c>
      <c r="C371" s="90"/>
      <c r="D371" s="67"/>
      <c r="E371" s="90"/>
      <c r="F371" s="291">
        <f>'Schedule D'!AE383</f>
        <v>57645940.603159726</v>
      </c>
      <c r="G371" s="90"/>
      <c r="H371" s="67"/>
      <c r="I371" s="90"/>
      <c r="J371" s="93">
        <f t="shared" si="5"/>
        <v>0.2048</v>
      </c>
      <c r="K371" s="67"/>
      <c r="L371" s="67"/>
      <c r="M371" s="65"/>
      <c r="N371" s="65"/>
      <c r="O371" s="65"/>
      <c r="P371" s="65"/>
      <c r="Q371" s="65"/>
      <c r="R371"/>
      <c r="S371"/>
    </row>
    <row r="372" spans="1:19" ht="12.75">
      <c r="A372" s="67"/>
      <c r="B372" s="90" t="s">
        <v>427</v>
      </c>
      <c r="C372" s="90"/>
      <c r="D372" s="67"/>
      <c r="E372" s="90"/>
      <c r="F372" s="291">
        <f>'Schedule D'!AG383</f>
        <v>22196703.782</v>
      </c>
      <c r="G372" s="90"/>
      <c r="H372" s="67"/>
      <c r="I372" s="90"/>
      <c r="J372" s="93">
        <f t="shared" si="5"/>
        <v>0.0789</v>
      </c>
      <c r="K372" s="67"/>
      <c r="L372" s="67"/>
      <c r="M372" s="65"/>
      <c r="N372" s="65"/>
      <c r="O372" s="65"/>
      <c r="P372" s="65"/>
      <c r="Q372" s="65"/>
      <c r="R372"/>
      <c r="S372"/>
    </row>
    <row r="373" spans="1:19" ht="12.75">
      <c r="A373" s="67"/>
      <c r="B373" s="90" t="s">
        <v>605</v>
      </c>
      <c r="C373" s="90"/>
      <c r="D373" s="67"/>
      <c r="E373" s="90"/>
      <c r="F373" s="291">
        <f>'Schedule D'!AI383</f>
        <v>28893967</v>
      </c>
      <c r="G373" s="90"/>
      <c r="H373" s="67"/>
      <c r="I373" s="90"/>
      <c r="J373" s="93">
        <f t="shared" si="5"/>
        <v>0.1027</v>
      </c>
      <c r="K373" s="67"/>
      <c r="L373" s="67"/>
      <c r="M373" s="65"/>
      <c r="N373" s="65"/>
      <c r="O373" s="65"/>
      <c r="P373" s="65"/>
      <c r="Q373" s="65"/>
      <c r="R373"/>
      <c r="S373"/>
    </row>
    <row r="374" spans="1:19" ht="12.75">
      <c r="A374" s="67"/>
      <c r="B374" s="90" t="s">
        <v>408</v>
      </c>
      <c r="C374" s="90"/>
      <c r="D374" s="67"/>
      <c r="E374" s="90"/>
      <c r="F374" s="291">
        <f>'Schedule D'!AK383</f>
        <v>1826641.6992000001</v>
      </c>
      <c r="G374" s="90"/>
      <c r="H374" s="67"/>
      <c r="I374" s="90"/>
      <c r="J374" s="93">
        <f t="shared" si="5"/>
        <v>0.0065</v>
      </c>
      <c r="K374" s="67"/>
      <c r="L374" s="67"/>
      <c r="M374" s="65"/>
      <c r="N374" s="65"/>
      <c r="O374" s="65"/>
      <c r="P374" s="65"/>
      <c r="Q374" s="65"/>
      <c r="R374"/>
      <c r="S374"/>
    </row>
    <row r="375" spans="1:19" ht="12.75">
      <c r="A375" s="67"/>
      <c r="B375" s="90" t="s">
        <v>409</v>
      </c>
      <c r="C375" s="90"/>
      <c r="D375" s="67"/>
      <c r="E375" s="90"/>
      <c r="F375" s="291">
        <f>'Schedule D'!AM383</f>
        <v>586135.0280000002</v>
      </c>
      <c r="G375" s="90"/>
      <c r="H375" s="67"/>
      <c r="I375" s="90"/>
      <c r="J375" s="93">
        <f t="shared" si="5"/>
        <v>0.0021</v>
      </c>
      <c r="K375" s="67"/>
      <c r="L375" s="67"/>
      <c r="M375" s="65"/>
      <c r="N375" s="65"/>
      <c r="O375" s="65"/>
      <c r="P375" s="65"/>
      <c r="Q375" s="65"/>
      <c r="R375"/>
      <c r="S375"/>
    </row>
    <row r="376" spans="1:19" ht="12.75">
      <c r="A376" s="67"/>
      <c r="B376" s="90" t="s">
        <v>44</v>
      </c>
      <c r="C376" s="90"/>
      <c r="D376" s="67"/>
      <c r="E376" s="90"/>
      <c r="F376" s="291">
        <f>'Schedule D'!AO383</f>
        <v>7228046.266053662</v>
      </c>
      <c r="G376" s="90"/>
      <c r="H376" s="67"/>
      <c r="I376" s="90"/>
      <c r="J376" s="93">
        <f t="shared" si="5"/>
        <v>0.0257</v>
      </c>
      <c r="K376" s="67"/>
      <c r="L376" s="67"/>
      <c r="M376" s="65"/>
      <c r="N376" s="65"/>
      <c r="O376" s="65"/>
      <c r="P376" s="65"/>
      <c r="Q376" s="65"/>
      <c r="R376"/>
      <c r="S376"/>
    </row>
    <row r="377" spans="1:19" ht="12.75">
      <c r="A377" s="67"/>
      <c r="B377" s="90" t="s">
        <v>45</v>
      </c>
      <c r="C377" s="90"/>
      <c r="D377" s="67"/>
      <c r="E377" s="90"/>
      <c r="F377" s="291">
        <f>'Schedule D'!AQ383</f>
        <v>18210713.035730924</v>
      </c>
      <c r="G377" s="90"/>
      <c r="H377" s="67"/>
      <c r="I377" s="90"/>
      <c r="J377" s="93">
        <f t="shared" si="5"/>
        <v>0.0647</v>
      </c>
      <c r="K377" s="67"/>
      <c r="L377" s="67"/>
      <c r="M377" s="65"/>
      <c r="N377" s="65"/>
      <c r="O377" s="65"/>
      <c r="P377" s="65"/>
      <c r="Q377" s="65"/>
      <c r="R377"/>
      <c r="S377"/>
    </row>
    <row r="378" spans="1:19" ht="12.75">
      <c r="A378" s="67"/>
      <c r="B378" s="90"/>
      <c r="C378" s="90"/>
      <c r="D378" s="67"/>
      <c r="E378" s="90"/>
      <c r="F378" s="84"/>
      <c r="G378" s="90"/>
      <c r="H378" s="67"/>
      <c r="I378" s="90"/>
      <c r="J378" s="94"/>
      <c r="K378" s="67"/>
      <c r="L378" s="67"/>
      <c r="M378" s="65"/>
      <c r="N378" s="65"/>
      <c r="O378" s="65"/>
      <c r="P378" s="65"/>
      <c r="Q378" s="65"/>
      <c r="R378"/>
      <c r="S378"/>
    </row>
    <row r="379" spans="1:19" ht="13.5" thickBot="1">
      <c r="A379" s="67"/>
      <c r="B379" s="90" t="s">
        <v>532</v>
      </c>
      <c r="C379" s="90"/>
      <c r="D379" s="67"/>
      <c r="E379" s="90"/>
      <c r="F379" s="233">
        <f>SUM(F369:F378)</f>
        <v>281408523.99999994</v>
      </c>
      <c r="G379" s="90"/>
      <c r="H379" s="67"/>
      <c r="I379" s="90"/>
      <c r="J379" s="93">
        <f>SUM(J369:J378)</f>
        <v>0.9999999999999998</v>
      </c>
      <c r="K379" s="67"/>
      <c r="L379" s="67"/>
      <c r="M379" s="65"/>
      <c r="N379" s="65"/>
      <c r="O379" s="65"/>
      <c r="P379" s="65"/>
      <c r="Q379" s="65"/>
      <c r="R379"/>
      <c r="S379"/>
    </row>
    <row r="380" spans="1:19" ht="13.5" thickTop="1">
      <c r="A380" s="67"/>
      <c r="B380" s="67"/>
      <c r="C380" s="67"/>
      <c r="D380" s="67"/>
      <c r="E380" s="67"/>
      <c r="F380" s="82"/>
      <c r="G380" s="67"/>
      <c r="H380" s="67"/>
      <c r="I380" s="67"/>
      <c r="J380" s="82"/>
      <c r="K380" s="67"/>
      <c r="L380" s="67"/>
      <c r="M380" s="65"/>
      <c r="N380" s="65"/>
      <c r="O380" s="65"/>
      <c r="P380" s="65"/>
      <c r="Q380" s="65"/>
      <c r="R380"/>
      <c r="S380"/>
    </row>
    <row r="381" spans="1:19" ht="12.75">
      <c r="A381" s="67"/>
      <c r="B381" s="67"/>
      <c r="C381" s="67"/>
      <c r="D381" s="67"/>
      <c r="E381" s="67"/>
      <c r="F381" s="172"/>
      <c r="G381" s="174"/>
      <c r="H381" s="174"/>
      <c r="I381" s="174"/>
      <c r="J381" s="172"/>
      <c r="K381" s="67"/>
      <c r="L381" s="67"/>
      <c r="M381" s="65"/>
      <c r="N381" s="65"/>
      <c r="O381" s="65"/>
      <c r="P381" s="65"/>
      <c r="Q381" s="65"/>
      <c r="R381"/>
      <c r="S381"/>
    </row>
    <row r="382" spans="1:19" ht="12.75">
      <c r="A382" s="90" t="s">
        <v>474</v>
      </c>
      <c r="B382" s="90"/>
      <c r="C382" s="90"/>
      <c r="D382" s="90"/>
      <c r="E382" s="90"/>
      <c r="F382" s="90"/>
      <c r="G382" s="90"/>
      <c r="H382" s="90"/>
      <c r="I382" s="90"/>
      <c r="J382" s="90"/>
      <c r="K382" s="67"/>
      <c r="L382" s="67"/>
      <c r="M382" s="65"/>
      <c r="N382" s="65"/>
      <c r="O382" s="65"/>
      <c r="P382" s="65"/>
      <c r="Q382" s="65"/>
      <c r="R382"/>
      <c r="S382"/>
    </row>
    <row r="383" spans="1:19" ht="12.75">
      <c r="A383" s="90"/>
      <c r="B383" s="90"/>
      <c r="C383" s="90"/>
      <c r="D383" s="90"/>
      <c r="E383" s="90"/>
      <c r="F383" s="90"/>
      <c r="G383" s="90"/>
      <c r="H383" s="90"/>
      <c r="I383" s="90"/>
      <c r="J383" s="90"/>
      <c r="K383" s="67"/>
      <c r="L383" s="67"/>
      <c r="M383" s="65"/>
      <c r="N383" s="65"/>
      <c r="O383" s="65"/>
      <c r="P383" s="65"/>
      <c r="Q383" s="65"/>
      <c r="R383"/>
      <c r="S383"/>
    </row>
    <row r="384" spans="1:19" ht="26.25" customHeight="1">
      <c r="A384" s="497" t="s">
        <v>63</v>
      </c>
      <c r="B384" s="497"/>
      <c r="C384" s="497"/>
      <c r="D384" s="497"/>
      <c r="E384" s="497"/>
      <c r="F384" s="497"/>
      <c r="G384" s="497"/>
      <c r="H384" s="497"/>
      <c r="I384" s="497"/>
      <c r="J384" s="497"/>
      <c r="K384" s="497"/>
      <c r="L384" s="497"/>
      <c r="M384" s="65"/>
      <c r="N384" s="65"/>
      <c r="O384" s="65"/>
      <c r="P384" s="65"/>
      <c r="Q384" s="65"/>
      <c r="R384"/>
      <c r="S384"/>
    </row>
    <row r="385" spans="1:19" ht="12.75">
      <c r="A385" s="90"/>
      <c r="B385" s="90"/>
      <c r="C385" s="90"/>
      <c r="D385" s="90"/>
      <c r="E385" s="90"/>
      <c r="F385" s="90"/>
      <c r="G385" s="90"/>
      <c r="H385" s="90"/>
      <c r="I385" s="90"/>
      <c r="J385" s="90"/>
      <c r="K385" s="67"/>
      <c r="L385" s="67"/>
      <c r="M385" s="65"/>
      <c r="N385" s="65"/>
      <c r="O385" s="65"/>
      <c r="P385" s="65"/>
      <c r="Q385" s="65"/>
      <c r="R385"/>
      <c r="S385"/>
    </row>
    <row r="386" spans="1:19" ht="12.75">
      <c r="A386" s="67"/>
      <c r="B386" s="494" t="s">
        <v>23</v>
      </c>
      <c r="C386" s="494"/>
      <c r="D386" s="494"/>
      <c r="E386" s="90"/>
      <c r="F386" s="69" t="s">
        <v>54</v>
      </c>
      <c r="G386" s="69"/>
      <c r="H386" s="69"/>
      <c r="I386" s="69"/>
      <c r="J386" s="69" t="s">
        <v>521</v>
      </c>
      <c r="K386" s="67"/>
      <c r="L386" s="67"/>
      <c r="M386" s="65"/>
      <c r="N386" s="65"/>
      <c r="O386" s="65"/>
      <c r="P386" s="65"/>
      <c r="Q386" s="65"/>
      <c r="R386"/>
      <c r="S386"/>
    </row>
    <row r="387" spans="1:19" ht="12.75">
      <c r="A387" s="67"/>
      <c r="B387" s="493" t="s">
        <v>24</v>
      </c>
      <c r="C387" s="493"/>
      <c r="D387" s="493"/>
      <c r="E387" s="90"/>
      <c r="F387" s="69" t="s">
        <v>55</v>
      </c>
      <c r="G387" s="69"/>
      <c r="H387" s="69"/>
      <c r="I387" s="69"/>
      <c r="J387" s="69" t="s">
        <v>523</v>
      </c>
      <c r="K387" s="67"/>
      <c r="L387" s="67"/>
      <c r="M387" s="65"/>
      <c r="N387" s="65"/>
      <c r="O387" s="65"/>
      <c r="P387" s="65"/>
      <c r="Q387" s="65"/>
      <c r="R387"/>
      <c r="S387"/>
    </row>
    <row r="388" spans="1:19" ht="12.75">
      <c r="A388" s="67"/>
      <c r="B388" s="492" t="s">
        <v>524</v>
      </c>
      <c r="C388" s="492"/>
      <c r="D388" s="492"/>
      <c r="E388" s="91" t="s">
        <v>594</v>
      </c>
      <c r="F388" s="97" t="s">
        <v>535</v>
      </c>
      <c r="G388" s="69"/>
      <c r="H388" s="69"/>
      <c r="I388" s="69"/>
      <c r="J388" s="97" t="s">
        <v>525</v>
      </c>
      <c r="K388" s="67"/>
      <c r="L388" s="67"/>
      <c r="M388" s="65"/>
      <c r="N388" s="65"/>
      <c r="O388" s="65"/>
      <c r="P388" s="65"/>
      <c r="Q388" s="65"/>
      <c r="R388"/>
      <c r="S388"/>
    </row>
    <row r="389" spans="1:19" ht="12.75">
      <c r="A389" s="67"/>
      <c r="B389" s="90"/>
      <c r="C389" s="90"/>
      <c r="D389" s="67"/>
      <c r="E389" s="90"/>
      <c r="F389" s="90"/>
      <c r="G389" s="90"/>
      <c r="H389" s="67"/>
      <c r="I389" s="90"/>
      <c r="J389" s="92"/>
      <c r="K389" s="67"/>
      <c r="L389" s="67"/>
      <c r="M389" s="65"/>
      <c r="N389" s="65"/>
      <c r="O389" s="65"/>
      <c r="P389" s="65"/>
      <c r="Q389" s="65"/>
      <c r="R389"/>
      <c r="S389"/>
    </row>
    <row r="390" spans="1:19" ht="12.75">
      <c r="A390" s="67"/>
      <c r="B390" s="90" t="s">
        <v>25</v>
      </c>
      <c r="C390" s="90"/>
      <c r="D390" s="67"/>
      <c r="E390" s="90"/>
      <c r="F390" s="290">
        <f>'Schedule D'!AA385</f>
        <v>83371739.63822967</v>
      </c>
      <c r="G390" s="90"/>
      <c r="H390" s="67"/>
      <c r="I390" s="90"/>
      <c r="J390" s="232">
        <f>ROUND(F390/F$400,4)-0.0001</f>
        <v>0.394</v>
      </c>
      <c r="K390" s="67"/>
      <c r="L390" s="65"/>
      <c r="M390" s="153"/>
      <c r="N390" s="65"/>
      <c r="O390" s="153"/>
      <c r="P390" s="65"/>
      <c r="Q390" s="153"/>
      <c r="R390"/>
      <c r="S390"/>
    </row>
    <row r="391" spans="1:19" ht="12.75">
      <c r="A391" s="67"/>
      <c r="B391" s="90" t="s">
        <v>539</v>
      </c>
      <c r="C391" s="90"/>
      <c r="D391" s="67"/>
      <c r="E391" s="90"/>
      <c r="F391" s="291">
        <f>'Schedule D'!AC385</f>
        <v>38400664.73009573</v>
      </c>
      <c r="G391" s="90"/>
      <c r="H391" s="67"/>
      <c r="I391" s="90"/>
      <c r="J391" s="93">
        <f aca="true" t="shared" si="6" ref="J391:J398">ROUND(F391/F$400,4)</f>
        <v>0.1815</v>
      </c>
      <c r="K391" s="67"/>
      <c r="L391" s="67"/>
      <c r="M391" s="65"/>
      <c r="N391" s="65"/>
      <c r="O391" s="65"/>
      <c r="P391" s="65"/>
      <c r="Q391" s="65"/>
      <c r="R391"/>
      <c r="S391"/>
    </row>
    <row r="392" spans="1:19" ht="12.75">
      <c r="A392" s="67"/>
      <c r="B392" s="90" t="s">
        <v>557</v>
      </c>
      <c r="C392" s="90"/>
      <c r="D392" s="67"/>
      <c r="E392" s="90"/>
      <c r="F392" s="291">
        <f>'Schedule D'!AE385</f>
        <v>35545255.81124805</v>
      </c>
      <c r="G392" s="90"/>
      <c r="H392" s="67"/>
      <c r="I392" s="90"/>
      <c r="J392" s="93">
        <f t="shared" si="6"/>
        <v>0.168</v>
      </c>
      <c r="K392" s="67"/>
      <c r="L392" s="67"/>
      <c r="M392" s="65"/>
      <c r="N392" s="65"/>
      <c r="O392" s="65"/>
      <c r="P392" s="65"/>
      <c r="Q392" s="65"/>
      <c r="R392"/>
      <c r="S392"/>
    </row>
    <row r="393" spans="1:19" ht="12.75">
      <c r="A393" s="67"/>
      <c r="B393" s="90" t="s">
        <v>3</v>
      </c>
      <c r="C393" s="90"/>
      <c r="D393" s="67"/>
      <c r="E393" s="90"/>
      <c r="F393" s="291">
        <f>'Schedule D'!AG385</f>
        <v>19212976.519925002</v>
      </c>
      <c r="G393" s="90"/>
      <c r="H393" s="67"/>
      <c r="I393" s="90"/>
      <c r="J393" s="93">
        <f t="shared" si="6"/>
        <v>0.0908</v>
      </c>
      <c r="K393" s="67"/>
      <c r="L393" s="67"/>
      <c r="M393" s="65"/>
      <c r="N393" s="65"/>
      <c r="O393" s="65"/>
      <c r="P393" s="65"/>
      <c r="Q393" s="65"/>
      <c r="R393"/>
      <c r="S393"/>
    </row>
    <row r="394" spans="1:19" ht="12.75">
      <c r="A394" s="67"/>
      <c r="B394" s="90" t="s">
        <v>605</v>
      </c>
      <c r="C394" s="90"/>
      <c r="D394" s="67"/>
      <c r="E394" s="90"/>
      <c r="F394" s="291">
        <f>'Schedule D'!AI385</f>
        <v>7977599.1776083335</v>
      </c>
      <c r="G394" s="90"/>
      <c r="H394" s="67"/>
      <c r="I394" s="90"/>
      <c r="J394" s="93">
        <f t="shared" si="6"/>
        <v>0.0377</v>
      </c>
      <c r="K394" s="67"/>
      <c r="L394" s="67"/>
      <c r="M394" s="65"/>
      <c r="N394" s="65"/>
      <c r="O394" s="65"/>
      <c r="P394" s="65"/>
      <c r="Q394" s="65"/>
      <c r="R394"/>
      <c r="S394"/>
    </row>
    <row r="395" spans="1:19" ht="12.75">
      <c r="A395" s="67"/>
      <c r="B395" s="90" t="s">
        <v>408</v>
      </c>
      <c r="C395" s="90"/>
      <c r="D395" s="67"/>
      <c r="E395" s="90"/>
      <c r="F395" s="291">
        <f>'Schedule D'!AK385</f>
        <v>7486008.901691668</v>
      </c>
      <c r="G395" s="90"/>
      <c r="H395" s="67"/>
      <c r="I395" s="90"/>
      <c r="J395" s="93">
        <f t="shared" si="6"/>
        <v>0.0354</v>
      </c>
      <c r="K395" s="67"/>
      <c r="L395" s="67"/>
      <c r="M395" s="65"/>
      <c r="N395" s="65"/>
      <c r="O395" s="65"/>
      <c r="P395" s="65"/>
      <c r="Q395" s="65"/>
      <c r="R395"/>
      <c r="S395"/>
    </row>
    <row r="396" spans="1:19" ht="12.75">
      <c r="A396" s="67"/>
      <c r="B396" s="90" t="s">
        <v>409</v>
      </c>
      <c r="C396" s="90"/>
      <c r="D396" s="67"/>
      <c r="E396" s="90"/>
      <c r="F396" s="291">
        <f>'Schedule D'!AM385</f>
        <v>2401639.524325</v>
      </c>
      <c r="G396" s="90"/>
      <c r="H396" s="67"/>
      <c r="I396" s="90"/>
      <c r="J396" s="93">
        <f t="shared" si="6"/>
        <v>0.0114</v>
      </c>
      <c r="K396" s="67"/>
      <c r="L396" s="67"/>
      <c r="M396" s="65"/>
      <c r="N396" s="65"/>
      <c r="O396" s="65"/>
      <c r="P396" s="65"/>
      <c r="Q396" s="65"/>
      <c r="R396"/>
      <c r="S396"/>
    </row>
    <row r="397" spans="1:19" ht="12.75">
      <c r="A397" s="67"/>
      <c r="B397" s="90" t="s">
        <v>44</v>
      </c>
      <c r="C397" s="90"/>
      <c r="D397" s="67"/>
      <c r="E397" s="90"/>
      <c r="F397" s="291">
        <f>'Schedule D'!AO385</f>
        <v>4711654.633334577</v>
      </c>
      <c r="G397" s="90"/>
      <c r="H397" s="67"/>
      <c r="I397" s="90"/>
      <c r="J397" s="93">
        <f t="shared" si="6"/>
        <v>0.0223</v>
      </c>
      <c r="K397" s="67"/>
      <c r="L397" s="67"/>
      <c r="M397" s="65"/>
      <c r="N397" s="65"/>
      <c r="O397" s="65"/>
      <c r="P397" s="65"/>
      <c r="Q397" s="65"/>
      <c r="R397"/>
      <c r="S397"/>
    </row>
    <row r="398" spans="1:19" ht="12.75">
      <c r="A398" s="67"/>
      <c r="B398" s="90" t="s">
        <v>45</v>
      </c>
      <c r="C398" s="90"/>
      <c r="D398" s="67"/>
      <c r="E398" s="90"/>
      <c r="F398" s="291">
        <f>'Schedule D'!AQ385</f>
        <v>12464674.64687528</v>
      </c>
      <c r="G398" s="90"/>
      <c r="H398" s="67"/>
      <c r="I398" s="90"/>
      <c r="J398" s="93">
        <f t="shared" si="6"/>
        <v>0.0589</v>
      </c>
      <c r="K398" s="67"/>
      <c r="L398" s="67"/>
      <c r="M398" s="65"/>
      <c r="N398" s="65"/>
      <c r="O398" s="65"/>
      <c r="P398" s="65"/>
      <c r="Q398" s="65"/>
      <c r="R398"/>
      <c r="S398"/>
    </row>
    <row r="399" spans="1:19" ht="12.75">
      <c r="A399" s="67"/>
      <c r="B399" s="90"/>
      <c r="C399" s="90"/>
      <c r="D399" s="67"/>
      <c r="E399" s="90"/>
      <c r="F399" s="84"/>
      <c r="G399" s="90"/>
      <c r="H399" s="67"/>
      <c r="I399" s="90"/>
      <c r="J399" s="94"/>
      <c r="K399" s="67"/>
      <c r="L399" s="67"/>
      <c r="M399" s="65"/>
      <c r="N399" s="65"/>
      <c r="O399" s="65"/>
      <c r="P399" s="65"/>
      <c r="Q399" s="65"/>
      <c r="R399"/>
      <c r="S399"/>
    </row>
    <row r="400" spans="1:19" ht="13.5" thickBot="1">
      <c r="A400" s="67"/>
      <c r="B400" s="90" t="s">
        <v>532</v>
      </c>
      <c r="C400" s="90"/>
      <c r="D400" s="67"/>
      <c r="E400" s="90"/>
      <c r="F400" s="233">
        <f>SUM(F390:F399)</f>
        <v>211572213.58333334</v>
      </c>
      <c r="G400" s="90"/>
      <c r="H400" s="67"/>
      <c r="I400" s="90"/>
      <c r="J400" s="93">
        <f>SUM(J390:J399)</f>
        <v>0.9999999999999999</v>
      </c>
      <c r="K400" s="67"/>
      <c r="L400" s="67"/>
      <c r="M400" s="65"/>
      <c r="N400" s="65"/>
      <c r="O400" s="65"/>
      <c r="P400" s="65"/>
      <c r="Q400" s="65"/>
      <c r="R400"/>
      <c r="S400"/>
    </row>
    <row r="401" spans="1:19" ht="13.5" thickTop="1">
      <c r="A401" s="67"/>
      <c r="B401" s="67"/>
      <c r="C401" s="67"/>
      <c r="D401" s="67"/>
      <c r="E401" s="67"/>
      <c r="F401" s="82"/>
      <c r="G401" s="67"/>
      <c r="H401" s="67"/>
      <c r="I401" s="67"/>
      <c r="J401" s="82"/>
      <c r="K401" s="67"/>
      <c r="L401" s="67"/>
      <c r="M401" s="65"/>
      <c r="N401" s="65"/>
      <c r="O401" s="65"/>
      <c r="P401" s="65"/>
      <c r="Q401" s="65"/>
      <c r="R401"/>
      <c r="S401"/>
    </row>
    <row r="402" spans="1:19" ht="12.75">
      <c r="A402" s="67"/>
      <c r="B402" s="67"/>
      <c r="C402" s="67"/>
      <c r="D402" s="67"/>
      <c r="E402" s="67"/>
      <c r="F402" s="67"/>
      <c r="G402" s="67"/>
      <c r="H402" s="67"/>
      <c r="I402" s="67"/>
      <c r="J402" s="67"/>
      <c r="K402" s="67"/>
      <c r="L402" s="67"/>
      <c r="M402" s="65"/>
      <c r="N402" s="65"/>
      <c r="O402" s="65"/>
      <c r="P402" s="65"/>
      <c r="Q402" s="65"/>
      <c r="R402"/>
      <c r="S402"/>
    </row>
    <row r="403" spans="1:19" ht="12.75">
      <c r="A403" s="67"/>
      <c r="B403" s="67"/>
      <c r="C403" s="67"/>
      <c r="D403" s="67"/>
      <c r="E403" s="67"/>
      <c r="F403" s="67"/>
      <c r="G403" s="67"/>
      <c r="H403" s="67"/>
      <c r="I403" s="67"/>
      <c r="J403" s="67"/>
      <c r="K403" s="67"/>
      <c r="L403" s="67"/>
      <c r="M403" s="65"/>
      <c r="N403" s="65"/>
      <c r="O403" s="65"/>
      <c r="P403" s="65"/>
      <c r="Q403" s="65"/>
      <c r="R403"/>
      <c r="S403"/>
    </row>
    <row r="404" spans="1:19" ht="12.75">
      <c r="A404" s="90" t="s">
        <v>475</v>
      </c>
      <c r="B404" s="90"/>
      <c r="C404" s="90"/>
      <c r="D404" s="90"/>
      <c r="E404" s="90"/>
      <c r="F404" s="90"/>
      <c r="G404" s="90"/>
      <c r="H404" s="90"/>
      <c r="I404" s="90"/>
      <c r="J404" s="90"/>
      <c r="K404" s="67"/>
      <c r="L404" s="67"/>
      <c r="M404" s="65"/>
      <c r="N404" s="65"/>
      <c r="O404" s="65"/>
      <c r="P404" s="65"/>
      <c r="Q404" s="65"/>
      <c r="R404"/>
      <c r="S404"/>
    </row>
    <row r="405" spans="1:19" ht="12.75">
      <c r="A405" s="90"/>
      <c r="B405" s="90"/>
      <c r="C405" s="90"/>
      <c r="D405" s="90"/>
      <c r="E405" s="90"/>
      <c r="F405" s="90"/>
      <c r="G405" s="90"/>
      <c r="H405" s="90"/>
      <c r="I405" s="90"/>
      <c r="J405" s="90"/>
      <c r="K405" s="67"/>
      <c r="L405" s="67"/>
      <c r="M405" s="65"/>
      <c r="N405" s="65"/>
      <c r="O405" s="65"/>
      <c r="P405" s="65"/>
      <c r="Q405" s="65"/>
      <c r="R405"/>
      <c r="S405"/>
    </row>
    <row r="406" spans="1:19" ht="12.75">
      <c r="A406" s="90" t="s">
        <v>56</v>
      </c>
      <c r="B406" s="65"/>
      <c r="C406" s="90"/>
      <c r="D406" s="90"/>
      <c r="E406" s="90"/>
      <c r="F406" s="90"/>
      <c r="G406" s="90"/>
      <c r="H406" s="90"/>
      <c r="I406" s="90"/>
      <c r="J406" s="90"/>
      <c r="K406" s="67"/>
      <c r="L406" s="67"/>
      <c r="M406" s="65"/>
      <c r="N406" s="65"/>
      <c r="O406" s="65"/>
      <c r="P406" s="65"/>
      <c r="Q406" s="65"/>
      <c r="R406"/>
      <c r="S406"/>
    </row>
    <row r="407" spans="1:19" ht="12.75">
      <c r="A407" s="90"/>
      <c r="B407" s="90"/>
      <c r="C407" s="90"/>
      <c r="D407" s="90"/>
      <c r="E407" s="90"/>
      <c r="F407" s="90"/>
      <c r="G407" s="90"/>
      <c r="H407" s="90"/>
      <c r="I407" s="90"/>
      <c r="J407" s="90"/>
      <c r="K407" s="67"/>
      <c r="L407" s="67"/>
      <c r="M407" s="65"/>
      <c r="N407" s="65"/>
      <c r="O407" s="65"/>
      <c r="P407" s="65"/>
      <c r="Q407" s="65"/>
      <c r="R407"/>
      <c r="S407"/>
    </row>
    <row r="408" spans="1:19" ht="12.75">
      <c r="A408" s="90"/>
      <c r="B408" s="90"/>
      <c r="C408" s="90"/>
      <c r="D408" s="67"/>
      <c r="E408" s="90"/>
      <c r="F408" s="67"/>
      <c r="G408" s="69"/>
      <c r="H408" s="69"/>
      <c r="I408" s="69"/>
      <c r="J408" s="69"/>
      <c r="K408" s="67"/>
      <c r="L408" s="67"/>
      <c r="M408" s="65"/>
      <c r="N408" s="65"/>
      <c r="O408" s="65"/>
      <c r="P408" s="65"/>
      <c r="Q408" s="65"/>
      <c r="R408"/>
      <c r="S408"/>
    </row>
    <row r="409" spans="1:19" ht="12.75">
      <c r="A409" s="67"/>
      <c r="B409" s="494" t="s">
        <v>23</v>
      </c>
      <c r="C409" s="494"/>
      <c r="D409" s="494"/>
      <c r="E409" s="90"/>
      <c r="F409" s="69" t="s">
        <v>57</v>
      </c>
      <c r="G409" s="69"/>
      <c r="H409" s="69"/>
      <c r="I409" s="69"/>
      <c r="J409" s="69" t="s">
        <v>521</v>
      </c>
      <c r="K409" s="67"/>
      <c r="L409" s="67"/>
      <c r="M409" s="65"/>
      <c r="N409" s="65"/>
      <c r="O409" s="65"/>
      <c r="P409" s="65"/>
      <c r="Q409" s="65"/>
      <c r="R409"/>
      <c r="S409"/>
    </row>
    <row r="410" spans="1:19" ht="12.75">
      <c r="A410" s="67"/>
      <c r="B410" s="493" t="s">
        <v>24</v>
      </c>
      <c r="C410" s="493"/>
      <c r="D410" s="493"/>
      <c r="E410" s="90"/>
      <c r="F410" s="69" t="s">
        <v>631</v>
      </c>
      <c r="G410" s="69"/>
      <c r="H410" s="69"/>
      <c r="I410" s="69"/>
      <c r="J410" s="69" t="s">
        <v>523</v>
      </c>
      <c r="K410" s="67"/>
      <c r="L410" s="67"/>
      <c r="M410" s="65"/>
      <c r="N410" s="65"/>
      <c r="O410" s="65"/>
      <c r="P410" s="65"/>
      <c r="Q410" s="65"/>
      <c r="R410"/>
      <c r="S410"/>
    </row>
    <row r="411" spans="1:19" ht="12.75">
      <c r="A411" s="67"/>
      <c r="B411" s="492" t="s">
        <v>524</v>
      </c>
      <c r="C411" s="492"/>
      <c r="D411" s="492"/>
      <c r="E411" s="91" t="s">
        <v>594</v>
      </c>
      <c r="F411" s="97" t="s">
        <v>535</v>
      </c>
      <c r="G411" s="69"/>
      <c r="H411" s="69"/>
      <c r="I411" s="69"/>
      <c r="J411" s="97" t="s">
        <v>525</v>
      </c>
      <c r="K411" s="67"/>
      <c r="L411" s="67"/>
      <c r="M411" s="65"/>
      <c r="N411" s="65"/>
      <c r="O411" s="65"/>
      <c r="P411" s="65"/>
      <c r="Q411" s="65"/>
      <c r="R411"/>
      <c r="S411"/>
    </row>
    <row r="412" spans="1:19" ht="12.75">
      <c r="A412" s="67"/>
      <c r="B412" s="90"/>
      <c r="C412" s="90"/>
      <c r="D412" s="67"/>
      <c r="E412" s="90"/>
      <c r="F412" s="90"/>
      <c r="G412" s="90"/>
      <c r="H412" s="67"/>
      <c r="I412" s="90"/>
      <c r="J412" s="92"/>
      <c r="K412" s="67"/>
      <c r="L412" s="67"/>
      <c r="M412" s="65"/>
      <c r="N412" s="65"/>
      <c r="O412" s="65"/>
      <c r="P412" s="65"/>
      <c r="Q412" s="65"/>
      <c r="R412"/>
      <c r="S412"/>
    </row>
    <row r="413" spans="1:19" ht="12.75">
      <c r="A413" s="67"/>
      <c r="B413" s="90" t="s">
        <v>25</v>
      </c>
      <c r="C413" s="90"/>
      <c r="D413" s="67"/>
      <c r="E413" s="90"/>
      <c r="F413" s="290">
        <f>'Schedule D'!AA387</f>
        <v>27465442.069107607</v>
      </c>
      <c r="G413" s="90"/>
      <c r="H413" s="67"/>
      <c r="I413" s="90"/>
      <c r="J413" s="232">
        <f>ROUND(F413/F$423,4)</f>
        <v>0.4185</v>
      </c>
      <c r="K413" s="67"/>
      <c r="L413" s="67"/>
      <c r="M413" s="65"/>
      <c r="N413" s="65"/>
      <c r="O413" s="65"/>
      <c r="P413" s="65"/>
      <c r="Q413" s="65"/>
      <c r="R413"/>
      <c r="S413"/>
    </row>
    <row r="414" spans="1:19" ht="12.75">
      <c r="A414" s="67"/>
      <c r="B414" s="90" t="s">
        <v>539</v>
      </c>
      <c r="C414" s="90"/>
      <c r="D414" s="67"/>
      <c r="E414" s="90"/>
      <c r="F414" s="291">
        <f>'Schedule D'!AC387</f>
        <v>10075641.651799839</v>
      </c>
      <c r="G414" s="90"/>
      <c r="H414" s="67"/>
      <c r="I414" s="90"/>
      <c r="J414" s="93">
        <f aca="true" t="shared" si="7" ref="J414:J421">ROUND(F414/F$423,4)</f>
        <v>0.1535</v>
      </c>
      <c r="K414" s="67"/>
      <c r="L414" s="67"/>
      <c r="M414" s="65"/>
      <c r="N414" s="65"/>
      <c r="O414" s="65"/>
      <c r="P414" s="65"/>
      <c r="Q414" s="65"/>
      <c r="R414"/>
      <c r="S414"/>
    </row>
    <row r="415" spans="1:19" ht="12.75">
      <c r="A415" s="67"/>
      <c r="B415" s="90" t="s">
        <v>557</v>
      </c>
      <c r="C415" s="90"/>
      <c r="D415" s="67"/>
      <c r="E415" s="90"/>
      <c r="F415" s="291">
        <f>'Schedule D'!AE387</f>
        <v>9667774.643389735</v>
      </c>
      <c r="G415" s="90"/>
      <c r="H415" s="67"/>
      <c r="I415" s="90"/>
      <c r="J415" s="93">
        <f t="shared" si="7"/>
        <v>0.1473</v>
      </c>
      <c r="K415" s="67"/>
      <c r="L415" s="67"/>
      <c r="M415" s="65"/>
      <c r="N415" s="65"/>
      <c r="O415" s="65"/>
      <c r="P415" s="65"/>
      <c r="Q415" s="65"/>
      <c r="R415"/>
      <c r="S415"/>
    </row>
    <row r="416" spans="1:19" ht="12.75">
      <c r="A416" s="67"/>
      <c r="B416" s="90" t="s">
        <v>3</v>
      </c>
      <c r="C416" s="90"/>
      <c r="D416" s="67"/>
      <c r="E416" s="90"/>
      <c r="F416" s="291">
        <f>'Schedule D'!AG387</f>
        <v>3584941.64842158</v>
      </c>
      <c r="G416" s="90"/>
      <c r="H416" s="67"/>
      <c r="I416" s="90"/>
      <c r="J416" s="93">
        <f t="shared" si="7"/>
        <v>0.0546</v>
      </c>
      <c r="K416" s="67"/>
      <c r="L416" s="67"/>
      <c r="M416" s="65"/>
      <c r="N416" s="65"/>
      <c r="O416" s="65"/>
      <c r="P416" s="65"/>
      <c r="Q416" s="65"/>
      <c r="R416"/>
      <c r="S416"/>
    </row>
    <row r="417" spans="1:19" ht="12.75">
      <c r="A417" s="67"/>
      <c r="B417" s="90" t="s">
        <v>605</v>
      </c>
      <c r="C417" s="90"/>
      <c r="D417" s="67"/>
      <c r="E417" s="90"/>
      <c r="F417" s="291">
        <f>'Schedule D'!AI387</f>
        <v>1650556.4043682963</v>
      </c>
      <c r="G417" s="90"/>
      <c r="H417" s="67"/>
      <c r="I417" s="90"/>
      <c r="J417" s="93">
        <f t="shared" si="7"/>
        <v>0.0251</v>
      </c>
      <c r="K417" s="67"/>
      <c r="L417" s="67"/>
      <c r="M417" s="65"/>
      <c r="N417" s="65"/>
      <c r="O417" s="65"/>
      <c r="P417" s="65"/>
      <c r="Q417" s="65"/>
      <c r="R417"/>
      <c r="S417"/>
    </row>
    <row r="418" spans="1:19" ht="12.75">
      <c r="A418" s="67"/>
      <c r="B418" s="90" t="s">
        <v>408</v>
      </c>
      <c r="C418" s="90"/>
      <c r="D418" s="67"/>
      <c r="E418" s="90"/>
      <c r="F418" s="291">
        <f>'Schedule D'!AK387</f>
        <v>7374189.182653585</v>
      </c>
      <c r="G418" s="90"/>
      <c r="H418" s="67"/>
      <c r="I418" s="90"/>
      <c r="J418" s="93">
        <f t="shared" si="7"/>
        <v>0.1124</v>
      </c>
      <c r="K418" s="67"/>
      <c r="L418" s="67"/>
      <c r="M418" s="65"/>
      <c r="N418" s="65"/>
      <c r="O418" s="65"/>
      <c r="P418" s="65"/>
      <c r="Q418" s="65"/>
      <c r="R418"/>
      <c r="S418"/>
    </row>
    <row r="419" spans="1:19" ht="12.75">
      <c r="A419" s="67"/>
      <c r="B419" s="90" t="s">
        <v>409</v>
      </c>
      <c r="C419" s="90"/>
      <c r="D419" s="67"/>
      <c r="E419" s="90"/>
      <c r="F419" s="291">
        <f>'Schedule D'!AM387</f>
        <v>2006211.5931367842</v>
      </c>
      <c r="G419" s="90"/>
      <c r="H419" s="67"/>
      <c r="I419" s="90"/>
      <c r="J419" s="93">
        <f t="shared" si="7"/>
        <v>0.0306</v>
      </c>
      <c r="K419" s="67"/>
      <c r="L419" s="67"/>
      <c r="M419" s="65"/>
      <c r="N419" s="65"/>
      <c r="O419" s="65"/>
      <c r="P419" s="65"/>
      <c r="Q419" s="65"/>
      <c r="R419"/>
      <c r="S419"/>
    </row>
    <row r="420" spans="1:19" ht="12.75">
      <c r="A420" s="67"/>
      <c r="B420" s="90" t="s">
        <v>44</v>
      </c>
      <c r="C420" s="90"/>
      <c r="D420" s="67"/>
      <c r="E420" s="90"/>
      <c r="F420" s="291">
        <f>'Schedule D'!AO387</f>
        <v>1200349.000307917</v>
      </c>
      <c r="G420" s="90"/>
      <c r="H420" s="67"/>
      <c r="I420" s="90"/>
      <c r="J420" s="93">
        <f t="shared" si="7"/>
        <v>0.0183</v>
      </c>
      <c r="K420" s="67"/>
      <c r="L420" s="67"/>
      <c r="M420" s="65"/>
      <c r="N420" s="65"/>
      <c r="O420" s="65"/>
      <c r="P420" s="65"/>
      <c r="Q420" s="65"/>
      <c r="R420"/>
      <c r="S420"/>
    </row>
    <row r="421" spans="1:19" ht="12.75">
      <c r="A421" s="67"/>
      <c r="B421" s="90" t="s">
        <v>45</v>
      </c>
      <c r="C421" s="90"/>
      <c r="D421" s="67"/>
      <c r="E421" s="90"/>
      <c r="F421" s="291">
        <f>'Schedule D'!AQ387</f>
        <v>2606636.7668146566</v>
      </c>
      <c r="G421" s="90"/>
      <c r="H421" s="67"/>
      <c r="I421" s="90"/>
      <c r="J421" s="93">
        <f t="shared" si="7"/>
        <v>0.0397</v>
      </c>
      <c r="K421" s="67"/>
      <c r="L421" s="67"/>
      <c r="M421" s="65"/>
      <c r="N421" s="65"/>
      <c r="O421" s="65"/>
      <c r="P421" s="65"/>
      <c r="Q421" s="65"/>
      <c r="R421"/>
      <c r="S421"/>
    </row>
    <row r="422" spans="1:19" ht="12.75">
      <c r="A422" s="67"/>
      <c r="B422" s="90"/>
      <c r="C422" s="90"/>
      <c r="D422" s="67"/>
      <c r="E422" s="90"/>
      <c r="F422" s="84"/>
      <c r="G422" s="90"/>
      <c r="H422" s="67"/>
      <c r="I422" s="90"/>
      <c r="J422" s="94"/>
      <c r="K422" s="67"/>
      <c r="L422" s="67"/>
      <c r="M422" s="65"/>
      <c r="N422" s="65"/>
      <c r="O422" s="65"/>
      <c r="P422" s="65"/>
      <c r="Q422" s="65"/>
      <c r="R422"/>
      <c r="S422"/>
    </row>
    <row r="423" spans="1:19" ht="13.5" thickBot="1">
      <c r="A423" s="67"/>
      <c r="B423" s="90" t="s">
        <v>532</v>
      </c>
      <c r="C423" s="90"/>
      <c r="D423" s="67"/>
      <c r="E423" s="90"/>
      <c r="F423" s="233">
        <f>SUM(F413:F422)</f>
        <v>65631742.96</v>
      </c>
      <c r="G423" s="90"/>
      <c r="H423" s="67"/>
      <c r="I423" s="90"/>
      <c r="J423" s="93">
        <f>SUM(J413:J422)</f>
        <v>0.9999999999999999</v>
      </c>
      <c r="K423" s="67"/>
      <c r="L423" s="67"/>
      <c r="M423" s="65"/>
      <c r="N423" s="65"/>
      <c r="O423" s="65"/>
      <c r="P423" s="65"/>
      <c r="Q423" s="65"/>
      <c r="R423"/>
      <c r="S423"/>
    </row>
    <row r="424" spans="1:19" ht="13.5" thickTop="1">
      <c r="A424" s="67"/>
      <c r="B424" s="67"/>
      <c r="C424" s="67"/>
      <c r="D424" s="67"/>
      <c r="E424" s="67"/>
      <c r="F424" s="82"/>
      <c r="G424" s="67"/>
      <c r="H424" s="67"/>
      <c r="I424" s="67"/>
      <c r="J424" s="82"/>
      <c r="K424" s="67"/>
      <c r="L424" s="67"/>
      <c r="M424" s="65"/>
      <c r="N424" s="65"/>
      <c r="O424" s="65"/>
      <c r="P424" s="65"/>
      <c r="Q424" s="65"/>
      <c r="R424"/>
      <c r="S424"/>
    </row>
    <row r="425" spans="1:19" ht="12.75">
      <c r="A425" s="67"/>
      <c r="B425" s="67"/>
      <c r="C425" s="67"/>
      <c r="D425" s="67"/>
      <c r="E425" s="67"/>
      <c r="F425" s="67"/>
      <c r="G425" s="67"/>
      <c r="H425" s="67"/>
      <c r="I425" s="67"/>
      <c r="J425" s="67"/>
      <c r="K425" s="67"/>
      <c r="L425" s="67"/>
      <c r="M425" s="65"/>
      <c r="N425" s="65"/>
      <c r="O425" s="65"/>
      <c r="P425" s="65"/>
      <c r="Q425" s="65"/>
      <c r="R425"/>
      <c r="S425"/>
    </row>
    <row r="426" spans="1:19" ht="12.75">
      <c r="A426" s="65"/>
      <c r="B426" s="65"/>
      <c r="C426" s="65"/>
      <c r="E426" s="65"/>
      <c r="G426" s="65"/>
      <c r="H426" s="65"/>
      <c r="I426" s="65"/>
      <c r="J426" s="65"/>
      <c r="K426" s="65"/>
      <c r="L426" s="65"/>
      <c r="M426" s="65"/>
      <c r="N426" s="65"/>
      <c r="O426" s="65"/>
      <c r="P426" s="65"/>
      <c r="Q426" s="65"/>
      <c r="R426"/>
      <c r="S426"/>
    </row>
    <row r="427" spans="1:19" ht="12.75">
      <c r="A427" s="65"/>
      <c r="B427" s="65"/>
      <c r="C427" s="65"/>
      <c r="E427" s="65"/>
      <c r="G427" s="65"/>
      <c r="H427" s="65"/>
      <c r="I427" s="65"/>
      <c r="J427" s="65"/>
      <c r="K427" s="65"/>
      <c r="L427" s="65"/>
      <c r="M427" s="65"/>
      <c r="N427" s="65"/>
      <c r="O427" s="65"/>
      <c r="P427" s="65"/>
      <c r="Q427" s="65"/>
      <c r="R427"/>
      <c r="S427"/>
    </row>
    <row r="428" spans="1:19" ht="12.75">
      <c r="A428" s="65"/>
      <c r="B428" s="65"/>
      <c r="C428" s="65"/>
      <c r="E428" s="65"/>
      <c r="G428" s="65"/>
      <c r="H428" s="65"/>
      <c r="I428" s="65"/>
      <c r="J428" s="65"/>
      <c r="K428" s="65"/>
      <c r="L428" s="65"/>
      <c r="M428" s="65"/>
      <c r="N428" s="65"/>
      <c r="O428" s="65"/>
      <c r="P428" s="65"/>
      <c r="Q428" s="65"/>
      <c r="R428"/>
      <c r="S428"/>
    </row>
    <row r="429" spans="1:19" ht="12.75">
      <c r="A429" s="65"/>
      <c r="B429" s="65"/>
      <c r="C429" s="65"/>
      <c r="E429" s="65"/>
      <c r="G429" s="65"/>
      <c r="H429" s="65"/>
      <c r="I429" s="65"/>
      <c r="J429" s="65"/>
      <c r="K429" s="65"/>
      <c r="L429" s="65"/>
      <c r="M429" s="65"/>
      <c r="N429" s="65"/>
      <c r="O429" s="65"/>
      <c r="P429" s="65"/>
      <c r="Q429" s="65"/>
      <c r="R429"/>
      <c r="S429"/>
    </row>
    <row r="430" spans="1:19" ht="12.75">
      <c r="A430" s="65"/>
      <c r="B430" s="65"/>
      <c r="C430" s="65"/>
      <c r="E430" s="65"/>
      <c r="G430" s="65"/>
      <c r="H430" s="65"/>
      <c r="I430" s="65"/>
      <c r="J430" s="65"/>
      <c r="K430" s="65"/>
      <c r="L430" s="65"/>
      <c r="M430" s="65"/>
      <c r="N430" s="65"/>
      <c r="O430" s="65"/>
      <c r="P430" s="65"/>
      <c r="Q430" s="65"/>
      <c r="R430"/>
      <c r="S430"/>
    </row>
    <row r="431" spans="1:19" ht="12.75">
      <c r="A431" s="65"/>
      <c r="B431" s="65"/>
      <c r="C431" s="65"/>
      <c r="E431" s="65"/>
      <c r="G431" s="65"/>
      <c r="H431" s="65"/>
      <c r="I431" s="65"/>
      <c r="J431" s="65"/>
      <c r="K431" s="65"/>
      <c r="L431" s="65"/>
      <c r="M431" s="65"/>
      <c r="N431" s="65"/>
      <c r="O431" s="65"/>
      <c r="P431" s="65"/>
      <c r="Q431" s="65"/>
      <c r="R431"/>
      <c r="S431"/>
    </row>
    <row r="432" spans="1:19" ht="12.75">
      <c r="A432" s="65"/>
      <c r="B432" s="65"/>
      <c r="C432" s="65"/>
      <c r="E432" s="65"/>
      <c r="G432" s="65"/>
      <c r="H432" s="65"/>
      <c r="I432" s="65"/>
      <c r="J432" s="65"/>
      <c r="K432" s="65"/>
      <c r="L432" s="65"/>
      <c r="M432" s="65"/>
      <c r="N432" s="65"/>
      <c r="O432" s="65"/>
      <c r="P432" s="65"/>
      <c r="Q432" s="65"/>
      <c r="R432"/>
      <c r="S432"/>
    </row>
    <row r="433" spans="1:19" ht="12.75">
      <c r="A433" s="65"/>
      <c r="B433" s="65"/>
      <c r="C433" s="65"/>
      <c r="E433" s="65"/>
      <c r="G433" s="65"/>
      <c r="H433" s="65"/>
      <c r="I433" s="65"/>
      <c r="J433" s="65"/>
      <c r="K433" s="65"/>
      <c r="L433" s="65"/>
      <c r="M433" s="65"/>
      <c r="N433" s="65"/>
      <c r="O433" s="65"/>
      <c r="P433" s="65"/>
      <c r="Q433" s="65"/>
      <c r="R433"/>
      <c r="S433"/>
    </row>
    <row r="434" spans="1:19" ht="12.75">
      <c r="A434"/>
      <c r="B434"/>
      <c r="C434" s="111"/>
      <c r="D434"/>
      <c r="E434"/>
      <c r="F434"/>
      <c r="G434"/>
      <c r="H434"/>
      <c r="I434"/>
      <c r="J434"/>
      <c r="K434"/>
      <c r="L434"/>
      <c r="M434"/>
      <c r="N434"/>
      <c r="O434"/>
      <c r="P434"/>
      <c r="Q434"/>
      <c r="R434"/>
      <c r="S434"/>
    </row>
    <row r="435" spans="1:19" ht="12.75">
      <c r="A435"/>
      <c r="B435"/>
      <c r="C435" s="111"/>
      <c r="D435"/>
      <c r="E435"/>
      <c r="F435"/>
      <c r="G435"/>
      <c r="H435"/>
      <c r="I435"/>
      <c r="J435"/>
      <c r="K435"/>
      <c r="L435"/>
      <c r="M435"/>
      <c r="N435"/>
      <c r="O435"/>
      <c r="P435"/>
      <c r="Q435"/>
      <c r="R435"/>
      <c r="S435"/>
    </row>
    <row r="436" spans="1:19" ht="12.75">
      <c r="A436"/>
      <c r="B436"/>
      <c r="C436" s="111"/>
      <c r="D436"/>
      <c r="E436"/>
      <c r="F436"/>
      <c r="G436"/>
      <c r="H436"/>
      <c r="I436"/>
      <c r="J436"/>
      <c r="K436"/>
      <c r="L436"/>
      <c r="M436"/>
      <c r="N436"/>
      <c r="O436"/>
      <c r="P436"/>
      <c r="Q436"/>
      <c r="R436"/>
      <c r="S436"/>
    </row>
    <row r="437" spans="1:19" ht="12.75">
      <c r="A437"/>
      <c r="B437"/>
      <c r="C437" s="111"/>
      <c r="D437"/>
      <c r="E437"/>
      <c r="F437"/>
      <c r="G437"/>
      <c r="H437"/>
      <c r="I437"/>
      <c r="J437"/>
      <c r="K437"/>
      <c r="L437"/>
      <c r="M437"/>
      <c r="N437"/>
      <c r="O437"/>
      <c r="P437"/>
      <c r="Q437"/>
      <c r="R437"/>
      <c r="S437"/>
    </row>
    <row r="438" spans="1:19" ht="12.75">
      <c r="A438"/>
      <c r="B438"/>
      <c r="C438" s="111"/>
      <c r="D438"/>
      <c r="E438"/>
      <c r="F438"/>
      <c r="G438"/>
      <c r="H438"/>
      <c r="I438"/>
      <c r="J438"/>
      <c r="K438"/>
      <c r="L438"/>
      <c r="M438"/>
      <c r="N438"/>
      <c r="O438"/>
      <c r="P438"/>
      <c r="Q438"/>
      <c r="R438"/>
      <c r="S438"/>
    </row>
    <row r="439" spans="1:19" ht="12.75">
      <c r="A439"/>
      <c r="B439"/>
      <c r="C439" s="111"/>
      <c r="D439"/>
      <c r="E439"/>
      <c r="F439"/>
      <c r="G439"/>
      <c r="H439"/>
      <c r="I439"/>
      <c r="J439"/>
      <c r="K439"/>
      <c r="L439"/>
      <c r="M439"/>
      <c r="N439"/>
      <c r="O439"/>
      <c r="P439"/>
      <c r="Q439"/>
      <c r="R439"/>
      <c r="S439"/>
    </row>
    <row r="440" spans="1:19" ht="12.75">
      <c r="A440"/>
      <c r="B440"/>
      <c r="C440" s="111"/>
      <c r="D440"/>
      <c r="E440"/>
      <c r="F440"/>
      <c r="G440"/>
      <c r="H440"/>
      <c r="I440"/>
      <c r="J440"/>
      <c r="K440"/>
      <c r="L440"/>
      <c r="M440"/>
      <c r="N440"/>
      <c r="O440"/>
      <c r="P440"/>
      <c r="Q440"/>
      <c r="R440"/>
      <c r="S440"/>
    </row>
  </sheetData>
  <mergeCells count="83">
    <mergeCell ref="A151:P151"/>
    <mergeCell ref="A153:P153"/>
    <mergeCell ref="A62:L62"/>
    <mergeCell ref="A3:L3"/>
    <mergeCell ref="A5:L5"/>
    <mergeCell ref="A24:L24"/>
    <mergeCell ref="A42:L42"/>
    <mergeCell ref="A22:L22"/>
    <mergeCell ref="B14:D14"/>
    <mergeCell ref="B15:D15"/>
    <mergeCell ref="B16:D16"/>
    <mergeCell ref="B28:D28"/>
    <mergeCell ref="A202:L202"/>
    <mergeCell ref="A67:B67"/>
    <mergeCell ref="A68:B68"/>
    <mergeCell ref="A69:B69"/>
    <mergeCell ref="A124:L124"/>
    <mergeCell ref="B127:E127"/>
    <mergeCell ref="B130:E130"/>
    <mergeCell ref="D187:F187"/>
    <mergeCell ref="H187:J187"/>
    <mergeCell ref="B321:D321"/>
    <mergeCell ref="A64:L64"/>
    <mergeCell ref="A86:L86"/>
    <mergeCell ref="A103:B103"/>
    <mergeCell ref="A158:B158"/>
    <mergeCell ref="A190:B190"/>
    <mergeCell ref="A293:L293"/>
    <mergeCell ref="A189:B189"/>
    <mergeCell ref="A159:B159"/>
    <mergeCell ref="A171:P171"/>
    <mergeCell ref="A40:L40"/>
    <mergeCell ref="A188:B188"/>
    <mergeCell ref="A384:L384"/>
    <mergeCell ref="A318:L318"/>
    <mergeCell ref="A133:L133"/>
    <mergeCell ref="A216:L216"/>
    <mergeCell ref="A219:L219"/>
    <mergeCell ref="A295:L295"/>
    <mergeCell ref="A157:B157"/>
    <mergeCell ref="B365:D365"/>
    <mergeCell ref="B366:D366"/>
    <mergeCell ref="B367:D367"/>
    <mergeCell ref="B322:D322"/>
    <mergeCell ref="B323:D323"/>
    <mergeCell ref="B343:D343"/>
    <mergeCell ref="B344:D344"/>
    <mergeCell ref="A340:L340"/>
    <mergeCell ref="B410:D410"/>
    <mergeCell ref="B411:D411"/>
    <mergeCell ref="B300:D300"/>
    <mergeCell ref="B301:D301"/>
    <mergeCell ref="B302:D302"/>
    <mergeCell ref="B386:D386"/>
    <mergeCell ref="B387:D387"/>
    <mergeCell ref="B388:D388"/>
    <mergeCell ref="B409:D409"/>
    <mergeCell ref="B345:D345"/>
    <mergeCell ref="B285:D285"/>
    <mergeCell ref="B286:D286"/>
    <mergeCell ref="B287:D287"/>
    <mergeCell ref="B273:D273"/>
    <mergeCell ref="B274:D274"/>
    <mergeCell ref="B275:D275"/>
    <mergeCell ref="B263:D263"/>
    <mergeCell ref="B264:D264"/>
    <mergeCell ref="B251:D251"/>
    <mergeCell ref="B252:D252"/>
    <mergeCell ref="B253:D253"/>
    <mergeCell ref="B240:D240"/>
    <mergeCell ref="B241:D241"/>
    <mergeCell ref="B242:D242"/>
    <mergeCell ref="B262:D262"/>
    <mergeCell ref="B225:D225"/>
    <mergeCell ref="B224:D224"/>
    <mergeCell ref="B223:D223"/>
    <mergeCell ref="B29:D29"/>
    <mergeCell ref="B30:D30"/>
    <mergeCell ref="A83:L83"/>
    <mergeCell ref="A84:L84"/>
    <mergeCell ref="A45:B45"/>
    <mergeCell ref="A46:B46"/>
    <mergeCell ref="A47:B47"/>
  </mergeCells>
  <printOptions horizontalCentered="1"/>
  <pageMargins left="0.9" right="0.69" top="1" bottom="0.5" header="0.2" footer="0"/>
  <pageSetup fitToHeight="0" horizontalDpi="600" verticalDpi="600" orientation="portrait" scale="95" r:id="rId1"/>
  <rowBreaks count="6" manualBreakCount="6">
    <brk id="39" max="11" man="1"/>
    <brk id="121" max="11" man="1"/>
    <brk id="268" max="11" man="1"/>
    <brk id="315" max="11" man="1"/>
    <brk id="359" max="11" man="1"/>
    <brk id="403" max="11" man="1"/>
  </rowBreaks>
</worksheet>
</file>

<file path=xl/worksheets/sheet9.xml><?xml version="1.0" encoding="utf-8"?>
<worksheet xmlns="http://schemas.openxmlformats.org/spreadsheetml/2006/main" xmlns:r="http://schemas.openxmlformats.org/officeDocument/2006/relationships">
  <dimension ref="A1:AQ95"/>
  <sheetViews>
    <sheetView zoomScale="75" zoomScaleNormal="75" workbookViewId="0" topLeftCell="A1">
      <selection activeCell="A1" sqref="A1"/>
    </sheetView>
  </sheetViews>
  <sheetFormatPr defaultColWidth="8.88671875" defaultRowHeight="12.75"/>
  <cols>
    <col min="1" max="1" width="18.3359375" style="0" customWidth="1"/>
    <col min="2" max="2" width="1.5625" style="0" customWidth="1"/>
    <col min="3" max="3" width="12.77734375" style="0" customWidth="1"/>
    <col min="4" max="4" width="1.2265625" style="0" customWidth="1"/>
    <col min="6" max="6" width="1.88671875" style="0" customWidth="1"/>
    <col min="8" max="8" width="2.77734375" style="0" customWidth="1"/>
    <col min="9" max="9" width="10.99609375" style="0" customWidth="1"/>
    <col min="10" max="10" width="1.33203125" style="0" customWidth="1"/>
    <col min="11" max="11" width="11.4453125" style="0" customWidth="1"/>
    <col min="12" max="12" width="1.77734375" style="0" customWidth="1"/>
    <col min="14" max="14" width="1.88671875" style="0" customWidth="1"/>
    <col min="16" max="16" width="1.2265625" style="0" customWidth="1"/>
    <col min="17" max="17" width="10.99609375" style="0" customWidth="1"/>
    <col min="18" max="18" width="1.4375" style="0" customWidth="1"/>
    <col min="19" max="19" width="12.3359375" style="0" customWidth="1"/>
    <col min="20" max="20" width="5.21484375" style="0" customWidth="1"/>
    <col min="22" max="22" width="1.33203125" style="0" customWidth="1"/>
  </cols>
  <sheetData>
    <row r="1" ht="15">
      <c r="W1" s="345"/>
    </row>
    <row r="4" spans="1:11" ht="15">
      <c r="A4" s="484" t="s">
        <v>514</v>
      </c>
      <c r="B4" s="484"/>
      <c r="C4" s="484"/>
      <c r="D4" s="484"/>
      <c r="E4" s="484"/>
      <c r="F4" s="484"/>
      <c r="G4" s="484"/>
      <c r="H4" s="484"/>
      <c r="I4" s="484"/>
      <c r="J4" s="484"/>
      <c r="K4" s="484"/>
    </row>
    <row r="5" spans="1:11" ht="12.75">
      <c r="A5" s="304"/>
      <c r="B5" s="304"/>
      <c r="C5" s="304"/>
      <c r="D5" s="304"/>
      <c r="E5" s="304"/>
      <c r="F5" s="304"/>
      <c r="G5" s="304"/>
      <c r="H5" s="304"/>
      <c r="I5" s="304"/>
      <c r="J5" s="304"/>
      <c r="K5" s="304"/>
    </row>
    <row r="6" spans="1:11" ht="15">
      <c r="A6" s="484" t="s">
        <v>319</v>
      </c>
      <c r="B6" s="484"/>
      <c r="C6" s="484"/>
      <c r="D6" s="484"/>
      <c r="E6" s="484"/>
      <c r="F6" s="484"/>
      <c r="G6" s="484"/>
      <c r="H6" s="484"/>
      <c r="I6" s="484"/>
      <c r="J6" s="484"/>
      <c r="K6" s="484"/>
    </row>
    <row r="7" spans="1:11" ht="12.75">
      <c r="A7" s="304"/>
      <c r="B7" s="304"/>
      <c r="C7" s="304"/>
      <c r="D7" s="304"/>
      <c r="E7" s="304"/>
      <c r="F7" s="304"/>
      <c r="G7" s="304"/>
      <c r="H7" s="304"/>
      <c r="I7" s="304"/>
      <c r="J7" s="304"/>
      <c r="K7" s="304"/>
    </row>
    <row r="8" spans="1:11" ht="12.75">
      <c r="A8" s="304"/>
      <c r="B8" s="304"/>
      <c r="C8" s="304"/>
      <c r="D8" s="304"/>
      <c r="E8" s="304"/>
      <c r="F8" s="304"/>
      <c r="G8" s="304"/>
      <c r="H8" s="304"/>
      <c r="I8" s="304"/>
      <c r="J8" s="304"/>
      <c r="K8" s="304"/>
    </row>
    <row r="9" spans="1:11" ht="15">
      <c r="A9" s="303"/>
      <c r="B9" s="303"/>
      <c r="C9" s="302" t="s">
        <v>395</v>
      </c>
      <c r="D9" s="303"/>
      <c r="E9" s="303"/>
      <c r="F9" s="303"/>
      <c r="G9" s="303"/>
      <c r="H9" s="303"/>
      <c r="I9" s="303"/>
      <c r="J9" s="303"/>
      <c r="K9" s="303"/>
    </row>
    <row r="10" spans="1:11" ht="15">
      <c r="A10" s="303"/>
      <c r="B10" s="303"/>
      <c r="C10" s="302" t="s">
        <v>601</v>
      </c>
      <c r="D10" s="303"/>
      <c r="E10" s="302" t="s">
        <v>320</v>
      </c>
      <c r="F10" s="303"/>
      <c r="G10" s="303"/>
      <c r="H10" s="303"/>
      <c r="I10" s="303"/>
      <c r="J10" s="303"/>
      <c r="K10" s="302" t="s">
        <v>321</v>
      </c>
    </row>
    <row r="11" spans="1:11" ht="15">
      <c r="A11" s="306" t="s">
        <v>421</v>
      </c>
      <c r="B11" s="303"/>
      <c r="C11" s="306" t="s">
        <v>428</v>
      </c>
      <c r="D11" s="303"/>
      <c r="E11" s="306" t="s">
        <v>322</v>
      </c>
      <c r="F11" s="303"/>
      <c r="G11" s="483" t="s">
        <v>254</v>
      </c>
      <c r="H11" s="483"/>
      <c r="I11" s="483"/>
      <c r="J11" s="303"/>
      <c r="K11" s="306" t="s">
        <v>323</v>
      </c>
    </row>
    <row r="12" spans="1:11" ht="15">
      <c r="A12" s="308" t="s">
        <v>524</v>
      </c>
      <c r="B12" s="309"/>
      <c r="C12" s="308" t="s">
        <v>535</v>
      </c>
      <c r="D12" s="309"/>
      <c r="E12" s="308" t="s">
        <v>525</v>
      </c>
      <c r="F12" s="303"/>
      <c r="G12" s="472" t="s">
        <v>300</v>
      </c>
      <c r="H12" s="472"/>
      <c r="I12" s="472"/>
      <c r="J12" s="303"/>
      <c r="K12" s="308" t="s">
        <v>301</v>
      </c>
    </row>
    <row r="13" spans="1:11" ht="15">
      <c r="A13" s="303"/>
      <c r="B13" s="303"/>
      <c r="C13" s="303"/>
      <c r="D13" s="303"/>
      <c r="E13" s="303"/>
      <c r="F13" s="303"/>
      <c r="G13" s="303"/>
      <c r="H13" s="303"/>
      <c r="I13" s="303"/>
      <c r="J13" s="303"/>
      <c r="K13" s="303"/>
    </row>
    <row r="14" spans="1:11" ht="15">
      <c r="A14" s="303" t="s">
        <v>3</v>
      </c>
      <c r="B14" s="303"/>
      <c r="C14" s="318">
        <f>+'Schedule B'!E19</f>
        <v>3417363</v>
      </c>
      <c r="D14" s="303"/>
      <c r="E14" s="431">
        <f>+'Schedule C'!E88</f>
        <v>143820</v>
      </c>
      <c r="F14" s="303"/>
      <c r="G14" s="337" t="s">
        <v>324</v>
      </c>
      <c r="H14" s="338"/>
      <c r="I14" s="303"/>
      <c r="J14" s="303"/>
      <c r="K14" s="339">
        <f>ROUND(+C14/E14/12,2)</f>
        <v>1.98</v>
      </c>
    </row>
    <row r="15" spans="1:11" ht="15">
      <c r="A15" s="303"/>
      <c r="B15" s="303"/>
      <c r="C15" s="431"/>
      <c r="D15" s="303"/>
      <c r="E15" s="431"/>
      <c r="F15" s="303"/>
      <c r="G15" s="337"/>
      <c r="H15" s="338"/>
      <c r="I15" s="303"/>
      <c r="J15" s="303"/>
      <c r="K15" s="339"/>
    </row>
    <row r="16" spans="1:11" ht="15">
      <c r="A16" s="303" t="s">
        <v>605</v>
      </c>
      <c r="B16" s="303"/>
      <c r="C16" s="320">
        <f>+'Schedule B'!E21</f>
        <v>1581029</v>
      </c>
      <c r="D16" s="303"/>
      <c r="E16" s="431">
        <f>+'Schedule C'!E107</f>
        <v>111274</v>
      </c>
      <c r="F16" s="303"/>
      <c r="G16" s="337" t="s">
        <v>325</v>
      </c>
      <c r="H16" s="338"/>
      <c r="I16" s="303"/>
      <c r="J16" s="303"/>
      <c r="K16" s="340">
        <f>ROUND(+C16/E16/12,2)</f>
        <v>1.18</v>
      </c>
    </row>
    <row r="17" spans="1:11" ht="15">
      <c r="A17" s="303"/>
      <c r="B17" s="303"/>
      <c r="C17" s="320"/>
      <c r="D17" s="303"/>
      <c r="E17" s="431"/>
      <c r="F17" s="303"/>
      <c r="G17" s="303"/>
      <c r="H17" s="338"/>
      <c r="I17" s="303"/>
      <c r="J17" s="303"/>
      <c r="K17" s="340"/>
    </row>
    <row r="18" spans="1:11" ht="15">
      <c r="A18" s="303" t="s">
        <v>326</v>
      </c>
      <c r="B18" s="303"/>
      <c r="C18" s="320">
        <f>+'Schedule B'!E23</f>
        <v>5420689</v>
      </c>
      <c r="D18" s="303"/>
      <c r="E18" s="431">
        <f>+'Schedule C'!E129</f>
        <v>119088</v>
      </c>
      <c r="F18" s="303"/>
      <c r="G18" s="303" t="s">
        <v>327</v>
      </c>
      <c r="H18" s="338"/>
      <c r="I18" s="303"/>
      <c r="J18" s="303"/>
      <c r="K18" s="340">
        <f>ROUND(+C18/E18/12,2)</f>
        <v>3.79</v>
      </c>
    </row>
    <row r="19" spans="1:11" ht="15">
      <c r="A19" s="303"/>
      <c r="B19" s="303"/>
      <c r="C19" s="432"/>
      <c r="D19" s="303"/>
      <c r="E19" s="433"/>
      <c r="F19" s="303"/>
      <c r="G19" s="303"/>
      <c r="H19" s="338"/>
      <c r="I19" s="303"/>
      <c r="J19" s="303"/>
      <c r="K19" s="340"/>
    </row>
    <row r="20" spans="1:11" ht="15">
      <c r="A20" s="303" t="s">
        <v>409</v>
      </c>
      <c r="B20" s="303"/>
      <c r="C20" s="322">
        <f>+'Schedule B'!E25</f>
        <v>1985670</v>
      </c>
      <c r="D20" s="303"/>
      <c r="E20" s="431">
        <f>+'Schedule C'!E147</f>
        <v>118924</v>
      </c>
      <c r="F20" s="303"/>
      <c r="G20" s="303" t="s">
        <v>328</v>
      </c>
      <c r="H20" s="338"/>
      <c r="I20" s="303"/>
      <c r="J20" s="303"/>
      <c r="K20" s="387">
        <f>ROUND(+C20/E20/12,2)</f>
        <v>1.39</v>
      </c>
    </row>
    <row r="21" spans="1:11" ht="15">
      <c r="A21" s="303"/>
      <c r="B21" s="303"/>
      <c r="C21" s="303"/>
      <c r="D21" s="303"/>
      <c r="E21" s="303"/>
      <c r="F21" s="303"/>
      <c r="G21" s="303"/>
      <c r="H21" s="303"/>
      <c r="I21" s="303"/>
      <c r="J21" s="303"/>
      <c r="K21" s="303"/>
    </row>
    <row r="22" spans="1:11" ht="15.75" thickBot="1">
      <c r="A22" s="303" t="s">
        <v>329</v>
      </c>
      <c r="B22" s="303"/>
      <c r="C22" s="317">
        <f>SUM(C14:C20)</f>
        <v>12404751</v>
      </c>
      <c r="D22" s="303"/>
      <c r="E22" s="303"/>
      <c r="F22" s="303"/>
      <c r="G22" s="303"/>
      <c r="H22" s="303"/>
      <c r="I22" s="303"/>
      <c r="J22" s="303"/>
      <c r="K22" s="341">
        <f>SUM(K14:K20)</f>
        <v>8.34</v>
      </c>
    </row>
    <row r="23" spans="1:11" ht="15.75" thickTop="1">
      <c r="A23" s="303"/>
      <c r="B23" s="303"/>
      <c r="C23" s="304"/>
      <c r="D23" s="304"/>
      <c r="E23" s="304"/>
      <c r="F23" s="304"/>
      <c r="G23" s="304"/>
      <c r="H23" s="304"/>
      <c r="I23" s="304"/>
      <c r="J23" s="303"/>
      <c r="K23" s="303"/>
    </row>
    <row r="24" spans="1:11" ht="15">
      <c r="A24" s="303"/>
      <c r="B24" s="303"/>
      <c r="C24" s="304"/>
      <c r="D24" s="304"/>
      <c r="E24" s="304"/>
      <c r="F24" s="304"/>
      <c r="G24" s="304"/>
      <c r="H24" s="304"/>
      <c r="I24" s="304"/>
      <c r="J24" s="303"/>
      <c r="K24" s="303"/>
    </row>
    <row r="25" spans="1:11" ht="15">
      <c r="A25" s="303"/>
      <c r="B25" s="303"/>
      <c r="C25" s="304"/>
      <c r="D25" s="304"/>
      <c r="E25" s="304"/>
      <c r="F25" s="304"/>
      <c r="G25" s="304"/>
      <c r="H25" s="304"/>
      <c r="I25" s="304"/>
      <c r="J25" s="303"/>
      <c r="K25" s="303"/>
    </row>
    <row r="26" spans="1:43" ht="15">
      <c r="A26" s="304"/>
      <c r="B26" s="304"/>
      <c r="Q26" s="435"/>
      <c r="R26" s="435"/>
      <c r="S26" s="435"/>
      <c r="T26" s="435"/>
      <c r="U26" s="435"/>
      <c r="V26" s="435"/>
      <c r="W26" s="435"/>
      <c r="X26" s="436"/>
      <c r="Y26" s="436"/>
      <c r="Z26" s="149"/>
      <c r="AA26" s="149"/>
      <c r="AB26" s="149"/>
      <c r="AC26" s="437"/>
      <c r="AD26" s="149"/>
      <c r="AE26" s="438"/>
      <c r="AF26" s="438"/>
      <c r="AG26" s="437"/>
      <c r="AH26" s="439"/>
      <c r="AI26" s="149"/>
      <c r="AJ26" s="149"/>
      <c r="AK26" s="437"/>
      <c r="AL26" s="437"/>
      <c r="AM26" s="149"/>
      <c r="AN26" s="149"/>
      <c r="AO26" s="149"/>
      <c r="AP26" s="149"/>
      <c r="AQ26" s="149"/>
    </row>
    <row r="27" spans="1:43" ht="15">
      <c r="A27" s="303"/>
      <c r="B27" s="303"/>
      <c r="E27" s="302" t="s">
        <v>330</v>
      </c>
      <c r="I27" s="244" t="s">
        <v>372</v>
      </c>
      <c r="J27" s="244"/>
      <c r="K27" s="244" t="s">
        <v>371</v>
      </c>
      <c r="Q27" s="471"/>
      <c r="R27" s="471"/>
      <c r="S27" s="471"/>
      <c r="T27" s="438"/>
      <c r="U27" s="471"/>
      <c r="V27" s="471"/>
      <c r="W27" s="471"/>
      <c r="X27" s="438"/>
      <c r="Y27" s="439"/>
      <c r="Z27" s="437"/>
      <c r="AA27" s="437"/>
      <c r="AB27" s="437"/>
      <c r="AC27" s="437"/>
      <c r="AD27" s="437"/>
      <c r="AE27" s="437"/>
      <c r="AF27" s="438"/>
      <c r="AG27" s="437"/>
      <c r="AH27" s="439"/>
      <c r="AI27" s="439"/>
      <c r="AJ27" s="439"/>
      <c r="AK27" s="439"/>
      <c r="AL27" s="439"/>
      <c r="AM27" s="149"/>
      <c r="AN27" s="149"/>
      <c r="AO27" s="149"/>
      <c r="AP27" s="149"/>
      <c r="AQ27" s="149"/>
    </row>
    <row r="28" spans="1:43" ht="15">
      <c r="A28" s="306" t="s">
        <v>331</v>
      </c>
      <c r="B28" s="304"/>
      <c r="E28" s="306" t="s">
        <v>545</v>
      </c>
      <c r="I28" s="306" t="s">
        <v>393</v>
      </c>
      <c r="J28" s="244"/>
      <c r="K28" s="306" t="s">
        <v>393</v>
      </c>
      <c r="Q28" s="439"/>
      <c r="R28" s="439"/>
      <c r="S28" s="439"/>
      <c r="T28" s="438"/>
      <c r="U28" s="439"/>
      <c r="V28" s="439"/>
      <c r="W28" s="439"/>
      <c r="X28" s="438"/>
      <c r="Y28" s="439"/>
      <c r="Z28" s="437"/>
      <c r="AA28" s="439"/>
      <c r="AB28" s="437"/>
      <c r="AC28" s="439"/>
      <c r="AD28" s="437"/>
      <c r="AE28" s="439"/>
      <c r="AF28" s="438"/>
      <c r="AG28" s="439"/>
      <c r="AH28" s="435"/>
      <c r="AI28" s="439"/>
      <c r="AJ28" s="439"/>
      <c r="AK28" s="439"/>
      <c r="AL28" s="439"/>
      <c r="AM28" s="149"/>
      <c r="AN28" s="149"/>
      <c r="AO28" s="149"/>
      <c r="AP28" s="149"/>
      <c r="AQ28" s="149"/>
    </row>
    <row r="29" spans="1:43" ht="15">
      <c r="A29" s="354">
        <v>-1</v>
      </c>
      <c r="B29" s="355"/>
      <c r="E29" s="304"/>
      <c r="I29" s="14"/>
      <c r="J29" s="14"/>
      <c r="K29" s="14"/>
      <c r="L29" s="14"/>
      <c r="M29" s="14"/>
      <c r="Q29" s="354"/>
      <c r="R29" s="354"/>
      <c r="S29" s="440"/>
      <c r="T29" s="354"/>
      <c r="U29" s="440"/>
      <c r="V29" s="441"/>
      <c r="W29" s="441"/>
      <c r="X29" s="441"/>
      <c r="Y29" s="441"/>
      <c r="Z29" s="441"/>
      <c r="AA29" s="441"/>
      <c r="AB29" s="441"/>
      <c r="AC29" s="441"/>
      <c r="AD29" s="441"/>
      <c r="AE29" s="441"/>
      <c r="AF29" s="441"/>
      <c r="AG29" s="442"/>
      <c r="AH29" s="435"/>
      <c r="AI29" s="435"/>
      <c r="AJ29" s="435"/>
      <c r="AK29" s="435"/>
      <c r="AL29" s="435"/>
      <c r="AM29" s="149"/>
      <c r="AN29" s="149"/>
      <c r="AO29" s="149"/>
      <c r="AP29" s="149"/>
      <c r="AQ29" s="149"/>
    </row>
    <row r="30" spans="1:43" ht="15">
      <c r="A30" s="304"/>
      <c r="B30" s="304"/>
      <c r="E30" s="304"/>
      <c r="I30" s="14"/>
      <c r="J30" s="14"/>
      <c r="K30" s="14"/>
      <c r="L30" s="14"/>
      <c r="M30" s="14"/>
      <c r="Q30" s="435"/>
      <c r="R30" s="435"/>
      <c r="S30" s="438"/>
      <c r="T30" s="438"/>
      <c r="U30" s="438"/>
      <c r="V30" s="438"/>
      <c r="W30" s="438"/>
      <c r="X30" s="438"/>
      <c r="Y30" s="436"/>
      <c r="Z30" s="438"/>
      <c r="AA30" s="436"/>
      <c r="AB30" s="438"/>
      <c r="AC30" s="438"/>
      <c r="AD30" s="438"/>
      <c r="AE30" s="149"/>
      <c r="AF30" s="149"/>
      <c r="AG30" s="149"/>
      <c r="AH30" s="436"/>
      <c r="AI30" s="435"/>
      <c r="AJ30" s="435"/>
      <c r="AK30" s="435"/>
      <c r="AL30" s="435"/>
      <c r="AM30" s="149"/>
      <c r="AN30" s="149"/>
      <c r="AO30" s="149"/>
      <c r="AP30" s="149"/>
      <c r="AQ30" s="149"/>
    </row>
    <row r="31" spans="1:43" ht="15">
      <c r="A31" s="342" t="s">
        <v>332</v>
      </c>
      <c r="B31" s="304"/>
      <c r="E31" s="343">
        <v>1</v>
      </c>
      <c r="I31" s="409">
        <v>7.95</v>
      </c>
      <c r="J31" s="409"/>
      <c r="K31" s="434">
        <f>+K22</f>
        <v>8.34</v>
      </c>
      <c r="L31" s="14"/>
      <c r="M31" s="410">
        <f>+K31/I31-1</f>
        <v>0.049056603773584895</v>
      </c>
      <c r="Q31" s="443"/>
      <c r="R31" s="446"/>
      <c r="S31" s="447"/>
      <c r="T31" s="447"/>
      <c r="U31" s="448"/>
      <c r="V31" s="447"/>
      <c r="W31" s="447"/>
      <c r="X31" s="447"/>
      <c r="Y31" s="446"/>
      <c r="Z31" s="447"/>
      <c r="AA31" s="447"/>
      <c r="AB31" s="447"/>
      <c r="AC31" s="447"/>
      <c r="AD31" s="449"/>
      <c r="AE31" s="450"/>
      <c r="AF31" s="149"/>
      <c r="AG31" s="451"/>
      <c r="AH31" s="436"/>
      <c r="AI31" s="452"/>
      <c r="AJ31" s="436"/>
      <c r="AK31" s="446"/>
      <c r="AL31" s="446"/>
      <c r="AM31" s="149"/>
      <c r="AN31" s="453"/>
      <c r="AO31" s="454"/>
      <c r="AP31" s="149"/>
      <c r="AQ31" s="149"/>
    </row>
    <row r="32" spans="1:43" ht="15">
      <c r="A32" s="342"/>
      <c r="B32" s="304"/>
      <c r="E32" s="303"/>
      <c r="I32" s="408"/>
      <c r="J32" s="408"/>
      <c r="K32" s="408"/>
      <c r="L32" s="14"/>
      <c r="M32" s="410"/>
      <c r="Q32" s="455"/>
      <c r="R32" s="456"/>
      <c r="S32" s="449"/>
      <c r="T32" s="449"/>
      <c r="U32" s="455"/>
      <c r="V32" s="449"/>
      <c r="W32" s="449"/>
      <c r="X32" s="449"/>
      <c r="Y32" s="456"/>
      <c r="Z32" s="449"/>
      <c r="AA32" s="449"/>
      <c r="AB32" s="449"/>
      <c r="AC32" s="449"/>
      <c r="AD32" s="449"/>
      <c r="AE32" s="450"/>
      <c r="AF32" s="149"/>
      <c r="AG32" s="450"/>
      <c r="AH32" s="436"/>
      <c r="AI32" s="436"/>
      <c r="AJ32" s="436"/>
      <c r="AK32" s="436"/>
      <c r="AL32" s="436"/>
      <c r="AM32" s="149"/>
      <c r="AN32" s="453"/>
      <c r="AO32" s="454"/>
      <c r="AP32" s="149"/>
      <c r="AQ32" s="149"/>
    </row>
    <row r="33" spans="1:43" ht="15">
      <c r="A33" s="342" t="s">
        <v>333</v>
      </c>
      <c r="B33" s="304"/>
      <c r="E33" s="344">
        <v>1.5</v>
      </c>
      <c r="I33" s="408">
        <v>11.94</v>
      </c>
      <c r="J33" s="408"/>
      <c r="K33" s="408">
        <f>+K$31*E33</f>
        <v>12.51</v>
      </c>
      <c r="L33" s="14"/>
      <c r="M33" s="410">
        <f aca="true" t="shared" si="0" ref="M33:M47">+K33/I33-1</f>
        <v>0.047738693467336724</v>
      </c>
      <c r="Q33" s="449"/>
      <c r="R33" s="456"/>
      <c r="S33" s="449"/>
      <c r="T33" s="449"/>
      <c r="U33" s="455"/>
      <c r="V33" s="449"/>
      <c r="W33" s="449"/>
      <c r="X33" s="449"/>
      <c r="Y33" s="456"/>
      <c r="Z33" s="449"/>
      <c r="AA33" s="449"/>
      <c r="AB33" s="449"/>
      <c r="AC33" s="449"/>
      <c r="AD33" s="449"/>
      <c r="AE33" s="457"/>
      <c r="AF33" s="149"/>
      <c r="AG33" s="450"/>
      <c r="AH33" s="436"/>
      <c r="AI33" s="458"/>
      <c r="AJ33" s="436"/>
      <c r="AK33" s="448"/>
      <c r="AL33" s="448"/>
      <c r="AM33" s="149"/>
      <c r="AN33" s="149"/>
      <c r="AO33" s="454"/>
      <c r="AP33" s="149"/>
      <c r="AQ33" s="149"/>
    </row>
    <row r="34" spans="1:43" ht="15">
      <c r="A34" s="342"/>
      <c r="B34" s="304"/>
      <c r="E34" s="344"/>
      <c r="I34" s="408"/>
      <c r="J34" s="408"/>
      <c r="K34" s="408"/>
      <c r="L34" s="14"/>
      <c r="M34" s="410"/>
      <c r="Q34" s="459"/>
      <c r="R34" s="456"/>
      <c r="S34" s="449"/>
      <c r="T34" s="449"/>
      <c r="U34" s="455"/>
      <c r="V34" s="449"/>
      <c r="W34" s="449"/>
      <c r="X34" s="449"/>
      <c r="Y34" s="456"/>
      <c r="Z34" s="449"/>
      <c r="AA34" s="449"/>
      <c r="AB34" s="449"/>
      <c r="AC34" s="449"/>
      <c r="AD34" s="449"/>
      <c r="AE34" s="450"/>
      <c r="AF34" s="149"/>
      <c r="AG34" s="450"/>
      <c r="AH34" s="436"/>
      <c r="AI34" s="458"/>
      <c r="AJ34" s="436"/>
      <c r="AK34" s="448"/>
      <c r="AL34" s="448"/>
      <c r="AM34" s="149"/>
      <c r="AN34" s="149"/>
      <c r="AO34" s="454"/>
      <c r="AP34" s="149"/>
      <c r="AQ34" s="149"/>
    </row>
    <row r="35" spans="1:43" ht="15">
      <c r="A35" s="342" t="s">
        <v>334</v>
      </c>
      <c r="B35" s="304"/>
      <c r="E35" s="344">
        <v>2.5</v>
      </c>
      <c r="I35" s="408">
        <v>19.89</v>
      </c>
      <c r="J35" s="408"/>
      <c r="K35" s="408">
        <f>+K$31*E35</f>
        <v>20.85</v>
      </c>
      <c r="L35" s="14"/>
      <c r="M35" s="410">
        <f t="shared" si="0"/>
        <v>0.04826546003016596</v>
      </c>
      <c r="Q35" s="455"/>
      <c r="R35" s="456"/>
      <c r="S35" s="449"/>
      <c r="T35" s="449"/>
      <c r="U35" s="455"/>
      <c r="V35" s="449"/>
      <c r="W35" s="449"/>
      <c r="X35" s="449"/>
      <c r="Y35" s="456"/>
      <c r="Z35" s="449"/>
      <c r="AA35" s="449"/>
      <c r="AB35" s="449"/>
      <c r="AC35" s="449"/>
      <c r="AD35" s="449"/>
      <c r="AE35" s="450"/>
      <c r="AF35" s="149"/>
      <c r="AG35" s="450"/>
      <c r="AH35" s="436"/>
      <c r="AI35" s="458"/>
      <c r="AJ35" s="436"/>
      <c r="AK35" s="448"/>
      <c r="AL35" s="448"/>
      <c r="AM35" s="149"/>
      <c r="AN35" s="453"/>
      <c r="AO35" s="454"/>
      <c r="AP35" s="149"/>
      <c r="AQ35" s="149"/>
    </row>
    <row r="36" spans="1:43" ht="15">
      <c r="A36" s="342"/>
      <c r="B36" s="304"/>
      <c r="E36" s="344"/>
      <c r="I36" s="408"/>
      <c r="J36" s="408"/>
      <c r="K36" s="408"/>
      <c r="L36" s="14"/>
      <c r="M36" s="410"/>
      <c r="Q36" s="455"/>
      <c r="R36" s="456"/>
      <c r="S36" s="449"/>
      <c r="T36" s="449"/>
      <c r="U36" s="455"/>
      <c r="V36" s="449"/>
      <c r="W36" s="449"/>
      <c r="X36" s="449"/>
      <c r="Y36" s="456"/>
      <c r="Z36" s="449"/>
      <c r="AA36" s="449"/>
      <c r="AB36" s="449"/>
      <c r="AC36" s="449"/>
      <c r="AD36" s="449"/>
      <c r="AE36" s="450"/>
      <c r="AF36" s="149"/>
      <c r="AG36" s="450"/>
      <c r="AH36" s="436"/>
      <c r="AI36" s="458"/>
      <c r="AJ36" s="436"/>
      <c r="AK36" s="448"/>
      <c r="AL36" s="448"/>
      <c r="AM36" s="149"/>
      <c r="AN36" s="460"/>
      <c r="AO36" s="454"/>
      <c r="AP36" s="149"/>
      <c r="AQ36" s="149"/>
    </row>
    <row r="37" spans="1:43" ht="15">
      <c r="A37" s="342" t="s">
        <v>335</v>
      </c>
      <c r="B37" s="304"/>
      <c r="E37" s="344">
        <v>5</v>
      </c>
      <c r="I37" s="408">
        <v>39.77</v>
      </c>
      <c r="J37" s="408"/>
      <c r="K37" s="408">
        <f>+K$31*E37</f>
        <v>41.7</v>
      </c>
      <c r="L37" s="14"/>
      <c r="M37" s="410">
        <f t="shared" si="0"/>
        <v>0.048529041991450805</v>
      </c>
      <c r="Q37" s="455"/>
      <c r="R37" s="456"/>
      <c r="S37" s="449"/>
      <c r="T37" s="449"/>
      <c r="U37" s="455"/>
      <c r="V37" s="449"/>
      <c r="W37" s="449"/>
      <c r="X37" s="449"/>
      <c r="Y37" s="456"/>
      <c r="Z37" s="449"/>
      <c r="AA37" s="449"/>
      <c r="AB37" s="449"/>
      <c r="AC37" s="449"/>
      <c r="AD37" s="449"/>
      <c r="AE37" s="450"/>
      <c r="AF37" s="149"/>
      <c r="AG37" s="450"/>
      <c r="AH37" s="436"/>
      <c r="AI37" s="458"/>
      <c r="AJ37" s="436"/>
      <c r="AK37" s="448"/>
      <c r="AL37" s="448"/>
      <c r="AM37" s="149"/>
      <c r="AN37" s="453"/>
      <c r="AO37" s="454"/>
      <c r="AP37" s="149"/>
      <c r="AQ37" s="149"/>
    </row>
    <row r="38" spans="1:43" ht="15">
      <c r="A38" s="342"/>
      <c r="B38" s="304"/>
      <c r="E38" s="344"/>
      <c r="I38" s="408"/>
      <c r="J38" s="408"/>
      <c r="K38" s="408"/>
      <c r="L38" s="14"/>
      <c r="M38" s="410"/>
      <c r="Q38" s="455"/>
      <c r="R38" s="456"/>
      <c r="S38" s="449"/>
      <c r="T38" s="449"/>
      <c r="U38" s="455"/>
      <c r="V38" s="449"/>
      <c r="W38" s="449"/>
      <c r="X38" s="449"/>
      <c r="Y38" s="456"/>
      <c r="Z38" s="449"/>
      <c r="AA38" s="449"/>
      <c r="AB38" s="449"/>
      <c r="AC38" s="449"/>
      <c r="AD38" s="449"/>
      <c r="AE38" s="450"/>
      <c r="AF38" s="149"/>
      <c r="AG38" s="450"/>
      <c r="AH38" s="436"/>
      <c r="AI38" s="458"/>
      <c r="AJ38" s="436"/>
      <c r="AK38" s="448"/>
      <c r="AL38" s="448"/>
      <c r="AM38" s="149"/>
      <c r="AN38" s="460"/>
      <c r="AO38" s="454"/>
      <c r="AP38" s="149"/>
      <c r="AQ38" s="149"/>
    </row>
    <row r="39" spans="1:43" ht="15">
      <c r="A39" s="342" t="s">
        <v>336</v>
      </c>
      <c r="B39" s="304"/>
      <c r="E39" s="344">
        <v>8</v>
      </c>
      <c r="I39" s="408">
        <v>63.64</v>
      </c>
      <c r="J39" s="408"/>
      <c r="K39" s="408">
        <f>+K$31*E39</f>
        <v>66.72</v>
      </c>
      <c r="L39" s="14"/>
      <c r="M39" s="410">
        <f t="shared" si="0"/>
        <v>0.048397234443745996</v>
      </c>
      <c r="Q39" s="455"/>
      <c r="R39" s="456"/>
      <c r="S39" s="449"/>
      <c r="T39" s="449"/>
      <c r="U39" s="455"/>
      <c r="V39" s="449"/>
      <c r="W39" s="449"/>
      <c r="X39" s="449"/>
      <c r="Y39" s="456"/>
      <c r="Z39" s="449"/>
      <c r="AA39" s="449"/>
      <c r="AB39" s="449"/>
      <c r="AC39" s="449"/>
      <c r="AD39" s="449"/>
      <c r="AE39" s="450"/>
      <c r="AF39" s="149"/>
      <c r="AG39" s="450"/>
      <c r="AH39" s="436"/>
      <c r="AI39" s="458"/>
      <c r="AJ39" s="436"/>
      <c r="AK39" s="448"/>
      <c r="AL39" s="448"/>
      <c r="AM39" s="149"/>
      <c r="AN39" s="453"/>
      <c r="AO39" s="454"/>
      <c r="AP39" s="149"/>
      <c r="AQ39" s="149"/>
    </row>
    <row r="40" spans="1:43" ht="15">
      <c r="A40" s="342"/>
      <c r="B40" s="304"/>
      <c r="E40" s="344"/>
      <c r="I40" s="408"/>
      <c r="J40" s="408"/>
      <c r="K40" s="408"/>
      <c r="L40" s="14"/>
      <c r="M40" s="410"/>
      <c r="Q40" s="455"/>
      <c r="R40" s="456"/>
      <c r="S40" s="449"/>
      <c r="T40" s="449"/>
      <c r="U40" s="455"/>
      <c r="V40" s="449"/>
      <c r="W40" s="449"/>
      <c r="X40" s="449"/>
      <c r="Y40" s="456"/>
      <c r="Z40" s="449"/>
      <c r="AA40" s="449"/>
      <c r="AB40" s="449"/>
      <c r="AC40" s="449"/>
      <c r="AD40" s="449"/>
      <c r="AE40" s="450"/>
      <c r="AF40" s="149"/>
      <c r="AG40" s="450"/>
      <c r="AH40" s="436"/>
      <c r="AI40" s="458"/>
      <c r="AJ40" s="436"/>
      <c r="AK40" s="448"/>
      <c r="AL40" s="448"/>
      <c r="AM40" s="149"/>
      <c r="AN40" s="460"/>
      <c r="AO40" s="454"/>
      <c r="AP40" s="149"/>
      <c r="AQ40" s="149"/>
    </row>
    <row r="41" spans="1:43" ht="15">
      <c r="A41" s="342" t="s">
        <v>337</v>
      </c>
      <c r="B41" s="304"/>
      <c r="E41" s="344">
        <v>15</v>
      </c>
      <c r="I41" s="408">
        <v>119.32</v>
      </c>
      <c r="J41" s="408"/>
      <c r="K41" s="408">
        <f>+K$31*E41</f>
        <v>125.1</v>
      </c>
      <c r="L41" s="14"/>
      <c r="M41" s="410">
        <f t="shared" si="0"/>
        <v>0.04844116661079445</v>
      </c>
      <c r="Q41" s="455"/>
      <c r="R41" s="456"/>
      <c r="S41" s="449"/>
      <c r="T41" s="449"/>
      <c r="U41" s="455"/>
      <c r="V41" s="449"/>
      <c r="W41" s="449"/>
      <c r="X41" s="449"/>
      <c r="Y41" s="456"/>
      <c r="Z41" s="449"/>
      <c r="AA41" s="449"/>
      <c r="AB41" s="449"/>
      <c r="AC41" s="449"/>
      <c r="AD41" s="449"/>
      <c r="AE41" s="450"/>
      <c r="AF41" s="149"/>
      <c r="AG41" s="450"/>
      <c r="AH41" s="436"/>
      <c r="AI41" s="458"/>
      <c r="AJ41" s="436"/>
      <c r="AK41" s="448"/>
      <c r="AL41" s="448"/>
      <c r="AM41" s="149"/>
      <c r="AN41" s="453"/>
      <c r="AO41" s="454"/>
      <c r="AP41" s="149"/>
      <c r="AQ41" s="149"/>
    </row>
    <row r="42" spans="1:43" ht="15">
      <c r="A42" s="342"/>
      <c r="B42" s="304"/>
      <c r="E42" s="344"/>
      <c r="I42" s="408"/>
      <c r="J42" s="408"/>
      <c r="K42" s="408"/>
      <c r="L42" s="14"/>
      <c r="M42" s="410"/>
      <c r="Q42" s="455"/>
      <c r="R42" s="456"/>
      <c r="S42" s="449"/>
      <c r="T42" s="449"/>
      <c r="U42" s="455"/>
      <c r="V42" s="449"/>
      <c r="W42" s="449"/>
      <c r="X42" s="449"/>
      <c r="Y42" s="456"/>
      <c r="Z42" s="449"/>
      <c r="AA42" s="449"/>
      <c r="AB42" s="449"/>
      <c r="AC42" s="449"/>
      <c r="AD42" s="449"/>
      <c r="AE42" s="450"/>
      <c r="AF42" s="149"/>
      <c r="AG42" s="450"/>
      <c r="AH42" s="436"/>
      <c r="AI42" s="458"/>
      <c r="AJ42" s="436"/>
      <c r="AK42" s="448"/>
      <c r="AL42" s="448"/>
      <c r="AM42" s="149"/>
      <c r="AN42" s="460"/>
      <c r="AO42" s="454"/>
      <c r="AP42" s="149"/>
      <c r="AQ42" s="149"/>
    </row>
    <row r="43" spans="1:43" ht="15">
      <c r="A43" s="342" t="s">
        <v>338</v>
      </c>
      <c r="B43" s="304"/>
      <c r="E43" s="344">
        <v>25</v>
      </c>
      <c r="I43" s="408">
        <v>198.86</v>
      </c>
      <c r="J43" s="408"/>
      <c r="K43" s="408">
        <f>+K$31*E43</f>
        <v>208.5</v>
      </c>
      <c r="L43" s="14"/>
      <c r="M43" s="410">
        <f t="shared" si="0"/>
        <v>0.04847631499547411</v>
      </c>
      <c r="Q43" s="455"/>
      <c r="R43" s="456"/>
      <c r="S43" s="449"/>
      <c r="T43" s="449"/>
      <c r="U43" s="455"/>
      <c r="V43" s="449"/>
      <c r="W43" s="449"/>
      <c r="X43" s="449"/>
      <c r="Y43" s="456"/>
      <c r="Z43" s="449"/>
      <c r="AA43" s="449"/>
      <c r="AB43" s="449"/>
      <c r="AC43" s="449"/>
      <c r="AD43" s="449"/>
      <c r="AE43" s="450"/>
      <c r="AF43" s="149"/>
      <c r="AG43" s="450"/>
      <c r="AH43" s="436"/>
      <c r="AI43" s="458"/>
      <c r="AJ43" s="436"/>
      <c r="AK43" s="448"/>
      <c r="AL43" s="448"/>
      <c r="AM43" s="149"/>
      <c r="AN43" s="453"/>
      <c r="AO43" s="454"/>
      <c r="AP43" s="149"/>
      <c r="AQ43" s="149"/>
    </row>
    <row r="44" spans="1:43" ht="15">
      <c r="A44" s="342"/>
      <c r="B44" s="304"/>
      <c r="E44" s="344"/>
      <c r="I44" s="408"/>
      <c r="J44" s="408"/>
      <c r="K44" s="408"/>
      <c r="L44" s="14"/>
      <c r="M44" s="410"/>
      <c r="Q44" s="455"/>
      <c r="R44" s="456"/>
      <c r="S44" s="449"/>
      <c r="T44" s="449"/>
      <c r="U44" s="455"/>
      <c r="V44" s="449"/>
      <c r="W44" s="449"/>
      <c r="X44" s="449"/>
      <c r="Y44" s="456"/>
      <c r="Z44" s="449"/>
      <c r="AA44" s="449"/>
      <c r="AB44" s="449"/>
      <c r="AC44" s="449"/>
      <c r="AD44" s="449"/>
      <c r="AE44" s="450"/>
      <c r="AF44" s="149"/>
      <c r="AG44" s="450"/>
      <c r="AH44" s="436"/>
      <c r="AI44" s="458"/>
      <c r="AJ44" s="436"/>
      <c r="AK44" s="448"/>
      <c r="AL44" s="448"/>
      <c r="AM44" s="149"/>
      <c r="AN44" s="460"/>
      <c r="AO44" s="454"/>
      <c r="AP44" s="149"/>
      <c r="AQ44" s="149"/>
    </row>
    <row r="45" spans="1:43" ht="15">
      <c r="A45" s="342" t="s">
        <v>339</v>
      </c>
      <c r="B45" s="303"/>
      <c r="E45" s="344">
        <v>50</v>
      </c>
      <c r="I45" s="408">
        <v>397.73</v>
      </c>
      <c r="J45" s="408"/>
      <c r="K45" s="408">
        <f>+K$31*E45</f>
        <v>417</v>
      </c>
      <c r="L45" s="14"/>
      <c r="M45" s="410">
        <f t="shared" si="0"/>
        <v>0.048449953486033204</v>
      </c>
      <c r="Q45" s="455"/>
      <c r="R45" s="456"/>
      <c r="S45" s="449"/>
      <c r="T45" s="449"/>
      <c r="U45" s="455"/>
      <c r="V45" s="449"/>
      <c r="W45" s="449"/>
      <c r="X45" s="449"/>
      <c r="Y45" s="456"/>
      <c r="Z45" s="449"/>
      <c r="AA45" s="449"/>
      <c r="AB45" s="449"/>
      <c r="AC45" s="449"/>
      <c r="AD45" s="449"/>
      <c r="AE45" s="450"/>
      <c r="AF45" s="149"/>
      <c r="AG45" s="450"/>
      <c r="AH45" s="436"/>
      <c r="AI45" s="458"/>
      <c r="AJ45" s="436"/>
      <c r="AK45" s="448"/>
      <c r="AL45" s="448"/>
      <c r="AM45" s="149"/>
      <c r="AN45" s="453"/>
      <c r="AO45" s="454"/>
      <c r="AP45" s="149"/>
      <c r="AQ45" s="149"/>
    </row>
    <row r="46" spans="1:43" ht="15">
      <c r="A46" s="342"/>
      <c r="B46" s="304"/>
      <c r="E46" s="344"/>
      <c r="I46" s="408"/>
      <c r="J46" s="408"/>
      <c r="K46" s="408"/>
      <c r="L46" s="14"/>
      <c r="M46" s="410"/>
      <c r="Q46" s="455"/>
      <c r="R46" s="456"/>
      <c r="S46" s="449"/>
      <c r="T46" s="449"/>
      <c r="U46" s="455"/>
      <c r="V46" s="449"/>
      <c r="W46" s="449"/>
      <c r="X46" s="449"/>
      <c r="Y46" s="456"/>
      <c r="Z46" s="449"/>
      <c r="AA46" s="449"/>
      <c r="AB46" s="449"/>
      <c r="AC46" s="449"/>
      <c r="AD46" s="449"/>
      <c r="AE46" s="450"/>
      <c r="AF46" s="149"/>
      <c r="AG46" s="450"/>
      <c r="AH46" s="436"/>
      <c r="AI46" s="458"/>
      <c r="AJ46" s="436"/>
      <c r="AK46" s="448"/>
      <c r="AL46" s="448"/>
      <c r="AM46" s="149"/>
      <c r="AN46" s="460"/>
      <c r="AO46" s="454"/>
      <c r="AP46" s="149"/>
      <c r="AQ46" s="149"/>
    </row>
    <row r="47" spans="1:43" ht="15">
      <c r="A47" s="342" t="s">
        <v>340</v>
      </c>
      <c r="B47" s="304"/>
      <c r="E47" s="344">
        <v>80</v>
      </c>
      <c r="I47" s="408">
        <v>636.36</v>
      </c>
      <c r="J47" s="408"/>
      <c r="K47" s="408">
        <f>+K$31*E47</f>
        <v>667.2</v>
      </c>
      <c r="L47" s="14"/>
      <c r="M47" s="410">
        <f t="shared" si="0"/>
        <v>0.04846313407505187</v>
      </c>
      <c r="Q47" s="455"/>
      <c r="R47" s="456"/>
      <c r="S47" s="449"/>
      <c r="T47" s="449"/>
      <c r="U47" s="455"/>
      <c r="V47" s="449"/>
      <c r="W47" s="449"/>
      <c r="X47" s="449"/>
      <c r="Y47" s="456"/>
      <c r="Z47" s="449"/>
      <c r="AA47" s="449"/>
      <c r="AB47" s="449"/>
      <c r="AC47" s="449"/>
      <c r="AD47" s="449"/>
      <c r="AE47" s="450"/>
      <c r="AF47" s="149"/>
      <c r="AG47" s="450"/>
      <c r="AH47" s="436"/>
      <c r="AI47" s="458"/>
      <c r="AJ47" s="436"/>
      <c r="AK47" s="448"/>
      <c r="AL47" s="448"/>
      <c r="AM47" s="149"/>
      <c r="AN47" s="453"/>
      <c r="AO47" s="454"/>
      <c r="AP47" s="149"/>
      <c r="AQ47" s="149"/>
    </row>
    <row r="48" spans="9:43" ht="15">
      <c r="I48" s="408"/>
      <c r="J48" s="408"/>
      <c r="K48" s="408"/>
      <c r="L48" s="14"/>
      <c r="M48" s="14"/>
      <c r="Q48" s="438"/>
      <c r="R48" s="149"/>
      <c r="S48" s="438"/>
      <c r="T48" s="438"/>
      <c r="U48" s="461"/>
      <c r="V48" s="438"/>
      <c r="W48" s="438"/>
      <c r="X48" s="438"/>
      <c r="Y48" s="438"/>
      <c r="Z48" s="438"/>
      <c r="AA48" s="438"/>
      <c r="AB48" s="438"/>
      <c r="AC48" s="438"/>
      <c r="AD48" s="438"/>
      <c r="AE48" s="450"/>
      <c r="AF48" s="149"/>
      <c r="AG48" s="462"/>
      <c r="AH48" s="149"/>
      <c r="AI48" s="149"/>
      <c r="AJ48" s="149"/>
      <c r="AK48" s="149"/>
      <c r="AL48" s="149"/>
      <c r="AM48" s="149"/>
      <c r="AN48" s="149"/>
      <c r="AO48" s="149"/>
      <c r="AP48" s="149"/>
      <c r="AQ48" s="149"/>
    </row>
    <row r="49" spans="9:43" ht="15">
      <c r="I49" s="408"/>
      <c r="J49" s="408"/>
      <c r="K49" s="408"/>
      <c r="L49" s="14"/>
      <c r="M49" s="14"/>
      <c r="Q49" s="149"/>
      <c r="R49" s="149"/>
      <c r="S49" s="438"/>
      <c r="T49" s="438"/>
      <c r="U49" s="461"/>
      <c r="V49" s="438"/>
      <c r="W49" s="438"/>
      <c r="X49" s="438"/>
      <c r="Y49" s="438"/>
      <c r="Z49" s="438"/>
      <c r="AA49" s="438"/>
      <c r="AB49" s="438"/>
      <c r="AC49" s="463"/>
      <c r="AD49" s="438"/>
      <c r="AE49" s="149"/>
      <c r="AF49" s="149"/>
      <c r="AG49" s="450"/>
      <c r="AH49" s="450"/>
      <c r="AI49" s="450"/>
      <c r="AJ49" s="450"/>
      <c r="AK49" s="149"/>
      <c r="AL49" s="149"/>
      <c r="AM49" s="149"/>
      <c r="AN49" s="454"/>
      <c r="AO49" s="454"/>
      <c r="AP49" s="149"/>
      <c r="AQ49" s="149"/>
    </row>
    <row r="50" spans="9:43" ht="15">
      <c r="I50" s="14"/>
      <c r="J50" s="14"/>
      <c r="K50" s="14"/>
      <c r="L50" s="14"/>
      <c r="M50" s="14"/>
      <c r="Q50" s="149"/>
      <c r="R50" s="149"/>
      <c r="S50" s="438"/>
      <c r="T50" s="438"/>
      <c r="U50" s="438"/>
      <c r="V50" s="438"/>
      <c r="W50" s="438"/>
      <c r="X50" s="438"/>
      <c r="Y50" s="438"/>
      <c r="Z50" s="438"/>
      <c r="AA50" s="438"/>
      <c r="AB50" s="438"/>
      <c r="AC50" s="438"/>
      <c r="AD50" s="438"/>
      <c r="AE50" s="149"/>
      <c r="AF50" s="149"/>
      <c r="AG50" s="149"/>
      <c r="AH50" s="149"/>
      <c r="AI50" s="149"/>
      <c r="AJ50" s="149"/>
      <c r="AK50" s="149"/>
      <c r="AL50" s="149"/>
      <c r="AM50" s="149"/>
      <c r="AN50" s="149"/>
      <c r="AO50" s="149"/>
      <c r="AP50" s="149"/>
      <c r="AQ50" s="149"/>
    </row>
    <row r="51" spans="1:43" ht="15">
      <c r="A51" s="306"/>
      <c r="I51" s="14"/>
      <c r="J51" s="14"/>
      <c r="K51" s="14"/>
      <c r="L51" s="14"/>
      <c r="M51" s="14"/>
      <c r="Q51" s="149"/>
      <c r="R51" s="149"/>
      <c r="S51" s="438"/>
      <c r="T51" s="438"/>
      <c r="U51" s="438"/>
      <c r="V51" s="438"/>
      <c r="W51" s="438"/>
      <c r="X51" s="438"/>
      <c r="Y51" s="438"/>
      <c r="Z51" s="438"/>
      <c r="AA51" s="438"/>
      <c r="AB51" s="463"/>
      <c r="AC51" s="149"/>
      <c r="AD51" s="438"/>
      <c r="AE51" s="149"/>
      <c r="AF51" s="149"/>
      <c r="AG51" s="450"/>
      <c r="AH51" s="430"/>
      <c r="AI51" s="149"/>
      <c r="AJ51" s="462"/>
      <c r="AK51" s="149"/>
      <c r="AL51" s="149"/>
      <c r="AM51" s="149"/>
      <c r="AN51" s="149"/>
      <c r="AO51" s="149"/>
      <c r="AP51" s="149"/>
      <c r="AQ51" s="149"/>
    </row>
    <row r="52" spans="1:43" ht="15">
      <c r="A52" s="352"/>
      <c r="I52" s="14"/>
      <c r="J52" s="14"/>
      <c r="K52" s="14"/>
      <c r="L52" s="14"/>
      <c r="M52" s="14"/>
      <c r="Q52" s="149"/>
      <c r="R52" s="149"/>
      <c r="S52" s="438"/>
      <c r="T52" s="438"/>
      <c r="U52" s="438"/>
      <c r="V52" s="438"/>
      <c r="W52" s="438"/>
      <c r="X52" s="438"/>
      <c r="Y52" s="438"/>
      <c r="Z52" s="438"/>
      <c r="AA52" s="438"/>
      <c r="AB52" s="438"/>
      <c r="AC52" s="438"/>
      <c r="AD52" s="438"/>
      <c r="AE52" s="149"/>
      <c r="AF52" s="149"/>
      <c r="AG52" s="149"/>
      <c r="AH52" s="149"/>
      <c r="AI52" s="149"/>
      <c r="AJ52" s="149"/>
      <c r="AK52" s="149"/>
      <c r="AL52" s="149"/>
      <c r="AM52" s="149"/>
      <c r="AN52" s="149"/>
      <c r="AO52" s="149"/>
      <c r="AP52" s="149"/>
      <c r="AQ52" s="149"/>
    </row>
    <row r="53" spans="1:43" ht="15">
      <c r="A53" s="352"/>
      <c r="I53" s="14"/>
      <c r="J53" s="14"/>
      <c r="K53" s="14"/>
      <c r="L53" s="14"/>
      <c r="M53" s="14"/>
      <c r="Q53" s="149"/>
      <c r="R53" s="149"/>
      <c r="S53" s="149"/>
      <c r="T53" s="149"/>
      <c r="U53" s="149"/>
      <c r="V53" s="149"/>
      <c r="W53" s="149"/>
      <c r="X53" s="149"/>
      <c r="Y53" s="149"/>
      <c r="Z53" s="149"/>
      <c r="AA53" s="149"/>
      <c r="AB53" s="149"/>
      <c r="AC53" s="438"/>
      <c r="AD53" s="149"/>
      <c r="AE53" s="149"/>
      <c r="AF53" s="149"/>
      <c r="AG53" s="451"/>
      <c r="AH53" s="464"/>
      <c r="AI53" s="464"/>
      <c r="AJ53" s="464"/>
      <c r="AK53" s="149"/>
      <c r="AL53" s="149"/>
      <c r="AM53" s="149"/>
      <c r="AN53" s="149"/>
      <c r="AO53" s="149"/>
      <c r="AP53" s="149"/>
      <c r="AQ53" s="149"/>
    </row>
    <row r="54" spans="17:43" ht="12.75">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row>
    <row r="55" spans="17:43" ht="12.75">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row>
    <row r="56" spans="17:43" ht="12.75">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row>
    <row r="57" spans="17:43" ht="12.75">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row>
    <row r="58" spans="17:43" ht="12.75">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row>
    <row r="59" spans="17:43" ht="12.75">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row>
    <row r="60" spans="17:43" ht="12.75">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row>
    <row r="61" spans="17:43" ht="12.75">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row>
    <row r="62" spans="17:43" ht="12.75">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row>
    <row r="63" spans="17:43" ht="12.75">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row>
    <row r="64" spans="17:43" ht="12.75">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row>
    <row r="65" spans="17:43" ht="12.75">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row>
    <row r="66" spans="17:43" ht="12.75">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row>
    <row r="67" spans="17:43" ht="12.75">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row>
    <row r="68" spans="17:43" ht="12.75">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row>
    <row r="69" spans="17:43" ht="12.75">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row>
    <row r="70" spans="17:43" ht="12.75">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row>
    <row r="71" spans="17:43" ht="12.75">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row>
    <row r="72" spans="17:43" ht="12.75">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row>
    <row r="73" spans="17:43" ht="12.75">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row>
    <row r="74" spans="17:43" ht="12.75">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row>
    <row r="75" spans="17:43" ht="12.75">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row>
    <row r="76" spans="17:43" ht="12.75">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row>
    <row r="77" spans="17:43" ht="12.75">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row>
    <row r="78" spans="17:43" ht="12.75">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row>
    <row r="79" spans="17:43" ht="12.75">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row>
    <row r="80" spans="17:43" ht="12.75">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row>
    <row r="81" spans="17:43" ht="12.75">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row>
    <row r="82" spans="17:43" ht="12.75">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row>
    <row r="83" spans="17:43" ht="12.75">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row>
    <row r="84" spans="17:43" ht="12.75">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row>
    <row r="85" spans="17:43" ht="12.75">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row>
    <row r="86" spans="17:43" ht="12.75">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row>
    <row r="87" spans="17:43" ht="12.75">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row>
    <row r="88" spans="17:43" ht="12.75">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row>
    <row r="89" spans="17:43" ht="12.75">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row>
    <row r="90" spans="17:43" ht="12.75">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row>
    <row r="91" spans="17:43" ht="12.75">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row>
    <row r="92" spans="17:43" ht="12.75">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row>
    <row r="93" spans="17:43" ht="12.75">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row>
    <row r="94" spans="17:43" ht="12.75">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row>
    <row r="95" spans="17:43" ht="12.75">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row>
  </sheetData>
  <mergeCells count="6">
    <mergeCell ref="Q27:S27"/>
    <mergeCell ref="U27:W27"/>
    <mergeCell ref="A4:K4"/>
    <mergeCell ref="A6:K6"/>
    <mergeCell ref="G11:I11"/>
    <mergeCell ref="G12:I12"/>
  </mergeCells>
  <printOptions/>
  <pageMargins left="1" right="0.75" top="1" bottom="0.5" header="0.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AW User</cp:lastModifiedBy>
  <cp:lastPrinted>2007-04-27T12:49:51Z</cp:lastPrinted>
  <dcterms:created xsi:type="dcterms:W3CDTF">2000-03-27T20:18:41Z</dcterms:created>
  <dcterms:modified xsi:type="dcterms:W3CDTF">2007-05-14T14:33:26Z</dcterms:modified>
  <cp:category/>
  <cp:version/>
  <cp:contentType/>
  <cp:contentStatus/>
</cp:coreProperties>
</file>