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pssch" sheetId="1" r:id="rId1"/>
  </sheets>
  <definedNames>
    <definedName name="_xlnm.Print_Area" localSheetId="0">'pssch'!$HM$1:$HR$35</definedName>
  </definedNames>
  <calcPr fullCalcOnLoad="1"/>
</workbook>
</file>

<file path=xl/sharedStrings.xml><?xml version="1.0" encoding="utf-8"?>
<sst xmlns="http://schemas.openxmlformats.org/spreadsheetml/2006/main" count="885" uniqueCount="469">
  <si>
    <t>Schedule ACC-1</t>
  </si>
  <si>
    <t>Schedule ACC-5</t>
  </si>
  <si>
    <t>Schedule ACC-4</t>
  </si>
  <si>
    <t>Schedule ACC-12</t>
  </si>
  <si>
    <t>REVENUE REQUIREMENT SUMMARY</t>
  </si>
  <si>
    <t>RATE BASE SUMMARY</t>
  </si>
  <si>
    <t>OPERATING INCOME SUMMARY</t>
  </si>
  <si>
    <t>INCOME TAX FACTOR</t>
  </si>
  <si>
    <t>Company</t>
  </si>
  <si>
    <t>Recommended</t>
  </si>
  <si>
    <t>Schedule No.</t>
  </si>
  <si>
    <t>Claim</t>
  </si>
  <si>
    <t>Adjustment</t>
  </si>
  <si>
    <t>Position</t>
  </si>
  <si>
    <t>1.</t>
  </si>
  <si>
    <t>Company Claim</t>
  </si>
  <si>
    <t>(A)</t>
  </si>
  <si>
    <t>Capital</t>
  </si>
  <si>
    <t>Weighted</t>
  </si>
  <si>
    <t>Revenue</t>
  </si>
  <si>
    <t>Structure</t>
  </si>
  <si>
    <t>Rate</t>
  </si>
  <si>
    <t>Cost</t>
  </si>
  <si>
    <t>Pro Forma Rate Base</t>
  </si>
  <si>
    <t>(B)</t>
  </si>
  <si>
    <t>Recommended Adjustments:</t>
  </si>
  <si>
    <t>2.</t>
  </si>
  <si>
    <t>Recommended Adjustment</t>
  </si>
  <si>
    <t>Weighted Cost of Debt</t>
  </si>
  <si>
    <t>State Income Tax Rate</t>
  </si>
  <si>
    <t>(C)</t>
  </si>
  <si>
    <t>3.</t>
  </si>
  <si>
    <t>Income Taxes @</t>
  </si>
  <si>
    <t>Pro Forma Interest Expense</t>
  </si>
  <si>
    <t>Federal Taxable Income</t>
  </si>
  <si>
    <t>4.</t>
  </si>
  <si>
    <t>Required Return</t>
  </si>
  <si>
    <t>5.</t>
  </si>
  <si>
    <t>6.</t>
  </si>
  <si>
    <t>Operating Income @ Present Rates</t>
  </si>
  <si>
    <t>(D)</t>
  </si>
  <si>
    <t>7.</t>
  </si>
  <si>
    <t>Increase in Taxable Income</t>
  </si>
  <si>
    <t>Accumulated Depreciation</t>
  </si>
  <si>
    <t>8.</t>
  </si>
  <si>
    <t>Total Cost of Capital</t>
  </si>
  <si>
    <t>Operating Income Deficiency</t>
  </si>
  <si>
    <t>9.</t>
  </si>
  <si>
    <t>Sources:</t>
  </si>
  <si>
    <t>Total Tax Rate</t>
  </si>
  <si>
    <t>10.</t>
  </si>
  <si>
    <t>Revenue Multiplier</t>
  </si>
  <si>
    <t>(E)</t>
  </si>
  <si>
    <t>11.</t>
  </si>
  <si>
    <t>Revenue Requirement Increase</t>
  </si>
  <si>
    <t>12.</t>
  </si>
  <si>
    <t>13.</t>
  </si>
  <si>
    <t>(B) Schedule ACC-2.</t>
  </si>
  <si>
    <t>14.</t>
  </si>
  <si>
    <t>15.</t>
  </si>
  <si>
    <t>16.</t>
  </si>
  <si>
    <t>Interest Synchronization</t>
  </si>
  <si>
    <t>Net Operating Income</t>
  </si>
  <si>
    <t>Schedule ACC-6</t>
  </si>
  <si>
    <t>PRO FORMA INCOME STATEMENT</t>
  </si>
  <si>
    <t>Pro Forma</t>
  </si>
  <si>
    <t>Per</t>
  </si>
  <si>
    <t>Present</t>
  </si>
  <si>
    <t>Proposed</t>
  </si>
  <si>
    <t>Adjustments</t>
  </si>
  <si>
    <t>Rates</t>
  </si>
  <si>
    <t>Operating Revenues</t>
  </si>
  <si>
    <t>Operating Expenses</t>
  </si>
  <si>
    <t>Taxes Other Than Income</t>
  </si>
  <si>
    <t xml:space="preserve">Taxable Income </t>
  </si>
  <si>
    <t xml:space="preserve">     Before Interest Expenses</t>
  </si>
  <si>
    <t>Interest Expense</t>
  </si>
  <si>
    <t>Taxable Income</t>
  </si>
  <si>
    <t>Rate Base</t>
  </si>
  <si>
    <t>Rate of Return</t>
  </si>
  <si>
    <t>Expenses</t>
  </si>
  <si>
    <t>REVENUE REQUIREMENT IMPACT OF ADJUSTMENTS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</si>
  <si>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</si>
  <si>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</si>
  <si>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</si>
  <si>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</si>
  <si>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</si>
  <si>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</si>
  <si>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</si>
  <si>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</si>
  <si>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</si>
  <si>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Recommended Revenue Requirement Deficiency</t>
  </si>
  <si>
    <t>Contributions in Aid of Construction</t>
  </si>
  <si>
    <t>Deferred Income Taxes</t>
  </si>
  <si>
    <t>Total Rate Base</t>
  </si>
  <si>
    <t>Cash Working Capital Requirement</t>
  </si>
  <si>
    <t>Other</t>
  </si>
  <si>
    <t>Total</t>
  </si>
  <si>
    <t>Total Recommended Adjustment</t>
  </si>
  <si>
    <t>Operating Income</t>
  </si>
  <si>
    <t xml:space="preserve">Long Term Debt </t>
  </si>
  <si>
    <t>.</t>
  </si>
  <si>
    <t>Revenue Taxes</t>
  </si>
  <si>
    <t xml:space="preserve">Income Taxes @ </t>
  </si>
  <si>
    <t>Taxes</t>
  </si>
  <si>
    <t>Required Cost of Capital</t>
  </si>
  <si>
    <t>Schedule ACC-7</t>
  </si>
  <si>
    <t>Schedule ACC-11</t>
  </si>
  <si>
    <t>Operating Income Impact</t>
  </si>
  <si>
    <t>REQUIRED COST OF CAPITAL</t>
  </si>
  <si>
    <t>Schedule ACC-13</t>
  </si>
  <si>
    <t>Recommended Annual Amortization</t>
  </si>
  <si>
    <t>Schedule ACC-32</t>
  </si>
  <si>
    <t>Total Recommended Adjustments</t>
  </si>
  <si>
    <t>Schedule ACC-35</t>
  </si>
  <si>
    <t>Schedule ACC-34</t>
  </si>
  <si>
    <t>ADVANCES FOR CONSTRUCTION</t>
  </si>
  <si>
    <t>Schedule ACC-36</t>
  </si>
  <si>
    <t>Schedule  ACC-28</t>
  </si>
  <si>
    <t>Schedule ACC-14</t>
  </si>
  <si>
    <t>Schedule ACC-16</t>
  </si>
  <si>
    <t>Schedule ACC-25</t>
  </si>
  <si>
    <t>(B) Line 2 + Line 4.</t>
  </si>
  <si>
    <t>INTEREST SYNCHRONIZATION</t>
  </si>
  <si>
    <t>KENTUCKY AMERICAN WATER COMPANY</t>
  </si>
  <si>
    <t>FUTURE TEST YEAR ENDING NOVEMBER 30, 2005</t>
  </si>
  <si>
    <t>Utility Plant in Service</t>
  </si>
  <si>
    <t>Utility Plant Acquisition Adjustment</t>
  </si>
  <si>
    <t>Accumulated Amortization</t>
  </si>
  <si>
    <t>Total Net Utility Plant in Service</t>
  </si>
  <si>
    <t>Construction Work in Progress</t>
  </si>
  <si>
    <t>Working Capital Allowance</t>
  </si>
  <si>
    <t>Other Working Capital Allowance</t>
  </si>
  <si>
    <t>Customer Advances</t>
  </si>
  <si>
    <t>Deferred Investment Tax Credits</t>
  </si>
  <si>
    <t>Deferred Maintenance</t>
  </si>
  <si>
    <t>Deferred Debits</t>
  </si>
  <si>
    <t>Other Rate Base Elements</t>
  </si>
  <si>
    <t>Short Term Debt</t>
  </si>
  <si>
    <t>Preferred Stock</t>
  </si>
  <si>
    <t>Central</t>
  </si>
  <si>
    <t>Tri-Village</t>
  </si>
  <si>
    <t>Elk Lake</t>
  </si>
  <si>
    <t>Average</t>
  </si>
  <si>
    <t>UTILITY PLANT IN SERVICE</t>
  </si>
  <si>
    <t>ACQUISITION ADJUSTMENT</t>
  </si>
  <si>
    <t>Tri-Village - Company Claim</t>
  </si>
  <si>
    <t>Elk Lake - Company Claim</t>
  </si>
  <si>
    <t>(A) Company Workpaper 1-2, page 2.</t>
  </si>
  <si>
    <t>DEFERRED DEBITS</t>
  </si>
  <si>
    <t>Security Costs</t>
  </si>
  <si>
    <t>Shared Services Center</t>
  </si>
  <si>
    <t>Customer Call Center</t>
  </si>
  <si>
    <t>Rate Case Costs</t>
  </si>
  <si>
    <t>Tri-Village Acquisition</t>
  </si>
  <si>
    <t>CASH WORKING CAPITAL</t>
  </si>
  <si>
    <t>Payroll</t>
  </si>
  <si>
    <t>Fuel, Power, Electric</t>
  </si>
  <si>
    <t>Chemicals</t>
  </si>
  <si>
    <t>Service Company Charges</t>
  </si>
  <si>
    <t>Group Insurance</t>
  </si>
  <si>
    <t>OPEB</t>
  </si>
  <si>
    <t>Insurance Other Than Group</t>
  </si>
  <si>
    <t>Transportation Expense</t>
  </si>
  <si>
    <t>Rents</t>
  </si>
  <si>
    <t>Telephone Expense</t>
  </si>
  <si>
    <t>Postage Expense</t>
  </si>
  <si>
    <t>Stock E</t>
  </si>
  <si>
    <t>Maintenance Expense</t>
  </si>
  <si>
    <t>Uncollectibles</t>
  </si>
  <si>
    <t>Waste Disposal</t>
  </si>
  <si>
    <t>Depre. &amp; Amort.</t>
  </si>
  <si>
    <t>Payroll Taxes-FUTA</t>
  </si>
  <si>
    <t>Payroll Taxes -SUTA</t>
  </si>
  <si>
    <t>Payroll Taxes - FICA</t>
  </si>
  <si>
    <t>Income Taxes-Current SIT</t>
  </si>
  <si>
    <t>Income Taxes - Current FIT</t>
  </si>
  <si>
    <t>Interest - LTD</t>
  </si>
  <si>
    <t>Interest - STD</t>
  </si>
  <si>
    <t>Preferred Dividends</t>
  </si>
  <si>
    <t>Net Income</t>
  </si>
  <si>
    <t>Net Operating Funds</t>
  </si>
  <si>
    <t>Net Lag</t>
  </si>
  <si>
    <t>Daily Requirement</t>
  </si>
  <si>
    <t>Recommmended Adjustment</t>
  </si>
  <si>
    <t>ACCUMULATED DEPRECIATION</t>
  </si>
  <si>
    <t>CONSTRUCTION WORK IN PROGRESS</t>
  </si>
  <si>
    <t>CONTRIBUTIONS IN AID OF CONSTRUCTION</t>
  </si>
  <si>
    <t>(F)</t>
  </si>
  <si>
    <t>(G)</t>
  </si>
  <si>
    <t>(H)</t>
  </si>
  <si>
    <t>(I)</t>
  </si>
  <si>
    <t>(J)</t>
  </si>
  <si>
    <t>Adjusted for Slippage Factor</t>
  </si>
  <si>
    <t>DEFERRED INCOME TAXES-DEFERRED DEBITS</t>
  </si>
  <si>
    <t>Original Company Claim</t>
  </si>
  <si>
    <t>Revised Company Claim</t>
  </si>
  <si>
    <t>PUBLIC HYDRANT REVENUE</t>
  </si>
  <si>
    <t>PRIVATE FIRE REVENUE</t>
  </si>
  <si>
    <t>Private Fire Revenue</t>
  </si>
  <si>
    <t>Public Fire Revenue</t>
  </si>
  <si>
    <t>RESIDENTIAL CUSTOMERS</t>
  </si>
  <si>
    <t>Base</t>
  </si>
  <si>
    <t>Forecast</t>
  </si>
  <si>
    <t>Annual Fixed Charge</t>
  </si>
  <si>
    <t>Total Volumetric Revenue</t>
  </si>
  <si>
    <t>Total Revenue Per Customer</t>
  </si>
  <si>
    <t>Total Incremental Revenue</t>
  </si>
  <si>
    <t>REGULATORY COMMISSION EXPENSES</t>
  </si>
  <si>
    <t>Pro Forma Regulatory Commission Expenses</t>
  </si>
  <si>
    <t>Regulatory Commission Expense</t>
  </si>
  <si>
    <t>Amortization Period</t>
  </si>
  <si>
    <t>Annual Adjustment</t>
  </si>
  <si>
    <t>Deferred Costs</t>
  </si>
  <si>
    <t>(A) Response to PSC 2-52.</t>
  </si>
  <si>
    <t>Incentive Plans</t>
  </si>
  <si>
    <t>DEFERRED COSTS</t>
  </si>
  <si>
    <t>WASTE DISPOSAL COSTS</t>
  </si>
  <si>
    <t>Ongoing Cost Adjustment</t>
  </si>
  <si>
    <t>Total Adjustments</t>
  </si>
  <si>
    <t>RENTAL EXPENSE</t>
  </si>
  <si>
    <t>(A) Response to AG 1-138.</t>
  </si>
  <si>
    <t>Rental Expenses</t>
  </si>
  <si>
    <t>Net</t>
  </si>
  <si>
    <t>Maintenance Costs</t>
  </si>
  <si>
    <t>INSTITUTIONAL ADVERTISING</t>
  </si>
  <si>
    <t>Operating  Income</t>
  </si>
  <si>
    <t>SOCIAL CLUB DUES</t>
  </si>
  <si>
    <t>Social Club Dues</t>
  </si>
  <si>
    <t>(A) Company Schedule B-1, page 2.</t>
  </si>
  <si>
    <t>(B) Response to PSC 2-115.</t>
  </si>
  <si>
    <t>(A) Company Workpaper 1-12, page 3.</t>
  </si>
  <si>
    <t>Elk Lake Acquisition</t>
  </si>
  <si>
    <t>(B) Company Workpaper 1-2, page 3.</t>
  </si>
  <si>
    <t>Recommended Rate Base Adjustment</t>
  </si>
  <si>
    <t>Lead/Lag Days</t>
  </si>
  <si>
    <t>Amount</t>
  </si>
  <si>
    <t>Dollar Days</t>
  </si>
  <si>
    <t>Revenue Lag</t>
  </si>
  <si>
    <t>Expense Lag</t>
  </si>
  <si>
    <t>(A) Company Filing, Schedule B-5.2, page 5.</t>
  </si>
  <si>
    <t>(B) Response to AG 1-67.</t>
  </si>
  <si>
    <t>(C) Reflects payroll lag days.</t>
  </si>
  <si>
    <t>(D) Response to AG 2-29.</t>
  </si>
  <si>
    <t>(E) Lag days per Line 31.</t>
  </si>
  <si>
    <t>(G) Line 34 X Line 35.</t>
  </si>
  <si>
    <t>(H) Company Schedule B-1, page 2.</t>
  </si>
  <si>
    <t>Period</t>
  </si>
  <si>
    <t>Total Incremental Costs</t>
  </si>
  <si>
    <t>Net Revenue Adjustment</t>
  </si>
  <si>
    <t>Residential Customers</t>
  </si>
  <si>
    <t>COMMERCIAL CUSTOMERS</t>
  </si>
  <si>
    <t>Commercial Customers</t>
  </si>
  <si>
    <t>Tri-Village Annual Acquisition Amoratization</t>
  </si>
  <si>
    <t>Elk Village Annual Acquisition Amortization</t>
  </si>
  <si>
    <t>Acquisition Amortization</t>
  </si>
  <si>
    <t>INCENTIVE PLANS</t>
  </si>
  <si>
    <t>Original Claimed Depreciation Expense</t>
  </si>
  <si>
    <t>(A) Company Schedule C-1, page 1.</t>
  </si>
  <si>
    <t>(B) Response to PSC 2-115, Schedule C-1, page 1.</t>
  </si>
  <si>
    <t>Revised Depreciation Expense</t>
  </si>
  <si>
    <t>AFUDC</t>
  </si>
  <si>
    <t>Projected 2004 Cost</t>
  </si>
  <si>
    <t>Expense Ratio</t>
  </si>
  <si>
    <t>Pro Forma OPEB Costs</t>
  </si>
  <si>
    <t>(A) Response to AG 1-75, page 77.</t>
  </si>
  <si>
    <t>(B) Response to PSC 1-17.</t>
  </si>
  <si>
    <t>OPEBs</t>
  </si>
  <si>
    <t>BUSINESS DEVELOPMENT COSTS</t>
  </si>
  <si>
    <t>(A) Response to AG 1-17.</t>
  </si>
  <si>
    <t>Business Development Costs</t>
  </si>
  <si>
    <t>Income Taxes @ 35%</t>
  </si>
  <si>
    <t>Payroll Taxes @ 7.65%</t>
  </si>
  <si>
    <t>(B) Reflects statutory rate.</t>
  </si>
  <si>
    <t>Payroll Taxes</t>
  </si>
  <si>
    <t>Power</t>
  </si>
  <si>
    <t>Sales tg</t>
  </si>
  <si>
    <t>Cost per Tg</t>
  </si>
  <si>
    <t>Cost per CCF</t>
  </si>
  <si>
    <t>PROPERTY TAXES</t>
  </si>
  <si>
    <t>Adjusted for Slippage</t>
  </si>
  <si>
    <t>(A) Response to PSC 2-115.</t>
  </si>
  <si>
    <t>Property Taxes</t>
  </si>
  <si>
    <t>Total Pro Forma Expense Adjustment</t>
  </si>
  <si>
    <t>RESIDENTIAL CONSUMPTION</t>
  </si>
  <si>
    <t>Pro Forma Customers - Per Company</t>
  </si>
  <si>
    <t xml:space="preserve">     response to Staff 2-49.</t>
  </si>
  <si>
    <t>(B) Line 1 X 365 days.</t>
  </si>
  <si>
    <t>(D) Line 2 X Line 3.</t>
  </si>
  <si>
    <t>(F) Current rate per Exhibit 37, M-3, page 11.</t>
  </si>
  <si>
    <t>COMMERCIAL CONSUMPTION</t>
  </si>
  <si>
    <t>(F) Current rate per Exhibit 37, M-3, page 12.</t>
  </si>
  <si>
    <t>Total Volumetric Revenue Per Customer</t>
  </si>
  <si>
    <t>Cust. Acc</t>
  </si>
  <si>
    <t>Cost Per Customer</t>
  </si>
  <si>
    <t>(A) Company Exhibit 37, M-3, pages 3,21, and 39.</t>
  </si>
  <si>
    <t>(B) Company Exhibit 37, M-3, pages 11, 29, and 47.</t>
  </si>
  <si>
    <t>(D) Line 4 X 1.333 ccf/tg.</t>
  </si>
  <si>
    <t>(E) Current rate per Exhibit 37, M-3, page 11.</t>
  </si>
  <si>
    <t>(F) Monthly charge of $7.31 per Exhibit 37 M-3, page 3 times 12 months.</t>
  </si>
  <si>
    <t>(G) Line 5 X Line 11.</t>
  </si>
  <si>
    <t>(A) Company Exhibit 37, M-3, pages 4,22, and 40.</t>
  </si>
  <si>
    <t>(B) Company Exhibit 37, M-3, pages 12, 30, and 48.</t>
  </si>
  <si>
    <t>Residential Consumption</t>
  </si>
  <si>
    <t>Schedule ACC-3</t>
  </si>
  <si>
    <t>Schedule ACC-8</t>
  </si>
  <si>
    <t>Schedule ACC-9</t>
  </si>
  <si>
    <t>Schedule ACC-10</t>
  </si>
  <si>
    <t>Schedule   ACC-18</t>
  </si>
  <si>
    <t>Schedule ACC-39</t>
  </si>
  <si>
    <t>Schedule ACC-41</t>
  </si>
  <si>
    <t>Schedule ACC-42</t>
  </si>
  <si>
    <t>Schedule ACC-43</t>
  </si>
  <si>
    <t>LOW INCOME DISCOUNT</t>
  </si>
  <si>
    <t xml:space="preserve">Common Equity </t>
  </si>
  <si>
    <t>(A) Testimony of Dr. Woolridge, Exhibit JRW-1, page 1.</t>
  </si>
  <si>
    <t>(A) Company Filing, Schedule A, page 1.</t>
  </si>
  <si>
    <t>(A) Company Filing, Schedule B-1, page 2.</t>
  </si>
  <si>
    <t>DEFERRED INCOME TAXES-PLANT</t>
  </si>
  <si>
    <t>Commercial Consumption</t>
  </si>
  <si>
    <t>Salaries and Wages- Vacancies</t>
  </si>
  <si>
    <t>Salaries and Wages - Other</t>
  </si>
  <si>
    <t>Depreciation Expense</t>
  </si>
  <si>
    <t>Low Income Discount</t>
  </si>
  <si>
    <t>Recommended Consumption Per Customer (gals)</t>
  </si>
  <si>
    <t>Annual Consumption Per Customer (Tg)</t>
  </si>
  <si>
    <t>Total Annual Consumption (Tg)</t>
  </si>
  <si>
    <t>Total Annual Consumption (Ccf)</t>
  </si>
  <si>
    <t>Recommended Adjustment (Ccf)</t>
  </si>
  <si>
    <t>Rate per Ccf</t>
  </si>
  <si>
    <t>(C) Company Exhibit 37, M-3, pages 11, 29, and 47.</t>
  </si>
  <si>
    <t>(E) Line 4 X 1.333 Ccf/Tg.</t>
  </si>
  <si>
    <t>Water</t>
  </si>
  <si>
    <t>(G) Reflects purchased water, power and chemical costs of  $72,000, $1,922,641</t>
  </si>
  <si>
    <t xml:space="preserve">     and $1,221,136 respectively divided by total treated water of 14,940,000 Tg </t>
  </si>
  <si>
    <t>(C) Company Exhibit 37, M-3, pages 12, 30, and 48.</t>
  </si>
  <si>
    <t>Annual Usage/Customer @ 174.68 gals</t>
  </si>
  <si>
    <t>Annual Usage/Customer (Ccfs)</t>
  </si>
  <si>
    <t>Rate Per Ccf</t>
  </si>
  <si>
    <t>(H) Reflects purchased water, power and chemical costs of  $72,000, $1,922,641</t>
  </si>
  <si>
    <t xml:space="preserve">     Also includes incremental customer accounting costs of $18.18 per</t>
  </si>
  <si>
    <t>AG 2-99</t>
  </si>
  <si>
    <t>Annual Usage per customer @ 1,469.48 gals</t>
  </si>
  <si>
    <t>Annual Usage per day/customer (Ccfs)</t>
  </si>
  <si>
    <t>Shared Services Transition</t>
  </si>
  <si>
    <t>Customer Care Transition</t>
  </si>
  <si>
    <t>Deferred Security Costs</t>
  </si>
  <si>
    <t>Annual Amortization</t>
  </si>
  <si>
    <t>(A) Company Filing, Exhibit 37E, page 13.</t>
  </si>
  <si>
    <t>(C) Company Filing, Schedule E-1.3, page 1.</t>
  </si>
  <si>
    <t>SALARIES AND WAGES-VACANCIES</t>
  </si>
  <si>
    <t>Number of Employees</t>
  </si>
  <si>
    <t>Average Expense per Employee</t>
  </si>
  <si>
    <t>Total Labor Expense per Company</t>
  </si>
  <si>
    <t>Total Pro Forma Cost Per Employee</t>
  </si>
  <si>
    <t>Pro Forma Vacancies</t>
  </si>
  <si>
    <t>Three Year Average Excluding LIP</t>
  </si>
  <si>
    <t>(A) Reponse to AG 1-70.</t>
  </si>
  <si>
    <t>Operational/Individual Components (%)</t>
  </si>
  <si>
    <t>Pro Forma Expense</t>
  </si>
  <si>
    <t>(B) Testimony of Mr. Miller, page 50.</t>
  </si>
  <si>
    <t>(C) Response to PSC 2-57.</t>
  </si>
  <si>
    <t>President's Salary/Overhead  Allocated to KAWC</t>
  </si>
  <si>
    <t>Ex. Sec. Salary/Overhead Allocated to KAWC</t>
  </si>
  <si>
    <t>Total Allocation to KAWC</t>
  </si>
  <si>
    <t>Recommended Adjustment (%)</t>
  </si>
  <si>
    <t>Recommended Adjustment ($)</t>
  </si>
  <si>
    <t xml:space="preserve">(A) Company Exhibit 1, page 1. </t>
  </si>
  <si>
    <t>(B) Recommendation of Ms. Crane.</t>
  </si>
  <si>
    <t>Benefits and Taxes</t>
  </si>
  <si>
    <t>PAYROLL TAXES - INCENTIVE PLANS</t>
  </si>
  <si>
    <t>Incentive Plan Adjustment</t>
  </si>
  <si>
    <t>OTHER POST EMPLOYMENT BENEFIT COSTS</t>
  </si>
  <si>
    <t>(A) Testimony of Mr. Miller, page 65.</t>
  </si>
  <si>
    <t>(A) Company Filing, Schedule D-1, page 1.</t>
  </si>
  <si>
    <t>(A) Company Filing, Schedule  F-1, page 1.</t>
  </si>
  <si>
    <t>(A) Company Filing, Schedule F-4, page 1.</t>
  </si>
  <si>
    <t>Recommended Expense Reduction</t>
  </si>
  <si>
    <t>(A) Company Workpaper 3-4, page 2.</t>
  </si>
  <si>
    <t>MAINTENANCE COSTS</t>
  </si>
  <si>
    <t>Less Claimed Amortizations</t>
  </si>
  <si>
    <t>Ongoing Maintenance Claim</t>
  </si>
  <si>
    <t>Average /Base</t>
  </si>
  <si>
    <t>(A) Company Workpaper 3-14, page 2.</t>
  </si>
  <si>
    <t>Revenues</t>
  </si>
  <si>
    <t>Gains</t>
  </si>
  <si>
    <t>Losses</t>
  </si>
  <si>
    <t>Subtotal</t>
  </si>
  <si>
    <t>KAWC</t>
  </si>
  <si>
    <t>3 Yr Average</t>
  </si>
  <si>
    <t>CONSOLIDATED INCOME TAX ADJUSTMENT</t>
  </si>
  <si>
    <t>Positive Taxable Income</t>
  </si>
  <si>
    <t>KAWC Taxable Income</t>
  </si>
  <si>
    <t>Percent KAWC</t>
  </si>
  <si>
    <t>Tax Losses</t>
  </si>
  <si>
    <t>Tax Losses All. to KAWC</t>
  </si>
  <si>
    <t>Three Year Average</t>
  </si>
  <si>
    <t>Federal Income Taxes @ 35%</t>
  </si>
  <si>
    <t>Consolidated Income Taxes</t>
  </si>
  <si>
    <t>Depreciation &amp; Amort.</t>
  </si>
  <si>
    <t>Other Taxes</t>
  </si>
  <si>
    <t>Income Taxes</t>
  </si>
  <si>
    <t>Amortization</t>
  </si>
  <si>
    <t>Richmond Road Cleaning</t>
  </si>
  <si>
    <t>Proposed Recovery Period</t>
  </si>
  <si>
    <t>Proposed Annual Recovery</t>
  </si>
  <si>
    <t>(B) Response to PSC 2-99d.</t>
  </si>
  <si>
    <t>Three Year Average Ongoing Maintenance</t>
  </si>
  <si>
    <t xml:space="preserve">(B) Three year average per Company Workpaper 3-14, page 2, plus Tri-Village </t>
  </si>
  <si>
    <t xml:space="preserve">      costs of $9,535.</t>
  </si>
  <si>
    <t>SALARIES AND WAGES - OFFICE OF THE PRESIDENT</t>
  </si>
  <si>
    <t>(B) Schedule ACC-3.</t>
  </si>
  <si>
    <t>(C) Schedule ACC-2.</t>
  </si>
  <si>
    <t>(D) Schedule ACC-14.</t>
  </si>
  <si>
    <t>(B) Schedule ACC-4.</t>
  </si>
  <si>
    <t>(C) Schedule ACC-5.</t>
  </si>
  <si>
    <t>(D) Schedule ACC-6.</t>
  </si>
  <si>
    <t>(E) Schedule ACC-7.</t>
  </si>
  <si>
    <t>(F) Schedule ACC-8.</t>
  </si>
  <si>
    <t>(G) Schedule ACC-9.</t>
  </si>
  <si>
    <t>(H) Schedule ACC-10.</t>
  </si>
  <si>
    <t>(A) Schedule ACC-11.</t>
  </si>
  <si>
    <t>Schedule ACC-19</t>
  </si>
  <si>
    <t>Schedule ACC-20</t>
  </si>
  <si>
    <t>Schedule   ACC-2</t>
  </si>
  <si>
    <t>Schedule   ACC-15</t>
  </si>
  <si>
    <t>Schedule   ACC-17</t>
  </si>
  <si>
    <t>ACQUISITION AMORTIZATION</t>
  </si>
  <si>
    <t>Schedule ACC-30</t>
  </si>
  <si>
    <t>(A) Company Workpaper 3-8, page 1.</t>
  </si>
  <si>
    <t>Schedule ACC-23</t>
  </si>
  <si>
    <t>Schedule  ACC-22</t>
  </si>
  <si>
    <t>Schedule  ACC-24</t>
  </si>
  <si>
    <t>(A) Schedules ACC- 24.</t>
  </si>
  <si>
    <t>Schedule  ACC-27</t>
  </si>
  <si>
    <t>Schedule  ACC-40</t>
  </si>
  <si>
    <t>(A) Schedule ACC-3.</t>
  </si>
  <si>
    <t>Schedule ACC-31</t>
  </si>
  <si>
    <t>Schedule ACC-29</t>
  </si>
  <si>
    <t>Schedule ACC-33</t>
  </si>
  <si>
    <t>Schedule ACC-21</t>
  </si>
  <si>
    <t>ALLOWANCE FOR FUNDS USED DURING CONSTRUCTION</t>
  </si>
  <si>
    <t>Schedule ACC-26</t>
  </si>
  <si>
    <t>(A) Response to AG 1-144.</t>
  </si>
  <si>
    <t xml:space="preserve">     Also includes uncollectible coss and PSC fees.</t>
  </si>
  <si>
    <t xml:space="preserve">     Also includes uncollectible costs and PSC fees.</t>
  </si>
  <si>
    <t xml:space="preserve">    customer, uncollectibles, and PSC fees.</t>
  </si>
  <si>
    <t>Schedule 8-A</t>
  </si>
  <si>
    <t>(A) Reflects change in operating income per Schedule ACC-1</t>
  </si>
  <si>
    <t xml:space="preserve">       less change in interest expense per Schedule ACC-40.</t>
  </si>
  <si>
    <t>(B) Schedule ACC-43.</t>
  </si>
  <si>
    <t>(F) Amount per Line 31 / 365 days less daily requirement adjustment per Schedule ACC-8A.</t>
  </si>
  <si>
    <t>(A) Reflects average of 1553.43 gallons per customer/day in the Company's last case</t>
  </si>
  <si>
    <t xml:space="preserve">     and the claim of 1385.522 gallons per customer/day in the current case, see the </t>
  </si>
  <si>
    <t>(A) Reflects average of 183.94 gallons per customer/day in the Company's last case</t>
  </si>
  <si>
    <t xml:space="preserve">     and the claim of 165.42 gallons per customer/day in the current case, see the </t>
  </si>
  <si>
    <t>Adjusted for Slippage Factor and</t>
  </si>
  <si>
    <t>Correction of Errors</t>
  </si>
  <si>
    <t>(I) Schedules ACC-12 and ACC-13.</t>
  </si>
  <si>
    <t>(J) Schedule ACC-11.</t>
  </si>
  <si>
    <t>Schedule   ACC-37</t>
  </si>
  <si>
    <t>Schedule ACC-38</t>
  </si>
  <si>
    <t>DEPRECIATION EXPENSE</t>
  </si>
  <si>
    <t>Institutional Advertising</t>
  </si>
  <si>
    <t>(A) Response to LFUCG 1-42.</t>
  </si>
  <si>
    <t xml:space="preserve">     per the response to AG 1-99, converted to Ccfs, times incremental sales.</t>
  </si>
  <si>
    <t>(C) Usage recommendation of Ms. Crane, see Schedule ACC-15</t>
  </si>
  <si>
    <t>(C) Usage recommendation of Ms. Crane, see Schedule ACC-17</t>
  </si>
  <si>
    <t>(B) Testimony of Mr. Bush, Exhibit 1, page 1.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</si>
</sst>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000_)"/>
    <numFmt numFmtId="168" formatCode="0.000000_)"/>
    <numFmt numFmtId="169" formatCode="#."/>
    <numFmt numFmtId="170" formatCode="0.0000"/>
    <numFmt numFmtId="171" formatCode="0.0"/>
    <numFmt numFmtId="172" formatCode="_(* #,##0.0_);_(* \(#,##0.0\);_(* &quot;-&quot;?_);_(@_)"/>
    <numFmt numFmtId="173" formatCode="#,##0.0_);\(#,##0.0\)"/>
    <numFmt numFmtId="174" formatCode="&quot;$&quot;#,##0.0000_);\(&quot;$&quot;#,##0.0000\)"/>
    <numFmt numFmtId="175" formatCode="0_);\(0\)"/>
    <numFmt numFmtId="176" formatCode="00000"/>
    <numFmt numFmtId="177" formatCode="\3\4."/>
    <numFmt numFmtId="178" formatCode="&quot;$&quot;#,##0"/>
    <numFmt numFmtId="179" formatCode="0.0_);\(0.0\)"/>
    <numFmt numFmtId="180" formatCode="#,##0.0000_);\(#,##0.0000\)"/>
    <numFmt numFmtId="181" formatCode="0.00000%"/>
    <numFmt numFmtId="182" formatCode="#,##0.000_);\(#,##0.000\)"/>
    <numFmt numFmtId="183" formatCode="0.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\(0.00\)"/>
    <numFmt numFmtId="188" formatCode="&quot;$&quot;#,##0.0000000"/>
  </numFmts>
  <fonts count="1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double"/>
      <sz val="12"/>
      <name val="Arial"/>
      <family val="0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u val="doubleAccounting"/>
      <sz val="12"/>
      <name val="Arial"/>
      <family val="2"/>
    </font>
    <font>
      <b/>
      <u val="double"/>
      <sz val="12"/>
      <name val="Arial"/>
      <family val="2"/>
    </font>
    <font>
      <u val="doubleAccounting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4">
    <xf numFmtId="37" fontId="0" fillId="0" borderId="0" xfId="0" applyAlignment="1">
      <alignment/>
    </xf>
    <xf numFmtId="37" fontId="2" fillId="0" borderId="0" xfId="0" applyFont="1" applyAlignment="1">
      <alignment/>
    </xf>
    <xf numFmtId="10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7" fontId="0" fillId="0" borderId="1" xfId="0" applyBorder="1" applyAlignment="1">
      <alignment/>
    </xf>
    <xf numFmtId="165" fontId="0" fillId="0" borderId="0" xfId="0" applyNumberFormat="1" applyAlignment="1" applyProtection="1">
      <alignment/>
      <protection/>
    </xf>
    <xf numFmtId="10" fontId="0" fillId="0" borderId="1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Font="1" applyAlignment="1">
      <alignment/>
    </xf>
    <xf numFmtId="10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0" fillId="0" borderId="1" xfId="0" applyFont="1" applyBorder="1" applyAlignment="1">
      <alignment/>
    </xf>
    <xf numFmtId="5" fontId="0" fillId="0" borderId="0" xfId="0" applyNumberFormat="1" applyFont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37" fontId="3" fillId="0" borderId="0" xfId="0" applyFont="1" applyAlignment="1">
      <alignment/>
    </xf>
    <xf numFmtId="37" fontId="0" fillId="0" borderId="0" xfId="0" applyAlignment="1">
      <alignment horizontal="center"/>
    </xf>
    <xf numFmtId="5" fontId="0" fillId="0" borderId="0" xfId="0" applyNumberFormat="1" applyAlignment="1" applyProtection="1">
      <alignment horizontal="center"/>
      <protection/>
    </xf>
    <xf numFmtId="37" fontId="0" fillId="0" borderId="1" xfId="0" applyBorder="1" applyAlignment="1">
      <alignment horizontal="center"/>
    </xf>
    <xf numFmtId="37" fontId="0" fillId="0" borderId="0" xfId="0" applyAlignment="1">
      <alignment horizontal="right"/>
    </xf>
    <xf numFmtId="1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>
      <alignment/>
    </xf>
    <xf numFmtId="37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37" fontId="0" fillId="0" borderId="0" xfId="0" applyAlignment="1" quotePrefix="1">
      <alignment/>
    </xf>
    <xf numFmtId="10" fontId="0" fillId="0" borderId="0" xfId="0" applyNumberFormat="1" applyBorder="1" applyAlignment="1" applyProtection="1">
      <alignment/>
      <protection/>
    </xf>
    <xf numFmtId="37" fontId="0" fillId="0" borderId="0" xfId="0" applyFont="1" applyBorder="1" applyAlignment="1">
      <alignment/>
    </xf>
    <xf numFmtId="165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37" fontId="0" fillId="0" borderId="0" xfId="0" applyAlignment="1">
      <alignment horizontal="left"/>
    </xf>
    <xf numFmtId="10" fontId="0" fillId="0" borderId="0" xfId="0" applyNumberForma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right"/>
      <protection/>
    </xf>
    <xf numFmtId="37" fontId="0" fillId="0" borderId="0" xfId="0" applyBorder="1" applyAlignment="1">
      <alignment horizontal="right"/>
    </xf>
    <xf numFmtId="37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 horizontal="center"/>
    </xf>
    <xf numFmtId="37" fontId="0" fillId="0" borderId="0" xfId="0" applyBorder="1" applyAlignment="1">
      <alignment horizontal="left"/>
    </xf>
    <xf numFmtId="3" fontId="0" fillId="0" borderId="0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172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37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37" fontId="2" fillId="0" borderId="0" xfId="0" applyFont="1" applyBorder="1" applyAlignment="1">
      <alignment/>
    </xf>
    <xf numFmtId="10" fontId="0" fillId="0" borderId="0" xfId="0" applyNumberFormat="1" applyBorder="1" applyAlignment="1" applyProtection="1">
      <alignment horizontal="left"/>
      <protection/>
    </xf>
    <xf numFmtId="5" fontId="0" fillId="0" borderId="0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center"/>
      <protection/>
    </xf>
    <xf numFmtId="171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37" fontId="0" fillId="0" borderId="0" xfId="0" applyBorder="1" applyAlignment="1" quotePrefix="1">
      <alignment/>
    </xf>
    <xf numFmtId="41" fontId="0" fillId="0" borderId="0" xfId="0" applyNumberFormat="1" applyBorder="1" applyAlignment="1">
      <alignment horizontal="left"/>
    </xf>
    <xf numFmtId="41" fontId="5" fillId="0" borderId="0" xfId="0" applyNumberFormat="1" applyFont="1" applyBorder="1" applyAlignment="1">
      <alignment horizontal="center"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 applyProtection="1">
      <alignment horizontal="center"/>
      <protection/>
    </xf>
    <xf numFmtId="166" fontId="0" fillId="0" borderId="0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1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5" fontId="0" fillId="0" borderId="0" xfId="0" applyNumberFormat="1" applyBorder="1" applyAlignment="1" applyProtection="1">
      <alignment horizontal="center"/>
      <protection/>
    </xf>
    <xf numFmtId="37" fontId="0" fillId="0" borderId="0" xfId="0" applyFont="1" applyBorder="1" applyAlignment="1">
      <alignment horizontal="center"/>
    </xf>
    <xf numFmtId="5" fontId="3" fillId="0" borderId="0" xfId="0" applyNumberFormat="1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10" fontId="0" fillId="0" borderId="1" xfId="0" applyNumberFormat="1" applyBorder="1" applyAlignment="1" applyProtection="1">
      <alignment horizontal="center"/>
      <protection/>
    </xf>
    <xf numFmtId="5" fontId="0" fillId="0" borderId="1" xfId="0" applyNumberFormat="1" applyFont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7" fontId="4" fillId="0" borderId="0" xfId="0" applyFont="1" applyAlignment="1">
      <alignment/>
    </xf>
    <xf numFmtId="171" fontId="4" fillId="0" borderId="0" xfId="0" applyNumberFormat="1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5" fontId="0" fillId="0" borderId="0" xfId="0" applyNumberForma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5" fontId="0" fillId="0" borderId="0" xfId="0" applyNumberFormat="1" applyBorder="1" applyAlignment="1">
      <alignment horizontal="center"/>
    </xf>
    <xf numFmtId="178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3" fontId="0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5" fontId="0" fillId="0" borderId="0" xfId="0" applyNumberFormat="1" applyBorder="1" applyAlignment="1">
      <alignment horizontal="right"/>
    </xf>
    <xf numFmtId="5" fontId="4" fillId="0" borderId="0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5" fontId="4" fillId="0" borderId="0" xfId="0" applyNumberFormat="1" applyFont="1" applyAlignment="1" applyProtection="1">
      <alignment horizontal="center"/>
      <protection/>
    </xf>
    <xf numFmtId="178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5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37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8" fontId="0" fillId="0" borderId="0" xfId="0" applyNumberFormat="1" applyFont="1" applyBorder="1" applyAlignment="1" applyProtection="1">
      <alignment/>
      <protection/>
    </xf>
    <xf numFmtId="5" fontId="0" fillId="0" borderId="1" xfId="0" applyNumberFormat="1" applyBorder="1" applyAlignment="1">
      <alignment/>
    </xf>
    <xf numFmtId="37" fontId="0" fillId="0" borderId="0" xfId="0" applyFill="1" applyBorder="1" applyAlignment="1">
      <alignment horizontal="left"/>
    </xf>
    <xf numFmtId="4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 applyProtection="1">
      <alignment/>
      <protection/>
    </xf>
    <xf numFmtId="5" fontId="0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37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5" fontId="8" fillId="0" borderId="0" xfId="0" applyNumberFormat="1" applyFont="1" applyBorder="1" applyAlignment="1">
      <alignment/>
    </xf>
    <xf numFmtId="5" fontId="8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37" fontId="4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37" fontId="0" fillId="0" borderId="1" xfId="0" applyBorder="1" applyAlignment="1">
      <alignment horizontal="right"/>
    </xf>
    <xf numFmtId="49" fontId="0" fillId="0" borderId="0" xfId="0" applyNumberFormat="1" applyAlignment="1">
      <alignment/>
    </xf>
    <xf numFmtId="37" fontId="4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1" xfId="0" applyNumberFormat="1" applyBorder="1" applyAlignment="1">
      <alignment/>
    </xf>
    <xf numFmtId="169" fontId="0" fillId="0" borderId="0" xfId="0" applyNumberFormat="1" applyFill="1" applyBorder="1" applyAlignment="1" applyProtection="1">
      <alignment/>
      <protection/>
    </xf>
    <xf numFmtId="5" fontId="8" fillId="0" borderId="0" xfId="0" applyNumberFormat="1" applyFon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7" fontId="0" fillId="0" borderId="0" xfId="0" applyNumberFormat="1" applyFont="1" applyBorder="1" applyAlignment="1" applyProtection="1">
      <alignment/>
      <protection/>
    </xf>
    <xf numFmtId="7" fontId="0" fillId="0" borderId="0" xfId="0" applyNumberFormat="1" applyAlignment="1">
      <alignment/>
    </xf>
    <xf numFmtId="10" fontId="0" fillId="0" borderId="0" xfId="0" applyNumberFormat="1" applyFont="1" applyBorder="1" applyAlignment="1" applyProtection="1">
      <alignment/>
      <protection/>
    </xf>
    <xf numFmtId="10" fontId="0" fillId="0" borderId="0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10" fontId="8" fillId="0" borderId="0" xfId="0" applyNumberFormat="1" applyFont="1" applyAlignment="1" applyProtection="1">
      <alignment/>
      <protection/>
    </xf>
    <xf numFmtId="5" fontId="0" fillId="0" borderId="0" xfId="0" applyNumberFormat="1" applyAlignment="1">
      <alignment horizontal="right"/>
    </xf>
    <xf numFmtId="5" fontId="0" fillId="0" borderId="0" xfId="0" applyNumberFormat="1" applyAlignment="1" applyProtection="1">
      <alignment horizontal="right"/>
      <protection/>
    </xf>
    <xf numFmtId="37" fontId="0" fillId="0" borderId="1" xfId="0" applyNumberFormat="1" applyBorder="1" applyAlignment="1">
      <alignment horizontal="right"/>
    </xf>
    <xf numFmtId="5" fontId="8" fillId="0" borderId="0" xfId="0" applyNumberFormat="1" applyFont="1" applyAlignment="1" applyProtection="1">
      <alignment horizontal="right"/>
      <protection/>
    </xf>
    <xf numFmtId="5" fontId="8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7" fontId="2" fillId="0" borderId="0" xfId="0" applyFont="1" applyAlignment="1">
      <alignment horizontal="center"/>
    </xf>
    <xf numFmtId="10" fontId="0" fillId="0" borderId="1" xfId="0" applyNumberForma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7" fontId="0" fillId="0" borderId="1" xfId="0" applyNumberFormat="1" applyBorder="1" applyAlignment="1">
      <alignment/>
    </xf>
    <xf numFmtId="7" fontId="0" fillId="0" borderId="1" xfId="0" applyNumberFormat="1" applyFont="1" applyBorder="1" applyAlignment="1" applyProtection="1">
      <alignment/>
      <protection/>
    </xf>
    <xf numFmtId="7" fontId="0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5" fontId="9" fillId="0" borderId="0" xfId="0" applyNumberFormat="1" applyFont="1" applyBorder="1" applyAlignment="1">
      <alignment/>
    </xf>
    <xf numFmtId="5" fontId="9" fillId="0" borderId="0" xfId="0" applyNumberFormat="1" applyFon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7" fontId="0" fillId="0" borderId="0" xfId="0" applyNumberFormat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0" applyNumberFormat="1" applyBorder="1" applyAlignment="1" applyProtection="1">
      <alignment horizontal="right"/>
      <protection/>
    </xf>
    <xf numFmtId="37" fontId="0" fillId="0" borderId="1" xfId="0" applyNumberFormat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7" fontId="0" fillId="0" borderId="0" xfId="0" applyNumberForma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187" fontId="0" fillId="0" borderId="0" xfId="0" applyNumberFormat="1" applyFont="1" applyBorder="1" applyAlignment="1" applyProtection="1">
      <alignment/>
      <protection/>
    </xf>
    <xf numFmtId="187" fontId="0" fillId="0" borderId="0" xfId="0" applyNumberFormat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 applyProtection="1">
      <alignment/>
      <protection/>
    </xf>
    <xf numFmtId="187" fontId="2" fillId="0" borderId="0" xfId="0" applyNumberFormat="1" applyFont="1" applyAlignment="1">
      <alignment/>
    </xf>
    <xf numFmtId="178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3" fontId="0" fillId="0" borderId="0" xfId="0" applyNumberFormat="1" applyBorder="1" applyAlignment="1" applyProtection="1">
      <alignment/>
      <protection/>
    </xf>
    <xf numFmtId="37" fontId="0" fillId="0" borderId="1" xfId="0" applyFont="1" applyBorder="1" applyAlignment="1">
      <alignment horizontal="right"/>
    </xf>
    <xf numFmtId="5" fontId="8" fillId="0" borderId="0" xfId="0" applyNumberFormat="1" applyFont="1" applyAlignment="1">
      <alignment horizontal="right"/>
    </xf>
    <xf numFmtId="9" fontId="0" fillId="0" borderId="1" xfId="0" applyNumberFormat="1" applyBorder="1" applyAlignment="1">
      <alignment/>
    </xf>
    <xf numFmtId="178" fontId="10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5" fontId="10" fillId="0" borderId="0" xfId="0" applyNumberFormat="1" applyFont="1" applyAlignment="1">
      <alignment/>
    </xf>
    <xf numFmtId="175" fontId="0" fillId="0" borderId="1" xfId="0" applyNumberFormat="1" applyBorder="1" applyAlignment="1">
      <alignment horizontal="center"/>
    </xf>
    <xf numFmtId="169" fontId="8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5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IF317"/>
  <sheetViews>
    <sheetView tabSelected="1" defaultGridColor="0" zoomScale="87" zoomScaleNormal="87" colorId="22" workbookViewId="0" topLeftCell="BW28">
      <selection activeCell="I186" sqref="I186"/>
    </sheetView>
  </sheetViews>
  <sheetFormatPr defaultColWidth="12.77734375" defaultRowHeight="15"/>
  <cols>
    <col min="1" max="1" width="6.77734375" style="0" customWidth="1"/>
    <col min="2" max="2" width="16.77734375" style="0" customWidth="1"/>
    <col min="4" max="4" width="13.77734375" style="0" customWidth="1"/>
    <col min="5" max="5" width="14.77734375" style="0" customWidth="1"/>
    <col min="6" max="6" width="13.77734375" style="0" customWidth="1"/>
    <col min="7" max="7" width="19.77734375" style="0" bestFit="1" customWidth="1"/>
    <col min="9" max="9" width="7.77734375" style="0" customWidth="1"/>
    <col min="12" max="12" width="8.77734375" style="0" customWidth="1"/>
    <col min="13" max="13" width="15.77734375" style="0" customWidth="1"/>
    <col min="14" max="14" width="12.77734375" style="0" customWidth="1"/>
    <col min="15" max="15" width="5.77734375" style="0" customWidth="1"/>
    <col min="16" max="16" width="15.77734375" style="0" customWidth="1"/>
    <col min="17" max="19" width="12.77734375" style="0" customWidth="1"/>
    <col min="22" max="22" width="14.3359375" style="0" bestFit="1" customWidth="1"/>
    <col min="27" max="27" width="8.77734375" style="0" customWidth="1"/>
    <col min="28" max="28" width="14.77734375" style="0" customWidth="1"/>
    <col min="29" max="29" width="6.77734375" style="0" customWidth="1"/>
    <col min="32" max="32" width="14.77734375" style="0" customWidth="1"/>
    <col min="34" max="34" width="12.77734375" style="0" customWidth="1"/>
    <col min="36" max="38" width="12.77734375" style="28" customWidth="1"/>
    <col min="39" max="39" width="13.21484375" style="28" bestFit="1" customWidth="1"/>
    <col min="40" max="40" width="12.88671875" style="28" bestFit="1" customWidth="1"/>
    <col min="41" max="41" width="13.5546875" style="28" bestFit="1" customWidth="1"/>
    <col min="42" max="42" width="13.5546875" style="28" customWidth="1"/>
    <col min="49" max="49" width="14.77734375" style="0" customWidth="1"/>
    <col min="53" max="53" width="21.77734375" style="0" customWidth="1"/>
    <col min="55" max="55" width="15.77734375" style="0" customWidth="1"/>
    <col min="57" max="57" width="14.77734375" style="0" customWidth="1"/>
    <col min="61" max="61" width="8.77734375" style="0" customWidth="1"/>
    <col min="65" max="67" width="10.77734375" style="0" customWidth="1"/>
    <col min="68" max="68" width="4.77734375" style="0" customWidth="1"/>
    <col min="70" max="70" width="20.3359375" style="0" customWidth="1"/>
    <col min="71" max="71" width="20.6640625" style="0" customWidth="1"/>
    <col min="72" max="72" width="20.77734375" style="0" customWidth="1"/>
    <col min="75" max="75" width="16.10546875" style="0" customWidth="1"/>
    <col min="76" max="76" width="15.10546875" style="0" customWidth="1"/>
    <col min="78" max="78" width="15.77734375" style="0" customWidth="1"/>
    <col min="79" max="79" width="13.4453125" style="0" bestFit="1" customWidth="1"/>
    <col min="82" max="82" width="15.77734375" style="0" customWidth="1"/>
    <col min="89" max="89" width="15.77734375" style="0" customWidth="1"/>
    <col min="92" max="92" width="15.77734375" style="0" customWidth="1"/>
    <col min="95" max="95" width="14.77734375" style="0" customWidth="1"/>
    <col min="96" max="96" width="16.77734375" style="0" customWidth="1"/>
    <col min="97" max="98" width="6.77734375" style="0" customWidth="1"/>
    <col min="102" max="102" width="13.77734375" style="0" customWidth="1"/>
    <col min="103" max="103" width="13.21484375" style="0" bestFit="1" customWidth="1"/>
    <col min="104" max="104" width="8.77734375" style="0" customWidth="1"/>
    <col min="109" max="109" width="30.77734375" style="0" customWidth="1"/>
    <col min="111" max="111" width="13.21484375" style="0" bestFit="1" customWidth="1"/>
    <col min="114" max="114" width="14.77734375" style="0" customWidth="1"/>
    <col min="120" max="120" width="14.77734375" style="0" customWidth="1"/>
    <col min="122" max="122" width="13.21484375" style="0" bestFit="1" customWidth="1"/>
    <col min="127" max="127" width="14.77734375" style="0" customWidth="1"/>
    <col min="138" max="138" width="16.77734375" style="0" customWidth="1"/>
    <col min="151" max="151" width="6.77734375" style="0" customWidth="1"/>
    <col min="152" max="152" width="10.77734375" style="0" customWidth="1"/>
    <col min="153" max="153" width="6.77734375" style="0" customWidth="1"/>
    <col min="155" max="155" width="14.77734375" style="0" customWidth="1"/>
    <col min="158" max="158" width="16.99609375" style="0" bestFit="1" customWidth="1"/>
    <col min="172" max="172" width="15.3359375" style="0" bestFit="1" customWidth="1"/>
    <col min="196" max="196" width="16.77734375" style="0" customWidth="1"/>
    <col min="197" max="197" width="6.77734375" style="0" customWidth="1"/>
    <col min="199" max="199" width="8.77734375" style="0" customWidth="1"/>
    <col min="200" max="200" width="16.4453125" style="0" customWidth="1"/>
    <col min="201" max="204" width="8.77734375" style="0" customWidth="1"/>
    <col min="205" max="205" width="12.77734375" style="0" customWidth="1"/>
    <col min="206" max="206" width="8.77734375" style="0" customWidth="1"/>
    <col min="207" max="207" width="13.99609375" style="0" customWidth="1"/>
    <col min="208" max="214" width="8.77734375" style="0" customWidth="1"/>
    <col min="215" max="215" width="20.77734375" style="0" customWidth="1"/>
    <col min="216" max="216" width="8.77734375" style="0" customWidth="1"/>
    <col min="217" max="219" width="13.77734375" style="0" customWidth="1"/>
    <col min="220" max="220" width="8.77734375" style="0" customWidth="1"/>
    <col min="221" max="221" width="19.6640625" style="0" customWidth="1"/>
    <col min="222" max="224" width="8.77734375" style="0" customWidth="1"/>
    <col min="225" max="225" width="14.77734375" style="0" customWidth="1"/>
    <col min="226" max="226" width="8.77734375" style="0" customWidth="1"/>
    <col min="227" max="227" width="12.77734375" style="0" customWidth="1"/>
    <col min="228" max="230" width="8.77734375" style="0" customWidth="1"/>
    <col min="231" max="240" width="12.77734375" style="0" customWidth="1"/>
    <col min="241" max="16384" width="8.77734375" style="0" customWidth="1"/>
  </cols>
  <sheetData>
    <row r="1" spans="6:225" ht="15">
      <c r="F1" t="s">
        <v>0</v>
      </c>
      <c r="P1" t="s">
        <v>304</v>
      </c>
      <c r="V1" t="s">
        <v>2</v>
      </c>
      <c r="AB1" t="s">
        <v>1</v>
      </c>
      <c r="AG1" t="s">
        <v>107</v>
      </c>
      <c r="AJ1"/>
      <c r="AK1"/>
      <c r="AL1"/>
      <c r="AM1" t="s">
        <v>306</v>
      </c>
      <c r="AQ1" s="37"/>
      <c r="AV1" t="s">
        <v>305</v>
      </c>
      <c r="AX1" s="28"/>
      <c r="BC1" t="s">
        <v>119</v>
      </c>
      <c r="BH1" t="s">
        <v>422</v>
      </c>
      <c r="BN1" t="s">
        <v>424</v>
      </c>
      <c r="BU1" t="s">
        <v>120</v>
      </c>
      <c r="BV1" s="21"/>
      <c r="CA1" t="s">
        <v>425</v>
      </c>
      <c r="CG1" t="s">
        <v>460</v>
      </c>
      <c r="CN1" t="s">
        <v>428</v>
      </c>
      <c r="CU1" t="s">
        <v>430</v>
      </c>
      <c r="DA1" t="s">
        <v>431</v>
      </c>
      <c r="DG1" t="s">
        <v>432</v>
      </c>
      <c r="DL1" t="s">
        <v>434</v>
      </c>
      <c r="DS1" t="s">
        <v>118</v>
      </c>
      <c r="DZ1" t="s">
        <v>435</v>
      </c>
      <c r="EH1" t="s">
        <v>310</v>
      </c>
      <c r="EJ1" s="28"/>
      <c r="EK1" s="28"/>
      <c r="EL1" s="28"/>
      <c r="EM1" s="28"/>
      <c r="EN1" s="28"/>
      <c r="EO1" s="28"/>
      <c r="ET1" t="s">
        <v>437</v>
      </c>
      <c r="FB1" t="s">
        <v>438</v>
      </c>
      <c r="FI1" t="s">
        <v>439</v>
      </c>
      <c r="FP1" t="s">
        <v>112</v>
      </c>
      <c r="FV1" t="s">
        <v>461</v>
      </c>
      <c r="GD1" t="s">
        <v>440</v>
      </c>
      <c r="GJ1" t="s">
        <v>117</v>
      </c>
      <c r="GP1" t="s">
        <v>442</v>
      </c>
      <c r="GV1" t="s">
        <v>115</v>
      </c>
      <c r="HC1" t="s">
        <v>114</v>
      </c>
      <c r="HK1" t="s">
        <v>309</v>
      </c>
      <c r="HQ1" t="s">
        <v>447</v>
      </c>
    </row>
    <row r="2" spans="30:145" ht="15.75">
      <c r="AD2" s="37"/>
      <c r="AJ2"/>
      <c r="AK2"/>
      <c r="AL2"/>
      <c r="AM2"/>
      <c r="AQ2" s="37"/>
      <c r="AX2" s="28"/>
      <c r="AY2" s="28"/>
      <c r="BV2" s="21"/>
      <c r="DP2" s="1" t="str">
        <f>+B4</f>
        <v>KENTUCKY AMERICAN WATER COMPANY</v>
      </c>
      <c r="EJ2" s="28"/>
      <c r="EK2" s="28"/>
      <c r="EL2" s="28"/>
      <c r="EM2" s="28"/>
      <c r="EN2" s="28"/>
      <c r="EO2" s="28"/>
    </row>
    <row r="3" spans="30:145" ht="15">
      <c r="AD3" s="37"/>
      <c r="AJ3"/>
      <c r="AK3"/>
      <c r="AL3"/>
      <c r="AM3"/>
      <c r="AQ3" s="37"/>
      <c r="AX3" s="28"/>
      <c r="AY3" s="111"/>
      <c r="BV3" s="21"/>
      <c r="EJ3" s="28"/>
      <c r="EK3" s="28"/>
      <c r="EL3" s="28"/>
      <c r="EM3" s="28"/>
      <c r="EN3" s="28"/>
      <c r="EO3" s="28"/>
    </row>
    <row r="4" spans="2:180" ht="15.75">
      <c r="B4" s="1" t="s">
        <v>124</v>
      </c>
      <c r="J4" s="1" t="str">
        <f>+B4</f>
        <v>KENTUCKY AMERICAN WATER COMPANY</v>
      </c>
      <c r="S4" s="1" t="str">
        <f>+B4</f>
        <v>KENTUCKY AMERICAN WATER COMPANY</v>
      </c>
      <c r="T4" s="1"/>
      <c r="U4" s="1"/>
      <c r="Y4" s="1" t="str">
        <f>+B4</f>
        <v>KENTUCKY AMERICAN WATER COMPANY</v>
      </c>
      <c r="Z4" s="1"/>
      <c r="AA4" s="1"/>
      <c r="AD4" s="37"/>
      <c r="AE4" s="1" t="str">
        <f>+B4</f>
        <v>KENTUCKY AMERICAN WATER COMPANY</v>
      </c>
      <c r="AJ4" s="1" t="str">
        <f>+B4</f>
        <v>KENTUCKY AMERICAN WATER COMPANY</v>
      </c>
      <c r="AK4"/>
      <c r="AL4"/>
      <c r="AM4"/>
      <c r="AQ4" s="37"/>
      <c r="AR4" s="1" t="str">
        <f>+J4</f>
        <v>KENTUCKY AMERICAN WATER COMPANY</v>
      </c>
      <c r="AX4" s="28"/>
      <c r="AY4" s="111"/>
      <c r="AZ4" s="1" t="str">
        <f>+B4</f>
        <v>KENTUCKY AMERICAN WATER COMPANY</v>
      </c>
      <c r="BE4" s="1" t="str">
        <f>+B4</f>
        <v>KENTUCKY AMERICAN WATER COMPANY</v>
      </c>
      <c r="BF4" s="1"/>
      <c r="BG4" s="1"/>
      <c r="BK4" s="1" t="str">
        <f>+B4</f>
        <v>KENTUCKY AMERICAN WATER COMPANY</v>
      </c>
      <c r="BS4" s="1" t="str">
        <f>+B4</f>
        <v>KENTUCKY AMERICAN WATER COMPANY</v>
      </c>
      <c r="BV4" s="21"/>
      <c r="BX4" s="1" t="str">
        <f>+B4</f>
        <v>KENTUCKY AMERICAN WATER COMPANY</v>
      </c>
      <c r="CK4" s="1" t="str">
        <f>+B4</f>
        <v>KENTUCKY AMERICAN WATER COMPANY</v>
      </c>
      <c r="CQ4" s="1" t="str">
        <f>+B4</f>
        <v>KENTUCKY AMERICAN WATER COMPANY</v>
      </c>
      <c r="CX4" s="1" t="str">
        <f>+B4</f>
        <v>KENTUCKY AMERICAN WATER COMPANY</v>
      </c>
      <c r="DE4" s="1" t="str">
        <f>+B4</f>
        <v>KENTUCKY AMERICAN WATER COMPANY</v>
      </c>
      <c r="DJ4" s="1" t="str">
        <f>+B4</f>
        <v>KENTUCKY AMERICAN WATER COMPANY</v>
      </c>
      <c r="DP4" s="1" t="str">
        <f>+B6</f>
        <v>FUTURE TEST YEAR ENDING NOVEMBER 30, 2005</v>
      </c>
      <c r="DW4" s="1" t="str">
        <f>+B4</f>
        <v>KENTUCKY AMERICAN WATER COMPANY</v>
      </c>
      <c r="EE4" s="1" t="str">
        <f>+B4</f>
        <v>KENTUCKY AMERICAN WATER COMPANY</v>
      </c>
      <c r="EJ4" s="28"/>
      <c r="EK4" s="69"/>
      <c r="EL4" s="28"/>
      <c r="EM4" s="28"/>
      <c r="EN4" s="28"/>
      <c r="EO4" s="28"/>
      <c r="EQ4" s="1" t="str">
        <f>+B4</f>
        <v>KENTUCKY AMERICAN WATER COMPANY</v>
      </c>
      <c r="ES4" s="1"/>
      <c r="ET4" s="1"/>
      <c r="EU4" s="1"/>
      <c r="EV4" s="1"/>
      <c r="EY4" s="1" t="str">
        <f>+J4</f>
        <v>KENTUCKY AMERICAN WATER COMPANY</v>
      </c>
      <c r="FB4" s="1"/>
      <c r="FC4" s="1"/>
      <c r="FD4" s="1"/>
      <c r="FF4" s="1" t="str">
        <f>+B4</f>
        <v>KENTUCKY AMERICAN WATER COMPANY</v>
      </c>
      <c r="FH4" s="1"/>
      <c r="FI4" s="1"/>
      <c r="FJ4" s="1"/>
      <c r="FM4" s="1" t="str">
        <f>+J4</f>
        <v>KENTUCKY AMERICAN WATER COMPANY</v>
      </c>
      <c r="FO4" s="1"/>
      <c r="FP4" s="1"/>
      <c r="FQ4" s="1"/>
      <c r="FS4" s="1" t="str">
        <f>+B4</f>
        <v>KENTUCKY AMERICAN WATER COMPANY</v>
      </c>
      <c r="FU4" s="1"/>
      <c r="FV4" s="1"/>
      <c r="FW4" s="1"/>
      <c r="FX4" s="1"/>
    </row>
    <row r="5" spans="30:225" ht="15.75">
      <c r="AD5" s="37"/>
      <c r="AJ5"/>
      <c r="AK5"/>
      <c r="AL5"/>
      <c r="AM5"/>
      <c r="AQ5" s="37"/>
      <c r="AX5" s="28"/>
      <c r="AY5" s="111"/>
      <c r="BV5" s="21"/>
      <c r="DO5" s="37"/>
      <c r="EJ5" s="28"/>
      <c r="EK5" s="28"/>
      <c r="EL5" s="28"/>
      <c r="EM5" s="28"/>
      <c r="EN5" s="28"/>
      <c r="EO5" s="28"/>
      <c r="GA5" s="1" t="str">
        <f>+B4</f>
        <v>KENTUCKY AMERICAN WATER COMPANY</v>
      </c>
      <c r="GC5" s="1"/>
      <c r="GD5" s="1"/>
      <c r="GE5" s="1"/>
      <c r="GG5" s="1" t="str">
        <f>+B4</f>
        <v>KENTUCKY AMERICAN WATER COMPANY</v>
      </c>
      <c r="GI5" s="1"/>
      <c r="GJ5" s="1"/>
      <c r="GK5" s="1"/>
      <c r="GM5" s="1" t="str">
        <f>+B4</f>
        <v>KENTUCKY AMERICAN WATER COMPANY</v>
      </c>
      <c r="GO5" s="1"/>
      <c r="GP5" s="1"/>
      <c r="GS5" s="1" t="str">
        <f>+B4</f>
        <v>KENTUCKY AMERICAN WATER COMPANY</v>
      </c>
      <c r="GU5" s="1"/>
      <c r="GV5" s="1"/>
      <c r="GZ5" s="1" t="str">
        <f>+B4</f>
        <v>KENTUCKY AMERICAN WATER COMPANY</v>
      </c>
      <c r="HB5" s="1"/>
      <c r="HC5" s="1"/>
      <c r="HH5" s="1" t="str">
        <f>+J4</f>
        <v>KENTUCKY AMERICAN WATER COMPANY</v>
      </c>
      <c r="HJ5" s="1"/>
      <c r="HK5" s="1"/>
      <c r="HN5" s="1" t="str">
        <f>+B4</f>
        <v>KENTUCKY AMERICAN WATER COMPANY</v>
      </c>
      <c r="HP5" s="1"/>
      <c r="HQ5" s="1"/>
    </row>
    <row r="6" spans="2:180" ht="15.75">
      <c r="B6" s="1" t="s">
        <v>125</v>
      </c>
      <c r="J6" s="1" t="str">
        <f>+B6</f>
        <v>FUTURE TEST YEAR ENDING NOVEMBER 30, 2005</v>
      </c>
      <c r="S6" s="1" t="str">
        <f>+B6</f>
        <v>FUTURE TEST YEAR ENDING NOVEMBER 30, 2005</v>
      </c>
      <c r="T6" s="1"/>
      <c r="U6" s="1"/>
      <c r="Y6" s="1" t="str">
        <f>+B6</f>
        <v>FUTURE TEST YEAR ENDING NOVEMBER 30, 2005</v>
      </c>
      <c r="Z6" s="1"/>
      <c r="AA6" s="1"/>
      <c r="AD6" s="37"/>
      <c r="AE6" s="1" t="str">
        <f>+B6</f>
        <v>FUTURE TEST YEAR ENDING NOVEMBER 30, 2005</v>
      </c>
      <c r="AJ6" s="1" t="str">
        <f>+B6</f>
        <v>FUTURE TEST YEAR ENDING NOVEMBER 30, 2005</v>
      </c>
      <c r="AK6"/>
      <c r="AL6"/>
      <c r="AM6"/>
      <c r="AQ6" s="37"/>
      <c r="AR6" s="1" t="str">
        <f>+J6</f>
        <v>FUTURE TEST YEAR ENDING NOVEMBER 30, 2005</v>
      </c>
      <c r="AX6" s="28"/>
      <c r="AY6" s="111"/>
      <c r="AZ6" s="1" t="str">
        <f>+B6</f>
        <v>FUTURE TEST YEAR ENDING NOVEMBER 30, 2005</v>
      </c>
      <c r="BE6" s="1" t="str">
        <f>+B6</f>
        <v>FUTURE TEST YEAR ENDING NOVEMBER 30, 2005</v>
      </c>
      <c r="BK6" s="1" t="str">
        <f>+B6</f>
        <v>FUTURE TEST YEAR ENDING NOVEMBER 30, 2005</v>
      </c>
      <c r="BS6" s="1" t="str">
        <f>+B6</f>
        <v>FUTURE TEST YEAR ENDING NOVEMBER 30, 2005</v>
      </c>
      <c r="BV6" s="21"/>
      <c r="BX6" s="1" t="str">
        <f>+B4</f>
        <v>KENTUCKY AMERICAN WATER COMPANY</v>
      </c>
      <c r="CD6" s="1" t="str">
        <f>+B4</f>
        <v>KENTUCKY AMERICAN WATER COMPANY</v>
      </c>
      <c r="CK6" s="1" t="str">
        <f>+B6</f>
        <v>FUTURE TEST YEAR ENDING NOVEMBER 30, 2005</v>
      </c>
      <c r="CQ6" s="1" t="str">
        <f>+B6</f>
        <v>FUTURE TEST YEAR ENDING NOVEMBER 30, 2005</v>
      </c>
      <c r="CX6" s="1" t="str">
        <f>+B6</f>
        <v>FUTURE TEST YEAR ENDING NOVEMBER 30, 2005</v>
      </c>
      <c r="DE6" s="1" t="str">
        <f>+B6</f>
        <v>FUTURE TEST YEAR ENDING NOVEMBER 30, 2005</v>
      </c>
      <c r="DJ6" s="1" t="str">
        <f>+B6</f>
        <v>FUTURE TEST YEAR ENDING NOVEMBER 30, 2005</v>
      </c>
      <c r="DO6" s="37"/>
      <c r="DP6" s="1" t="s">
        <v>217</v>
      </c>
      <c r="DW6" s="1" t="str">
        <f>+B6</f>
        <v>FUTURE TEST YEAR ENDING NOVEMBER 30, 2005</v>
      </c>
      <c r="EE6" s="1" t="str">
        <f>+B6</f>
        <v>FUTURE TEST YEAR ENDING NOVEMBER 30, 2005</v>
      </c>
      <c r="EJ6" s="28"/>
      <c r="EK6" s="69"/>
      <c r="EL6" s="28"/>
      <c r="EM6" s="28"/>
      <c r="EN6" s="28"/>
      <c r="EO6" s="28"/>
      <c r="EQ6" s="1" t="str">
        <f>+B6</f>
        <v>FUTURE TEST YEAR ENDING NOVEMBER 30, 2005</v>
      </c>
      <c r="ES6" s="1"/>
      <c r="ET6" s="1"/>
      <c r="EU6" s="1"/>
      <c r="EV6" s="1"/>
      <c r="EY6" s="1" t="str">
        <f>+J6</f>
        <v>FUTURE TEST YEAR ENDING NOVEMBER 30, 2005</v>
      </c>
      <c r="FB6" s="1"/>
      <c r="FC6" s="1"/>
      <c r="FD6" s="1"/>
      <c r="FF6" s="1" t="str">
        <f>+B6</f>
        <v>FUTURE TEST YEAR ENDING NOVEMBER 30, 2005</v>
      </c>
      <c r="FH6" s="1"/>
      <c r="FI6" s="1"/>
      <c r="FJ6" s="1"/>
      <c r="FM6" s="1" t="str">
        <f>+J6</f>
        <v>FUTURE TEST YEAR ENDING NOVEMBER 30, 2005</v>
      </c>
      <c r="FO6" s="1"/>
      <c r="FP6" s="1"/>
      <c r="FQ6" s="1"/>
      <c r="FS6" s="1" t="str">
        <f>+B6</f>
        <v>FUTURE TEST YEAR ENDING NOVEMBER 30, 2005</v>
      </c>
      <c r="FU6" s="1"/>
      <c r="FV6" s="1"/>
      <c r="FW6" s="1"/>
      <c r="FX6" s="1"/>
    </row>
    <row r="7" spans="5:240" ht="15.75">
      <c r="E7" s="28"/>
      <c r="AD7" s="37"/>
      <c r="AJ7"/>
      <c r="AK7"/>
      <c r="AL7"/>
      <c r="AM7"/>
      <c r="AQ7" s="37"/>
      <c r="AX7" s="28"/>
      <c r="AY7" s="111"/>
      <c r="BV7" s="21"/>
      <c r="DO7" s="37"/>
      <c r="EJ7" s="28"/>
      <c r="EK7" s="28"/>
      <c r="EL7" s="28"/>
      <c r="EM7" s="28"/>
      <c r="EN7" s="28"/>
      <c r="EO7" s="28"/>
      <c r="FR7" s="36"/>
      <c r="FW7" s="21"/>
      <c r="GA7" s="1" t="str">
        <f>+B6</f>
        <v>FUTURE TEST YEAR ENDING NOVEMBER 30, 2005</v>
      </c>
      <c r="GC7" s="1"/>
      <c r="GD7" s="1"/>
      <c r="GE7" s="1"/>
      <c r="GG7" s="1" t="str">
        <f>+B6</f>
        <v>FUTURE TEST YEAR ENDING NOVEMBER 30, 2005</v>
      </c>
      <c r="GI7" s="1"/>
      <c r="GJ7" s="1"/>
      <c r="GK7" s="1"/>
      <c r="GM7" s="1" t="str">
        <f>+B6</f>
        <v>FUTURE TEST YEAR ENDING NOVEMBER 30, 2005</v>
      </c>
      <c r="GO7" s="1"/>
      <c r="GP7" s="1"/>
      <c r="GQ7" s="21"/>
      <c r="GS7" s="1" t="str">
        <f>+B6</f>
        <v>FUTURE TEST YEAR ENDING NOVEMBER 30, 2005</v>
      </c>
      <c r="GU7" s="1"/>
      <c r="GV7" s="1"/>
      <c r="GZ7" s="1" t="str">
        <f>+B6</f>
        <v>FUTURE TEST YEAR ENDING NOVEMBER 30, 2005</v>
      </c>
      <c r="HB7" s="1"/>
      <c r="HC7" s="1"/>
      <c r="HH7" s="1" t="str">
        <f>+J6</f>
        <v>FUTURE TEST YEAR ENDING NOVEMBER 30, 2005</v>
      </c>
      <c r="HJ7" s="1"/>
      <c r="HK7" s="1"/>
      <c r="HN7" s="1" t="str">
        <f>+B6</f>
        <v>FUTURE TEST YEAR ENDING NOVEMBER 30, 2005</v>
      </c>
      <c r="HP7" s="1"/>
      <c r="HQ7" s="1"/>
      <c r="HW7">
        <v>1998</v>
      </c>
      <c r="HX7">
        <v>1998</v>
      </c>
      <c r="HY7">
        <v>1999</v>
      </c>
      <c r="HZ7">
        <v>1999</v>
      </c>
      <c r="IA7">
        <v>2000</v>
      </c>
      <c r="IB7">
        <v>2000</v>
      </c>
      <c r="IC7">
        <v>2001</v>
      </c>
      <c r="ID7">
        <v>2001</v>
      </c>
      <c r="IE7">
        <v>2002</v>
      </c>
      <c r="IF7">
        <v>2002</v>
      </c>
    </row>
    <row r="8" spans="2:240" ht="15.75">
      <c r="B8" s="1" t="s">
        <v>4</v>
      </c>
      <c r="F8" t="s">
        <v>101</v>
      </c>
      <c r="J8" s="1" t="s">
        <v>5</v>
      </c>
      <c r="S8" s="1" t="s">
        <v>144</v>
      </c>
      <c r="T8" s="1"/>
      <c r="U8" s="1"/>
      <c r="Y8" s="1" t="s">
        <v>145</v>
      </c>
      <c r="Z8" s="1"/>
      <c r="AA8" s="1"/>
      <c r="AD8" s="37"/>
      <c r="AE8" s="1" t="s">
        <v>149</v>
      </c>
      <c r="AJ8" s="1" t="s">
        <v>187</v>
      </c>
      <c r="AK8"/>
      <c r="AL8"/>
      <c r="AM8"/>
      <c r="AQ8" s="37"/>
      <c r="AR8" s="1" t="s">
        <v>155</v>
      </c>
      <c r="AX8" s="28"/>
      <c r="AY8" s="111"/>
      <c r="AZ8" s="1" t="s">
        <v>6</v>
      </c>
      <c r="BE8" s="1" t="s">
        <v>197</v>
      </c>
      <c r="BK8" s="1" t="s">
        <v>109</v>
      </c>
      <c r="BS8" s="1" t="s">
        <v>201</v>
      </c>
      <c r="BV8" s="21"/>
      <c r="BX8" s="1" t="s">
        <v>284</v>
      </c>
      <c r="CD8" s="1" t="str">
        <f>+B6</f>
        <v>FUTURE TEST YEAR ENDING NOVEMBER 30, 2005</v>
      </c>
      <c r="CK8" s="1" t="s">
        <v>208</v>
      </c>
      <c r="CQ8" s="1" t="s">
        <v>410</v>
      </c>
      <c r="CX8" s="1" t="s">
        <v>350</v>
      </c>
      <c r="DE8" s="1" t="s">
        <v>256</v>
      </c>
      <c r="DI8" s="37"/>
      <c r="DJ8" s="1" t="s">
        <v>216</v>
      </c>
      <c r="DO8" s="37"/>
      <c r="DW8" s="1" t="s">
        <v>123</v>
      </c>
      <c r="EE8" s="1" t="s">
        <v>7</v>
      </c>
      <c r="EG8" s="2"/>
      <c r="EJ8" s="28"/>
      <c r="EK8" s="69"/>
      <c r="EL8" s="28"/>
      <c r="EM8" s="28"/>
      <c r="EN8" s="28"/>
      <c r="EO8" s="28"/>
      <c r="EQ8" s="1" t="s">
        <v>220</v>
      </c>
      <c r="ES8" s="1"/>
      <c r="ET8" s="1"/>
      <c r="EU8" s="1"/>
      <c r="EV8" s="1"/>
      <c r="EY8" s="1" t="s">
        <v>379</v>
      </c>
      <c r="FB8" s="1"/>
      <c r="FC8" s="1"/>
      <c r="FD8" s="1"/>
      <c r="FF8" s="1" t="s">
        <v>225</v>
      </c>
      <c r="FH8" s="1"/>
      <c r="FI8" s="1"/>
      <c r="FJ8" s="1"/>
      <c r="FM8" s="1" t="s">
        <v>227</v>
      </c>
      <c r="FO8" s="1"/>
      <c r="FP8" s="1"/>
      <c r="FQ8" s="1"/>
      <c r="FR8" s="36"/>
      <c r="FS8" s="1" t="s">
        <v>462</v>
      </c>
      <c r="FU8" s="1"/>
      <c r="FV8" s="1"/>
      <c r="FW8" s="189"/>
      <c r="FX8" s="1"/>
      <c r="FZ8" s="37"/>
      <c r="GQ8" s="21"/>
      <c r="HW8" t="s">
        <v>385</v>
      </c>
      <c r="HX8" t="s">
        <v>386</v>
      </c>
      <c r="HY8" t="s">
        <v>385</v>
      </c>
      <c r="HZ8" t="s">
        <v>386</v>
      </c>
      <c r="IA8" t="s">
        <v>385</v>
      </c>
      <c r="IB8" t="s">
        <v>386</v>
      </c>
      <c r="IC8" t="s">
        <v>385</v>
      </c>
      <c r="ID8" t="s">
        <v>386</v>
      </c>
      <c r="IE8" t="s">
        <v>385</v>
      </c>
      <c r="IF8" t="s">
        <v>386</v>
      </c>
    </row>
    <row r="9" spans="30:225" ht="15.75">
      <c r="AD9" s="37"/>
      <c r="AJ9"/>
      <c r="AK9"/>
      <c r="AL9"/>
      <c r="AM9" s="21"/>
      <c r="AN9" s="45"/>
      <c r="AO9" s="45"/>
      <c r="AP9" s="45"/>
      <c r="AQ9" s="37"/>
      <c r="AT9" s="21"/>
      <c r="AU9" s="21"/>
      <c r="AV9" s="21"/>
      <c r="AW9" s="21"/>
      <c r="AX9" s="45"/>
      <c r="AY9" s="111"/>
      <c r="BR9" s="28"/>
      <c r="BS9" s="28"/>
      <c r="BT9" s="28"/>
      <c r="BU9" s="28"/>
      <c r="BV9" s="45"/>
      <c r="BW9" s="28"/>
      <c r="BX9" s="28"/>
      <c r="BY9" s="28"/>
      <c r="BZ9" s="28"/>
      <c r="CA9" s="28"/>
      <c r="CB9" s="45"/>
      <c r="DI9" s="37"/>
      <c r="DO9" s="36">
        <v>1</v>
      </c>
      <c r="DP9" t="s">
        <v>403</v>
      </c>
      <c r="DS9" s="27">
        <v>70000</v>
      </c>
      <c r="DZ9" s="2"/>
      <c r="EJ9" s="28"/>
      <c r="EK9" s="28"/>
      <c r="EL9" s="28"/>
      <c r="EM9" s="28"/>
      <c r="EN9" s="28"/>
      <c r="EO9" s="28"/>
      <c r="FC9" s="21"/>
      <c r="FR9" s="36"/>
      <c r="FW9" s="21"/>
      <c r="FZ9" s="37"/>
      <c r="GA9" s="1" t="s">
        <v>441</v>
      </c>
      <c r="GC9" s="1"/>
      <c r="GD9" s="1"/>
      <c r="GE9" s="1"/>
      <c r="GG9" s="1" t="s">
        <v>279</v>
      </c>
      <c r="GI9" s="1"/>
      <c r="GJ9" s="1"/>
      <c r="GK9" s="1"/>
      <c r="GM9" s="1" t="s">
        <v>372</v>
      </c>
      <c r="GO9" s="1"/>
      <c r="GP9" s="1"/>
      <c r="GQ9" s="21"/>
      <c r="GS9" s="1" t="s">
        <v>268</v>
      </c>
      <c r="GU9" s="1"/>
      <c r="GV9" s="1"/>
      <c r="GX9" s="21"/>
      <c r="GZ9" s="1" t="s">
        <v>313</v>
      </c>
      <c r="HB9" s="1"/>
      <c r="HC9" s="1"/>
      <c r="HH9" s="1" t="s">
        <v>390</v>
      </c>
      <c r="HJ9" s="1"/>
      <c r="HK9" s="1"/>
      <c r="HN9" s="1" t="s">
        <v>155</v>
      </c>
      <c r="HP9" s="1"/>
      <c r="HQ9" s="1"/>
    </row>
    <row r="10" spans="4:240" ht="15.75">
      <c r="D10" s="21" t="s">
        <v>8</v>
      </c>
      <c r="E10" s="21" t="s">
        <v>9</v>
      </c>
      <c r="F10" s="21" t="s">
        <v>9</v>
      </c>
      <c r="W10" s="21"/>
      <c r="AB10" s="21"/>
      <c r="AC10" s="22"/>
      <c r="AD10" s="37"/>
      <c r="AH10" s="21"/>
      <c r="AM10" s="163"/>
      <c r="AN10" s="63"/>
      <c r="AO10" s="63"/>
      <c r="AP10" s="63"/>
      <c r="AQ10" s="37"/>
      <c r="AR10" s="28"/>
      <c r="AS10" s="28"/>
      <c r="AT10" s="23" t="s">
        <v>235</v>
      </c>
      <c r="AU10" s="23"/>
      <c r="AV10" s="168" t="s">
        <v>236</v>
      </c>
      <c r="AW10" s="23" t="s">
        <v>237</v>
      </c>
      <c r="AY10" s="111"/>
      <c r="BC10" s="21" t="s">
        <v>10</v>
      </c>
      <c r="BR10" s="28"/>
      <c r="BS10" s="28"/>
      <c r="BT10" s="45" t="s">
        <v>202</v>
      </c>
      <c r="BU10" s="45" t="s">
        <v>203</v>
      </c>
      <c r="BV10" s="45"/>
      <c r="BW10" s="45"/>
      <c r="BX10" s="45"/>
      <c r="BY10" s="45"/>
      <c r="BZ10" s="45"/>
      <c r="CA10" s="45"/>
      <c r="CB10" s="45"/>
      <c r="CD10" s="1" t="s">
        <v>427</v>
      </c>
      <c r="CJ10" s="37"/>
      <c r="CW10" s="37"/>
      <c r="DB10" s="21"/>
      <c r="DI10" s="98"/>
      <c r="DJ10" s="28"/>
      <c r="DK10" s="28"/>
      <c r="DL10" s="28"/>
      <c r="DM10" s="28"/>
      <c r="DN10" s="28"/>
      <c r="DO10" s="37"/>
      <c r="EJ10" s="28"/>
      <c r="EK10" s="28"/>
      <c r="EL10" s="28"/>
      <c r="EM10" s="28"/>
      <c r="EN10" s="28"/>
      <c r="EO10" s="28"/>
      <c r="EX10" s="37"/>
      <c r="FC10" s="21"/>
      <c r="FJ10" s="21"/>
      <c r="FQ10" s="21"/>
      <c r="FR10" s="36"/>
      <c r="FS10" s="39"/>
      <c r="FT10" s="21"/>
      <c r="FU10" s="21"/>
      <c r="FV10" s="24"/>
      <c r="FW10" s="21"/>
      <c r="FX10" s="21"/>
      <c r="FZ10" s="37"/>
      <c r="GF10" s="37"/>
      <c r="GQ10" s="21"/>
      <c r="GX10" s="21"/>
      <c r="HX10">
        <v>25838687</v>
      </c>
      <c r="HZ10">
        <v>31469901</v>
      </c>
      <c r="IB10">
        <v>34578894</v>
      </c>
      <c r="ID10">
        <v>25623391</v>
      </c>
      <c r="IE10">
        <v>45372482</v>
      </c>
      <c r="IF10">
        <v>171974</v>
      </c>
    </row>
    <row r="11" spans="4:240" ht="15">
      <c r="D11" s="23" t="s">
        <v>11</v>
      </c>
      <c r="E11" s="23" t="s">
        <v>12</v>
      </c>
      <c r="F11" s="23" t="s">
        <v>13</v>
      </c>
      <c r="M11" s="21" t="s">
        <v>8</v>
      </c>
      <c r="N11" s="21" t="s">
        <v>9</v>
      </c>
      <c r="O11" s="21"/>
      <c r="P11" s="21" t="s">
        <v>9</v>
      </c>
      <c r="R11" s="36"/>
      <c r="V11" s="28"/>
      <c r="W11" s="21"/>
      <c r="Y11" s="21"/>
      <c r="Z11" s="21"/>
      <c r="AA11" s="21"/>
      <c r="AB11" s="21"/>
      <c r="AC11" s="21"/>
      <c r="AD11" s="96"/>
      <c r="AE11" s="3"/>
      <c r="AF11" s="3"/>
      <c r="AG11" s="66"/>
      <c r="AH11" s="119"/>
      <c r="AI11" s="97">
        <v>1</v>
      </c>
      <c r="AJ11" s="39" t="s">
        <v>15</v>
      </c>
      <c r="AM11" s="116">
        <v>34547015</v>
      </c>
      <c r="AN11" s="45" t="s">
        <v>16</v>
      </c>
      <c r="AQ11" s="37"/>
      <c r="AR11" s="44"/>
      <c r="AS11" s="28"/>
      <c r="AT11" s="21" t="s">
        <v>16</v>
      </c>
      <c r="AU11" s="21"/>
      <c r="AV11" s="45"/>
      <c r="AW11" s="45"/>
      <c r="AY11" s="127">
        <v>1</v>
      </c>
      <c r="AZ11" t="s">
        <v>15</v>
      </c>
      <c r="BB11" s="3">
        <f>D19</f>
        <v>8792281</v>
      </c>
      <c r="BC11" s="21">
        <v>1</v>
      </c>
      <c r="BD11" s="37"/>
      <c r="BM11" s="21" t="s">
        <v>17</v>
      </c>
      <c r="BN11" s="21" t="s">
        <v>22</v>
      </c>
      <c r="BO11" s="21" t="s">
        <v>18</v>
      </c>
      <c r="BR11" s="28"/>
      <c r="BS11" s="28"/>
      <c r="BT11" s="23" t="s">
        <v>247</v>
      </c>
      <c r="BU11" s="23" t="s">
        <v>247</v>
      </c>
      <c r="BV11" s="45"/>
      <c r="BW11" s="45"/>
      <c r="BX11" s="45"/>
      <c r="BY11" s="45"/>
      <c r="BZ11" s="45"/>
      <c r="CA11" s="45"/>
      <c r="CB11" s="45"/>
      <c r="CJ11" s="37">
        <v>1</v>
      </c>
      <c r="CK11" t="s">
        <v>15</v>
      </c>
      <c r="CN11" s="27">
        <v>622049</v>
      </c>
      <c r="CO11" t="s">
        <v>16</v>
      </c>
      <c r="CP11" s="37"/>
      <c r="CU11" s="3"/>
      <c r="CW11" s="37">
        <v>1</v>
      </c>
      <c r="CX11" t="s">
        <v>353</v>
      </c>
      <c r="CY11" s="67"/>
      <c r="DA11" s="110">
        <f>4911289+44408+158820</f>
        <v>5114517</v>
      </c>
      <c r="DB11" s="186" t="s">
        <v>16</v>
      </c>
      <c r="DH11" s="21"/>
      <c r="DI11" s="111"/>
      <c r="DJ11" s="28"/>
      <c r="DK11" s="28"/>
      <c r="DL11" s="28"/>
      <c r="DM11" s="88"/>
      <c r="DN11" s="45"/>
      <c r="DO11" s="36">
        <v>2</v>
      </c>
      <c r="DP11" t="s">
        <v>404</v>
      </c>
      <c r="DS11" s="5">
        <v>3</v>
      </c>
      <c r="DV11" s="24" t="s">
        <v>14</v>
      </c>
      <c r="DW11" t="s">
        <v>23</v>
      </c>
      <c r="DZ11" s="3">
        <f>F13</f>
        <v>149515649.6429797</v>
      </c>
      <c r="EA11" s="21" t="s">
        <v>16</v>
      </c>
      <c r="ED11" s="24" t="s">
        <v>14</v>
      </c>
      <c r="EE11" t="s">
        <v>19</v>
      </c>
      <c r="EG11" s="2">
        <v>1</v>
      </c>
      <c r="EJ11" s="44"/>
      <c r="EK11" s="28"/>
      <c r="EL11" s="28"/>
      <c r="EM11" s="28"/>
      <c r="EN11" s="205"/>
      <c r="EO11" s="28"/>
      <c r="EP11" s="28"/>
      <c r="EQ11" s="28"/>
      <c r="ER11" s="28"/>
      <c r="ES11" s="28"/>
      <c r="ET11" s="63"/>
      <c r="EU11" s="45"/>
      <c r="EX11" s="37"/>
      <c r="FC11" s="21"/>
      <c r="FJ11" s="21"/>
      <c r="FQ11" s="21"/>
      <c r="FR11" s="36">
        <v>1</v>
      </c>
      <c r="FS11" s="39" t="s">
        <v>257</v>
      </c>
      <c r="FT11" s="21"/>
      <c r="FU11" s="21"/>
      <c r="FV11" s="181">
        <v>7760915</v>
      </c>
      <c r="FW11" s="21" t="s">
        <v>16</v>
      </c>
      <c r="FX11" s="21"/>
      <c r="FZ11" s="37"/>
      <c r="GE11" s="21"/>
      <c r="GF11" s="37"/>
      <c r="GQ11" s="21"/>
      <c r="GR11" s="37"/>
      <c r="GX11" s="21"/>
      <c r="GY11" s="37"/>
      <c r="HG11" s="37"/>
      <c r="HM11" s="37"/>
      <c r="HR11" s="21"/>
      <c r="HS11" s="67"/>
      <c r="HX11">
        <v>15908</v>
      </c>
      <c r="HZ11">
        <v>12134</v>
      </c>
      <c r="IB11">
        <v>8775</v>
      </c>
      <c r="ID11">
        <v>690</v>
      </c>
      <c r="IF11">
        <v>29703</v>
      </c>
    </row>
    <row r="12" spans="4:240" ht="15">
      <c r="D12" s="21" t="s">
        <v>16</v>
      </c>
      <c r="M12" s="23" t="s">
        <v>11</v>
      </c>
      <c r="N12" s="23" t="s">
        <v>12</v>
      </c>
      <c r="O12" s="23"/>
      <c r="P12" s="23" t="s">
        <v>13</v>
      </c>
      <c r="R12" s="36">
        <v>1</v>
      </c>
      <c r="S12" s="39" t="s">
        <v>15</v>
      </c>
      <c r="V12" s="106">
        <f>+M14</f>
        <v>287861620</v>
      </c>
      <c r="W12" s="21" t="s">
        <v>16</v>
      </c>
      <c r="AB12" s="21"/>
      <c r="AC12" s="21"/>
      <c r="AD12" s="37"/>
      <c r="AE12" s="28"/>
      <c r="AG12" s="67"/>
      <c r="AI12" s="97"/>
      <c r="AJ12" s="39"/>
      <c r="AM12" s="116"/>
      <c r="AN12" s="57"/>
      <c r="AO12" s="109"/>
      <c r="AP12" s="109"/>
      <c r="AQ12" s="37">
        <v>1</v>
      </c>
      <c r="AR12" t="s">
        <v>156</v>
      </c>
      <c r="AS12" s="28"/>
      <c r="AT12" s="211">
        <v>12</v>
      </c>
      <c r="AU12" s="149"/>
      <c r="AV12" s="219">
        <f>2843277</f>
        <v>2843277</v>
      </c>
      <c r="AW12" s="219">
        <f aca="true" t="shared" si="0" ref="AW12:AW29">+AT12*AV12</f>
        <v>34119324</v>
      </c>
      <c r="AY12" s="111"/>
      <c r="BD12" s="36" t="s">
        <v>14</v>
      </c>
      <c r="BE12" t="s">
        <v>195</v>
      </c>
      <c r="BH12" s="3">
        <v>1802175</v>
      </c>
      <c r="BI12" s="21" t="s">
        <v>16</v>
      </c>
      <c r="BM12" s="23" t="s">
        <v>20</v>
      </c>
      <c r="BN12" s="23" t="s">
        <v>21</v>
      </c>
      <c r="BO12" s="23" t="s">
        <v>22</v>
      </c>
      <c r="BT12" s="21" t="s">
        <v>16</v>
      </c>
      <c r="BU12" s="21" t="s">
        <v>24</v>
      </c>
      <c r="BV12" s="21"/>
      <c r="BW12" s="111">
        <v>1</v>
      </c>
      <c r="BX12" s="48" t="s">
        <v>324</v>
      </c>
      <c r="BY12" s="48"/>
      <c r="BZ12" s="48"/>
      <c r="CA12" s="195">
        <f>+(183.94+165.42)/2</f>
        <v>174.68</v>
      </c>
      <c r="CB12" s="45" t="s">
        <v>16</v>
      </c>
      <c r="CG12" s="24"/>
      <c r="CH12" s="21"/>
      <c r="CJ12" s="37"/>
      <c r="CP12" s="36" t="s">
        <v>14</v>
      </c>
      <c r="CQ12" t="s">
        <v>362</v>
      </c>
      <c r="CU12" s="3">
        <v>142492</v>
      </c>
      <c r="CV12" s="21" t="s">
        <v>16</v>
      </c>
      <c r="CW12" s="37"/>
      <c r="DH12" s="21"/>
      <c r="DI12" s="98"/>
      <c r="DJ12" s="28"/>
      <c r="DK12" s="28"/>
      <c r="DL12" s="28"/>
      <c r="DM12" s="45"/>
      <c r="DN12" s="28"/>
      <c r="DO12" s="37"/>
      <c r="EG12" s="2"/>
      <c r="EJ12" s="28"/>
      <c r="EK12" s="28"/>
      <c r="EL12" s="28"/>
      <c r="EM12" s="28"/>
      <c r="EN12" s="33"/>
      <c r="EO12" s="28"/>
      <c r="EP12" s="44"/>
      <c r="EQ12" s="28"/>
      <c r="ER12" s="28"/>
      <c r="ES12" s="28"/>
      <c r="ET12" s="28"/>
      <c r="EU12" s="88"/>
      <c r="EX12" s="37">
        <v>1</v>
      </c>
      <c r="EY12" t="s">
        <v>15</v>
      </c>
      <c r="FB12" s="27">
        <v>1361626</v>
      </c>
      <c r="FC12" s="21" t="s">
        <v>16</v>
      </c>
      <c r="FE12" s="37">
        <v>1</v>
      </c>
      <c r="FF12" t="s">
        <v>15</v>
      </c>
      <c r="FI12" s="27">
        <v>72415</v>
      </c>
      <c r="FJ12" s="21" t="s">
        <v>16</v>
      </c>
      <c r="FL12" s="37">
        <v>1</v>
      </c>
      <c r="FM12" t="s">
        <v>15</v>
      </c>
      <c r="FP12" s="27">
        <v>5228</v>
      </c>
      <c r="FQ12" s="21" t="s">
        <v>16</v>
      </c>
      <c r="FR12" s="36"/>
      <c r="FS12" s="39"/>
      <c r="FV12" s="24"/>
      <c r="FW12" s="21"/>
      <c r="FX12" s="21"/>
      <c r="FZ12" s="36"/>
      <c r="GD12" s="67"/>
      <c r="GE12" s="21"/>
      <c r="GF12" s="37"/>
      <c r="GK12" s="21"/>
      <c r="GQ12" s="21"/>
      <c r="GY12" s="37">
        <v>1</v>
      </c>
      <c r="GZ12" t="s">
        <v>15</v>
      </c>
      <c r="HD12" s="27">
        <v>30000</v>
      </c>
      <c r="HE12" s="21" t="s">
        <v>16</v>
      </c>
      <c r="HG12" s="98"/>
      <c r="HH12" s="28"/>
      <c r="HI12" s="28"/>
      <c r="HJ12" s="28"/>
      <c r="HK12" s="28"/>
      <c r="HL12" s="106"/>
      <c r="HM12" s="98"/>
      <c r="HN12" s="106"/>
      <c r="HO12" s="106"/>
      <c r="HP12" s="106"/>
      <c r="HQ12" s="106"/>
      <c r="HR12" s="109"/>
      <c r="HS12" s="48"/>
      <c r="HT12" s="106"/>
      <c r="HU12" s="45"/>
      <c r="HW12">
        <v>1888039</v>
      </c>
      <c r="HY12">
        <v>1890720</v>
      </c>
      <c r="IB12">
        <v>1871</v>
      </c>
      <c r="ID12">
        <v>1632593</v>
      </c>
      <c r="IE12">
        <v>6248007</v>
      </c>
      <c r="IF12">
        <v>20932</v>
      </c>
    </row>
    <row r="13" spans="1:240" ht="15">
      <c r="A13" s="36">
        <v>1</v>
      </c>
      <c r="B13" t="s">
        <v>23</v>
      </c>
      <c r="D13" s="3">
        <f>+M33</f>
        <v>158958817</v>
      </c>
      <c r="E13" s="3">
        <f>+F13-D13</f>
        <v>-9443167.357020289</v>
      </c>
      <c r="F13" s="3">
        <f>+P33</f>
        <v>149515649.6429797</v>
      </c>
      <c r="G13" s="21" t="s">
        <v>24</v>
      </c>
      <c r="H13" s="21"/>
      <c r="M13" s="21" t="s">
        <v>16</v>
      </c>
      <c r="R13" s="36"/>
      <c r="S13" s="39"/>
      <c r="V13" s="28"/>
      <c r="W13" s="21"/>
      <c r="X13" s="36">
        <v>1</v>
      </c>
      <c r="Y13" s="35" t="s">
        <v>146</v>
      </c>
      <c r="Z13" s="26"/>
      <c r="AA13" s="26"/>
      <c r="AB13" s="3">
        <v>208310</v>
      </c>
      <c r="AC13" s="22" t="s">
        <v>16</v>
      </c>
      <c r="AD13" s="96"/>
      <c r="AG13" s="21" t="s">
        <v>16</v>
      </c>
      <c r="AH13" s="73"/>
      <c r="AI13" s="97">
        <v>2</v>
      </c>
      <c r="AJ13" s="39" t="s">
        <v>456</v>
      </c>
      <c r="AO13" s="56"/>
      <c r="AP13" s="56"/>
      <c r="AQ13" s="37">
        <v>2</v>
      </c>
      <c r="AR13" s="51" t="s">
        <v>156</v>
      </c>
      <c r="AS13" s="28"/>
      <c r="AT13" s="211">
        <v>12</v>
      </c>
      <c r="AU13" s="21"/>
      <c r="AV13" s="126">
        <v>2500386</v>
      </c>
      <c r="AW13" s="44">
        <f t="shared" si="0"/>
        <v>30004632</v>
      </c>
      <c r="AY13" s="111"/>
      <c r="AZ13" t="s">
        <v>25</v>
      </c>
      <c r="BD13" s="37"/>
      <c r="BJ13" s="37"/>
      <c r="BM13" s="21" t="s">
        <v>16</v>
      </c>
      <c r="BN13" s="21" t="s">
        <v>16</v>
      </c>
      <c r="BO13" s="21" t="s">
        <v>16</v>
      </c>
      <c r="BR13" s="111">
        <v>1</v>
      </c>
      <c r="BS13" s="28" t="s">
        <v>140</v>
      </c>
      <c r="BT13" s="48">
        <f>+(1186923+19052+125+827+7)/12</f>
        <v>100577.83333333333</v>
      </c>
      <c r="BU13" s="46">
        <f>+(1178307+17721+131+778)/12</f>
        <v>99744.75</v>
      </c>
      <c r="BV13" s="47"/>
      <c r="BX13" s="48"/>
      <c r="BY13" s="48"/>
      <c r="BZ13" s="48"/>
      <c r="CA13" s="48"/>
      <c r="CB13" s="45"/>
      <c r="CD13" s="28"/>
      <c r="CE13" s="45"/>
      <c r="CF13" s="45"/>
      <c r="CG13" s="44"/>
      <c r="CH13" s="45"/>
      <c r="CJ13" s="37">
        <v>2</v>
      </c>
      <c r="CK13" t="s">
        <v>209</v>
      </c>
      <c r="CN13" s="16">
        <f>622049-70000</f>
        <v>552049</v>
      </c>
      <c r="CO13" t="s">
        <v>24</v>
      </c>
      <c r="CP13" s="37"/>
      <c r="CW13" s="36">
        <v>2</v>
      </c>
      <c r="CX13" t="s">
        <v>351</v>
      </c>
      <c r="CY13" s="66"/>
      <c r="DA13" s="158">
        <v>133</v>
      </c>
      <c r="DB13" s="187" t="s">
        <v>16</v>
      </c>
      <c r="DD13" s="36" t="s">
        <v>14</v>
      </c>
      <c r="DE13" t="s">
        <v>356</v>
      </c>
      <c r="DF13" s="3"/>
      <c r="DG13" s="3">
        <v>145899</v>
      </c>
      <c r="DH13" s="21" t="s">
        <v>16</v>
      </c>
      <c r="DI13" s="98">
        <v>1</v>
      </c>
      <c r="DJ13" s="28" t="s">
        <v>346</v>
      </c>
      <c r="DL13" s="106">
        <v>2805661</v>
      </c>
      <c r="DM13" s="45" t="s">
        <v>16</v>
      </c>
      <c r="DN13" s="45"/>
      <c r="DO13" s="37">
        <v>3</v>
      </c>
      <c r="DP13" t="s">
        <v>405</v>
      </c>
      <c r="DS13" s="27">
        <f>+DS9/3</f>
        <v>23333.333333333332</v>
      </c>
      <c r="DT13" s="21" t="s">
        <v>16</v>
      </c>
      <c r="DV13" s="24" t="s">
        <v>26</v>
      </c>
      <c r="DW13" t="s">
        <v>28</v>
      </c>
      <c r="DZ13" s="7">
        <f>+BO16+BO14</f>
        <v>0.031478763</v>
      </c>
      <c r="EA13" s="21" t="s">
        <v>24</v>
      </c>
      <c r="ED13" s="24" t="s">
        <v>26</v>
      </c>
      <c r="EE13" t="s">
        <v>29</v>
      </c>
      <c r="EG13" s="7">
        <v>0.082546</v>
      </c>
      <c r="EH13" s="21" t="s">
        <v>16</v>
      </c>
      <c r="EJ13" s="44"/>
      <c r="EK13" s="28"/>
      <c r="EL13" s="33"/>
      <c r="EM13" s="33"/>
      <c r="EN13" s="205"/>
      <c r="EO13" s="45"/>
      <c r="EP13" s="24" t="s">
        <v>14</v>
      </c>
      <c r="EQ13" s="28" t="s">
        <v>377</v>
      </c>
      <c r="ER13" s="28"/>
      <c r="ES13" s="28"/>
      <c r="ET13" s="106">
        <v>58295</v>
      </c>
      <c r="EU13" s="45" t="s">
        <v>24</v>
      </c>
      <c r="EX13" s="37"/>
      <c r="FC13" s="21"/>
      <c r="FE13" s="37"/>
      <c r="FJ13" s="21"/>
      <c r="FL13" s="37"/>
      <c r="FQ13" s="21"/>
      <c r="FR13" s="36">
        <v>2</v>
      </c>
      <c r="FS13" s="39" t="s">
        <v>260</v>
      </c>
      <c r="FV13" s="166">
        <v>7762685</v>
      </c>
      <c r="FW13" s="21" t="s">
        <v>24</v>
      </c>
      <c r="FX13" s="21"/>
      <c r="FZ13" s="36">
        <v>1</v>
      </c>
      <c r="GA13" t="s">
        <v>195</v>
      </c>
      <c r="GD13" s="110">
        <v>470940</v>
      </c>
      <c r="GE13" s="21" t="s">
        <v>16</v>
      </c>
      <c r="GF13" s="37">
        <v>1</v>
      </c>
      <c r="GG13" t="s">
        <v>195</v>
      </c>
      <c r="GJ13" s="27">
        <v>2223673</v>
      </c>
      <c r="GK13" s="21" t="s">
        <v>16</v>
      </c>
      <c r="GL13" s="37">
        <v>1</v>
      </c>
      <c r="GM13" t="s">
        <v>262</v>
      </c>
      <c r="GP13" s="27">
        <v>904227</v>
      </c>
      <c r="GQ13" s="21" t="s">
        <v>16</v>
      </c>
      <c r="GY13" s="37"/>
      <c r="HG13" s="98"/>
      <c r="HH13" s="28"/>
      <c r="HI13" s="230">
        <v>2000</v>
      </c>
      <c r="HJ13" s="230">
        <v>2001</v>
      </c>
      <c r="HK13" s="230">
        <v>2002</v>
      </c>
      <c r="HL13" s="28"/>
      <c r="HM13" s="98">
        <v>1</v>
      </c>
      <c r="HN13" s="28" t="s">
        <v>180</v>
      </c>
      <c r="HO13" s="28"/>
      <c r="HP13" s="28"/>
      <c r="HQ13" s="106">
        <f>+(F17-F167)-(D17-D167)</f>
        <v>-1866705.393647883</v>
      </c>
      <c r="HR13" s="45" t="s">
        <v>16</v>
      </c>
      <c r="HS13" s="48"/>
      <c r="HT13" s="28"/>
      <c r="HU13" s="28"/>
      <c r="HX13">
        <v>5883</v>
      </c>
      <c r="HY13">
        <v>21582</v>
      </c>
      <c r="IB13">
        <v>1580528</v>
      </c>
      <c r="ID13">
        <v>14889</v>
      </c>
      <c r="IF13">
        <v>16366994</v>
      </c>
    </row>
    <row r="14" spans="1:240" ht="18">
      <c r="A14" s="37"/>
      <c r="I14" s="36">
        <v>1</v>
      </c>
      <c r="J14" t="s">
        <v>126</v>
      </c>
      <c r="M14" s="3">
        <v>287861620</v>
      </c>
      <c r="N14" s="3">
        <f>+V16</f>
        <v>-8165</v>
      </c>
      <c r="O14" s="22" t="s">
        <v>24</v>
      </c>
      <c r="P14" s="3">
        <f>+M14+N14</f>
        <v>287853455</v>
      </c>
      <c r="Q14" s="21"/>
      <c r="R14" s="36">
        <v>2</v>
      </c>
      <c r="S14" s="39" t="s">
        <v>193</v>
      </c>
      <c r="V14" s="158">
        <v>287853455</v>
      </c>
      <c r="W14" s="21" t="s">
        <v>24</v>
      </c>
      <c r="Y14" s="6"/>
      <c r="Z14" s="6"/>
      <c r="AA14" s="6"/>
      <c r="AC14" s="72"/>
      <c r="AD14" s="97">
        <v>1</v>
      </c>
      <c r="AE14" s="33" t="s">
        <v>150</v>
      </c>
      <c r="AG14" s="181">
        <v>-2665378</v>
      </c>
      <c r="AH14" s="73"/>
      <c r="AI14" s="97"/>
      <c r="AJ14" s="39" t="s">
        <v>457</v>
      </c>
      <c r="AM14" s="164">
        <v>33064060</v>
      </c>
      <c r="AN14" s="143" t="s">
        <v>24</v>
      </c>
      <c r="AO14" s="55"/>
      <c r="AP14" s="55"/>
      <c r="AQ14" s="97">
        <v>3</v>
      </c>
      <c r="AR14" s="51" t="s">
        <v>157</v>
      </c>
      <c r="AS14" s="28"/>
      <c r="AT14" s="212">
        <v>26.96</v>
      </c>
      <c r="AU14" s="21"/>
      <c r="AV14" s="126">
        <v>1922641</v>
      </c>
      <c r="AW14" s="44">
        <f t="shared" si="0"/>
        <v>51834401.36</v>
      </c>
      <c r="AY14" s="111"/>
      <c r="BD14" s="37">
        <v>2</v>
      </c>
      <c r="BE14" t="s">
        <v>196</v>
      </c>
      <c r="BH14" s="5">
        <v>1891188</v>
      </c>
      <c r="BI14" s="21"/>
      <c r="BJ14" s="36" t="s">
        <v>14</v>
      </c>
      <c r="BK14" t="s">
        <v>138</v>
      </c>
      <c r="BM14" s="2">
        <v>0.0778</v>
      </c>
      <c r="BN14" s="2">
        <v>0.027</v>
      </c>
      <c r="BO14" s="2">
        <f>BM14*BN14</f>
        <v>0.0021005999999999998</v>
      </c>
      <c r="BR14" s="98">
        <v>2</v>
      </c>
      <c r="BS14" s="28" t="s">
        <v>141</v>
      </c>
      <c r="BT14" s="48">
        <f>+(20561+170+35)/12</f>
        <v>1730.5</v>
      </c>
      <c r="BU14" s="48">
        <f>+(22356+168+36)/12</f>
        <v>1880</v>
      </c>
      <c r="BV14" s="50"/>
      <c r="BW14" s="98">
        <v>2</v>
      </c>
      <c r="BX14" s="48" t="s">
        <v>325</v>
      </c>
      <c r="BY14" s="48"/>
      <c r="BZ14" s="48"/>
      <c r="CA14" s="195">
        <f>+CA12*365/1000</f>
        <v>63.7582</v>
      </c>
      <c r="CB14" s="45" t="s">
        <v>24</v>
      </c>
      <c r="CC14" s="24" t="s">
        <v>14</v>
      </c>
      <c r="CD14" s="79" t="s">
        <v>253</v>
      </c>
      <c r="CE14" s="80"/>
      <c r="CF14" s="80"/>
      <c r="CG14" s="140">
        <f>12*462.19</f>
        <v>5546.28</v>
      </c>
      <c r="CH14" s="21" t="s">
        <v>16</v>
      </c>
      <c r="CJ14" s="37"/>
      <c r="CP14" s="36" t="s">
        <v>26</v>
      </c>
      <c r="CQ14" t="s">
        <v>363</v>
      </c>
      <c r="CS14" s="40"/>
      <c r="CT14" s="40"/>
      <c r="CU14" s="16">
        <v>72837</v>
      </c>
      <c r="CV14" s="21" t="s">
        <v>16</v>
      </c>
      <c r="CW14" s="37"/>
      <c r="CY14" s="67"/>
      <c r="DA14" s="67"/>
      <c r="DB14" s="188"/>
      <c r="DD14" s="37"/>
      <c r="DH14" s="21"/>
      <c r="DI14" s="37"/>
      <c r="DM14" s="45"/>
      <c r="DN14" s="28"/>
      <c r="DO14" s="37"/>
      <c r="EG14" s="2"/>
      <c r="EJ14" s="28"/>
      <c r="EK14" s="28"/>
      <c r="EL14" s="28"/>
      <c r="EM14" s="28"/>
      <c r="EN14" s="28"/>
      <c r="EO14" s="28"/>
      <c r="EQ14" s="28"/>
      <c r="ER14" s="28"/>
      <c r="ES14" s="28"/>
      <c r="ET14" s="28"/>
      <c r="EU14" s="45"/>
      <c r="EX14" s="37">
        <v>2</v>
      </c>
      <c r="EY14" t="s">
        <v>380</v>
      </c>
      <c r="FB14" s="5">
        <f>+FD74</f>
        <v>388920</v>
      </c>
      <c r="FC14" s="21" t="s">
        <v>16</v>
      </c>
      <c r="FE14" s="37">
        <v>2</v>
      </c>
      <c r="FF14" t="s">
        <v>32</v>
      </c>
      <c r="FH14" s="40">
        <f>+A50</f>
        <v>0.4036549</v>
      </c>
      <c r="FI14" s="161">
        <f>+A50*FI12</f>
        <v>29230.6695835</v>
      </c>
      <c r="FJ14" s="21"/>
      <c r="FL14" s="37">
        <v>2</v>
      </c>
      <c r="FM14" t="s">
        <v>103</v>
      </c>
      <c r="FO14" s="40">
        <f>+A50</f>
        <v>0.4036549</v>
      </c>
      <c r="FP14" s="100">
        <f>+A50*FP12</f>
        <v>2110.3078172</v>
      </c>
      <c r="FQ14" s="21" t="s">
        <v>24</v>
      </c>
      <c r="FR14" s="36"/>
      <c r="FS14" s="39"/>
      <c r="FV14" s="24"/>
      <c r="FW14" s="21"/>
      <c r="FX14" s="21"/>
      <c r="FZ14" s="36"/>
      <c r="GD14" s="67"/>
      <c r="GE14" s="21"/>
      <c r="GF14" s="37"/>
      <c r="GK14" s="21"/>
      <c r="GL14" s="37"/>
      <c r="GP14" s="27"/>
      <c r="GQ14" s="21"/>
      <c r="GR14" s="37">
        <v>1</v>
      </c>
      <c r="GS14" t="s">
        <v>15</v>
      </c>
      <c r="GW14" s="27">
        <v>117525</v>
      </c>
      <c r="GX14" s="21" t="s">
        <v>16</v>
      </c>
      <c r="GY14" s="37">
        <v>2</v>
      </c>
      <c r="GZ14" t="s">
        <v>32</v>
      </c>
      <c r="HB14" s="40">
        <f>+A50</f>
        <v>0.4036549</v>
      </c>
      <c r="HD14" s="5">
        <f>+A50*HD12</f>
        <v>12109.646999999999</v>
      </c>
      <c r="HF14" s="37"/>
      <c r="HG14" s="98"/>
      <c r="HH14" s="28"/>
      <c r="HI14" s="45" t="s">
        <v>16</v>
      </c>
      <c r="HJ14" s="45" t="s">
        <v>16</v>
      </c>
      <c r="HK14" s="45" t="s">
        <v>16</v>
      </c>
      <c r="HL14" s="28"/>
      <c r="HM14" s="231"/>
      <c r="HN14" s="28"/>
      <c r="HO14" s="28"/>
      <c r="HP14" s="28"/>
      <c r="HQ14" s="28"/>
      <c r="HR14" s="45"/>
      <c r="HS14" s="48"/>
      <c r="HT14" s="28"/>
      <c r="HU14" s="28"/>
      <c r="HW14">
        <v>1159390</v>
      </c>
      <c r="HZ14">
        <v>1367969</v>
      </c>
      <c r="IB14">
        <v>2148</v>
      </c>
      <c r="IC14">
        <v>2956710</v>
      </c>
      <c r="IF14">
        <v>2608118</v>
      </c>
    </row>
    <row r="15" spans="1:240" ht="15.75">
      <c r="A15" s="36">
        <v>2</v>
      </c>
      <c r="B15" t="s">
        <v>105</v>
      </c>
      <c r="D15" s="10">
        <f>+D17/D13</f>
        <v>0.08249999746789762</v>
      </c>
      <c r="E15" s="7">
        <f>F15-D15</f>
        <v>-0.01141149046789762</v>
      </c>
      <c r="F15" s="7">
        <f>+BO22</f>
        <v>0.071088507</v>
      </c>
      <c r="G15" s="25" t="s">
        <v>30</v>
      </c>
      <c r="H15" s="25"/>
      <c r="I15" s="36">
        <v>2</v>
      </c>
      <c r="J15" t="s">
        <v>127</v>
      </c>
      <c r="M15" s="108">
        <v>391650</v>
      </c>
      <c r="N15" s="108">
        <f>-AB17</f>
        <v>-314433</v>
      </c>
      <c r="O15" s="150" t="s">
        <v>30</v>
      </c>
      <c r="P15" s="8">
        <f>+M15+N15</f>
        <v>77217</v>
      </c>
      <c r="R15" s="36"/>
      <c r="S15" s="39"/>
      <c r="V15" s="28"/>
      <c r="W15" s="21"/>
      <c r="X15" s="36">
        <v>2</v>
      </c>
      <c r="Y15" s="6" t="s">
        <v>147</v>
      </c>
      <c r="Z15" s="6"/>
      <c r="AA15" s="6"/>
      <c r="AB15" s="5">
        <v>106123</v>
      </c>
      <c r="AC15" s="45" t="s">
        <v>24</v>
      </c>
      <c r="AD15" s="97"/>
      <c r="AG15" s="207"/>
      <c r="AH15" s="73"/>
      <c r="AN15" s="58"/>
      <c r="AO15" s="55"/>
      <c r="AP15" s="55"/>
      <c r="AQ15" s="97">
        <v>4</v>
      </c>
      <c r="AR15" s="51" t="s">
        <v>158</v>
      </c>
      <c r="AS15" s="28"/>
      <c r="AT15" s="213">
        <v>30.49</v>
      </c>
      <c r="AU15" s="21" t="s">
        <v>24</v>
      </c>
      <c r="AV15" s="126">
        <v>1221136</v>
      </c>
      <c r="AW15" s="44">
        <f t="shared" si="0"/>
        <v>37232436.64</v>
      </c>
      <c r="AY15" s="36">
        <v>2</v>
      </c>
      <c r="AZ15" t="s">
        <v>303</v>
      </c>
      <c r="BB15">
        <f>+CA36</f>
        <v>538171.6473879725</v>
      </c>
      <c r="BC15" s="21">
        <v>15</v>
      </c>
      <c r="BD15" s="37"/>
      <c r="BJ15" s="37"/>
      <c r="BM15" s="2"/>
      <c r="BN15" s="2"/>
      <c r="BO15" s="2"/>
      <c r="BR15" s="111">
        <v>3</v>
      </c>
      <c r="BS15" s="28" t="s">
        <v>142</v>
      </c>
      <c r="BT15" s="158">
        <v>316.4166666666667</v>
      </c>
      <c r="BU15" s="158">
        <v>344</v>
      </c>
      <c r="BV15" s="50"/>
      <c r="BX15" s="48"/>
      <c r="BY15" s="48"/>
      <c r="BZ15" s="48"/>
      <c r="CA15" s="48"/>
      <c r="CB15" s="45"/>
      <c r="CE15" s="55"/>
      <c r="CF15" s="55"/>
      <c r="CG15" s="126"/>
      <c r="CH15" s="21"/>
      <c r="CJ15" s="36">
        <v>3</v>
      </c>
      <c r="CK15" t="s">
        <v>27</v>
      </c>
      <c r="CN15" s="3">
        <f>+CN11-CN13</f>
        <v>70000</v>
      </c>
      <c r="CO15" s="21"/>
      <c r="CP15" s="37"/>
      <c r="CW15" s="37">
        <v>3</v>
      </c>
      <c r="CX15" t="s">
        <v>352</v>
      </c>
      <c r="CY15" s="66"/>
      <c r="DA15" s="110">
        <f>+DA11/DA13</f>
        <v>38455.015037593985</v>
      </c>
      <c r="DB15" s="188"/>
      <c r="DD15" s="36" t="s">
        <v>26</v>
      </c>
      <c r="DE15" t="s">
        <v>358</v>
      </c>
      <c r="DG15" s="190">
        <v>0.4</v>
      </c>
      <c r="DH15" s="81" t="s">
        <v>24</v>
      </c>
      <c r="DI15" s="111">
        <v>2</v>
      </c>
      <c r="DJ15" s="28" t="s">
        <v>344</v>
      </c>
      <c r="DL15" s="28">
        <v>557505</v>
      </c>
      <c r="DM15" s="45" t="s">
        <v>16</v>
      </c>
      <c r="DN15" s="28"/>
      <c r="DO15" s="37">
        <v>4</v>
      </c>
      <c r="DP15" t="s">
        <v>15</v>
      </c>
      <c r="DS15" s="5">
        <v>70000</v>
      </c>
      <c r="DT15" s="21" t="s">
        <v>16</v>
      </c>
      <c r="DV15" s="24" t="s">
        <v>31</v>
      </c>
      <c r="DW15" t="s">
        <v>33</v>
      </c>
      <c r="DZ15" s="3">
        <f>DZ11*DZ13</f>
        <v>4706567.699902393</v>
      </c>
      <c r="ED15" s="24" t="s">
        <v>31</v>
      </c>
      <c r="EE15" t="s">
        <v>34</v>
      </c>
      <c r="EG15" s="2">
        <f>EG11-EG13</f>
        <v>0.917454</v>
      </c>
      <c r="EJ15" s="44"/>
      <c r="EK15" s="28"/>
      <c r="EL15" s="28"/>
      <c r="EM15" s="33"/>
      <c r="EN15" s="41"/>
      <c r="EO15" s="45"/>
      <c r="EP15" s="24" t="s">
        <v>26</v>
      </c>
      <c r="EQ15" s="28" t="s">
        <v>103</v>
      </c>
      <c r="ER15" s="28"/>
      <c r="ES15" s="86">
        <f>+A50</f>
        <v>0.4036549</v>
      </c>
      <c r="ET15" s="16">
        <f>+ES15*ET13</f>
        <v>23531.062395499997</v>
      </c>
      <c r="EU15" s="28"/>
      <c r="EX15" s="37"/>
      <c r="FC15" s="21"/>
      <c r="FE15" s="37"/>
      <c r="FJ15" s="21"/>
      <c r="FL15" s="37"/>
      <c r="FQ15" s="21"/>
      <c r="FR15" s="36">
        <v>3</v>
      </c>
      <c r="FS15" s="39" t="s">
        <v>27</v>
      </c>
      <c r="FV15" s="181">
        <f>+FV13-FV11</f>
        <v>1770</v>
      </c>
      <c r="FW15" s="21"/>
      <c r="FX15" s="21"/>
      <c r="FZ15" s="36">
        <v>2</v>
      </c>
      <c r="GA15" t="s">
        <v>32</v>
      </c>
      <c r="GC15" s="40">
        <f>+A50</f>
        <v>0.4036549</v>
      </c>
      <c r="GD15" s="99">
        <f>+A50*GD13</f>
        <v>190097.238606</v>
      </c>
      <c r="GE15" s="21" t="s">
        <v>16</v>
      </c>
      <c r="GF15" s="37">
        <v>2</v>
      </c>
      <c r="GG15" t="s">
        <v>280</v>
      </c>
      <c r="GJ15" s="99">
        <v>2221768</v>
      </c>
      <c r="GK15" s="21" t="s">
        <v>16</v>
      </c>
      <c r="GL15" s="37">
        <v>2</v>
      </c>
      <c r="GM15" t="s">
        <v>263</v>
      </c>
      <c r="GP15" s="190">
        <f>0.82651</f>
        <v>0.82651</v>
      </c>
      <c r="GQ15" s="21" t="s">
        <v>16</v>
      </c>
      <c r="GR15" s="37"/>
      <c r="GX15" s="21"/>
      <c r="GY15" s="37"/>
      <c r="HF15" s="37">
        <v>1</v>
      </c>
      <c r="HG15" s="98" t="s">
        <v>391</v>
      </c>
      <c r="HH15" s="28"/>
      <c r="HI15" s="106">
        <f>+IA72</f>
        <v>224065688</v>
      </c>
      <c r="HJ15" s="106">
        <f>+IC72</f>
        <v>219475964</v>
      </c>
      <c r="HK15" s="106">
        <f>+IE72</f>
        <v>194396985</v>
      </c>
      <c r="HL15" s="28"/>
      <c r="HM15" s="98">
        <v>2</v>
      </c>
      <c r="HN15" s="28" t="s">
        <v>72</v>
      </c>
      <c r="HO15" s="28"/>
      <c r="HP15" s="28"/>
      <c r="HQ15" s="28">
        <f>+E160</f>
        <v>-1163579.8223636518</v>
      </c>
      <c r="HR15" s="45" t="s">
        <v>24</v>
      </c>
      <c r="HS15" s="48"/>
      <c r="HT15" s="28"/>
      <c r="HU15" s="28"/>
      <c r="HX15">
        <v>4422716</v>
      </c>
      <c r="HZ15">
        <v>6850446</v>
      </c>
      <c r="IA15">
        <v>871688</v>
      </c>
      <c r="IB15">
        <v>2886541</v>
      </c>
      <c r="ID15">
        <v>1850233</v>
      </c>
      <c r="IF15">
        <v>167158</v>
      </c>
    </row>
    <row r="16" spans="1:240" ht="18">
      <c r="A16" s="37"/>
      <c r="I16" s="37">
        <v>3</v>
      </c>
      <c r="J16" t="s">
        <v>43</v>
      </c>
      <c r="M16" s="108">
        <v>-68958343</v>
      </c>
      <c r="N16" s="8">
        <f>+V45</f>
        <v>15308</v>
      </c>
      <c r="O16" s="150" t="s">
        <v>40</v>
      </c>
      <c r="P16" s="8">
        <f>+M16+N16</f>
        <v>-68943035</v>
      </c>
      <c r="R16" s="36">
        <v>3</v>
      </c>
      <c r="S16" s="39" t="s">
        <v>27</v>
      </c>
      <c r="V16" s="159">
        <f>+V14-V12</f>
        <v>-8165</v>
      </c>
      <c r="W16" s="21"/>
      <c r="AC16" s="72"/>
      <c r="AD16" s="97">
        <v>2</v>
      </c>
      <c r="AE16" s="33" t="s">
        <v>151</v>
      </c>
      <c r="AG16" s="208">
        <v>-529630</v>
      </c>
      <c r="AH16" s="76"/>
      <c r="AI16" s="97">
        <v>3</v>
      </c>
      <c r="AJ16" s="39" t="s">
        <v>27</v>
      </c>
      <c r="AM16" s="165">
        <f>+AM11-AM14</f>
        <v>1482955</v>
      </c>
      <c r="AN16" s="57"/>
      <c r="AO16" s="55"/>
      <c r="AP16" s="55"/>
      <c r="AQ16" s="97">
        <v>5</v>
      </c>
      <c r="AR16" s="51" t="s">
        <v>159</v>
      </c>
      <c r="AS16" s="28"/>
      <c r="AT16" s="213">
        <v>12</v>
      </c>
      <c r="AU16" s="21" t="s">
        <v>30</v>
      </c>
      <c r="AV16" s="126">
        <v>3800310</v>
      </c>
      <c r="AW16" s="44">
        <f t="shared" si="0"/>
        <v>45603720</v>
      </c>
      <c r="AY16" s="36"/>
      <c r="BC16" s="21"/>
      <c r="BD16" s="37">
        <v>3</v>
      </c>
      <c r="BE16" t="s">
        <v>27</v>
      </c>
      <c r="BH16" s="27">
        <f>+BH14-BH12</f>
        <v>89013</v>
      </c>
      <c r="BJ16" s="36" t="s">
        <v>26</v>
      </c>
      <c r="BK16" t="s">
        <v>100</v>
      </c>
      <c r="BM16" s="177">
        <v>0.46411</v>
      </c>
      <c r="BN16" s="177">
        <v>0.0633</v>
      </c>
      <c r="BO16" s="177">
        <f>BM16*BN16</f>
        <v>0.029378163</v>
      </c>
      <c r="BR16" s="98"/>
      <c r="BS16" s="28"/>
      <c r="BT16" s="48"/>
      <c r="BU16" s="48"/>
      <c r="BV16" s="50"/>
      <c r="BW16" s="111">
        <v>3</v>
      </c>
      <c r="BX16" s="46" t="s">
        <v>285</v>
      </c>
      <c r="BY16" s="46"/>
      <c r="BZ16" s="46"/>
      <c r="CA16" s="85">
        <f>+BU17</f>
        <v>101968.75</v>
      </c>
      <c r="CB16" s="45" t="s">
        <v>30</v>
      </c>
      <c r="CC16" s="24" t="s">
        <v>26</v>
      </c>
      <c r="CD16" t="s">
        <v>254</v>
      </c>
      <c r="CG16" s="183">
        <f>12*235.31</f>
        <v>2823.7200000000003</v>
      </c>
      <c r="CH16" s="21" t="s">
        <v>24</v>
      </c>
      <c r="CJ16" s="37"/>
      <c r="CP16" s="37">
        <v>3</v>
      </c>
      <c r="CQ16" t="s">
        <v>364</v>
      </c>
      <c r="CU16" s="27">
        <f>+CU12+CU14</f>
        <v>215329</v>
      </c>
      <c r="CW16" s="37"/>
      <c r="CY16" s="67"/>
      <c r="DA16" s="67"/>
      <c r="DB16" s="186"/>
      <c r="DD16" s="37"/>
      <c r="DH16" s="82"/>
      <c r="DI16" s="37"/>
      <c r="DM16" s="45"/>
      <c r="DN16" s="28"/>
      <c r="DO16" s="37"/>
      <c r="EG16" s="2"/>
      <c r="EJ16" s="28"/>
      <c r="EK16" s="28"/>
      <c r="EL16" s="28"/>
      <c r="EM16" s="28"/>
      <c r="EN16" s="28"/>
      <c r="EO16" s="28"/>
      <c r="EQ16" s="28"/>
      <c r="ER16" s="28"/>
      <c r="ES16" s="28"/>
      <c r="ET16" s="28"/>
      <c r="EU16" s="28"/>
      <c r="EX16" s="37">
        <v>3</v>
      </c>
      <c r="EY16" t="s">
        <v>381</v>
      </c>
      <c r="FB16" s="27">
        <f>+FB12-FB14</f>
        <v>972706</v>
      </c>
      <c r="FC16" s="21"/>
      <c r="FE16" s="37">
        <v>3</v>
      </c>
      <c r="FF16" t="s">
        <v>226</v>
      </c>
      <c r="FI16" s="227">
        <f>+FI12-FI14</f>
        <v>43184.3304165</v>
      </c>
      <c r="FJ16" s="21"/>
      <c r="FL16" s="37">
        <v>3</v>
      </c>
      <c r="FM16" t="s">
        <v>108</v>
      </c>
      <c r="FP16" s="160">
        <f>+FP12-FP14</f>
        <v>3117.6921828</v>
      </c>
      <c r="FQ16" s="21"/>
      <c r="FR16" s="36"/>
      <c r="FS16" s="39"/>
      <c r="FV16" s="24"/>
      <c r="FW16" s="21"/>
      <c r="FX16" s="21"/>
      <c r="FZ16" s="36"/>
      <c r="GD16" s="67"/>
      <c r="GE16" s="21"/>
      <c r="GF16" s="37"/>
      <c r="GJ16" s="87"/>
      <c r="GK16" s="21"/>
      <c r="GL16" s="37"/>
      <c r="GQ16" s="21"/>
      <c r="GR16" s="37">
        <v>2</v>
      </c>
      <c r="GS16" t="s">
        <v>32</v>
      </c>
      <c r="GU16" s="40">
        <f>+A50</f>
        <v>0.4036549</v>
      </c>
      <c r="GW16" s="5">
        <f>+A50*GW14</f>
        <v>47439.542122499995</v>
      </c>
      <c r="GX16" s="21"/>
      <c r="GY16" s="37">
        <v>3</v>
      </c>
      <c r="GZ16" t="s">
        <v>108</v>
      </c>
      <c r="HD16" s="160">
        <f>+HD12-HD14</f>
        <v>17890.353000000003</v>
      </c>
      <c r="HF16" s="37"/>
      <c r="HG16" s="98"/>
      <c r="HH16" s="28"/>
      <c r="HI16" s="28"/>
      <c r="HJ16" s="28"/>
      <c r="HK16" s="28"/>
      <c r="HL16" s="159"/>
      <c r="HM16" s="98"/>
      <c r="HN16" s="159"/>
      <c r="HO16" s="159"/>
      <c r="HP16" s="159"/>
      <c r="HQ16" s="159"/>
      <c r="HR16" s="233"/>
      <c r="HS16" s="48"/>
      <c r="HT16" s="159"/>
      <c r="HU16" s="28"/>
      <c r="HW16">
        <v>85340</v>
      </c>
      <c r="HY16">
        <v>127695</v>
      </c>
      <c r="IA16">
        <v>212614</v>
      </c>
      <c r="ID16">
        <v>59190</v>
      </c>
      <c r="IF16">
        <v>932497</v>
      </c>
    </row>
    <row r="17" spans="1:240" ht="18">
      <c r="A17" s="36">
        <v>3</v>
      </c>
      <c r="B17" t="s">
        <v>36</v>
      </c>
      <c r="D17" s="3">
        <v>13114102</v>
      </c>
      <c r="E17" s="3">
        <f>F17-D17</f>
        <v>-2485257.69374549</v>
      </c>
      <c r="F17" s="3">
        <f>F13*F15</f>
        <v>10628844.30625451</v>
      </c>
      <c r="I17" s="36">
        <v>4</v>
      </c>
      <c r="J17" t="s">
        <v>128</v>
      </c>
      <c r="M17" s="151">
        <v>-7674</v>
      </c>
      <c r="N17" s="151">
        <v>0</v>
      </c>
      <c r="O17" s="152"/>
      <c r="P17" s="11">
        <f>+M17+N17</f>
        <v>-7674</v>
      </c>
      <c r="R17" s="36"/>
      <c r="S17" s="39"/>
      <c r="V17" s="28"/>
      <c r="W17" s="21"/>
      <c r="X17" s="36">
        <v>3</v>
      </c>
      <c r="Y17" s="6" t="s">
        <v>98</v>
      </c>
      <c r="Z17" s="6"/>
      <c r="AA17" s="6"/>
      <c r="AB17" s="160">
        <f>+AB13+AB15</f>
        <v>314433</v>
      </c>
      <c r="AC17" s="72"/>
      <c r="AD17" s="97"/>
      <c r="AE17" s="43"/>
      <c r="AG17" s="207"/>
      <c r="AH17" s="73"/>
      <c r="AI17" s="97"/>
      <c r="AJ17" s="39"/>
      <c r="AN17" s="58"/>
      <c r="AO17" s="55"/>
      <c r="AP17" s="55"/>
      <c r="AQ17" s="97">
        <v>6</v>
      </c>
      <c r="AR17" s="51" t="s">
        <v>160</v>
      </c>
      <c r="AS17" s="28"/>
      <c r="AT17" s="214">
        <v>-5.82</v>
      </c>
      <c r="AU17" s="21"/>
      <c r="AV17" s="126">
        <v>950991</v>
      </c>
      <c r="AW17" s="44">
        <f t="shared" si="0"/>
        <v>-5534767.62</v>
      </c>
      <c r="AY17" s="36">
        <v>3</v>
      </c>
      <c r="AZ17" t="s">
        <v>250</v>
      </c>
      <c r="BB17">
        <f>+BU41</f>
        <v>76690.31004105907</v>
      </c>
      <c r="BC17" s="21">
        <v>16</v>
      </c>
      <c r="BD17" s="37"/>
      <c r="BJ17" s="37"/>
      <c r="BM17" s="178"/>
      <c r="BN17" s="178"/>
      <c r="BO17" s="178"/>
      <c r="BR17" s="111">
        <v>4</v>
      </c>
      <c r="BS17" s="124" t="s">
        <v>97</v>
      </c>
      <c r="BT17" s="48">
        <f>+BT13+BT14+BT15</f>
        <v>102624.75</v>
      </c>
      <c r="BU17" s="48">
        <f>+BU13+BU14+BU15</f>
        <v>101968.75</v>
      </c>
      <c r="BV17" s="50"/>
      <c r="BW17" s="98"/>
      <c r="CB17" s="45"/>
      <c r="CG17" s="24"/>
      <c r="CH17" s="21"/>
      <c r="CJ17" s="36">
        <v>4</v>
      </c>
      <c r="CK17" t="s">
        <v>211</v>
      </c>
      <c r="CN17" s="5">
        <v>3</v>
      </c>
      <c r="CO17" t="s">
        <v>30</v>
      </c>
      <c r="CP17" s="37"/>
      <c r="CW17" s="37">
        <v>4</v>
      </c>
      <c r="CX17" t="s">
        <v>369</v>
      </c>
      <c r="CZ17" s="40">
        <v>0.5445</v>
      </c>
      <c r="DA17" s="5">
        <f>+CZ17*DA15</f>
        <v>20938.755687969922</v>
      </c>
      <c r="DB17" s="21" t="s">
        <v>24</v>
      </c>
      <c r="DD17" s="36" t="s">
        <v>31</v>
      </c>
      <c r="DE17" t="s">
        <v>359</v>
      </c>
      <c r="DG17" s="27">
        <f>+DG13*DG15</f>
        <v>58359.600000000006</v>
      </c>
      <c r="DH17" s="21"/>
      <c r="DI17" s="98">
        <v>3</v>
      </c>
      <c r="DJ17" s="28" t="s">
        <v>345</v>
      </c>
      <c r="DL17" s="5">
        <v>571405</v>
      </c>
      <c r="DM17" s="45" t="s">
        <v>16</v>
      </c>
      <c r="DN17" s="45"/>
      <c r="DO17" s="37">
        <v>5</v>
      </c>
      <c r="DP17" t="s">
        <v>27</v>
      </c>
      <c r="DS17" s="27">
        <f>+DS15-DS13</f>
        <v>46666.66666666667</v>
      </c>
      <c r="DV17" s="24" t="s">
        <v>35</v>
      </c>
      <c r="DW17" t="s">
        <v>15</v>
      </c>
      <c r="DZ17" s="5">
        <v>5325120</v>
      </c>
      <c r="EA17" s="21" t="s">
        <v>30</v>
      </c>
      <c r="ED17" s="24" t="s">
        <v>35</v>
      </c>
      <c r="EE17" t="s">
        <v>271</v>
      </c>
      <c r="EG17" s="7">
        <f>0.35*EG15</f>
        <v>0.3211089</v>
      </c>
      <c r="EH17" s="21" t="s">
        <v>16</v>
      </c>
      <c r="EJ17" s="44"/>
      <c r="EK17" s="28"/>
      <c r="EL17" s="28"/>
      <c r="EM17" s="86"/>
      <c r="EN17" s="205"/>
      <c r="EO17" s="45"/>
      <c r="EP17" s="24" t="s">
        <v>31</v>
      </c>
      <c r="EQ17" s="28" t="s">
        <v>108</v>
      </c>
      <c r="ER17" s="28"/>
      <c r="ES17" s="28"/>
      <c r="ET17" s="159">
        <f>+ET13-ET15</f>
        <v>34763.9376045</v>
      </c>
      <c r="EU17" s="28"/>
      <c r="EX17" s="37"/>
      <c r="FC17" s="21"/>
      <c r="FE17" s="37"/>
      <c r="FJ17" s="21"/>
      <c r="FL17" s="37"/>
      <c r="FQ17" s="21"/>
      <c r="FR17" s="36">
        <v>4</v>
      </c>
      <c r="FS17" s="39" t="s">
        <v>103</v>
      </c>
      <c r="FU17" s="40">
        <f>+A50</f>
        <v>0.4036549</v>
      </c>
      <c r="FV17" s="223">
        <f>+A50*FV15</f>
        <v>714.469173</v>
      </c>
      <c r="FW17" s="21"/>
      <c r="FX17" s="21"/>
      <c r="FZ17" s="36">
        <v>3</v>
      </c>
      <c r="GA17" t="s">
        <v>27</v>
      </c>
      <c r="GD17" s="226">
        <f>GD13-GD15</f>
        <v>280842.76139400003</v>
      </c>
      <c r="GE17" s="21"/>
      <c r="GF17" s="37">
        <v>3</v>
      </c>
      <c r="GG17" t="s">
        <v>27</v>
      </c>
      <c r="GJ17" s="110">
        <f>+GJ13-GJ15</f>
        <v>1905</v>
      </c>
      <c r="GL17" s="37">
        <v>3</v>
      </c>
      <c r="GM17" t="s">
        <v>264</v>
      </c>
      <c r="GP17" s="125">
        <f>+GP13*GP15</f>
        <v>747352.6577699999</v>
      </c>
      <c r="GQ17" s="21"/>
      <c r="GR17" s="37"/>
      <c r="GX17" s="21"/>
      <c r="GY17" s="37"/>
      <c r="HF17" s="37">
        <v>2</v>
      </c>
      <c r="HG17" s="98" t="s">
        <v>392</v>
      </c>
      <c r="HH17" s="28"/>
      <c r="HI17" s="5">
        <f>+IA74</f>
        <v>535523</v>
      </c>
      <c r="HJ17" s="5">
        <f>+IC74</f>
        <v>6072890</v>
      </c>
      <c r="HK17" s="5">
        <f>+IE74</f>
        <v>4337965</v>
      </c>
      <c r="HL17" s="28"/>
      <c r="HM17" s="98">
        <v>3</v>
      </c>
      <c r="HN17" s="28" t="s">
        <v>400</v>
      </c>
      <c r="HO17" s="28"/>
      <c r="HP17" s="28"/>
      <c r="HQ17" s="28">
        <f>+E162</f>
        <v>-14970.159599999999</v>
      </c>
      <c r="HR17" s="45" t="s">
        <v>24</v>
      </c>
      <c r="HS17" s="48"/>
      <c r="HT17" s="28"/>
      <c r="HU17" s="28"/>
      <c r="HW17">
        <v>175954</v>
      </c>
      <c r="HY17">
        <v>118596</v>
      </c>
      <c r="IA17">
        <v>156326</v>
      </c>
      <c r="ID17">
        <v>187301</v>
      </c>
      <c r="IF17">
        <v>6025851</v>
      </c>
    </row>
    <row r="18" spans="1:240" ht="18">
      <c r="A18" s="37"/>
      <c r="I18" s="36"/>
      <c r="M18" s="60"/>
      <c r="N18" s="117"/>
      <c r="O18" s="141"/>
      <c r="P18" s="117"/>
      <c r="R18" s="36"/>
      <c r="S18" s="39"/>
      <c r="V18" s="28"/>
      <c r="X18" s="36"/>
      <c r="AC18" s="72"/>
      <c r="AD18" s="97">
        <v>3</v>
      </c>
      <c r="AE18" t="s">
        <v>152</v>
      </c>
      <c r="AG18" s="207">
        <v>-542835</v>
      </c>
      <c r="AH18" s="68"/>
      <c r="AI18" s="97"/>
      <c r="AJ18" s="39"/>
      <c r="AM18" s="52"/>
      <c r="AN18" s="58"/>
      <c r="AO18" s="55"/>
      <c r="AP18" s="55"/>
      <c r="AQ18" s="172">
        <v>7</v>
      </c>
      <c r="AR18" s="51" t="s">
        <v>161</v>
      </c>
      <c r="AS18" s="28"/>
      <c r="AT18" s="213">
        <v>23.13</v>
      </c>
      <c r="AU18" s="21" t="s">
        <v>40</v>
      </c>
      <c r="AV18" s="126">
        <v>798734</v>
      </c>
      <c r="AW18" s="44">
        <f t="shared" si="0"/>
        <v>18474717.419999998</v>
      </c>
      <c r="AY18" s="36"/>
      <c r="BC18" s="21"/>
      <c r="BD18" s="36">
        <v>4</v>
      </c>
      <c r="BE18" t="s">
        <v>32</v>
      </c>
      <c r="BF18" s="2">
        <f>A50</f>
        <v>0.4036549</v>
      </c>
      <c r="BG18" s="2"/>
      <c r="BH18" s="16">
        <f>A50*BH16</f>
        <v>35930.5336137</v>
      </c>
      <c r="BI18" s="45"/>
      <c r="BJ18" s="36" t="s">
        <v>31</v>
      </c>
      <c r="BK18" t="s">
        <v>139</v>
      </c>
      <c r="BM18" s="178">
        <v>0.04602</v>
      </c>
      <c r="BN18" s="178">
        <v>0.0772</v>
      </c>
      <c r="BO18" s="177">
        <f>BM18*BN18</f>
        <v>0.003552744</v>
      </c>
      <c r="BR18" s="98"/>
      <c r="BS18" s="28"/>
      <c r="BT18" s="28"/>
      <c r="BU18" s="28"/>
      <c r="BV18" s="45"/>
      <c r="BW18" s="111">
        <v>4</v>
      </c>
      <c r="BX18" s="28" t="s">
        <v>326</v>
      </c>
      <c r="BY18" s="28"/>
      <c r="BZ18" s="28"/>
      <c r="CA18" s="28">
        <f>+CA14*CA16</f>
        <v>6501343.95625</v>
      </c>
      <c r="CB18" s="45" t="s">
        <v>40</v>
      </c>
      <c r="CC18" s="36" t="s">
        <v>31</v>
      </c>
      <c r="CD18" t="s">
        <v>111</v>
      </c>
      <c r="CG18" s="182">
        <f>+CG14+CG16</f>
        <v>8370</v>
      </c>
      <c r="CH18" s="21"/>
      <c r="CJ18" s="37"/>
      <c r="CP18" s="37">
        <v>4</v>
      </c>
      <c r="CQ18" t="s">
        <v>365</v>
      </c>
      <c r="CU18" s="225">
        <v>0.9</v>
      </c>
      <c r="CV18" s="21" t="s">
        <v>24</v>
      </c>
      <c r="CW18" s="37"/>
      <c r="DB18" s="21"/>
      <c r="DD18" s="37"/>
      <c r="DH18" s="21"/>
      <c r="DI18" s="98"/>
      <c r="DJ18" s="28"/>
      <c r="DL18" s="28"/>
      <c r="DM18" s="45"/>
      <c r="DN18" s="28"/>
      <c r="DO18" s="37"/>
      <c r="EG18" s="2"/>
      <c r="EJ18" s="28"/>
      <c r="EK18" s="28"/>
      <c r="EL18" s="28"/>
      <c r="EM18" s="28"/>
      <c r="EN18" s="28"/>
      <c r="EO18" s="28"/>
      <c r="EQ18" s="28"/>
      <c r="ER18" s="28"/>
      <c r="ES18" s="28"/>
      <c r="ET18" s="28"/>
      <c r="EU18" s="28"/>
      <c r="EX18" s="37">
        <v>4</v>
      </c>
      <c r="EY18" t="s">
        <v>407</v>
      </c>
      <c r="FB18" s="158">
        <f>+FC69+9571</f>
        <v>761228.6666666666</v>
      </c>
      <c r="FC18" s="21" t="s">
        <v>24</v>
      </c>
      <c r="FE18" s="37"/>
      <c r="FI18" s="27"/>
      <c r="FJ18" s="21"/>
      <c r="FL18" s="37"/>
      <c r="FP18" s="115"/>
      <c r="FQ18" s="21"/>
      <c r="FR18" s="36"/>
      <c r="FS18" s="39"/>
      <c r="FV18" s="24"/>
      <c r="FW18" s="21"/>
      <c r="FX18" s="21"/>
      <c r="FZ18" s="36"/>
      <c r="GD18" s="67"/>
      <c r="GE18" s="21"/>
      <c r="GF18" s="37"/>
      <c r="GJ18" s="87"/>
      <c r="GL18" s="37"/>
      <c r="GQ18" s="21"/>
      <c r="GR18" s="37">
        <v>3</v>
      </c>
      <c r="GS18" t="s">
        <v>108</v>
      </c>
      <c r="GW18" s="160">
        <f>+GW14-GW16</f>
        <v>70085.45787750001</v>
      </c>
      <c r="GY18" s="37"/>
      <c r="HF18" s="37"/>
      <c r="HG18" s="98"/>
      <c r="HH18" s="28"/>
      <c r="HI18" s="28"/>
      <c r="HJ18" s="28"/>
      <c r="HK18" s="28"/>
      <c r="HL18" s="28"/>
      <c r="HM18" s="98"/>
      <c r="HN18" s="28"/>
      <c r="HO18" s="28"/>
      <c r="HP18" s="28"/>
      <c r="HQ18" s="28"/>
      <c r="HR18" s="45"/>
      <c r="HS18" s="48"/>
      <c r="HT18" s="28"/>
      <c r="HU18" s="28"/>
      <c r="IC18">
        <v>305671</v>
      </c>
      <c r="IF18">
        <v>4353548</v>
      </c>
    </row>
    <row r="19" spans="1:239" ht="18">
      <c r="A19" s="37">
        <v>4</v>
      </c>
      <c r="B19" t="s">
        <v>39</v>
      </c>
      <c r="D19" s="5">
        <v>8792281</v>
      </c>
      <c r="E19" s="11">
        <f>+F19-D19</f>
        <v>1770272.5610813983</v>
      </c>
      <c r="F19" s="5">
        <f>+BB67</f>
        <v>10562553.561081398</v>
      </c>
      <c r="G19" s="21" t="s">
        <v>40</v>
      </c>
      <c r="H19" s="21"/>
      <c r="I19" s="37"/>
      <c r="O19" s="21"/>
      <c r="R19" s="36"/>
      <c r="S19" s="39"/>
      <c r="X19" s="36"/>
      <c r="Y19" s="6"/>
      <c r="Z19" s="6"/>
      <c r="AA19" s="6"/>
      <c r="AC19" s="45"/>
      <c r="AD19" s="97"/>
      <c r="AG19" s="207"/>
      <c r="AI19" s="97"/>
      <c r="AJ19" t="s">
        <v>48</v>
      </c>
      <c r="AN19" s="58"/>
      <c r="AO19" s="55"/>
      <c r="AP19" s="55"/>
      <c r="AQ19" s="97">
        <v>8</v>
      </c>
      <c r="AR19" s="51" t="s">
        <v>162</v>
      </c>
      <c r="AS19" s="28"/>
      <c r="AT19" s="213">
        <v>-44.9</v>
      </c>
      <c r="AU19" s="21" t="s">
        <v>40</v>
      </c>
      <c r="AV19" s="126">
        <v>560555</v>
      </c>
      <c r="AW19" s="44">
        <f t="shared" si="0"/>
        <v>-25168919.5</v>
      </c>
      <c r="AY19" s="111">
        <v>4</v>
      </c>
      <c r="AZ19" t="s">
        <v>319</v>
      </c>
      <c r="BB19">
        <f>+CA92</f>
        <v>363941.19671964674</v>
      </c>
      <c r="BC19" s="21">
        <v>17</v>
      </c>
      <c r="BD19" s="37"/>
      <c r="BI19" s="28"/>
      <c r="BJ19" s="37"/>
      <c r="BM19" s="178"/>
      <c r="BN19" s="178"/>
      <c r="BO19" s="177"/>
      <c r="BR19" s="111">
        <v>5</v>
      </c>
      <c r="BS19" s="124" t="s">
        <v>12</v>
      </c>
      <c r="BT19" s="33"/>
      <c r="BU19" s="28">
        <f>+BT17-BU17</f>
        <v>656</v>
      </c>
      <c r="BV19" s="45"/>
      <c r="BW19" s="98"/>
      <c r="BX19" s="28"/>
      <c r="BY19" s="28"/>
      <c r="BZ19" s="28"/>
      <c r="CA19" s="28"/>
      <c r="CB19" s="45"/>
      <c r="CC19" s="37"/>
      <c r="CG19" s="24"/>
      <c r="CH19" s="21"/>
      <c r="CJ19" s="36">
        <v>5</v>
      </c>
      <c r="CK19" t="s">
        <v>212</v>
      </c>
      <c r="CN19">
        <f>+CN15/CN17</f>
        <v>23333.333333333332</v>
      </c>
      <c r="CP19" s="37"/>
      <c r="CW19" s="37">
        <v>5</v>
      </c>
      <c r="CX19" t="s">
        <v>354</v>
      </c>
      <c r="DA19" s="27">
        <f>+DA15+DA17</f>
        <v>59393.77072556391</v>
      </c>
      <c r="DB19" s="21"/>
      <c r="DD19" s="37">
        <v>4</v>
      </c>
      <c r="DE19" t="s">
        <v>15</v>
      </c>
      <c r="DG19" s="5">
        <v>229146</v>
      </c>
      <c r="DH19" s="22" t="s">
        <v>30</v>
      </c>
      <c r="DI19" s="111">
        <v>4</v>
      </c>
      <c r="DJ19" s="124" t="s">
        <v>97</v>
      </c>
      <c r="DL19" s="106">
        <f>+DL13+DL15+DL17</f>
        <v>3934571</v>
      </c>
      <c r="DM19" s="28"/>
      <c r="DN19" s="28"/>
      <c r="DO19" s="37">
        <v>6</v>
      </c>
      <c r="DP19" t="s">
        <v>218</v>
      </c>
      <c r="DR19" s="40"/>
      <c r="DS19" s="228">
        <v>12000</v>
      </c>
      <c r="DT19" s="21" t="s">
        <v>24</v>
      </c>
      <c r="DV19" s="24" t="s">
        <v>37</v>
      </c>
      <c r="DW19" t="s">
        <v>42</v>
      </c>
      <c r="DZ19" s="3">
        <f>DZ17-DZ15</f>
        <v>618552.3000976071</v>
      </c>
      <c r="ED19" s="24" t="s">
        <v>37</v>
      </c>
      <c r="EE19" t="s">
        <v>99</v>
      </c>
      <c r="EG19" s="2">
        <f>EG15-EG17</f>
        <v>0.5963451</v>
      </c>
      <c r="EJ19" s="44"/>
      <c r="EK19" s="28"/>
      <c r="EL19" s="28"/>
      <c r="EM19" s="28"/>
      <c r="EN19" s="222"/>
      <c r="EO19" s="28"/>
      <c r="EP19" s="24"/>
      <c r="EQ19" s="28"/>
      <c r="ER19" s="28"/>
      <c r="ES19" s="28"/>
      <c r="ET19" s="28"/>
      <c r="EU19" s="28"/>
      <c r="EV19" s="28"/>
      <c r="EX19" s="37"/>
      <c r="FB19" s="67"/>
      <c r="FC19" s="21"/>
      <c r="FE19" s="37"/>
      <c r="FJ19" s="21"/>
      <c r="FL19" s="37"/>
      <c r="FQ19" s="21"/>
      <c r="FR19" s="36">
        <v>5</v>
      </c>
      <c r="FS19" s="39" t="s">
        <v>108</v>
      </c>
      <c r="FV19" s="224">
        <f>+FV15-FV17</f>
        <v>1055.530827</v>
      </c>
      <c r="FW19" s="21"/>
      <c r="FX19" s="21"/>
      <c r="FZ19" s="36"/>
      <c r="GD19" s="100"/>
      <c r="GE19" s="21"/>
      <c r="GF19" s="37">
        <v>4</v>
      </c>
      <c r="GG19" t="s">
        <v>32</v>
      </c>
      <c r="GI19" s="40">
        <f>+A50</f>
        <v>0.4036549</v>
      </c>
      <c r="GJ19" s="193">
        <f>+A50*GJ17</f>
        <v>768.9625844999999</v>
      </c>
      <c r="GL19" s="37">
        <v>4</v>
      </c>
      <c r="GM19" t="s">
        <v>15</v>
      </c>
      <c r="GP19" s="133">
        <v>798734</v>
      </c>
      <c r="GQ19" s="21" t="s">
        <v>24</v>
      </c>
      <c r="GR19" s="37"/>
      <c r="GY19" s="37"/>
      <c r="GZ19" t="s">
        <v>48</v>
      </c>
      <c r="HF19" s="37">
        <v>3</v>
      </c>
      <c r="HG19" s="98" t="s">
        <v>393</v>
      </c>
      <c r="HH19" s="28"/>
      <c r="HI19" s="86">
        <f>+HI17/HI15</f>
        <v>0.0023900268032113867</v>
      </c>
      <c r="HJ19" s="86">
        <f>+HJ17/HJ15</f>
        <v>0.02766995478375026</v>
      </c>
      <c r="HK19" s="86">
        <f>+HK17/HK15</f>
        <v>0.022314980862486112</v>
      </c>
      <c r="HL19" s="28"/>
      <c r="HM19" s="98">
        <v>4</v>
      </c>
      <c r="HN19" s="28" t="s">
        <v>76</v>
      </c>
      <c r="HO19" s="28"/>
      <c r="HP19" s="28"/>
      <c r="HQ19" s="28">
        <f>+E167</f>
        <v>-618552.3000976071</v>
      </c>
      <c r="HR19" s="45" t="s">
        <v>24</v>
      </c>
      <c r="HS19" s="48"/>
      <c r="HT19" s="28"/>
      <c r="HU19" s="28"/>
      <c r="ID19">
        <v>38681</v>
      </c>
      <c r="IE19">
        <v>2317753</v>
      </c>
    </row>
    <row r="20" spans="1:240" ht="18">
      <c r="A20" s="37"/>
      <c r="I20" s="36">
        <v>5</v>
      </c>
      <c r="J20" t="s">
        <v>129</v>
      </c>
      <c r="M20" s="3">
        <f>+SUM(M14:M17)</f>
        <v>219287253</v>
      </c>
      <c r="N20" s="3">
        <f>SUM(N14:N18)</f>
        <v>-307290</v>
      </c>
      <c r="O20" s="22"/>
      <c r="P20" s="3">
        <f>SUM(P14:P18)</f>
        <v>218979963</v>
      </c>
      <c r="R20" s="36"/>
      <c r="S20" t="s">
        <v>48</v>
      </c>
      <c r="X20" s="36"/>
      <c r="AC20" s="88"/>
      <c r="AD20" s="97">
        <v>4</v>
      </c>
      <c r="AE20" t="s">
        <v>153</v>
      </c>
      <c r="AG20" s="207">
        <v>-518675</v>
      </c>
      <c r="AI20" s="98"/>
      <c r="AJ20" s="39" t="s">
        <v>229</v>
      </c>
      <c r="AN20" s="59"/>
      <c r="AO20" s="55"/>
      <c r="AP20" s="55"/>
      <c r="AQ20" s="172">
        <v>9</v>
      </c>
      <c r="AR20" s="51" t="s">
        <v>163</v>
      </c>
      <c r="AS20" s="28"/>
      <c r="AT20" s="212">
        <v>13.56</v>
      </c>
      <c r="AU20" s="21"/>
      <c r="AV20" s="126">
        <v>414688</v>
      </c>
      <c r="AW20" s="44">
        <f t="shared" si="0"/>
        <v>5623169.28</v>
      </c>
      <c r="AY20" s="111"/>
      <c r="BC20" s="21"/>
      <c r="BD20" s="36">
        <v>5</v>
      </c>
      <c r="BE20" t="s">
        <v>108</v>
      </c>
      <c r="BH20" s="173">
        <f>BH16-BH18</f>
        <v>53082.4663863</v>
      </c>
      <c r="BI20" s="28"/>
      <c r="BJ20" s="36">
        <v>4</v>
      </c>
      <c r="BK20" t="s">
        <v>314</v>
      </c>
      <c r="BM20" s="179">
        <v>0.41208</v>
      </c>
      <c r="BN20" s="179">
        <v>0.0875</v>
      </c>
      <c r="BO20" s="10">
        <f>BM20*BN20</f>
        <v>0.036057</v>
      </c>
      <c r="BR20" s="98"/>
      <c r="BS20" s="28"/>
      <c r="BT20" s="28"/>
      <c r="BU20" s="28"/>
      <c r="BV20" s="45"/>
      <c r="BW20" s="111">
        <v>5</v>
      </c>
      <c r="BX20" s="175" t="s">
        <v>327</v>
      </c>
      <c r="BY20" s="175"/>
      <c r="BZ20" s="175"/>
      <c r="CA20" s="194">
        <f>+(1/0.748)*CA18</f>
        <v>8691636.30514706</v>
      </c>
      <c r="CB20" s="45" t="s">
        <v>52</v>
      </c>
      <c r="CC20" s="36" t="s">
        <v>35</v>
      </c>
      <c r="CD20" t="s">
        <v>32</v>
      </c>
      <c r="CE20" s="2">
        <f>+A50</f>
        <v>0.4036549</v>
      </c>
      <c r="CG20" s="166">
        <f>CE20*CG18</f>
        <v>3378.591513</v>
      </c>
      <c r="CJ20" s="37"/>
      <c r="CP20" s="37">
        <v>5</v>
      </c>
      <c r="CQ20" t="s">
        <v>366</v>
      </c>
      <c r="CU20" s="27">
        <f>+CU18*CU16</f>
        <v>193796.1</v>
      </c>
      <c r="CW20" s="37"/>
      <c r="DD20" s="37"/>
      <c r="DH20" s="21"/>
      <c r="DI20" s="98"/>
      <c r="DJ20" s="28"/>
      <c r="DL20" s="28"/>
      <c r="DM20" s="28"/>
      <c r="DN20" s="28"/>
      <c r="DO20" s="37"/>
      <c r="EG20" s="2"/>
      <c r="EJ20" s="28"/>
      <c r="EK20" s="28"/>
      <c r="EL20" s="28"/>
      <c r="EM20" s="28"/>
      <c r="EN20" s="28"/>
      <c r="EO20" s="28"/>
      <c r="EU20" s="30"/>
      <c r="EX20" s="37">
        <v>5</v>
      </c>
      <c r="EY20" t="s">
        <v>27</v>
      </c>
      <c r="FB20" s="110">
        <f>+FB16-FB18</f>
        <v>211477.33333333337</v>
      </c>
      <c r="FC20" s="21"/>
      <c r="FL20" s="37"/>
      <c r="FP20" s="27"/>
      <c r="FS20" s="39"/>
      <c r="FZ20" s="36"/>
      <c r="GF20" s="37"/>
      <c r="GJ20" s="87"/>
      <c r="GL20" s="37"/>
      <c r="GQ20" s="21"/>
      <c r="GR20" s="37"/>
      <c r="GZ20" t="s">
        <v>373</v>
      </c>
      <c r="HF20" s="37"/>
      <c r="HG20" s="28"/>
      <c r="HH20" s="28"/>
      <c r="HI20" s="28"/>
      <c r="HJ20" s="28"/>
      <c r="HK20" s="28"/>
      <c r="HL20" s="28"/>
      <c r="HM20" s="37"/>
      <c r="HN20" s="28"/>
      <c r="HO20" s="28"/>
      <c r="HP20" s="28"/>
      <c r="HQ20" s="28"/>
      <c r="HR20" s="45"/>
      <c r="HS20" s="48"/>
      <c r="HT20" s="28"/>
      <c r="HU20" s="28"/>
      <c r="IC20">
        <v>607211</v>
      </c>
      <c r="IF20">
        <v>96573</v>
      </c>
    </row>
    <row r="21" spans="1:240" ht="18">
      <c r="A21" s="36">
        <v>5</v>
      </c>
      <c r="B21" t="s">
        <v>46</v>
      </c>
      <c r="D21" s="3">
        <f>D17-D19</f>
        <v>4321821</v>
      </c>
      <c r="E21" s="3">
        <f>E17-E19</f>
        <v>-4255530.254826888</v>
      </c>
      <c r="F21" s="3">
        <f>F17-F19</f>
        <v>66290.74517311156</v>
      </c>
      <c r="I21" s="36"/>
      <c r="O21" s="21"/>
      <c r="Q21" s="21"/>
      <c r="R21" s="21"/>
      <c r="S21" s="39" t="s">
        <v>229</v>
      </c>
      <c r="X21" s="36"/>
      <c r="AC21" s="88"/>
      <c r="AD21" s="97"/>
      <c r="AE21" s="28"/>
      <c r="AF21" s="28"/>
      <c r="AG21" s="145"/>
      <c r="AH21" s="64"/>
      <c r="AI21" s="97"/>
      <c r="AJ21" s="39" t="s">
        <v>230</v>
      </c>
      <c r="AN21" s="58"/>
      <c r="AO21" s="55"/>
      <c r="AP21" s="55"/>
      <c r="AQ21" s="97">
        <v>10</v>
      </c>
      <c r="AR21" s="134" t="s">
        <v>164</v>
      </c>
      <c r="AS21" s="28"/>
      <c r="AT21" s="212">
        <v>18.39</v>
      </c>
      <c r="AU21" s="21"/>
      <c r="AV21" s="126">
        <v>111438</v>
      </c>
      <c r="AW21" s="44">
        <f t="shared" si="0"/>
        <v>2049344.82</v>
      </c>
      <c r="AY21" s="111">
        <v>5</v>
      </c>
      <c r="AZ21" t="s">
        <v>252</v>
      </c>
      <c r="BB21">
        <f>+BU105</f>
        <v>112830.19881093511</v>
      </c>
      <c r="BC21" s="21">
        <v>18</v>
      </c>
      <c r="BD21" s="37"/>
      <c r="BI21" s="28"/>
      <c r="BJ21" s="37"/>
      <c r="BM21" s="40"/>
      <c r="BN21" s="40"/>
      <c r="BO21" s="40"/>
      <c r="BR21" s="111">
        <v>6</v>
      </c>
      <c r="BS21" s="28" t="s">
        <v>336</v>
      </c>
      <c r="BT21" s="28"/>
      <c r="BU21" s="174">
        <f>+CA12*365</f>
        <v>63758.200000000004</v>
      </c>
      <c r="BV21" s="198" t="s">
        <v>30</v>
      </c>
      <c r="BW21" s="98"/>
      <c r="BX21" s="28"/>
      <c r="BY21" s="28"/>
      <c r="BZ21" s="28"/>
      <c r="CA21" s="28"/>
      <c r="CB21" s="45"/>
      <c r="CC21" s="37"/>
      <c r="CG21" s="24"/>
      <c r="CJ21" s="36">
        <v>6</v>
      </c>
      <c r="CK21" t="s">
        <v>32</v>
      </c>
      <c r="CL21" s="40">
        <f>+A50</f>
        <v>0.4036549</v>
      </c>
      <c r="CN21" s="85">
        <f>+A50*CN19</f>
        <v>9418.614333333333</v>
      </c>
      <c r="CO21" s="21"/>
      <c r="CP21" s="37"/>
      <c r="CW21" s="37">
        <v>6</v>
      </c>
      <c r="CX21" t="s">
        <v>355</v>
      </c>
      <c r="DA21" s="5">
        <v>3</v>
      </c>
      <c r="DD21" s="37">
        <v>5</v>
      </c>
      <c r="DE21" t="s">
        <v>27</v>
      </c>
      <c r="DG21" s="27">
        <f>+DG19-DG17</f>
        <v>170786.4</v>
      </c>
      <c r="DH21" s="82"/>
      <c r="DI21" s="111">
        <v>5</v>
      </c>
      <c r="DJ21" s="28" t="s">
        <v>211</v>
      </c>
      <c r="DL21" s="5">
        <v>10</v>
      </c>
      <c r="DM21" s="28"/>
      <c r="DN21" s="28"/>
      <c r="DO21" s="36">
        <v>7</v>
      </c>
      <c r="DP21" t="s">
        <v>219</v>
      </c>
      <c r="DS21" s="27">
        <f>+DS17+DS19</f>
        <v>58666.66666666667</v>
      </c>
      <c r="DV21" s="24" t="s">
        <v>38</v>
      </c>
      <c r="DW21" t="s">
        <v>32</v>
      </c>
      <c r="DX21" s="2">
        <f>A50</f>
        <v>0.4036549</v>
      </c>
      <c r="DZ21" s="173">
        <f>A50*DZ19</f>
        <v>249681.66684066955</v>
      </c>
      <c r="ED21" s="24" t="s">
        <v>38</v>
      </c>
      <c r="EE21" t="s">
        <v>49</v>
      </c>
      <c r="EG21" s="180">
        <f>EG17+EG13</f>
        <v>0.4036549</v>
      </c>
      <c r="EH21" s="21" t="s">
        <v>24</v>
      </c>
      <c r="EJ21" s="44"/>
      <c r="EK21" s="28"/>
      <c r="EL21" s="28"/>
      <c r="EM21" s="33"/>
      <c r="EN21" s="205"/>
      <c r="EO21" s="45"/>
      <c r="EP21" s="24"/>
      <c r="EX21" s="37"/>
      <c r="FB21" s="67"/>
      <c r="FC21" s="21"/>
      <c r="FL21" s="37"/>
      <c r="FM21" t="s">
        <v>48</v>
      </c>
      <c r="FR21" s="36"/>
      <c r="FZ21" s="36"/>
      <c r="GA21" t="s">
        <v>48</v>
      </c>
      <c r="GD21" s="38"/>
      <c r="GF21" s="37">
        <v>5</v>
      </c>
      <c r="GG21" t="s">
        <v>108</v>
      </c>
      <c r="GJ21" s="162">
        <f>+GJ17-GJ19</f>
        <v>1136.0374155</v>
      </c>
      <c r="GL21" s="37">
        <v>5</v>
      </c>
      <c r="GM21" t="s">
        <v>27</v>
      </c>
      <c r="GO21" s="40"/>
      <c r="GP21" s="38">
        <f>+GP19-GP17</f>
        <v>51381.34223000007</v>
      </c>
      <c r="GQ21" s="21"/>
      <c r="GR21" s="37"/>
      <c r="GS21" t="s">
        <v>48</v>
      </c>
      <c r="HF21" s="37">
        <v>4</v>
      </c>
      <c r="HG21" s="28" t="s">
        <v>394</v>
      </c>
      <c r="HH21" s="28"/>
      <c r="HI21" s="133">
        <f>+IB72</f>
        <v>39058757</v>
      </c>
      <c r="HJ21" s="133">
        <f>+ID72</f>
        <v>30507503</v>
      </c>
      <c r="HK21" s="133">
        <f>+IF72</f>
        <v>32084301</v>
      </c>
      <c r="HL21" s="28"/>
      <c r="HM21" s="37">
        <v>5</v>
      </c>
      <c r="HN21" s="28" t="s">
        <v>401</v>
      </c>
      <c r="HO21" s="28"/>
      <c r="HP21" s="28"/>
      <c r="HQ21" s="5">
        <f>+E171</f>
        <v>1294904.778505723</v>
      </c>
      <c r="HR21" s="45" t="s">
        <v>24</v>
      </c>
      <c r="HS21" s="48"/>
      <c r="HT21" s="28"/>
      <c r="HU21" s="28"/>
      <c r="IC21">
        <v>22124</v>
      </c>
      <c r="IF21">
        <v>39004</v>
      </c>
    </row>
    <row r="22" spans="1:240" ht="18">
      <c r="A22" s="37"/>
      <c r="I22" s="37">
        <v>6</v>
      </c>
      <c r="J22" t="s">
        <v>130</v>
      </c>
      <c r="M22" s="3">
        <v>6124953</v>
      </c>
      <c r="N22" s="3">
        <f>+V70</f>
        <v>-6124953</v>
      </c>
      <c r="O22" s="22" t="s">
        <v>52</v>
      </c>
      <c r="P22" s="3">
        <f aca="true" t="shared" si="1" ref="P22:P31">+M22+N22</f>
        <v>0</v>
      </c>
      <c r="Q22" s="21"/>
      <c r="R22" s="21"/>
      <c r="S22" s="39" t="s">
        <v>230</v>
      </c>
      <c r="X22" s="36"/>
      <c r="AC22" s="21"/>
      <c r="AD22" s="98">
        <v>5</v>
      </c>
      <c r="AE22" s="33" t="s">
        <v>154</v>
      </c>
      <c r="AF22" s="42"/>
      <c r="AG22" s="209">
        <v>-213532</v>
      </c>
      <c r="AH22" s="65"/>
      <c r="AI22" s="97"/>
      <c r="AJ22"/>
      <c r="AN22" s="58"/>
      <c r="AO22" s="55"/>
      <c r="AP22" s="55"/>
      <c r="AQ22" s="97">
        <v>11</v>
      </c>
      <c r="AR22" s="51" t="s">
        <v>165</v>
      </c>
      <c r="AT22" s="215">
        <v>10.31</v>
      </c>
      <c r="AU22" s="21"/>
      <c r="AV22" s="126">
        <v>179476</v>
      </c>
      <c r="AW22" s="44">
        <f t="shared" si="0"/>
        <v>1850397.56</v>
      </c>
      <c r="AY22" s="111"/>
      <c r="BC22" s="21"/>
      <c r="BD22" s="44"/>
      <c r="BE22" s="28"/>
      <c r="BF22" s="28"/>
      <c r="BG22" s="28"/>
      <c r="BH22" s="84"/>
      <c r="BI22" s="28"/>
      <c r="BJ22" s="37">
        <v>5</v>
      </c>
      <c r="BK22" t="s">
        <v>45</v>
      </c>
      <c r="BM22" s="2">
        <f>+SUM(BM14:BM20)</f>
        <v>1.00001</v>
      </c>
      <c r="BN22" s="2"/>
      <c r="BO22" s="180">
        <f>+SUM(BO14:BO20)</f>
        <v>0.071088507</v>
      </c>
      <c r="BR22" s="98"/>
      <c r="BS22" s="28"/>
      <c r="BT22" s="28"/>
      <c r="BU22" s="28"/>
      <c r="BV22" s="45"/>
      <c r="BW22" s="111">
        <v>6</v>
      </c>
      <c r="BX22" s="174" t="s">
        <v>15</v>
      </c>
      <c r="BY22" s="174"/>
      <c r="BZ22" s="174"/>
      <c r="CA22" s="151">
        <f>121186+8554+7908302</f>
        <v>8038042</v>
      </c>
      <c r="CB22" s="45" t="s">
        <v>30</v>
      </c>
      <c r="CC22" s="37">
        <v>5</v>
      </c>
      <c r="CD22" t="s">
        <v>108</v>
      </c>
      <c r="CG22" s="184">
        <f>+(CG18-CG20)</f>
        <v>4991.408487000001</v>
      </c>
      <c r="CJ22" s="37"/>
      <c r="CP22" s="37">
        <v>6</v>
      </c>
      <c r="CQ22" t="s">
        <v>103</v>
      </c>
      <c r="CR22" s="148"/>
      <c r="CS22" s="40">
        <f>+EG21</f>
        <v>0.4036549</v>
      </c>
      <c r="CT22" s="40"/>
      <c r="CU22" s="16">
        <f>+CS22*CU20</f>
        <v>78226.74536589</v>
      </c>
      <c r="CW22" s="37"/>
      <c r="DD22" s="37"/>
      <c r="DH22" s="21"/>
      <c r="DI22" s="98"/>
      <c r="DJ22" s="28"/>
      <c r="DL22" s="28"/>
      <c r="DM22" s="28"/>
      <c r="DN22" s="28"/>
      <c r="DO22" s="37"/>
      <c r="EG22" s="2"/>
      <c r="EJ22" s="28"/>
      <c r="EK22" s="28"/>
      <c r="EL22" s="28"/>
      <c r="EM22" s="28"/>
      <c r="EN22" s="33"/>
      <c r="EO22" s="28"/>
      <c r="EX22" s="37">
        <v>6</v>
      </c>
      <c r="EY22" t="s">
        <v>32</v>
      </c>
      <c r="EZ22" s="40">
        <f>+A50</f>
        <v>0.4036549</v>
      </c>
      <c r="FA22" s="40"/>
      <c r="FB22" s="5">
        <f>+A50*FB20</f>
        <v>85363.86183893334</v>
      </c>
      <c r="FC22" s="21"/>
      <c r="FL22" s="37"/>
      <c r="FM22" t="s">
        <v>375</v>
      </c>
      <c r="FR22" s="36"/>
      <c r="FS22" t="s">
        <v>48</v>
      </c>
      <c r="FW22" s="21"/>
      <c r="FZ22" s="36"/>
      <c r="GA22" t="s">
        <v>374</v>
      </c>
      <c r="GF22" s="37"/>
      <c r="GL22" s="37"/>
      <c r="GO22" s="40"/>
      <c r="GQ22" s="21"/>
      <c r="GS22" t="s">
        <v>269</v>
      </c>
      <c r="HF22" s="37"/>
      <c r="HI22" s="27"/>
      <c r="HJ22" s="27"/>
      <c r="HK22" s="27"/>
      <c r="HM22" s="37"/>
      <c r="HR22" s="21"/>
      <c r="HS22" s="67"/>
      <c r="IC22">
        <v>34333</v>
      </c>
      <c r="IF22">
        <v>34666</v>
      </c>
    </row>
    <row r="23" spans="1:240" ht="18">
      <c r="A23" s="36">
        <v>6</v>
      </c>
      <c r="B23" t="s">
        <v>51</v>
      </c>
      <c r="D23" s="18">
        <v>1.6885112</v>
      </c>
      <c r="E23" s="18">
        <f>+D23</f>
        <v>1.6885112</v>
      </c>
      <c r="F23" s="18">
        <f>+D23</f>
        <v>1.6885112</v>
      </c>
      <c r="G23" s="21"/>
      <c r="H23" s="21"/>
      <c r="I23" s="37">
        <v>7</v>
      </c>
      <c r="J23" t="s">
        <v>131</v>
      </c>
      <c r="M23" s="108">
        <v>2495000</v>
      </c>
      <c r="N23" s="108">
        <f>+AU60</f>
        <v>-1703201.2720261954</v>
      </c>
      <c r="O23" s="150" t="s">
        <v>188</v>
      </c>
      <c r="P23" s="8">
        <f t="shared" si="1"/>
        <v>791798.7279738046</v>
      </c>
      <c r="X23" s="37"/>
      <c r="Y23" t="s">
        <v>48</v>
      </c>
      <c r="AC23" s="89"/>
      <c r="AD23" s="97"/>
      <c r="AE23" s="33"/>
      <c r="AF23" s="42"/>
      <c r="AG23" s="209"/>
      <c r="AH23" s="101"/>
      <c r="AJ23" s="39"/>
      <c r="AN23" s="58"/>
      <c r="AO23" s="55"/>
      <c r="AP23" s="55"/>
      <c r="AQ23" s="98">
        <v>12</v>
      </c>
      <c r="AR23" s="51" t="s">
        <v>166</v>
      </c>
      <c r="AS23" s="28"/>
      <c r="AT23" s="216">
        <v>23.47</v>
      </c>
      <c r="AU23" s="21"/>
      <c r="AV23" s="126">
        <v>388953</v>
      </c>
      <c r="AW23" s="44">
        <f t="shared" si="0"/>
        <v>9128726.91</v>
      </c>
      <c r="AY23" s="111">
        <v>6</v>
      </c>
      <c r="AZ23" t="s">
        <v>200</v>
      </c>
      <c r="BB23">
        <f>+BH20</f>
        <v>53082.4663863</v>
      </c>
      <c r="BC23" s="21">
        <v>19</v>
      </c>
      <c r="BD23" s="44"/>
      <c r="BE23" s="28"/>
      <c r="BF23" s="28"/>
      <c r="BG23" s="28"/>
      <c r="BH23" s="31"/>
      <c r="BI23" s="28"/>
      <c r="BJ23" s="37"/>
      <c r="BM23" s="2"/>
      <c r="BN23" s="2"/>
      <c r="BO23" s="2"/>
      <c r="BR23" s="98">
        <v>7</v>
      </c>
      <c r="BS23" s="28" t="s">
        <v>337</v>
      </c>
      <c r="BT23" s="28"/>
      <c r="BU23" s="146">
        <f>+BU21/748</f>
        <v>85.23823529411766</v>
      </c>
      <c r="BV23" s="199" t="s">
        <v>40</v>
      </c>
      <c r="BW23" s="98"/>
      <c r="BX23" s="28"/>
      <c r="BY23" s="28"/>
      <c r="BZ23" s="28"/>
      <c r="CA23" s="28"/>
      <c r="CB23" s="45"/>
      <c r="CC23" s="37"/>
      <c r="CE23" s="24"/>
      <c r="CF23" s="24"/>
      <c r="CG23" s="24"/>
      <c r="CJ23" s="37">
        <v>7</v>
      </c>
      <c r="CK23" t="s">
        <v>108</v>
      </c>
      <c r="CN23" s="185">
        <f>+CN19-CN21</f>
        <v>13914.719</v>
      </c>
      <c r="CP23" s="37"/>
      <c r="CW23" s="37">
        <v>7</v>
      </c>
      <c r="CX23" t="s">
        <v>283</v>
      </c>
      <c r="DA23" s="27">
        <f>+DA19*DA21</f>
        <v>178181.31217669172</v>
      </c>
      <c r="DB23" s="21"/>
      <c r="DD23" s="37">
        <v>6</v>
      </c>
      <c r="DE23" t="s">
        <v>32</v>
      </c>
      <c r="DF23" s="2">
        <f>A50</f>
        <v>0.4036549</v>
      </c>
      <c r="DG23" s="16">
        <f>A50*DG21</f>
        <v>68938.76721336</v>
      </c>
      <c r="DH23" s="83"/>
      <c r="DI23" s="111">
        <v>6</v>
      </c>
      <c r="DJ23" s="28" t="s">
        <v>347</v>
      </c>
      <c r="DL23" s="106">
        <f>+DL19/DL21</f>
        <v>393457.1</v>
      </c>
      <c r="DM23" s="28"/>
      <c r="DN23" s="28"/>
      <c r="DO23" s="37">
        <v>8</v>
      </c>
      <c r="DP23" t="s">
        <v>32</v>
      </c>
      <c r="DR23" s="40">
        <f>+A50</f>
        <v>0.4036549</v>
      </c>
      <c r="DS23" s="16">
        <f>+A50*DS21</f>
        <v>23681.087466666668</v>
      </c>
      <c r="EG23" s="2"/>
      <c r="EJ23" s="44"/>
      <c r="EK23" s="28"/>
      <c r="EL23" s="28"/>
      <c r="EM23" s="28"/>
      <c r="EN23" s="205"/>
      <c r="EO23" s="28"/>
      <c r="EP23" s="24"/>
      <c r="EQ23" s="28"/>
      <c r="EX23" s="37"/>
      <c r="FC23" s="21"/>
      <c r="FL23" s="37"/>
      <c r="FR23" s="36"/>
      <c r="FS23" t="s">
        <v>258</v>
      </c>
      <c r="FW23" s="21"/>
      <c r="FZ23" s="36"/>
      <c r="GD23" s="100"/>
      <c r="GE23" s="21"/>
      <c r="GL23" s="37">
        <v>6</v>
      </c>
      <c r="GM23" t="s">
        <v>32</v>
      </c>
      <c r="GO23" s="40">
        <f>+A50</f>
        <v>0.4036549</v>
      </c>
      <c r="GP23" s="16">
        <f>+A50*GP21</f>
        <v>20740.330559716454</v>
      </c>
      <c r="GQ23" s="21"/>
      <c r="HF23" s="37">
        <v>5</v>
      </c>
      <c r="HG23" t="s">
        <v>395</v>
      </c>
      <c r="HI23" s="27">
        <f>+HI19*HI21</f>
        <v>93351.47613012037</v>
      </c>
      <c r="HJ23" s="27">
        <f>+HJ19*HJ21</f>
        <v>844141.2285751253</v>
      </c>
      <c r="HK23" s="27">
        <f>+HK19*HK21</f>
        <v>715960.562801244</v>
      </c>
      <c r="HM23" s="37">
        <v>6</v>
      </c>
      <c r="HN23" t="s">
        <v>97</v>
      </c>
      <c r="HQ23" s="27">
        <f>SUM(HQ13:HQ21)</f>
        <v>-2368902.897203419</v>
      </c>
      <c r="HR23" s="21"/>
      <c r="ID23">
        <v>948751</v>
      </c>
      <c r="IF23">
        <v>75833</v>
      </c>
    </row>
    <row r="24" spans="1:240" ht="18">
      <c r="A24" s="37"/>
      <c r="I24" s="36">
        <v>8</v>
      </c>
      <c r="J24" t="s">
        <v>132</v>
      </c>
      <c r="M24" s="8">
        <v>462149</v>
      </c>
      <c r="N24" s="108">
        <v>0</v>
      </c>
      <c r="O24" s="150"/>
      <c r="P24" s="8">
        <f t="shared" si="1"/>
        <v>462149</v>
      </c>
      <c r="X24" s="36"/>
      <c r="Y24" t="s">
        <v>148</v>
      </c>
      <c r="AC24" s="45"/>
      <c r="AD24" s="97">
        <v>6</v>
      </c>
      <c r="AE24" s="33" t="s">
        <v>232</v>
      </c>
      <c r="AF24" s="33"/>
      <c r="AG24" s="210">
        <v>-100941</v>
      </c>
      <c r="AH24" s="65"/>
      <c r="AI24" s="37"/>
      <c r="AJ24" s="51"/>
      <c r="AN24" s="58"/>
      <c r="AO24" s="55"/>
      <c r="AP24" s="55"/>
      <c r="AQ24" s="97">
        <v>13</v>
      </c>
      <c r="AR24" s="134" t="s">
        <v>167</v>
      </c>
      <c r="AS24" s="28"/>
      <c r="AT24" s="212">
        <v>28.03</v>
      </c>
      <c r="AU24" s="21"/>
      <c r="AV24" s="126">
        <v>62027</v>
      </c>
      <c r="AW24" s="44">
        <f t="shared" si="0"/>
        <v>1738616.81</v>
      </c>
      <c r="AY24" s="111"/>
      <c r="BC24" s="21"/>
      <c r="BD24" s="28"/>
      <c r="BE24" s="28"/>
      <c r="BF24" s="28"/>
      <c r="BG24" s="28"/>
      <c r="BH24" s="28"/>
      <c r="BI24" s="28"/>
      <c r="BJ24" s="37"/>
      <c r="BM24" s="2"/>
      <c r="BN24" s="2"/>
      <c r="BO24" s="2"/>
      <c r="BR24" s="98"/>
      <c r="BS24" s="28"/>
      <c r="BT24" s="28"/>
      <c r="BU24" s="28"/>
      <c r="BV24" s="45"/>
      <c r="BW24" s="98">
        <v>7</v>
      </c>
      <c r="BX24" s="146" t="s">
        <v>328</v>
      </c>
      <c r="BY24" s="146"/>
      <c r="BZ24" s="146"/>
      <c r="CA24" s="174">
        <f>+CA20-CA22</f>
        <v>653594.3051470593</v>
      </c>
      <c r="CB24" s="45"/>
      <c r="CC24" s="37"/>
      <c r="CJ24" s="37"/>
      <c r="CP24" s="37">
        <v>7</v>
      </c>
      <c r="CQ24" t="s">
        <v>108</v>
      </c>
      <c r="CU24" s="173">
        <f>+CU20-CU22</f>
        <v>115569.35463411</v>
      </c>
      <c r="CW24" s="37"/>
      <c r="DD24" s="37"/>
      <c r="DI24" s="98"/>
      <c r="DJ24" s="28"/>
      <c r="DL24" s="28"/>
      <c r="DM24" s="28"/>
      <c r="DN24" s="28"/>
      <c r="DO24" s="37"/>
      <c r="DW24" t="s">
        <v>48</v>
      </c>
      <c r="EE24" t="s">
        <v>48</v>
      </c>
      <c r="EG24" s="2"/>
      <c r="EJ24" s="28"/>
      <c r="EK24" s="28"/>
      <c r="EL24" s="28"/>
      <c r="EM24" s="28"/>
      <c r="EN24" s="33"/>
      <c r="EO24" s="28"/>
      <c r="EP24" s="28"/>
      <c r="EQ24" s="28" t="s">
        <v>48</v>
      </c>
      <c r="EX24" s="37">
        <v>7</v>
      </c>
      <c r="EY24" t="s">
        <v>99</v>
      </c>
      <c r="FB24" s="160">
        <f>+FB20-FB22</f>
        <v>126113.47149440003</v>
      </c>
      <c r="FC24" s="21"/>
      <c r="FP24" s="37"/>
      <c r="FR24" s="36"/>
      <c r="FS24" t="s">
        <v>259</v>
      </c>
      <c r="FZ24" s="36"/>
      <c r="GE24" s="21"/>
      <c r="GL24" s="37"/>
      <c r="HF24" s="37"/>
      <c r="HI24" s="27"/>
      <c r="HJ24" s="27"/>
      <c r="HK24" s="27"/>
      <c r="HM24" s="37"/>
      <c r="HQ24" s="27"/>
      <c r="ID24">
        <v>16620</v>
      </c>
      <c r="IE24">
        <v>85712</v>
      </c>
      <c r="IF24">
        <v>633779</v>
      </c>
    </row>
    <row r="25" spans="1:239" ht="18">
      <c r="A25" s="36">
        <v>7</v>
      </c>
      <c r="B25" t="s">
        <v>54</v>
      </c>
      <c r="D25" s="204">
        <f>+D21*D23</f>
        <v>7297443.1628952</v>
      </c>
      <c r="E25" s="204">
        <f>+E23*E21</f>
        <v>-7185510.497214055</v>
      </c>
      <c r="F25" s="204">
        <f>F21*F23</f>
        <v>111932.6656811448</v>
      </c>
      <c r="I25" s="36">
        <v>9</v>
      </c>
      <c r="J25" t="s">
        <v>92</v>
      </c>
      <c r="M25" s="8">
        <v>-34547915</v>
      </c>
      <c r="N25" s="8">
        <f>+AM16</f>
        <v>1482955</v>
      </c>
      <c r="O25" s="150" t="s">
        <v>189</v>
      </c>
      <c r="P25" s="8">
        <f t="shared" si="1"/>
        <v>-33064960</v>
      </c>
      <c r="S25" s="39"/>
      <c r="X25" s="37"/>
      <c r="Y25" t="s">
        <v>233</v>
      </c>
      <c r="AC25" s="90"/>
      <c r="AD25" s="97"/>
      <c r="AE25" s="33"/>
      <c r="AF25" s="33"/>
      <c r="AG25" s="209"/>
      <c r="AH25" s="65"/>
      <c r="AI25" s="37"/>
      <c r="AJ25" s="51"/>
      <c r="AN25" s="58"/>
      <c r="AO25" s="55"/>
      <c r="AP25" s="55"/>
      <c r="AQ25" s="172">
        <v>14</v>
      </c>
      <c r="AR25" s="134" t="s">
        <v>168</v>
      </c>
      <c r="AT25" s="217">
        <v>18.54</v>
      </c>
      <c r="AU25" s="21"/>
      <c r="AV25" s="126">
        <v>985954</v>
      </c>
      <c r="AW25" s="44">
        <f t="shared" si="0"/>
        <v>18279587.16</v>
      </c>
      <c r="AY25" s="36">
        <v>7</v>
      </c>
      <c r="AZ25" t="s">
        <v>199</v>
      </c>
      <c r="BB25">
        <f>+BH51</f>
        <v>17307.7238373</v>
      </c>
      <c r="BC25" s="21">
        <v>20</v>
      </c>
      <c r="BD25" s="44"/>
      <c r="BE25" s="28"/>
      <c r="BF25" s="28"/>
      <c r="BG25" s="28"/>
      <c r="BH25" s="28"/>
      <c r="BI25" s="28"/>
      <c r="BJ25" s="37"/>
      <c r="BR25" s="98">
        <v>8</v>
      </c>
      <c r="BS25" s="28" t="s">
        <v>338</v>
      </c>
      <c r="BT25" s="28"/>
      <c r="BU25" s="221">
        <v>1.6758</v>
      </c>
      <c r="BV25" s="200" t="s">
        <v>52</v>
      </c>
      <c r="BW25" s="98"/>
      <c r="BX25" s="28"/>
      <c r="BY25" s="28"/>
      <c r="BZ25" s="28"/>
      <c r="CA25" s="28"/>
      <c r="CB25" s="45"/>
      <c r="CC25" s="37"/>
      <c r="CL25" s="2"/>
      <c r="CN25" s="12"/>
      <c r="CP25" s="37"/>
      <c r="CU25" s="27"/>
      <c r="CW25" s="37">
        <v>8</v>
      </c>
      <c r="CX25" t="s">
        <v>32</v>
      </c>
      <c r="CY25" s="2">
        <f>+A50</f>
        <v>0.4036549</v>
      </c>
      <c r="DA25" s="158">
        <f>+A50*DA23</f>
        <v>71923.75974855128</v>
      </c>
      <c r="DD25" s="37">
        <v>7</v>
      </c>
      <c r="DE25" t="s">
        <v>108</v>
      </c>
      <c r="DG25" s="173">
        <f>DG21-DG23</f>
        <v>101847.63278664</v>
      </c>
      <c r="DI25" s="98">
        <v>7</v>
      </c>
      <c r="DJ25" s="28" t="s">
        <v>32</v>
      </c>
      <c r="DK25" s="40">
        <f>+A50</f>
        <v>0.4036549</v>
      </c>
      <c r="DL25" s="5">
        <f>+A50*DL23</f>
        <v>158820.88635478998</v>
      </c>
      <c r="DM25" s="28"/>
      <c r="DN25" s="28"/>
      <c r="DO25" s="37">
        <v>9</v>
      </c>
      <c r="DP25" t="s">
        <v>99</v>
      </c>
      <c r="DS25" s="173">
        <f>+DS21-DS23</f>
        <v>34985.57920000001</v>
      </c>
      <c r="DW25" t="s">
        <v>436</v>
      </c>
      <c r="EE25" t="s">
        <v>348</v>
      </c>
      <c r="EG25" s="2"/>
      <c r="EJ25" s="44"/>
      <c r="EK25" s="28"/>
      <c r="EL25" s="28"/>
      <c r="EM25" s="86"/>
      <c r="EN25" s="205"/>
      <c r="EO25" s="45"/>
      <c r="EP25" s="28"/>
      <c r="EQ25" t="s">
        <v>221</v>
      </c>
      <c r="EW25" s="28"/>
      <c r="EX25" s="37"/>
      <c r="FC25" s="21"/>
      <c r="FF25" t="s">
        <v>48</v>
      </c>
      <c r="FL25" s="37"/>
      <c r="FR25" s="36"/>
      <c r="FZ25" s="36"/>
      <c r="GD25" s="27"/>
      <c r="GE25" s="21"/>
      <c r="GL25" s="37">
        <v>7</v>
      </c>
      <c r="GM25" t="s">
        <v>108</v>
      </c>
      <c r="GP25" s="160">
        <f>+GP21-GP23</f>
        <v>30641.011670283613</v>
      </c>
      <c r="HF25" s="37">
        <v>6</v>
      </c>
      <c r="HG25" t="s">
        <v>396</v>
      </c>
      <c r="HI25" s="27">
        <f>SUM(HI23:HK23)/3</f>
        <v>551151.0891688298</v>
      </c>
      <c r="HJ25" s="27"/>
      <c r="HK25" s="27"/>
      <c r="HM25" s="37">
        <v>7</v>
      </c>
      <c r="HN25" t="s">
        <v>183</v>
      </c>
      <c r="HQ25" s="160">
        <f>+HQ23/365</f>
        <v>-6490.144923844983</v>
      </c>
      <c r="ID25">
        <v>5778</v>
      </c>
      <c r="IE25">
        <v>1684863</v>
      </c>
    </row>
    <row r="26" spans="9:240" ht="18">
      <c r="I26" s="36">
        <v>10</v>
      </c>
      <c r="J26" t="s">
        <v>133</v>
      </c>
      <c r="M26" s="8">
        <v>-15220324</v>
      </c>
      <c r="N26" s="8">
        <f>+AB52</f>
        <v>-139049</v>
      </c>
      <c r="O26" s="150" t="s">
        <v>190</v>
      </c>
      <c r="P26" s="8">
        <f t="shared" si="1"/>
        <v>-15359373</v>
      </c>
      <c r="Y26" s="6"/>
      <c r="Z26" s="6"/>
      <c r="AA26" s="6"/>
      <c r="AC26" s="45"/>
      <c r="AD26" s="37">
        <v>7</v>
      </c>
      <c r="AE26" t="s">
        <v>98</v>
      </c>
      <c r="AG26" s="160">
        <f>+AG14+AG16+AG18+AG20+AG22+AG24</f>
        <v>-4570991</v>
      </c>
      <c r="AI26" s="37"/>
      <c r="AJ26" s="51"/>
      <c r="AM26" s="60"/>
      <c r="AN26" s="61"/>
      <c r="AO26" s="62"/>
      <c r="AP26" s="62"/>
      <c r="AQ26" s="172">
        <v>15</v>
      </c>
      <c r="AR26" s="134" t="s">
        <v>402</v>
      </c>
      <c r="AS26" s="28"/>
      <c r="AT26" s="217">
        <v>0</v>
      </c>
      <c r="AU26" s="21"/>
      <c r="AV26" s="126">
        <v>848606</v>
      </c>
      <c r="AW26" s="44">
        <f t="shared" si="0"/>
        <v>0</v>
      </c>
      <c r="AY26" s="111"/>
      <c r="BC26" s="21"/>
      <c r="BD26" s="28"/>
      <c r="BJ26" s="37"/>
      <c r="BR26" s="98"/>
      <c r="BV26" s="45"/>
      <c r="BW26" s="98">
        <v>8</v>
      </c>
      <c r="BX26" s="147" t="s">
        <v>329</v>
      </c>
      <c r="BY26" s="147"/>
      <c r="BZ26" s="147"/>
      <c r="CA26" s="221">
        <f>+BU25</f>
        <v>1.6758</v>
      </c>
      <c r="CB26" s="45" t="s">
        <v>188</v>
      </c>
      <c r="CC26" s="37"/>
      <c r="CD26" t="s">
        <v>48</v>
      </c>
      <c r="CP26" s="37"/>
      <c r="CU26" s="3"/>
      <c r="CW26" s="37"/>
      <c r="CY26" s="67"/>
      <c r="DA26" s="67"/>
      <c r="DD26" s="37"/>
      <c r="DE26" s="9"/>
      <c r="DF26" s="13"/>
      <c r="DG26" s="9"/>
      <c r="DI26" s="37"/>
      <c r="DO26" s="37"/>
      <c r="DW26" t="s">
        <v>57</v>
      </c>
      <c r="EE26" t="s">
        <v>122</v>
      </c>
      <c r="EG26" s="2"/>
      <c r="EJ26" s="28"/>
      <c r="EK26" s="28"/>
      <c r="EL26" s="28"/>
      <c r="EM26" s="28"/>
      <c r="EN26" s="33"/>
      <c r="EO26" s="28"/>
      <c r="EP26" s="28"/>
      <c r="EQ26" s="28"/>
      <c r="ER26" s="28"/>
      <c r="ES26" s="28"/>
      <c r="ET26" s="28"/>
      <c r="EU26" s="28"/>
      <c r="EV26" s="28"/>
      <c r="EW26" s="28"/>
      <c r="FC26" s="21"/>
      <c r="FF26" t="s">
        <v>376</v>
      </c>
      <c r="FL26" s="37"/>
      <c r="FR26" s="36"/>
      <c r="FZ26" s="36"/>
      <c r="GE26" s="21"/>
      <c r="GG26" t="s">
        <v>48</v>
      </c>
      <c r="GL26" s="37"/>
      <c r="HF26" s="37"/>
      <c r="HI26" s="27"/>
      <c r="HJ26" s="27"/>
      <c r="HK26" s="27"/>
      <c r="HM26" s="37"/>
      <c r="ID26">
        <v>17476</v>
      </c>
      <c r="IF26">
        <v>521586</v>
      </c>
    </row>
    <row r="27" spans="6:240" ht="18">
      <c r="F27" s="2"/>
      <c r="I27" s="36">
        <v>11</v>
      </c>
      <c r="J27" t="s">
        <v>93</v>
      </c>
      <c r="M27" s="8">
        <v>-26561822</v>
      </c>
      <c r="N27" s="8">
        <f>+AM42+AM71</f>
        <v>1919361.9150059</v>
      </c>
      <c r="O27" s="150" t="s">
        <v>191</v>
      </c>
      <c r="P27" s="8">
        <f t="shared" si="1"/>
        <v>-24642460.0849941</v>
      </c>
      <c r="X27" s="24"/>
      <c r="AC27" s="45"/>
      <c r="AG27" s="67"/>
      <c r="AI27" s="37"/>
      <c r="AJ27" s="51"/>
      <c r="AN27" s="56"/>
      <c r="AO27" s="55"/>
      <c r="AP27" s="55"/>
      <c r="AQ27" s="97">
        <v>16</v>
      </c>
      <c r="AR27" s="51" t="s">
        <v>169</v>
      </c>
      <c r="AS27" s="28"/>
      <c r="AT27" s="212">
        <v>0</v>
      </c>
      <c r="AU27" s="21"/>
      <c r="AV27" s="126">
        <v>250584</v>
      </c>
      <c r="AW27" s="44">
        <f t="shared" si="0"/>
        <v>0</v>
      </c>
      <c r="AY27" s="127">
        <v>8</v>
      </c>
      <c r="AZ27" t="s">
        <v>261</v>
      </c>
      <c r="BB27">
        <f>-GD17</f>
        <v>-280842.76139400003</v>
      </c>
      <c r="BC27" s="21">
        <v>21</v>
      </c>
      <c r="BD27" s="44"/>
      <c r="BE27" t="s">
        <v>48</v>
      </c>
      <c r="BM27" s="2"/>
      <c r="BN27" s="2"/>
      <c r="BO27" s="2"/>
      <c r="BR27" s="98">
        <v>9</v>
      </c>
      <c r="BS27" t="s">
        <v>292</v>
      </c>
      <c r="BU27" s="176">
        <f>+BU23*BU25</f>
        <v>142.84223470588236</v>
      </c>
      <c r="BV27" s="201"/>
      <c r="BW27" s="98"/>
      <c r="CB27" s="21"/>
      <c r="CC27" s="37"/>
      <c r="CD27" t="s">
        <v>148</v>
      </c>
      <c r="CN27" s="17"/>
      <c r="CO27" s="9"/>
      <c r="CW27" s="37">
        <v>9</v>
      </c>
      <c r="CX27" t="s">
        <v>99</v>
      </c>
      <c r="CY27" s="67"/>
      <c r="DA27" s="162">
        <f>+DA23-DA25</f>
        <v>106257.55242814044</v>
      </c>
      <c r="DB27" s="112"/>
      <c r="DD27" s="37"/>
      <c r="DI27" s="37">
        <v>8</v>
      </c>
      <c r="DJ27" t="s">
        <v>108</v>
      </c>
      <c r="DL27" s="160">
        <f>+DL23-DL25</f>
        <v>234636.21364521</v>
      </c>
      <c r="DP27" t="s">
        <v>48</v>
      </c>
      <c r="DT27" s="29"/>
      <c r="DW27" t="s">
        <v>349</v>
      </c>
      <c r="EG27" s="2"/>
      <c r="EJ27" s="44"/>
      <c r="EK27" s="28"/>
      <c r="EL27" s="28"/>
      <c r="EM27" s="28"/>
      <c r="EN27" s="205"/>
      <c r="EO27" s="28"/>
      <c r="EP27" s="28"/>
      <c r="ER27" s="28"/>
      <c r="ES27" s="28"/>
      <c r="ET27" s="28"/>
      <c r="EU27" s="28"/>
      <c r="EV27" s="28"/>
      <c r="EW27" s="28"/>
      <c r="FL27" s="37"/>
      <c r="FR27" s="21"/>
      <c r="FS27" s="21"/>
      <c r="FT27" s="21"/>
      <c r="FU27" s="21"/>
      <c r="FV27" s="21"/>
      <c r="FW27" s="21"/>
      <c r="FZ27" s="36"/>
      <c r="GD27" s="100"/>
      <c r="GE27" s="21"/>
      <c r="GG27" t="s">
        <v>281</v>
      </c>
      <c r="GL27" s="37"/>
      <c r="HF27" s="37">
        <v>7</v>
      </c>
      <c r="HG27" t="s">
        <v>397</v>
      </c>
      <c r="HI27" s="229">
        <f>0.35*HI25</f>
        <v>192902.88120909044</v>
      </c>
      <c r="HJ27" s="27"/>
      <c r="HK27" s="27"/>
      <c r="HQ27" s="232"/>
      <c r="IC27">
        <v>327182</v>
      </c>
      <c r="IF27">
        <v>6085</v>
      </c>
    </row>
    <row r="28" spans="2:238" ht="15.75">
      <c r="B28" t="s">
        <v>48</v>
      </c>
      <c r="I28" s="36">
        <v>12</v>
      </c>
      <c r="J28" t="s">
        <v>134</v>
      </c>
      <c r="M28" s="153">
        <v>-117518</v>
      </c>
      <c r="N28" s="153">
        <v>0</v>
      </c>
      <c r="O28" s="154"/>
      <c r="P28" s="8">
        <f t="shared" si="1"/>
        <v>-117518</v>
      </c>
      <c r="AC28" s="45"/>
      <c r="AD28" s="37"/>
      <c r="AE28" s="33"/>
      <c r="AF28" s="29"/>
      <c r="AG28" s="29"/>
      <c r="AH28" s="102"/>
      <c r="AI28" s="37"/>
      <c r="AJ28"/>
      <c r="AK28"/>
      <c r="AL28"/>
      <c r="AM28" t="s">
        <v>3</v>
      </c>
      <c r="AQ28" s="172">
        <v>17</v>
      </c>
      <c r="AR28" s="51" t="s">
        <v>170</v>
      </c>
      <c r="AS28" s="28"/>
      <c r="AT28" s="213">
        <v>26.9</v>
      </c>
      <c r="AU28" s="21" t="s">
        <v>40</v>
      </c>
      <c r="AV28" s="126"/>
      <c r="AW28" s="44">
        <f t="shared" si="0"/>
        <v>0</v>
      </c>
      <c r="AY28" s="36"/>
      <c r="BC28" s="21"/>
      <c r="BD28" s="28"/>
      <c r="BE28" t="s">
        <v>464</v>
      </c>
      <c r="BK28" t="s">
        <v>48</v>
      </c>
      <c r="BM28" s="2"/>
      <c r="BN28" s="2"/>
      <c r="BO28" s="2"/>
      <c r="BR28" s="37"/>
      <c r="BU28" s="176"/>
      <c r="BV28" s="21"/>
      <c r="BW28" s="98">
        <v>9</v>
      </c>
      <c r="BX28" s="176" t="s">
        <v>207</v>
      </c>
      <c r="BY28" s="176"/>
      <c r="BZ28" s="176"/>
      <c r="CA28" s="110">
        <f>+CA24*CA26</f>
        <v>1095293.336565442</v>
      </c>
      <c r="CB28" s="21"/>
      <c r="CC28" s="37"/>
      <c r="CD28" t="s">
        <v>233</v>
      </c>
      <c r="CI28" s="21"/>
      <c r="CN28" s="9"/>
      <c r="CO28" s="9"/>
      <c r="CU28" s="29"/>
      <c r="CW28" s="37"/>
      <c r="CY28" s="67"/>
      <c r="DA28" s="67"/>
      <c r="DB28" s="67"/>
      <c r="DI28" s="37"/>
      <c r="DP28" t="s">
        <v>378</v>
      </c>
      <c r="EJ28" s="28"/>
      <c r="EK28" s="28"/>
      <c r="EL28" s="28"/>
      <c r="EM28" s="28"/>
      <c r="EN28" s="33"/>
      <c r="EO28" s="28"/>
      <c r="EP28" s="28"/>
      <c r="ER28" s="28"/>
      <c r="ES28" s="28"/>
      <c r="ET28" s="28"/>
      <c r="EU28" s="28"/>
      <c r="EV28" s="28"/>
      <c r="EW28" s="28"/>
      <c r="FL28" s="37"/>
      <c r="FZ28" s="36"/>
      <c r="GE28" s="21"/>
      <c r="ID28">
        <v>111029</v>
      </c>
    </row>
    <row r="29" spans="2:237" ht="15.75">
      <c r="B29" t="s">
        <v>316</v>
      </c>
      <c r="F29" s="66"/>
      <c r="I29" s="37">
        <v>13</v>
      </c>
      <c r="J29" t="s">
        <v>135</v>
      </c>
      <c r="M29" s="155">
        <v>2453717</v>
      </c>
      <c r="N29" s="155">
        <v>0</v>
      </c>
      <c r="O29" s="156"/>
      <c r="P29" s="8">
        <f t="shared" si="1"/>
        <v>2453717</v>
      </c>
      <c r="X29" s="24"/>
      <c r="AC29" s="21"/>
      <c r="AD29" s="37"/>
      <c r="AE29" s="33"/>
      <c r="AF29" s="29"/>
      <c r="AG29" s="29"/>
      <c r="AH29" s="46"/>
      <c r="AI29" s="37"/>
      <c r="AJ29"/>
      <c r="AK29"/>
      <c r="AL29"/>
      <c r="AM29"/>
      <c r="AQ29" s="37">
        <v>18</v>
      </c>
      <c r="AR29" s="51" t="s">
        <v>96</v>
      </c>
      <c r="AS29" s="28"/>
      <c r="AT29" s="218">
        <v>24.44</v>
      </c>
      <c r="AU29" s="21" t="s">
        <v>24</v>
      </c>
      <c r="AV29" s="126">
        <v>4071168</v>
      </c>
      <c r="AW29" s="44">
        <f t="shared" si="0"/>
        <v>99499345.92</v>
      </c>
      <c r="AY29" s="111">
        <v>9</v>
      </c>
      <c r="AZ29" t="s">
        <v>320</v>
      </c>
      <c r="BB29">
        <f>+DA27</f>
        <v>106257.55242814044</v>
      </c>
      <c r="BC29" s="21">
        <v>22</v>
      </c>
      <c r="BD29" s="28"/>
      <c r="BK29" t="s">
        <v>315</v>
      </c>
      <c r="BM29" s="2"/>
      <c r="BN29" s="2"/>
      <c r="BO29" s="2"/>
      <c r="BR29" s="37">
        <v>10</v>
      </c>
      <c r="BS29" s="28" t="s">
        <v>204</v>
      </c>
      <c r="BT29" s="28"/>
      <c r="BU29" s="197">
        <f>12*7.31</f>
        <v>87.72</v>
      </c>
      <c r="BV29" s="202" t="s">
        <v>188</v>
      </c>
      <c r="BW29" s="37"/>
      <c r="BX29" s="176"/>
      <c r="BY29" s="176"/>
      <c r="BZ29" s="176"/>
      <c r="CA29" s="67"/>
      <c r="CB29" s="21"/>
      <c r="CC29" s="37"/>
      <c r="CK29" t="s">
        <v>48</v>
      </c>
      <c r="CL29" s="2"/>
      <c r="CM29" s="2"/>
      <c r="CN29" s="14"/>
      <c r="CO29" s="9"/>
      <c r="CQ29" t="s">
        <v>48</v>
      </c>
      <c r="CW29" s="37"/>
      <c r="DB29" s="67"/>
      <c r="DH29" s="3"/>
      <c r="DI29" s="37"/>
      <c r="DP29" t="s">
        <v>406</v>
      </c>
      <c r="DT29" s="12"/>
      <c r="EG29" s="2"/>
      <c r="EJ29" s="98"/>
      <c r="EK29" s="28"/>
      <c r="EL29" s="28"/>
      <c r="EM29" s="28"/>
      <c r="EN29" s="132"/>
      <c r="EO29" s="45"/>
      <c r="FL29" s="37"/>
      <c r="FZ29" s="36"/>
      <c r="GD29" s="27"/>
      <c r="GE29" s="21"/>
      <c r="HN29" t="s">
        <v>48</v>
      </c>
      <c r="IC29">
        <v>20154</v>
      </c>
    </row>
    <row r="30" spans="2:238" ht="15">
      <c r="B30" t="s">
        <v>411</v>
      </c>
      <c r="I30" s="36">
        <v>14</v>
      </c>
      <c r="J30" t="s">
        <v>136</v>
      </c>
      <c r="M30" s="14">
        <v>6737667</v>
      </c>
      <c r="N30" s="157">
        <f>+AG26</f>
        <v>-4570991</v>
      </c>
      <c r="O30" s="156" t="s">
        <v>192</v>
      </c>
      <c r="P30" s="8">
        <f t="shared" si="1"/>
        <v>2166676</v>
      </c>
      <c r="AC30" s="21"/>
      <c r="AD30" s="37"/>
      <c r="AE30" s="33" t="s">
        <v>48</v>
      </c>
      <c r="AF30" s="29"/>
      <c r="AG30" s="29"/>
      <c r="AH30" s="103"/>
      <c r="AJ30"/>
      <c r="AK30"/>
      <c r="AL30"/>
      <c r="AM30"/>
      <c r="AQ30" s="37"/>
      <c r="AS30" s="28"/>
      <c r="AU30" s="21"/>
      <c r="AV30" s="126"/>
      <c r="AW30" s="44"/>
      <c r="AY30" s="111"/>
      <c r="BC30" s="21"/>
      <c r="BM30" s="2"/>
      <c r="BN30" s="2"/>
      <c r="BO30" s="2"/>
      <c r="BR30" s="37"/>
      <c r="BV30" s="202"/>
      <c r="BW30" s="37">
        <v>10</v>
      </c>
      <c r="BX30" s="176" t="s">
        <v>248</v>
      </c>
      <c r="BY30" s="176"/>
      <c r="BZ30" s="176"/>
      <c r="CA30" s="158">
        <f>+(BT147*CA24)+(0.0052352*CA28)</f>
        <v>192843.31662233773</v>
      </c>
      <c r="CB30" s="21" t="s">
        <v>189</v>
      </c>
      <c r="CC30" s="37"/>
      <c r="CK30" t="s">
        <v>429</v>
      </c>
      <c r="CQ30" s="39" t="s">
        <v>367</v>
      </c>
      <c r="CU30" s="12"/>
      <c r="CW30" s="37"/>
      <c r="DA30" s="67"/>
      <c r="DB30" s="66"/>
      <c r="DI30" s="37"/>
      <c r="DQ30" s="39"/>
      <c r="DR30" s="110"/>
      <c r="DT30" s="40"/>
      <c r="EG30" s="4"/>
      <c r="EJ30" s="28"/>
      <c r="EK30" s="28"/>
      <c r="EL30" s="28"/>
      <c r="EM30" s="28"/>
      <c r="EN30" s="33"/>
      <c r="EO30" s="28"/>
      <c r="EQ30" s="28"/>
      <c r="FL30" s="37"/>
      <c r="FZ30" s="36"/>
      <c r="GE30" s="21"/>
      <c r="GM30" t="s">
        <v>48</v>
      </c>
      <c r="HN30" t="s">
        <v>448</v>
      </c>
      <c r="ID30">
        <v>881</v>
      </c>
    </row>
    <row r="31" spans="2:222" ht="15.75">
      <c r="B31" t="s">
        <v>412</v>
      </c>
      <c r="I31" s="36">
        <v>15</v>
      </c>
      <c r="J31" t="s">
        <v>137</v>
      </c>
      <c r="M31" s="151">
        <v>-2154343</v>
      </c>
      <c r="N31" s="151">
        <v>0</v>
      </c>
      <c r="O31" s="152"/>
      <c r="P31" s="11">
        <f t="shared" si="1"/>
        <v>-2154343</v>
      </c>
      <c r="V31" t="s">
        <v>63</v>
      </c>
      <c r="X31" s="24"/>
      <c r="AC31" s="21"/>
      <c r="AD31" s="37"/>
      <c r="AE31" s="28" t="s">
        <v>231</v>
      </c>
      <c r="AF31" s="29"/>
      <c r="AG31" s="29"/>
      <c r="AH31" s="46"/>
      <c r="AI31" s="37"/>
      <c r="AJ31" s="1" t="str">
        <f>+B4</f>
        <v>KENTUCKY AMERICAN WATER COMPANY</v>
      </c>
      <c r="AK31"/>
      <c r="AL31"/>
      <c r="AM31"/>
      <c r="AO31" s="45"/>
      <c r="AQ31" s="37"/>
      <c r="AR31" s="28"/>
      <c r="AS31" s="28"/>
      <c r="AU31" s="169"/>
      <c r="AV31" s="126"/>
      <c r="AW31" s="44"/>
      <c r="AY31" s="111">
        <v>10</v>
      </c>
      <c r="AZ31" t="s">
        <v>321</v>
      </c>
      <c r="BB31">
        <f>+CU24</f>
        <v>115569.35463411</v>
      </c>
      <c r="BC31" s="21">
        <v>23</v>
      </c>
      <c r="BR31" s="37">
        <v>11</v>
      </c>
      <c r="BS31" t="s">
        <v>206</v>
      </c>
      <c r="BU31" s="176">
        <f>+BU27+BU29</f>
        <v>230.56223470588236</v>
      </c>
      <c r="BV31" s="202"/>
      <c r="BW31" s="37"/>
      <c r="CA31" s="67"/>
      <c r="CB31" s="21"/>
      <c r="CC31" s="37"/>
      <c r="CK31" t="s">
        <v>368</v>
      </c>
      <c r="CN31" s="12"/>
      <c r="CQ31" s="39" t="s">
        <v>368</v>
      </c>
      <c r="CW31" s="37"/>
      <c r="CX31" t="s">
        <v>48</v>
      </c>
      <c r="DA31" s="3"/>
      <c r="DB31" s="99"/>
      <c r="DI31" s="37"/>
      <c r="DJ31" t="s">
        <v>48</v>
      </c>
      <c r="DP31" s="32"/>
      <c r="DQ31" s="39"/>
      <c r="DT31" s="2"/>
      <c r="EG31" s="2"/>
      <c r="EJ31" s="28"/>
      <c r="EK31" s="28"/>
      <c r="EL31" s="28"/>
      <c r="EM31" s="28"/>
      <c r="EN31" s="33"/>
      <c r="EO31" s="28"/>
      <c r="EQ31" s="124"/>
      <c r="EY31" t="s">
        <v>48</v>
      </c>
      <c r="FL31" s="37"/>
      <c r="FZ31" s="36"/>
      <c r="GD31" s="114"/>
      <c r="GE31" s="21"/>
      <c r="GM31" t="s">
        <v>265</v>
      </c>
      <c r="HG31" t="s">
        <v>48</v>
      </c>
      <c r="HN31" t="s">
        <v>449</v>
      </c>
    </row>
    <row r="32" spans="2:222" ht="15">
      <c r="B32" t="s">
        <v>413</v>
      </c>
      <c r="I32" s="36"/>
      <c r="O32" s="21"/>
      <c r="AC32" s="21"/>
      <c r="AD32" s="37"/>
      <c r="AF32" s="29"/>
      <c r="AG32" s="29"/>
      <c r="AH32" s="102"/>
      <c r="AI32" s="37"/>
      <c r="AJ32"/>
      <c r="AK32"/>
      <c r="AL32"/>
      <c r="AM32"/>
      <c r="AO32" s="45"/>
      <c r="AQ32" s="37">
        <v>19</v>
      </c>
      <c r="AR32" s="34" t="s">
        <v>171</v>
      </c>
      <c r="AS32" s="60"/>
      <c r="AT32" s="136">
        <v>0</v>
      </c>
      <c r="AU32" s="21"/>
      <c r="AV32" s="145">
        <v>1583556</v>
      </c>
      <c r="AW32" s="44">
        <v>0</v>
      </c>
      <c r="AY32" s="111"/>
      <c r="BC32" s="21"/>
      <c r="BH32" t="s">
        <v>423</v>
      </c>
      <c r="BR32" s="37"/>
      <c r="BV32" s="21"/>
      <c r="BW32" s="37">
        <v>11</v>
      </c>
      <c r="BX32" t="s">
        <v>249</v>
      </c>
      <c r="CA32" s="27">
        <f>+CA28-CA30</f>
        <v>902450.0199431041</v>
      </c>
      <c r="CB32" s="21"/>
      <c r="CC32" s="37"/>
      <c r="CW32" s="37"/>
      <c r="CX32" t="s">
        <v>214</v>
      </c>
      <c r="DB32" s="21"/>
      <c r="DE32" t="s">
        <v>48</v>
      </c>
      <c r="DJ32" t="s">
        <v>231</v>
      </c>
      <c r="DT32" s="139"/>
      <c r="EG32" s="2"/>
      <c r="EJ32" s="28"/>
      <c r="EK32" s="28"/>
      <c r="EL32" s="28"/>
      <c r="EM32" s="28"/>
      <c r="EN32" s="33"/>
      <c r="EO32" s="28"/>
      <c r="EY32" t="s">
        <v>383</v>
      </c>
      <c r="FL32" s="37"/>
      <c r="FZ32" s="36"/>
      <c r="GE32" s="21"/>
      <c r="GM32" t="s">
        <v>266</v>
      </c>
      <c r="HG32" t="s">
        <v>443</v>
      </c>
      <c r="HN32" t="s">
        <v>450</v>
      </c>
    </row>
    <row r="33" spans="9:240" ht="15.75">
      <c r="I33" s="36">
        <v>16</v>
      </c>
      <c r="J33" t="s">
        <v>94</v>
      </c>
      <c r="M33" s="203">
        <f>+SUM(M20:M31)</f>
        <v>158958817</v>
      </c>
      <c r="N33" s="203">
        <f>+SUM(N20:N31)</f>
        <v>-9443167.357020296</v>
      </c>
      <c r="O33" s="203"/>
      <c r="P33" s="203">
        <f>+SUM(P20:P31)</f>
        <v>149515649.6429797</v>
      </c>
      <c r="AC33" s="21"/>
      <c r="AD33" s="37"/>
      <c r="AF33" s="29"/>
      <c r="AG33" s="29"/>
      <c r="AH33" s="47"/>
      <c r="AI33" s="37"/>
      <c r="AJ33" s="1" t="str">
        <f>+B6</f>
        <v>FUTURE TEST YEAR ENDING NOVEMBER 30, 2005</v>
      </c>
      <c r="AK33"/>
      <c r="AL33"/>
      <c r="AM33"/>
      <c r="AO33" s="45"/>
      <c r="AQ33" s="37">
        <v>20</v>
      </c>
      <c r="AR33" s="134" t="s">
        <v>172</v>
      </c>
      <c r="AS33" s="28"/>
      <c r="AT33" s="136">
        <v>69.11</v>
      </c>
      <c r="AU33" s="21"/>
      <c r="AV33" s="126">
        <v>3460</v>
      </c>
      <c r="AW33" s="44">
        <f aca="true" t="shared" si="2" ref="AW33:AW43">+AT33*AV33</f>
        <v>239120.6</v>
      </c>
      <c r="AY33" s="111">
        <v>11</v>
      </c>
      <c r="AZ33" t="s">
        <v>215</v>
      </c>
      <c r="BB33">
        <f>+DG25</f>
        <v>101847.63278664</v>
      </c>
      <c r="BC33" s="21">
        <v>24</v>
      </c>
      <c r="BR33" s="37">
        <v>12</v>
      </c>
      <c r="BS33" t="s">
        <v>207</v>
      </c>
      <c r="BU33">
        <f>+BU19*BU31</f>
        <v>151248.82596705883</v>
      </c>
      <c r="BV33" s="21" t="s">
        <v>189</v>
      </c>
      <c r="BW33" s="37"/>
      <c r="CB33" s="21"/>
      <c r="CC33" s="37"/>
      <c r="CX33" t="s">
        <v>468</v>
      </c>
      <c r="DA33" s="113"/>
      <c r="DB33" s="21"/>
      <c r="DE33" t="s">
        <v>357</v>
      </c>
      <c r="DF33" s="2"/>
      <c r="DT33" s="138"/>
      <c r="EG33" s="2"/>
      <c r="EJ33" s="28"/>
      <c r="EK33" s="28"/>
      <c r="EL33" s="28"/>
      <c r="EM33" s="28"/>
      <c r="EN33" s="33"/>
      <c r="EO33" s="28"/>
      <c r="EY33" t="s">
        <v>408</v>
      </c>
      <c r="FM33" s="32"/>
      <c r="FZ33" s="36"/>
      <c r="GD33" s="27"/>
      <c r="GE33" s="21"/>
      <c r="HV33" t="s">
        <v>387</v>
      </c>
      <c r="HW33">
        <f>SUM(HW9:HW32)</f>
        <v>3308723</v>
      </c>
      <c r="HX33">
        <f>SUM(HX9:HX32)</f>
        <v>30283194</v>
      </c>
      <c r="HY33">
        <f>SUM(HY9:HY32)</f>
        <v>2158593</v>
      </c>
      <c r="HZ33">
        <f>SUM(HZ9:HZ32)</f>
        <v>39700450</v>
      </c>
      <c r="IA33">
        <f>SUM(IA9:IA32)</f>
        <v>1240628</v>
      </c>
      <c r="IB33">
        <f>SUM(IB9:IB32)</f>
        <v>39058757</v>
      </c>
      <c r="IC33">
        <f>SUM(IC9:IC32)</f>
        <v>4273385</v>
      </c>
      <c r="ID33">
        <f>SUM(ID9:ID32)</f>
        <v>30507503</v>
      </c>
      <c r="IE33">
        <f>SUM(IE9:IE32)</f>
        <v>55708817</v>
      </c>
      <c r="IF33">
        <f>SUM(IF9:IF32)</f>
        <v>32084301</v>
      </c>
    </row>
    <row r="34" spans="9:182" ht="15.75">
      <c r="I34" s="37"/>
      <c r="S34" s="1" t="str">
        <f>+B4</f>
        <v>KENTUCKY AMERICAN WATER COMPANY</v>
      </c>
      <c r="T34" s="1"/>
      <c r="U34" s="1"/>
      <c r="AC34" s="21"/>
      <c r="AD34" s="37"/>
      <c r="AE34" s="33"/>
      <c r="AF34" s="29"/>
      <c r="AG34" s="29"/>
      <c r="AH34" s="120"/>
      <c r="AJ34"/>
      <c r="AK34"/>
      <c r="AL34"/>
      <c r="AM34"/>
      <c r="AO34" s="45"/>
      <c r="AQ34" s="37">
        <v>21</v>
      </c>
      <c r="AR34" s="134" t="s">
        <v>173</v>
      </c>
      <c r="AS34" s="28"/>
      <c r="AT34" s="136">
        <v>75.14</v>
      </c>
      <c r="AU34" s="21"/>
      <c r="AV34" s="126">
        <v>18694</v>
      </c>
      <c r="AW34" s="44">
        <f t="shared" si="2"/>
        <v>1404667.16</v>
      </c>
      <c r="AY34" s="111"/>
      <c r="BC34" s="21"/>
      <c r="BR34" s="37"/>
      <c r="BV34" s="21"/>
      <c r="BW34" s="98">
        <v>12</v>
      </c>
      <c r="BX34" s="28" t="s">
        <v>103</v>
      </c>
      <c r="BY34" s="28"/>
      <c r="BZ34" s="86">
        <f>+A50</f>
        <v>0.4036549</v>
      </c>
      <c r="CA34" s="5">
        <f>+A50*CA32</f>
        <v>364278.3725551317</v>
      </c>
      <c r="CC34" s="37"/>
      <c r="CU34" s="3"/>
      <c r="DB34" s="21"/>
      <c r="DE34" t="s">
        <v>360</v>
      </c>
      <c r="EG34" s="2"/>
      <c r="EJ34" s="28"/>
      <c r="EK34" s="28"/>
      <c r="EL34" s="28"/>
      <c r="EM34" s="28"/>
      <c r="EN34" s="33"/>
      <c r="EO34" s="28"/>
      <c r="EY34" t="s">
        <v>409</v>
      </c>
      <c r="FZ34" s="36"/>
    </row>
    <row r="35" spans="9:186" ht="15.75">
      <c r="I35" s="37"/>
      <c r="M35" s="3"/>
      <c r="N35" s="3"/>
      <c r="O35" s="3"/>
      <c r="AC35" s="21"/>
      <c r="AD35" s="37"/>
      <c r="AE35" s="28"/>
      <c r="AF35" s="28"/>
      <c r="AG35" s="28"/>
      <c r="AH35" s="64"/>
      <c r="AJ35" s="1" t="s">
        <v>318</v>
      </c>
      <c r="AK35"/>
      <c r="AL35"/>
      <c r="AM35"/>
      <c r="AN35" s="45"/>
      <c r="AO35" s="45"/>
      <c r="AQ35" s="37">
        <v>22</v>
      </c>
      <c r="AR35" s="134" t="s">
        <v>174</v>
      </c>
      <c r="AS35" s="28"/>
      <c r="AT35" s="136">
        <v>15</v>
      </c>
      <c r="AU35" s="21"/>
      <c r="AV35" s="126">
        <f>388129</f>
        <v>388129</v>
      </c>
      <c r="AW35" s="44">
        <f t="shared" si="2"/>
        <v>5821935</v>
      </c>
      <c r="AY35" s="111">
        <v>12</v>
      </c>
      <c r="AZ35" t="s">
        <v>274</v>
      </c>
      <c r="BB35">
        <f>+DA56</f>
        <v>7791.34390817796</v>
      </c>
      <c r="BC35" s="21">
        <v>25</v>
      </c>
      <c r="BE35" s="1" t="str">
        <f>+B4</f>
        <v>KENTUCKY AMERICAN WATER COMPANY</v>
      </c>
      <c r="BF35" s="1"/>
      <c r="BG35" s="1"/>
      <c r="BR35" s="37">
        <v>13</v>
      </c>
      <c r="BS35" t="s">
        <v>248</v>
      </c>
      <c r="BU35" s="5">
        <f>+BT147*BU19*BU23+(BT151*BU19)+(0.0052352*BU33)</f>
        <v>22648.272292585654</v>
      </c>
      <c r="BV35" s="45" t="s">
        <v>190</v>
      </c>
      <c r="BW35" s="37"/>
      <c r="DB35" s="21"/>
      <c r="DE35" t="s">
        <v>361</v>
      </c>
      <c r="EG35" s="2"/>
      <c r="EJ35" s="28"/>
      <c r="EK35" s="28"/>
      <c r="EL35" s="28"/>
      <c r="EM35" s="28"/>
      <c r="EN35" s="33"/>
      <c r="EO35" s="28"/>
      <c r="FZ35" s="131"/>
      <c r="GC35" s="40"/>
      <c r="GD35" s="99"/>
    </row>
    <row r="36" spans="9:186" ht="18">
      <c r="I36" s="37"/>
      <c r="M36" s="28"/>
      <c r="N36" s="28"/>
      <c r="O36" s="28"/>
      <c r="P36" s="29"/>
      <c r="S36" s="1" t="str">
        <f>+B6</f>
        <v>FUTURE TEST YEAR ENDING NOVEMBER 30, 2005</v>
      </c>
      <c r="T36" s="1"/>
      <c r="U36" s="1"/>
      <c r="AC36" s="21"/>
      <c r="AD36" s="37"/>
      <c r="AE36" s="33"/>
      <c r="AF36" s="29"/>
      <c r="AG36" s="29"/>
      <c r="AH36" s="105"/>
      <c r="AJ36"/>
      <c r="AK36"/>
      <c r="AL36"/>
      <c r="AM36" s="21"/>
      <c r="AN36" s="45"/>
      <c r="AO36" s="45"/>
      <c r="AQ36" s="37">
        <v>23</v>
      </c>
      <c r="AR36" s="134" t="s">
        <v>96</v>
      </c>
      <c r="AS36" s="28"/>
      <c r="AT36" s="136">
        <v>69.86</v>
      </c>
      <c r="AU36" s="21"/>
      <c r="AV36" s="126">
        <v>2360354</v>
      </c>
      <c r="AW36" s="44">
        <f t="shared" si="2"/>
        <v>164894330.44</v>
      </c>
      <c r="AY36" s="111"/>
      <c r="BC36" s="21"/>
      <c r="BM36" s="2"/>
      <c r="BN36" s="2"/>
      <c r="BO36" s="2"/>
      <c r="BR36" s="37"/>
      <c r="BV36" s="21"/>
      <c r="BW36" s="37">
        <v>13</v>
      </c>
      <c r="BX36" t="s">
        <v>99</v>
      </c>
      <c r="CA36" s="160">
        <f>+CA32-CA34</f>
        <v>538171.6473879725</v>
      </c>
      <c r="CR36" s="2"/>
      <c r="CS36" s="2"/>
      <c r="CT36" s="2"/>
      <c r="DB36" s="21"/>
      <c r="EG36" s="2"/>
      <c r="EJ36" s="28"/>
      <c r="EK36" s="51"/>
      <c r="EL36" s="28"/>
      <c r="EM36" s="28"/>
      <c r="EN36" s="205"/>
      <c r="EO36" s="28"/>
      <c r="FZ36" s="131"/>
      <c r="GD36" s="67"/>
    </row>
    <row r="37" spans="10:240" ht="15.75">
      <c r="J37" t="s">
        <v>48</v>
      </c>
      <c r="AC37" s="21"/>
      <c r="AD37" s="37"/>
      <c r="AE37" s="31"/>
      <c r="AF37" s="31"/>
      <c r="AG37" s="31"/>
      <c r="AH37" s="49"/>
      <c r="AM37" s="63"/>
      <c r="AN37" s="63"/>
      <c r="AO37" s="45"/>
      <c r="AQ37" s="37">
        <v>24</v>
      </c>
      <c r="AR37" s="134" t="s">
        <v>175</v>
      </c>
      <c r="AS37" s="28"/>
      <c r="AT37" s="144">
        <v>52.73</v>
      </c>
      <c r="AU37" s="21" t="s">
        <v>40</v>
      </c>
      <c r="AV37" s="126">
        <f>492887</f>
        <v>492887</v>
      </c>
      <c r="AW37" s="44">
        <f t="shared" si="2"/>
        <v>25989931.509999998</v>
      </c>
      <c r="AY37" s="111">
        <v>13</v>
      </c>
      <c r="AZ37" t="s">
        <v>267</v>
      </c>
      <c r="BB37">
        <f>+GP25</f>
        <v>30641.011670283613</v>
      </c>
      <c r="BC37" s="21">
        <v>26</v>
      </c>
      <c r="BE37" s="1" t="str">
        <f>+B6</f>
        <v>FUTURE TEST YEAR ENDING NOVEMBER 30, 2005</v>
      </c>
      <c r="BM37" s="2"/>
      <c r="BN37" s="2"/>
      <c r="BO37" s="2"/>
      <c r="BR37" s="37">
        <v>14</v>
      </c>
      <c r="BS37" t="s">
        <v>249</v>
      </c>
      <c r="BU37" s="27">
        <f>+BU33-BU35</f>
        <v>128600.55367447318</v>
      </c>
      <c r="BV37" s="21"/>
      <c r="BW37" s="37"/>
      <c r="EG37" s="4"/>
      <c r="EJ37" s="28"/>
      <c r="EK37" s="28"/>
      <c r="EL37" s="28"/>
      <c r="EM37" s="28"/>
      <c r="EN37" s="28"/>
      <c r="EO37" s="28"/>
      <c r="FZ37" s="131"/>
      <c r="GD37" s="110"/>
      <c r="HW37">
        <v>1998</v>
      </c>
      <c r="HX37">
        <v>1998</v>
      </c>
      <c r="HY37">
        <v>1999</v>
      </c>
      <c r="HZ37">
        <v>1999</v>
      </c>
      <c r="IA37">
        <v>2000</v>
      </c>
      <c r="IB37">
        <v>2000</v>
      </c>
      <c r="IC37">
        <v>2001</v>
      </c>
      <c r="ID37">
        <v>2001</v>
      </c>
      <c r="IE37">
        <v>2002</v>
      </c>
      <c r="IF37">
        <v>2002</v>
      </c>
    </row>
    <row r="38" spans="9:240" ht="15.75">
      <c r="I38" s="37"/>
      <c r="J38" t="s">
        <v>317</v>
      </c>
      <c r="M38" s="28"/>
      <c r="N38" s="28"/>
      <c r="O38" s="28"/>
      <c r="P38" s="29"/>
      <c r="S38" s="1" t="s">
        <v>185</v>
      </c>
      <c r="T38" s="1"/>
      <c r="U38" s="1"/>
      <c r="AB38" s="21" t="s">
        <v>307</v>
      </c>
      <c r="AD38" s="37"/>
      <c r="AE38" s="28"/>
      <c r="AF38" s="29"/>
      <c r="AG38" s="29"/>
      <c r="AH38" s="104"/>
      <c r="AI38" s="97">
        <v>1</v>
      </c>
      <c r="AJ38" s="51" t="s">
        <v>15</v>
      </c>
      <c r="AM38" s="109">
        <f>+M27</f>
        <v>-26561822</v>
      </c>
      <c r="AN38" s="45" t="s">
        <v>16</v>
      </c>
      <c r="AO38" s="45"/>
      <c r="AQ38" s="37">
        <v>25</v>
      </c>
      <c r="AR38" s="134" t="s">
        <v>176</v>
      </c>
      <c r="AS38" s="28"/>
      <c r="AT38" s="144">
        <v>30.13</v>
      </c>
      <c r="AU38" s="21" t="s">
        <v>40</v>
      </c>
      <c r="AV38" s="126">
        <f>1939212</f>
        <v>1939212</v>
      </c>
      <c r="AW38" s="44">
        <f t="shared" si="2"/>
        <v>58428457.559999995</v>
      </c>
      <c r="AY38" s="111"/>
      <c r="BC38" s="21"/>
      <c r="BK38" s="1"/>
      <c r="BR38" s="37"/>
      <c r="BV38" s="21"/>
      <c r="BW38" s="98"/>
      <c r="BX38" s="28"/>
      <c r="BY38" s="28"/>
      <c r="BZ38" s="28"/>
      <c r="CA38" s="28"/>
      <c r="CW38" s="37"/>
      <c r="DA38" s="27"/>
      <c r="DB38" s="21"/>
      <c r="EG38" s="4"/>
      <c r="EJ38" s="28"/>
      <c r="EK38" s="28"/>
      <c r="EL38" s="28"/>
      <c r="EM38" s="28"/>
      <c r="EN38" s="28"/>
      <c r="EO38" s="28"/>
      <c r="EX38" s="12"/>
      <c r="FZ38" s="21"/>
      <c r="HW38" t="s">
        <v>385</v>
      </c>
      <c r="HX38" t="s">
        <v>386</v>
      </c>
      <c r="HY38" t="s">
        <v>385</v>
      </c>
      <c r="HZ38" t="s">
        <v>386</v>
      </c>
      <c r="IA38" t="s">
        <v>385</v>
      </c>
      <c r="IB38" t="s">
        <v>386</v>
      </c>
      <c r="IC38" t="s">
        <v>385</v>
      </c>
      <c r="ID38" t="s">
        <v>386</v>
      </c>
      <c r="IE38" t="s">
        <v>385</v>
      </c>
      <c r="IF38" t="s">
        <v>386</v>
      </c>
    </row>
    <row r="39" spans="10:182" ht="15.75">
      <c r="J39" t="s">
        <v>414</v>
      </c>
      <c r="M39" s="28"/>
      <c r="N39" s="28"/>
      <c r="O39" s="28"/>
      <c r="P39" s="29"/>
      <c r="AC39" s="21"/>
      <c r="AD39" s="37"/>
      <c r="AE39" s="31"/>
      <c r="AF39" s="29"/>
      <c r="AG39" s="29"/>
      <c r="AH39" s="50"/>
      <c r="AI39" s="97"/>
      <c r="AJ39" s="51"/>
      <c r="AM39" s="106"/>
      <c r="AN39" s="142"/>
      <c r="AO39" s="45"/>
      <c r="AQ39" s="37">
        <v>26</v>
      </c>
      <c r="AR39" s="134" t="s">
        <v>93</v>
      </c>
      <c r="AT39" s="136">
        <v>0</v>
      </c>
      <c r="AU39" s="21"/>
      <c r="AV39" s="126">
        <v>-218818</v>
      </c>
      <c r="AW39" s="44">
        <f t="shared" si="2"/>
        <v>0</v>
      </c>
      <c r="AY39" s="111">
        <v>14</v>
      </c>
      <c r="AZ39" t="s">
        <v>213</v>
      </c>
      <c r="BB39">
        <f>+DL27</f>
        <v>234636.21364521</v>
      </c>
      <c r="BC39" s="21">
        <v>27</v>
      </c>
      <c r="BE39" s="1" t="s">
        <v>198</v>
      </c>
      <c r="BO39" s="2"/>
      <c r="BR39" s="37">
        <v>15</v>
      </c>
      <c r="BS39" t="s">
        <v>32</v>
      </c>
      <c r="BT39" s="40">
        <f>+A50</f>
        <v>0.4036549</v>
      </c>
      <c r="BU39" s="5">
        <f>+A50*BU37</f>
        <v>51910.2436334141</v>
      </c>
      <c r="BV39" s="45"/>
      <c r="CD39" s="32"/>
      <c r="CW39" s="28"/>
      <c r="CX39" s="28"/>
      <c r="CY39" s="28"/>
      <c r="CZ39" s="28"/>
      <c r="DA39" s="31"/>
      <c r="DB39" s="45"/>
      <c r="EG39" s="4"/>
      <c r="EJ39" s="28"/>
      <c r="EK39" s="28"/>
      <c r="EL39" s="28"/>
      <c r="EM39" s="28"/>
      <c r="EN39" s="28"/>
      <c r="EO39" s="28"/>
      <c r="FZ39" s="21"/>
    </row>
    <row r="40" spans="10:237" ht="15.75">
      <c r="J40" t="s">
        <v>415</v>
      </c>
      <c r="M40" s="30"/>
      <c r="O40" s="30"/>
      <c r="P40" s="30"/>
      <c r="W40" s="21"/>
      <c r="AC40" s="21"/>
      <c r="AE40" s="28"/>
      <c r="AF40" s="29"/>
      <c r="AG40" s="29"/>
      <c r="AH40" s="125"/>
      <c r="AI40" s="97">
        <v>2</v>
      </c>
      <c r="AJ40" s="39" t="s">
        <v>193</v>
      </c>
      <c r="AM40" s="5">
        <v>-26487563</v>
      </c>
      <c r="AN40" s="143" t="s">
        <v>24</v>
      </c>
      <c r="AO40" s="45"/>
      <c r="AQ40" s="37">
        <v>27</v>
      </c>
      <c r="AR40" s="134" t="s">
        <v>177</v>
      </c>
      <c r="AS40" s="28"/>
      <c r="AT40" s="144">
        <v>119.64</v>
      </c>
      <c r="AU40" s="21" t="s">
        <v>40</v>
      </c>
      <c r="AV40" s="126">
        <f>5166161</f>
        <v>5166161</v>
      </c>
      <c r="AW40" s="44">
        <f t="shared" si="2"/>
        <v>618079502.04</v>
      </c>
      <c r="AY40" s="111"/>
      <c r="BC40" s="21"/>
      <c r="BR40" s="37"/>
      <c r="BX40" t="s">
        <v>48</v>
      </c>
      <c r="DA40" t="s">
        <v>121</v>
      </c>
      <c r="DB40" s="45"/>
      <c r="DE40" s="1"/>
      <c r="EG40" s="4"/>
      <c r="EJ40" s="28"/>
      <c r="EK40" s="28"/>
      <c r="EL40" s="28"/>
      <c r="EM40" s="28"/>
      <c r="EN40" s="28"/>
      <c r="EO40" s="28"/>
      <c r="FZ40" s="21"/>
      <c r="HW40">
        <v>400002</v>
      </c>
      <c r="HY40">
        <v>2646164</v>
      </c>
      <c r="IA40">
        <v>575077</v>
      </c>
      <c r="IC40">
        <v>768177</v>
      </c>
    </row>
    <row r="41" spans="9:237" ht="18">
      <c r="I41" s="37"/>
      <c r="J41" t="s">
        <v>416</v>
      </c>
      <c r="M41" s="28"/>
      <c r="O41" s="28"/>
      <c r="P41" s="29"/>
      <c r="R41" s="36">
        <v>1</v>
      </c>
      <c r="S41" s="39" t="s">
        <v>15</v>
      </c>
      <c r="V41" s="106">
        <v>68958343</v>
      </c>
      <c r="W41" s="21" t="s">
        <v>16</v>
      </c>
      <c r="Y41" s="1" t="str">
        <f>+B4</f>
        <v>KENTUCKY AMERICAN WATER COMPANY</v>
      </c>
      <c r="Z41" s="1"/>
      <c r="AA41" s="1"/>
      <c r="AC41" s="21"/>
      <c r="AD41" s="37"/>
      <c r="AE41" s="28"/>
      <c r="AF41" s="29"/>
      <c r="AG41" s="29"/>
      <c r="AH41" s="28"/>
      <c r="AI41" s="97"/>
      <c r="AJ41" s="51"/>
      <c r="AN41" s="142"/>
      <c r="AO41" s="45"/>
      <c r="AQ41" s="37">
        <v>28</v>
      </c>
      <c r="AR41" s="134" t="s">
        <v>178</v>
      </c>
      <c r="AS41" s="28"/>
      <c r="AT41" s="144">
        <v>14.6</v>
      </c>
      <c r="AU41" s="21" t="s">
        <v>40</v>
      </c>
      <c r="AV41" s="126">
        <v>158960</v>
      </c>
      <c r="AW41" s="44">
        <f t="shared" si="2"/>
        <v>2320816</v>
      </c>
      <c r="AY41" s="111">
        <v>15</v>
      </c>
      <c r="AZ41" t="s">
        <v>170</v>
      </c>
      <c r="BB41">
        <f>+DS25</f>
        <v>34985.57920000001</v>
      </c>
      <c r="BC41" s="21">
        <v>28</v>
      </c>
      <c r="BO41" s="3"/>
      <c r="BR41" s="37">
        <v>16</v>
      </c>
      <c r="BS41" t="s">
        <v>99</v>
      </c>
      <c r="BU41" s="160">
        <f>+BU37-BU39</f>
        <v>76690.31004105907</v>
      </c>
      <c r="BX41" t="s">
        <v>454</v>
      </c>
      <c r="CC41" s="24"/>
      <c r="DB41" s="45"/>
      <c r="EJ41" s="28"/>
      <c r="EK41" s="28"/>
      <c r="EL41" s="28"/>
      <c r="EM41" s="28"/>
      <c r="EN41" s="28"/>
      <c r="EO41" s="28"/>
      <c r="FZ41" s="21"/>
      <c r="GD41" s="67"/>
      <c r="HW41">
        <v>1772418</v>
      </c>
      <c r="HY41">
        <v>802352</v>
      </c>
      <c r="IA41">
        <v>2890122</v>
      </c>
      <c r="IC41">
        <v>3968037</v>
      </c>
    </row>
    <row r="42" spans="9:237" ht="18">
      <c r="I42" s="37"/>
      <c r="J42" t="s">
        <v>417</v>
      </c>
      <c r="M42" s="29"/>
      <c r="O42" s="28"/>
      <c r="P42" s="29"/>
      <c r="R42" s="36"/>
      <c r="S42" s="39"/>
      <c r="W42" s="21"/>
      <c r="AC42" s="21"/>
      <c r="AE42" s="28"/>
      <c r="AF42" s="30"/>
      <c r="AG42" s="30"/>
      <c r="AH42" s="28"/>
      <c r="AI42" s="97">
        <v>3</v>
      </c>
      <c r="AJ42" s="51" t="s">
        <v>27</v>
      </c>
      <c r="AM42" s="159">
        <f>+AM40-AM38</f>
        <v>74259</v>
      </c>
      <c r="AN42" s="58"/>
      <c r="AO42" s="45"/>
      <c r="AQ42" s="37">
        <v>29</v>
      </c>
      <c r="AR42" s="134" t="s">
        <v>179</v>
      </c>
      <c r="AS42" s="28"/>
      <c r="AT42" s="144">
        <v>46.4</v>
      </c>
      <c r="AU42" s="21" t="s">
        <v>40</v>
      </c>
      <c r="AV42" s="126">
        <v>460980</v>
      </c>
      <c r="AW42" s="44">
        <f t="shared" si="2"/>
        <v>21389472</v>
      </c>
      <c r="AY42" s="111"/>
      <c r="BC42" s="21"/>
      <c r="BD42" s="37"/>
      <c r="BM42" s="21"/>
      <c r="BN42" s="21"/>
      <c r="BR42" s="37"/>
      <c r="BX42" t="s">
        <v>455</v>
      </c>
      <c r="CK42" s="1"/>
      <c r="CX42" s="1" t="str">
        <f>+B4</f>
        <v>KENTUCKY AMERICAN WATER COMPANY</v>
      </c>
      <c r="DB42" s="45"/>
      <c r="EJ42" s="28"/>
      <c r="EK42" s="28"/>
      <c r="EL42" s="28"/>
      <c r="EM42" s="28"/>
      <c r="EN42" s="28"/>
      <c r="EO42" s="28"/>
      <c r="EQ42" s="1"/>
      <c r="ES42" s="1"/>
      <c r="ET42" s="1"/>
      <c r="EU42" s="1"/>
      <c r="EV42" s="1"/>
      <c r="FZ42" s="21"/>
      <c r="GD42" s="87"/>
      <c r="HW42">
        <v>663963</v>
      </c>
      <c r="HY42">
        <v>514836</v>
      </c>
      <c r="IA42">
        <v>136866</v>
      </c>
      <c r="IC42">
        <v>320537</v>
      </c>
    </row>
    <row r="43" spans="10:239" ht="15.75">
      <c r="J43" s="118" t="s">
        <v>418</v>
      </c>
      <c r="M43" s="28"/>
      <c r="N43" s="28"/>
      <c r="O43" s="28"/>
      <c r="P43" s="29"/>
      <c r="R43" s="36">
        <v>2</v>
      </c>
      <c r="S43" s="39" t="s">
        <v>193</v>
      </c>
      <c r="V43" s="158">
        <v>68943035</v>
      </c>
      <c r="W43" s="21" t="s">
        <v>24</v>
      </c>
      <c r="Y43" s="1" t="str">
        <f>+B6</f>
        <v>FUTURE TEST YEAR ENDING NOVEMBER 30, 2005</v>
      </c>
      <c r="Z43" s="1"/>
      <c r="AA43" s="1"/>
      <c r="AC43" s="21"/>
      <c r="AJ43" s="51"/>
      <c r="AN43" s="57"/>
      <c r="AO43" s="45"/>
      <c r="AQ43" s="37">
        <v>30</v>
      </c>
      <c r="AR43" s="134" t="s">
        <v>180</v>
      </c>
      <c r="AS43" s="28"/>
      <c r="AT43" s="220">
        <v>0</v>
      </c>
      <c r="AU43" s="45"/>
      <c r="AV43" s="183">
        <f>7488982</f>
        <v>7488982</v>
      </c>
      <c r="AW43" s="166">
        <f t="shared" si="2"/>
        <v>0</v>
      </c>
      <c r="AY43" s="111">
        <v>16</v>
      </c>
      <c r="AZ43" t="s">
        <v>224</v>
      </c>
      <c r="BB43">
        <f>+FB24</f>
        <v>126113.47149440003</v>
      </c>
      <c r="BC43" s="21">
        <v>29</v>
      </c>
      <c r="BD43" s="36" t="s">
        <v>14</v>
      </c>
      <c r="BE43" t="s">
        <v>195</v>
      </c>
      <c r="BH43" s="3">
        <v>839000</v>
      </c>
      <c r="BL43" s="23"/>
      <c r="BM43" s="23"/>
      <c r="BN43" s="23"/>
      <c r="BR43" s="37"/>
      <c r="BX43" t="s">
        <v>286</v>
      </c>
      <c r="CJ43" s="24"/>
      <c r="CQ43" s="1"/>
      <c r="DB43" s="45"/>
      <c r="DH43" s="21"/>
      <c r="EJ43" s="28"/>
      <c r="EK43" s="28"/>
      <c r="EL43" s="28"/>
      <c r="EM43" s="28"/>
      <c r="EN43" s="28"/>
      <c r="EO43" s="28"/>
      <c r="FZ43" s="21"/>
      <c r="HW43">
        <v>464643</v>
      </c>
      <c r="HY43">
        <v>41874572</v>
      </c>
      <c r="IA43">
        <v>505980</v>
      </c>
      <c r="IC43">
        <v>585852</v>
      </c>
      <c r="IE43">
        <v>58511</v>
      </c>
    </row>
    <row r="44" spans="10:239" ht="15.75">
      <c r="J44" s="28" t="s">
        <v>419</v>
      </c>
      <c r="M44" s="31"/>
      <c r="N44" s="31"/>
      <c r="O44" s="31"/>
      <c r="P44" s="31"/>
      <c r="R44" s="36"/>
      <c r="S44" s="39"/>
      <c r="W44" s="21"/>
      <c r="AC44" s="21"/>
      <c r="AI44" s="37"/>
      <c r="AJ44" s="51"/>
      <c r="AN44" s="58"/>
      <c r="AO44" s="45"/>
      <c r="AQ44" s="37"/>
      <c r="AU44" s="21"/>
      <c r="AV44" s="24"/>
      <c r="AW44" s="24"/>
      <c r="AY44" s="36"/>
      <c r="BC44" s="21"/>
      <c r="BD44" s="37"/>
      <c r="BR44" s="37"/>
      <c r="BX44" t="s">
        <v>287</v>
      </c>
      <c r="CK44" s="1"/>
      <c r="CX44" s="1" t="str">
        <f>+B6</f>
        <v>FUTURE TEST YEAR ENDING NOVEMBER 30, 2005</v>
      </c>
      <c r="DB44" s="45"/>
      <c r="DH44" s="21"/>
      <c r="EJ44" s="28"/>
      <c r="EK44" s="28"/>
      <c r="EL44" s="28"/>
      <c r="EM44" s="28"/>
      <c r="EN44" s="28"/>
      <c r="EO44" s="28"/>
      <c r="EQ44" s="1"/>
      <c r="ES44" s="1"/>
      <c r="ET44" s="1"/>
      <c r="EU44" s="1"/>
      <c r="EV44" s="1"/>
      <c r="FZ44" s="21"/>
      <c r="HW44">
        <v>42750060</v>
      </c>
      <c r="HY44">
        <v>1302977</v>
      </c>
      <c r="IA44">
        <v>51919468</v>
      </c>
      <c r="IE44">
        <v>1013557</v>
      </c>
    </row>
    <row r="45" spans="10:239" ht="18">
      <c r="J45" s="28" t="s">
        <v>420</v>
      </c>
      <c r="M45" s="28"/>
      <c r="N45" s="28"/>
      <c r="O45" s="28"/>
      <c r="P45" s="28"/>
      <c r="R45" s="36">
        <v>3</v>
      </c>
      <c r="S45" s="39" t="s">
        <v>27</v>
      </c>
      <c r="V45" s="160">
        <f>+V41-V43</f>
        <v>15308</v>
      </c>
      <c r="W45" s="21"/>
      <c r="Y45" s="1" t="s">
        <v>116</v>
      </c>
      <c r="Z45" s="1"/>
      <c r="AA45" s="1"/>
      <c r="AC45" s="21"/>
      <c r="AI45" s="37"/>
      <c r="AJ45" s="51"/>
      <c r="AM45" s="52"/>
      <c r="AN45" s="58"/>
      <c r="AO45" s="45"/>
      <c r="AQ45" s="37">
        <v>31</v>
      </c>
      <c r="AR45" s="134" t="s">
        <v>181</v>
      </c>
      <c r="AT45" s="137">
        <f>+AW45/AV45</f>
        <v>29.298227016568987</v>
      </c>
      <c r="AU45" s="21"/>
      <c r="AV45" s="181">
        <f>SUM(AV10:AV43)</f>
        <v>41753481</v>
      </c>
      <c r="AW45" s="181">
        <f>SUM(AW10:AW43)</f>
        <v>1223302965.07</v>
      </c>
      <c r="AY45" s="36">
        <v>17</v>
      </c>
      <c r="AZ45" t="s">
        <v>210</v>
      </c>
      <c r="BB45">
        <f>+CN23</f>
        <v>13914.719</v>
      </c>
      <c r="BC45" s="21">
        <v>30</v>
      </c>
      <c r="BD45" s="37">
        <v>2</v>
      </c>
      <c r="BE45" t="s">
        <v>196</v>
      </c>
      <c r="BH45" s="5">
        <v>868023</v>
      </c>
      <c r="BO45" s="12"/>
      <c r="BS45" t="s">
        <v>48</v>
      </c>
      <c r="BX45" t="s">
        <v>330</v>
      </c>
      <c r="CJ45" s="24"/>
      <c r="CQ45" s="1"/>
      <c r="DB45" s="45"/>
      <c r="DD45" s="36"/>
      <c r="DF45" s="3"/>
      <c r="DG45" s="3"/>
      <c r="DH45" s="21"/>
      <c r="EJ45" s="28"/>
      <c r="EK45" s="28"/>
      <c r="EL45" s="28"/>
      <c r="EM45" s="28"/>
      <c r="EN45" s="28"/>
      <c r="EO45" s="28"/>
      <c r="ES45" s="1"/>
      <c r="ET45" s="1"/>
      <c r="EU45" s="1"/>
      <c r="EV45" s="1"/>
      <c r="FZ45" s="21"/>
      <c r="GD45" s="27"/>
      <c r="HW45">
        <v>318707</v>
      </c>
      <c r="HY45">
        <v>4856892</v>
      </c>
      <c r="IA45">
        <v>901396</v>
      </c>
      <c r="IC45">
        <v>51108699</v>
      </c>
      <c r="IE45">
        <v>40851346</v>
      </c>
    </row>
    <row r="46" spans="10:237" ht="15.75">
      <c r="J46" s="124" t="s">
        <v>458</v>
      </c>
      <c r="AC46" s="21"/>
      <c r="AI46" s="37"/>
      <c r="AJ46" s="51"/>
      <c r="AN46" s="58"/>
      <c r="AO46" s="45"/>
      <c r="AQ46" s="96"/>
      <c r="AU46" s="21"/>
      <c r="AW46" s="32"/>
      <c r="AY46" s="36"/>
      <c r="BC46" s="21"/>
      <c r="BD46" s="37"/>
      <c r="BK46" s="21"/>
      <c r="BL46" s="3"/>
      <c r="BM46" s="3"/>
      <c r="BN46" s="3"/>
      <c r="BS46" t="s">
        <v>295</v>
      </c>
      <c r="BX46" t="s">
        <v>288</v>
      </c>
      <c r="CK46" s="1"/>
      <c r="CX46" s="1" t="s">
        <v>370</v>
      </c>
      <c r="DB46" s="45"/>
      <c r="DD46" s="37"/>
      <c r="DH46" s="21"/>
      <c r="EJ46" s="28"/>
      <c r="EK46" s="28"/>
      <c r="EL46" s="28"/>
      <c r="EM46" s="28"/>
      <c r="EN46" s="28"/>
      <c r="EO46" s="28"/>
      <c r="EQ46" s="1"/>
      <c r="HW46">
        <v>35975390</v>
      </c>
      <c r="HY46">
        <v>43441046</v>
      </c>
      <c r="IA46">
        <v>2965962</v>
      </c>
      <c r="IC46">
        <v>988200</v>
      </c>
    </row>
    <row r="47" spans="10:239" ht="15.75">
      <c r="J47" s="124" t="s">
        <v>459</v>
      </c>
      <c r="N47" s="12"/>
      <c r="O47" s="12"/>
      <c r="P47" s="12"/>
      <c r="X47" s="36"/>
      <c r="AC47" s="21"/>
      <c r="AD47" s="3"/>
      <c r="AF47" s="29"/>
      <c r="AG47" s="29"/>
      <c r="AH47" s="46"/>
      <c r="AI47" s="96"/>
      <c r="AJ47" s="51"/>
      <c r="AN47" s="59"/>
      <c r="AO47" s="45"/>
      <c r="AQ47" s="37"/>
      <c r="AT47" s="135"/>
      <c r="AU47" s="170"/>
      <c r="AV47" s="137"/>
      <c r="AW47" s="135"/>
      <c r="AY47" s="36">
        <v>18</v>
      </c>
      <c r="AZ47" t="s">
        <v>222</v>
      </c>
      <c r="BB47">
        <f>+ET17</f>
        <v>34763.9376045</v>
      </c>
      <c r="BC47" s="21">
        <v>31</v>
      </c>
      <c r="BD47" s="37">
        <v>3</v>
      </c>
      <c r="BE47" t="s">
        <v>27</v>
      </c>
      <c r="BH47" s="27">
        <f>+BH45-BH43</f>
        <v>29023</v>
      </c>
      <c r="BK47" s="21"/>
      <c r="BS47" t="s">
        <v>296</v>
      </c>
      <c r="BX47" t="s">
        <v>331</v>
      </c>
      <c r="CJ47" s="24"/>
      <c r="CO47" s="21"/>
      <c r="CQ47" s="1"/>
      <c r="CW47" s="28"/>
      <c r="CX47" s="28"/>
      <c r="CY47" s="28"/>
      <c r="CZ47" s="28"/>
      <c r="DA47" s="31"/>
      <c r="DB47" s="45"/>
      <c r="DD47" s="36"/>
      <c r="DG47" s="99"/>
      <c r="DH47" s="81"/>
      <c r="EJ47" s="28"/>
      <c r="EK47" s="28"/>
      <c r="EL47" s="28"/>
      <c r="EM47" s="28"/>
      <c r="EN47" s="28"/>
      <c r="EO47" s="28"/>
      <c r="HW47">
        <v>596073</v>
      </c>
      <c r="HY47">
        <v>3457742</v>
      </c>
      <c r="IA47">
        <v>44259591</v>
      </c>
      <c r="IC47">
        <v>4420092</v>
      </c>
      <c r="IE47">
        <v>1512238</v>
      </c>
    </row>
    <row r="48" spans="24:239" ht="15">
      <c r="X48" s="36">
        <v>1</v>
      </c>
      <c r="Y48" s="39" t="s">
        <v>15</v>
      </c>
      <c r="AB48" s="106">
        <v>15220324</v>
      </c>
      <c r="AC48" s="21" t="s">
        <v>16</v>
      </c>
      <c r="AE48" s="33"/>
      <c r="AF48" s="29"/>
      <c r="AG48" s="29"/>
      <c r="AH48" s="46"/>
      <c r="AI48" s="37"/>
      <c r="AJ48" t="s">
        <v>48</v>
      </c>
      <c r="AN48" s="58"/>
      <c r="AO48" s="45"/>
      <c r="AQ48" s="37">
        <v>32</v>
      </c>
      <c r="AR48" s="124" t="s">
        <v>238</v>
      </c>
      <c r="AU48" s="137">
        <f>607468160/43389662+(2.5+20.16)</f>
        <v>36.6602971214664</v>
      </c>
      <c r="AW48" s="21" t="s">
        <v>16</v>
      </c>
      <c r="AY48" s="36"/>
      <c r="BC48" s="21"/>
      <c r="BD48" s="37"/>
      <c r="BK48" s="21"/>
      <c r="BS48" t="s">
        <v>466</v>
      </c>
      <c r="BX48" t="s">
        <v>289</v>
      </c>
      <c r="CJ48" s="36"/>
      <c r="CO48" s="21"/>
      <c r="CW48" s="28"/>
      <c r="CX48" s="28"/>
      <c r="CY48" s="28"/>
      <c r="CZ48" s="28"/>
      <c r="DA48" s="28"/>
      <c r="DB48" s="45"/>
      <c r="DD48" s="37"/>
      <c r="DH48" s="81"/>
      <c r="EJ48" s="28"/>
      <c r="EK48" s="28"/>
      <c r="EL48" s="28"/>
      <c r="EM48" s="28"/>
      <c r="EN48" s="28"/>
      <c r="EO48" s="28"/>
      <c r="HW48">
        <v>19780843</v>
      </c>
      <c r="HY48">
        <v>16659876</v>
      </c>
      <c r="IA48">
        <v>3426734</v>
      </c>
      <c r="IC48">
        <v>48792387</v>
      </c>
      <c r="IE48">
        <v>31835102</v>
      </c>
    </row>
    <row r="49" spans="18:239" ht="15">
      <c r="R49" s="36"/>
      <c r="S49" t="s">
        <v>48</v>
      </c>
      <c r="W49" s="21"/>
      <c r="X49" s="36"/>
      <c r="Y49" s="39"/>
      <c r="AC49" s="21"/>
      <c r="AE49" s="33"/>
      <c r="AF49" s="29"/>
      <c r="AG49" s="29"/>
      <c r="AH49" s="46"/>
      <c r="AI49" s="37"/>
      <c r="AJ49" s="39" t="s">
        <v>229</v>
      </c>
      <c r="AN49" s="58"/>
      <c r="AO49" s="45"/>
      <c r="AQ49" s="37"/>
      <c r="AR49" s="124"/>
      <c r="AW49" s="21"/>
      <c r="AY49" s="36">
        <v>19</v>
      </c>
      <c r="AZ49" t="s">
        <v>228</v>
      </c>
      <c r="BB49">
        <f>+FP16</f>
        <v>3117.6921828</v>
      </c>
      <c r="BC49" s="21">
        <v>32</v>
      </c>
      <c r="BD49" s="36">
        <v>4</v>
      </c>
      <c r="BE49" t="s">
        <v>32</v>
      </c>
      <c r="BF49" s="2">
        <f>+A50</f>
        <v>0.4036549</v>
      </c>
      <c r="BG49" s="2"/>
      <c r="BH49" s="16">
        <f>A50*BH47</f>
        <v>11715.2761627</v>
      </c>
      <c r="BI49" s="21" t="s">
        <v>16</v>
      </c>
      <c r="BL49" s="2"/>
      <c r="BM49" s="2"/>
      <c r="BN49" s="2"/>
      <c r="BO49" s="4"/>
      <c r="BS49" t="s">
        <v>297</v>
      </c>
      <c r="BX49" t="s">
        <v>333</v>
      </c>
      <c r="CJ49" s="36"/>
      <c r="CN49" s="3"/>
      <c r="CO49" s="21"/>
      <c r="CS49" s="28"/>
      <c r="CT49" s="28"/>
      <c r="CU49" s="28"/>
      <c r="CV49" s="28"/>
      <c r="CW49" s="98"/>
      <c r="CX49" s="28"/>
      <c r="CY49" s="33"/>
      <c r="CZ49" s="28"/>
      <c r="DA49" s="28"/>
      <c r="DB49" s="45"/>
      <c r="DD49" s="36"/>
      <c r="DG49" s="27"/>
      <c r="DH49" s="81"/>
      <c r="EJ49" s="28"/>
      <c r="EK49" s="28"/>
      <c r="EL49" s="28"/>
      <c r="EM49" s="28"/>
      <c r="EN49" s="28"/>
      <c r="EO49" s="28"/>
      <c r="EW49" s="3"/>
      <c r="HW49">
        <v>14406866</v>
      </c>
      <c r="HY49">
        <v>2470443</v>
      </c>
      <c r="IA49">
        <v>23255098</v>
      </c>
      <c r="IC49">
        <v>2745483</v>
      </c>
      <c r="IE49">
        <v>3668313</v>
      </c>
    </row>
    <row r="50" spans="1:239" ht="15">
      <c r="A50" s="2">
        <f>+EG21</f>
        <v>0.4036549</v>
      </c>
      <c r="R50" s="36"/>
      <c r="S50" s="39" t="s">
        <v>229</v>
      </c>
      <c r="X50" s="36">
        <v>2</v>
      </c>
      <c r="Y50" s="39" t="s">
        <v>193</v>
      </c>
      <c r="AB50" s="158">
        <v>15359373</v>
      </c>
      <c r="AC50" s="21" t="s">
        <v>24</v>
      </c>
      <c r="AE50" s="121"/>
      <c r="AF50" s="29"/>
      <c r="AG50" s="29"/>
      <c r="AH50" s="46"/>
      <c r="AI50" s="37"/>
      <c r="AJ50" s="39" t="s">
        <v>230</v>
      </c>
      <c r="AN50" s="58"/>
      <c r="AO50" s="45"/>
      <c r="AQ50" s="37">
        <v>33</v>
      </c>
      <c r="AR50" t="s">
        <v>239</v>
      </c>
      <c r="AU50" s="171">
        <f>+AT45</f>
        <v>29.298227016568987</v>
      </c>
      <c r="AV50" s="137"/>
      <c r="AW50" s="21" t="s">
        <v>52</v>
      </c>
      <c r="AY50" s="36"/>
      <c r="BC50" s="21"/>
      <c r="BD50" s="37"/>
      <c r="BL50" s="2"/>
      <c r="BM50" s="2"/>
      <c r="BN50" s="2"/>
      <c r="BO50" s="4"/>
      <c r="BS50" t="s">
        <v>298</v>
      </c>
      <c r="BX50" t="s">
        <v>334</v>
      </c>
      <c r="CJ50" s="36"/>
      <c r="CO50" s="21"/>
      <c r="CS50" s="28"/>
      <c r="CT50" s="28"/>
      <c r="CU50" s="31"/>
      <c r="CV50" s="28"/>
      <c r="CW50" s="98">
        <v>1</v>
      </c>
      <c r="CX50" s="28" t="s">
        <v>371</v>
      </c>
      <c r="CY50" s="28"/>
      <c r="CZ50" s="28"/>
      <c r="DA50" s="106">
        <f>+DG21</f>
        <v>170786.4</v>
      </c>
      <c r="DB50" s="45" t="s">
        <v>16</v>
      </c>
      <c r="DD50" s="37"/>
      <c r="DH50" s="82"/>
      <c r="EJ50" s="28"/>
      <c r="EK50" s="28"/>
      <c r="EL50" s="28"/>
      <c r="EM50" s="28"/>
      <c r="EN50" s="28"/>
      <c r="EO50" s="28"/>
      <c r="HW50">
        <v>4968294</v>
      </c>
      <c r="HY50">
        <v>13081835</v>
      </c>
      <c r="IA50">
        <v>1068752</v>
      </c>
      <c r="IC50">
        <v>19553270</v>
      </c>
      <c r="IE50">
        <v>10124499</v>
      </c>
    </row>
    <row r="51" spans="18:239" ht="18">
      <c r="R51" s="36"/>
      <c r="S51" s="39" t="s">
        <v>230</v>
      </c>
      <c r="X51" s="36"/>
      <c r="Y51" s="39"/>
      <c r="AC51" s="21"/>
      <c r="AF51" s="29"/>
      <c r="AG51" s="29"/>
      <c r="AH51" s="46"/>
      <c r="AI51" s="37"/>
      <c r="AJ51" s="51"/>
      <c r="AN51" s="58"/>
      <c r="AO51" s="45"/>
      <c r="AQ51" s="37"/>
      <c r="AR51" s="124"/>
      <c r="AU51" s="137"/>
      <c r="AV51" s="137"/>
      <c r="AW51" s="21"/>
      <c r="AY51" s="36">
        <v>20</v>
      </c>
      <c r="AZ51" t="s">
        <v>463</v>
      </c>
      <c r="BB51">
        <f>+FI16</f>
        <v>43184.3304165</v>
      </c>
      <c r="BC51" s="21">
        <v>33</v>
      </c>
      <c r="BD51" s="36">
        <v>5</v>
      </c>
      <c r="BE51" t="s">
        <v>108</v>
      </c>
      <c r="BH51" s="173">
        <f>BH47-BH49</f>
        <v>17307.7238373</v>
      </c>
      <c r="BL51" s="2"/>
      <c r="BM51" s="2"/>
      <c r="BN51" s="2"/>
      <c r="BO51" s="4"/>
      <c r="BS51" t="s">
        <v>299</v>
      </c>
      <c r="BX51" t="s">
        <v>465</v>
      </c>
      <c r="CJ51" s="36"/>
      <c r="CN51" s="100"/>
      <c r="CO51" s="21"/>
      <c r="CP51" s="24"/>
      <c r="CS51" s="28"/>
      <c r="CT51" s="28"/>
      <c r="CU51" s="31"/>
      <c r="CV51" s="45"/>
      <c r="CW51" s="98"/>
      <c r="CX51" s="28"/>
      <c r="CY51" s="28"/>
      <c r="CZ51" s="28"/>
      <c r="DA51" s="28"/>
      <c r="DB51" s="28"/>
      <c r="DD51" s="37"/>
      <c r="DG51" s="114"/>
      <c r="DH51" s="21"/>
      <c r="EJ51" s="28"/>
      <c r="EK51" s="28"/>
      <c r="EL51" s="28"/>
      <c r="EM51" s="28"/>
      <c r="EN51" s="28"/>
      <c r="EO51" s="28"/>
      <c r="HW51">
        <v>2666288</v>
      </c>
      <c r="HY51">
        <v>2367868</v>
      </c>
      <c r="IA51">
        <v>27099414</v>
      </c>
      <c r="IC51">
        <v>21203339</v>
      </c>
      <c r="IE51">
        <v>11524369</v>
      </c>
    </row>
    <row r="52" spans="18:239" ht="18">
      <c r="R52" s="36"/>
      <c r="S52" s="39"/>
      <c r="X52" s="36">
        <v>3</v>
      </c>
      <c r="Y52" s="39" t="s">
        <v>27</v>
      </c>
      <c r="AB52" s="160">
        <f>+AB48-AB50</f>
        <v>-139049</v>
      </c>
      <c r="AC52" s="21"/>
      <c r="AF52" s="29"/>
      <c r="AG52" s="29"/>
      <c r="AH52" s="47"/>
      <c r="AO52" s="45"/>
      <c r="AQ52" s="37">
        <v>34</v>
      </c>
      <c r="AR52" t="s">
        <v>182</v>
      </c>
      <c r="AU52" s="137">
        <f>+AU48-AT45</f>
        <v>7.362070104897413</v>
      </c>
      <c r="AV52" s="137"/>
      <c r="AW52" s="21"/>
      <c r="AY52" s="36"/>
      <c r="BC52" s="21"/>
      <c r="BD52" s="37"/>
      <c r="BK52" s="21"/>
      <c r="BL52" s="2"/>
      <c r="BM52" s="2"/>
      <c r="BN52" s="2"/>
      <c r="BO52" s="4"/>
      <c r="BS52" t="s">
        <v>300</v>
      </c>
      <c r="BX52" t="s">
        <v>444</v>
      </c>
      <c r="CO52" s="21"/>
      <c r="CS52" s="28"/>
      <c r="CT52" s="28"/>
      <c r="CU52" s="28"/>
      <c r="CV52" s="28"/>
      <c r="CW52" s="98">
        <v>2</v>
      </c>
      <c r="CX52" s="28" t="s">
        <v>272</v>
      </c>
      <c r="CY52" s="33"/>
      <c r="CZ52" s="28"/>
      <c r="DA52" s="29">
        <f>0.0765*DA50</f>
        <v>13065.159599999999</v>
      </c>
      <c r="DB52" s="45" t="s">
        <v>24</v>
      </c>
      <c r="DD52" s="37"/>
      <c r="EJ52" s="28"/>
      <c r="EK52" s="28"/>
      <c r="EL52" s="28"/>
      <c r="EM52" s="28"/>
      <c r="EN52" s="28"/>
      <c r="EO52" s="28"/>
      <c r="EX52" s="28"/>
      <c r="EY52" s="28">
        <v>2001</v>
      </c>
      <c r="EZ52" s="28">
        <v>2002</v>
      </c>
      <c r="FA52" s="28"/>
      <c r="FB52" s="28">
        <v>2003</v>
      </c>
      <c r="FC52" s="28" t="s">
        <v>202</v>
      </c>
      <c r="FD52" s="28" t="s">
        <v>203</v>
      </c>
      <c r="HW52">
        <v>198741</v>
      </c>
      <c r="HY52">
        <v>6972606</v>
      </c>
      <c r="IA52">
        <v>3878247</v>
      </c>
      <c r="IC52">
        <v>5521838</v>
      </c>
      <c r="IE52">
        <v>22171706</v>
      </c>
    </row>
    <row r="53" spans="18:237" ht="15">
      <c r="R53" s="21"/>
      <c r="X53" s="36"/>
      <c r="Y53" s="39"/>
      <c r="AC53" s="21"/>
      <c r="AJ53" s="124"/>
      <c r="AQ53" s="37"/>
      <c r="AU53" s="137"/>
      <c r="AV53" s="137"/>
      <c r="AW53" s="21"/>
      <c r="AY53" s="36">
        <v>21</v>
      </c>
      <c r="AZ53" t="s">
        <v>270</v>
      </c>
      <c r="BB53">
        <f>+GW18</f>
        <v>70085.45787750001</v>
      </c>
      <c r="BC53" s="21">
        <v>34</v>
      </c>
      <c r="BD53" s="44"/>
      <c r="BE53" s="28"/>
      <c r="BF53" s="28"/>
      <c r="BG53" s="28"/>
      <c r="BH53" s="84"/>
      <c r="BK53" s="21"/>
      <c r="BL53" s="2"/>
      <c r="BM53" s="2"/>
      <c r="BN53" s="2"/>
      <c r="BO53" s="4"/>
      <c r="BS53" t="s">
        <v>339</v>
      </c>
      <c r="CJ53" s="37"/>
      <c r="CN53" s="27"/>
      <c r="CO53" s="21"/>
      <c r="CP53" s="24"/>
      <c r="CS53" s="28"/>
      <c r="CT53" s="28"/>
      <c r="CU53" s="28"/>
      <c r="CV53" s="45"/>
      <c r="CW53" s="98"/>
      <c r="CX53" s="28"/>
      <c r="CY53" s="28"/>
      <c r="CZ53" s="28"/>
      <c r="DA53" s="30"/>
      <c r="DB53" s="45"/>
      <c r="DD53" s="37"/>
      <c r="DG53" s="27"/>
      <c r="DH53" s="21"/>
      <c r="EJ53" s="28"/>
      <c r="EK53" s="28"/>
      <c r="EL53" s="28"/>
      <c r="EM53" s="28"/>
      <c r="EN53" s="28"/>
      <c r="EO53" s="28"/>
      <c r="ES53" s="2"/>
      <c r="ET53" s="2"/>
      <c r="EU53" s="2"/>
      <c r="EV53" s="2"/>
      <c r="EW53" s="5"/>
      <c r="EX53" s="44"/>
      <c r="EY53" s="28">
        <v>1285055</v>
      </c>
      <c r="EZ53" s="28">
        <v>1084480</v>
      </c>
      <c r="FA53" s="28"/>
      <c r="FB53" s="28">
        <v>1120046</v>
      </c>
      <c r="FC53" s="124">
        <v>1199918</v>
      </c>
      <c r="FD53" s="124">
        <v>1361626</v>
      </c>
      <c r="HW53">
        <v>6179472</v>
      </c>
      <c r="HY53">
        <v>633005</v>
      </c>
      <c r="IA53">
        <v>39261</v>
      </c>
      <c r="IC53">
        <v>1330133</v>
      </c>
    </row>
    <row r="54" spans="24:237" ht="15">
      <c r="X54" s="36"/>
      <c r="Y54" s="39"/>
      <c r="AI54" s="37"/>
      <c r="AJ54" s="51"/>
      <c r="AN54" s="56"/>
      <c r="AQ54" s="37">
        <v>35</v>
      </c>
      <c r="AR54" t="s">
        <v>183</v>
      </c>
      <c r="AU54" s="133">
        <f>+(AV45/365)-6842</f>
        <v>107551.09863013698</v>
      </c>
      <c r="AW54" s="21" t="s">
        <v>188</v>
      </c>
      <c r="AY54" s="36"/>
      <c r="BC54" s="21"/>
      <c r="BD54" s="44"/>
      <c r="BE54" s="28"/>
      <c r="BF54" s="28"/>
      <c r="BG54" s="28"/>
      <c r="BH54" s="31"/>
      <c r="BK54" s="21"/>
      <c r="BL54" s="7"/>
      <c r="BM54" s="7"/>
      <c r="BN54" s="7"/>
      <c r="BO54" s="4"/>
      <c r="BS54" t="s">
        <v>334</v>
      </c>
      <c r="CJ54" s="37"/>
      <c r="CO54" s="21"/>
      <c r="CS54" s="28"/>
      <c r="CT54" s="28"/>
      <c r="CU54" s="28"/>
      <c r="CV54" s="28"/>
      <c r="CW54" s="98">
        <v>3</v>
      </c>
      <c r="CX54" s="28" t="s">
        <v>32</v>
      </c>
      <c r="CY54" s="86">
        <f>+A50</f>
        <v>0.4036549</v>
      </c>
      <c r="CZ54" s="28"/>
      <c r="DA54" s="191">
        <f>+A50*DA52</f>
        <v>5273.815691822039</v>
      </c>
      <c r="DB54" s="45"/>
      <c r="DD54" s="37"/>
      <c r="DH54" s="21"/>
      <c r="EJ54" s="28"/>
      <c r="EK54" s="28"/>
      <c r="EL54" s="28"/>
      <c r="EM54" s="28"/>
      <c r="EN54" s="28"/>
      <c r="EO54" s="28"/>
      <c r="EX54" s="24"/>
      <c r="FC54" s="27"/>
      <c r="FD54" s="45"/>
      <c r="HW54">
        <v>456049</v>
      </c>
      <c r="HY54">
        <v>13948523</v>
      </c>
      <c r="IA54">
        <v>1066302</v>
      </c>
      <c r="IC54">
        <v>26705375</v>
      </c>
    </row>
    <row r="55" spans="1:239" ht="15">
      <c r="A55" s="19"/>
      <c r="X55" s="36"/>
      <c r="Y55" s="39"/>
      <c r="AE55" s="28"/>
      <c r="AF55" s="28"/>
      <c r="AG55" s="28"/>
      <c r="AH55" s="28"/>
      <c r="AI55" s="37"/>
      <c r="AJ55"/>
      <c r="AK55"/>
      <c r="AL55"/>
      <c r="AM55" t="s">
        <v>110</v>
      </c>
      <c r="AQ55" s="37"/>
      <c r="AW55" s="21"/>
      <c r="AY55" s="36">
        <v>22</v>
      </c>
      <c r="AZ55" t="s">
        <v>323</v>
      </c>
      <c r="BB55">
        <f>+HD16</f>
        <v>17890.353000000003</v>
      </c>
      <c r="BC55" s="21">
        <v>35</v>
      </c>
      <c r="BD55" s="28"/>
      <c r="BE55" s="28"/>
      <c r="BF55" s="28"/>
      <c r="BG55" s="28"/>
      <c r="BH55" s="28"/>
      <c r="BL55" s="2"/>
      <c r="BM55" s="2"/>
      <c r="BO55" s="4"/>
      <c r="BS55" t="s">
        <v>465</v>
      </c>
      <c r="CJ55" s="37"/>
      <c r="CN55" s="114"/>
      <c r="CO55" s="21"/>
      <c r="CP55" s="24"/>
      <c r="CS55" s="28"/>
      <c r="CT55" s="28"/>
      <c r="CU55" s="31"/>
      <c r="CV55" s="28"/>
      <c r="CW55" s="98"/>
      <c r="CX55" s="28"/>
      <c r="CY55" s="28"/>
      <c r="CZ55" s="28"/>
      <c r="DA55" s="28"/>
      <c r="DB55" s="45"/>
      <c r="DD55" s="37"/>
      <c r="DF55" s="2"/>
      <c r="DG55" s="5"/>
      <c r="DH55" s="22"/>
      <c r="EW55" s="12"/>
      <c r="EY55" s="28">
        <v>0</v>
      </c>
      <c r="EZ55" s="28">
        <v>0</v>
      </c>
      <c r="FA55" s="28"/>
      <c r="FB55" s="28">
        <v>33560</v>
      </c>
      <c r="FC55" s="124">
        <v>12258</v>
      </c>
      <c r="FD55" s="124">
        <v>17304</v>
      </c>
      <c r="HW55">
        <v>106640</v>
      </c>
      <c r="HY55">
        <v>823979</v>
      </c>
      <c r="IA55">
        <v>21034030</v>
      </c>
      <c r="IC55">
        <v>505609</v>
      </c>
      <c r="IE55">
        <v>192528</v>
      </c>
    </row>
    <row r="56" spans="22:239" ht="18">
      <c r="V56" t="s">
        <v>106</v>
      </c>
      <c r="X56" s="36"/>
      <c r="Y56" t="s">
        <v>48</v>
      </c>
      <c r="AE56" s="31"/>
      <c r="AF56" s="31"/>
      <c r="AG56" s="31"/>
      <c r="AH56" s="31"/>
      <c r="AI56" s="37"/>
      <c r="AJ56"/>
      <c r="AK56"/>
      <c r="AL56"/>
      <c r="AM56"/>
      <c r="AQ56" s="96">
        <v>36</v>
      </c>
      <c r="AR56" t="s">
        <v>95</v>
      </c>
      <c r="AU56" s="27">
        <f>+AU52*AU54</f>
        <v>791798.7279738046</v>
      </c>
      <c r="AW56" s="21" t="s">
        <v>189</v>
      </c>
      <c r="AY56" s="36"/>
      <c r="BC56" s="21"/>
      <c r="BD56" s="44"/>
      <c r="BE56" s="28"/>
      <c r="BF56" s="28"/>
      <c r="BG56" s="28"/>
      <c r="BH56" s="28"/>
      <c r="BL56" s="2"/>
      <c r="BM56" s="2"/>
      <c r="BO56" s="4"/>
      <c r="BS56" t="s">
        <v>340</v>
      </c>
      <c r="CJ56" s="37"/>
      <c r="CO56" s="21"/>
      <c r="CS56" s="28"/>
      <c r="CT56" s="28"/>
      <c r="CU56" s="28"/>
      <c r="CV56" s="28"/>
      <c r="CW56" s="98">
        <v>4</v>
      </c>
      <c r="CX56" s="28" t="s">
        <v>108</v>
      </c>
      <c r="CY56" s="28"/>
      <c r="CZ56" s="28"/>
      <c r="DA56" s="192">
        <f>+DA52-DA54</f>
        <v>7791.34390817796</v>
      </c>
      <c r="DB56" s="45"/>
      <c r="DD56" s="37"/>
      <c r="DH56" s="21"/>
      <c r="EY56" s="124">
        <v>29753</v>
      </c>
      <c r="EZ56" s="124">
        <v>29753</v>
      </c>
      <c r="FA56" s="124"/>
      <c r="FB56" s="124">
        <v>24161</v>
      </c>
      <c r="FC56" s="124">
        <v>9689</v>
      </c>
      <c r="FD56" s="124">
        <v>0</v>
      </c>
      <c r="HW56">
        <v>505107</v>
      </c>
      <c r="HY56">
        <v>2233276</v>
      </c>
      <c r="IA56">
        <v>37731</v>
      </c>
      <c r="IC56">
        <v>190068</v>
      </c>
      <c r="IE56">
        <v>187599</v>
      </c>
    </row>
    <row r="57" spans="24:239" ht="15">
      <c r="X57" s="36"/>
      <c r="Y57" s="39" t="s">
        <v>229</v>
      </c>
      <c r="AJ57"/>
      <c r="AK57"/>
      <c r="AL57"/>
      <c r="AM57"/>
      <c r="AQ57" s="37"/>
      <c r="AW57" s="21"/>
      <c r="AY57" s="36">
        <v>23</v>
      </c>
      <c r="AZ57" t="s">
        <v>282</v>
      </c>
      <c r="BB57">
        <f>+GJ21</f>
        <v>1136.0374155</v>
      </c>
      <c r="BC57" s="21">
        <v>36</v>
      </c>
      <c r="BD57" s="28"/>
      <c r="BL57" s="15"/>
      <c r="BM57" s="15"/>
      <c r="BN57" s="15"/>
      <c r="BO57" s="4"/>
      <c r="BS57" t="s">
        <v>446</v>
      </c>
      <c r="BZ57" t="s">
        <v>426</v>
      </c>
      <c r="CJ57" s="36"/>
      <c r="CN57" s="27"/>
      <c r="CO57" s="21"/>
      <c r="CP57" s="24"/>
      <c r="CS57" s="28"/>
      <c r="CT57" s="28"/>
      <c r="CU57" s="29"/>
      <c r="CV57" s="45"/>
      <c r="CW57" s="98"/>
      <c r="CX57" s="28"/>
      <c r="CY57" s="28"/>
      <c r="CZ57" s="28"/>
      <c r="DA57" s="28"/>
      <c r="DB57" s="45"/>
      <c r="DD57" s="37"/>
      <c r="DG57" s="17"/>
      <c r="DH57" s="82"/>
      <c r="EW57" s="12"/>
      <c r="EY57" s="124">
        <v>159858</v>
      </c>
      <c r="EZ57" s="124">
        <v>147289</v>
      </c>
      <c r="FA57" s="124"/>
      <c r="FB57" s="124">
        <v>133171</v>
      </c>
      <c r="FC57" s="124">
        <v>162454</v>
      </c>
      <c r="FD57" s="124">
        <v>140808</v>
      </c>
      <c r="HW57">
        <v>5338140</v>
      </c>
      <c r="HY57">
        <v>273234</v>
      </c>
      <c r="IA57">
        <v>1311491</v>
      </c>
      <c r="IC57">
        <v>7505015</v>
      </c>
      <c r="IE57">
        <v>2823799</v>
      </c>
    </row>
    <row r="58" spans="24:237" ht="15.75">
      <c r="X58" s="37"/>
      <c r="Y58" s="39" t="s">
        <v>230</v>
      </c>
      <c r="AD58" s="3"/>
      <c r="AI58" s="37"/>
      <c r="AJ58" s="1" t="str">
        <f>+B4</f>
        <v>KENTUCKY AMERICAN WATER COMPANY</v>
      </c>
      <c r="AK58"/>
      <c r="AL58"/>
      <c r="AM58"/>
      <c r="AQ58" s="37">
        <v>37</v>
      </c>
      <c r="AR58" t="s">
        <v>15</v>
      </c>
      <c r="AU58" s="5">
        <f>+M23</f>
        <v>2495000</v>
      </c>
      <c r="AW58" s="21" t="s">
        <v>190</v>
      </c>
      <c r="AY58" s="36"/>
      <c r="BC58" s="21"/>
      <c r="BD58" s="44"/>
      <c r="BE58" t="s">
        <v>48</v>
      </c>
      <c r="BL58" s="2"/>
      <c r="BM58" s="2"/>
      <c r="BO58" s="4"/>
      <c r="CO58" s="21"/>
      <c r="CS58" s="28"/>
      <c r="CT58" s="28"/>
      <c r="CU58" s="28"/>
      <c r="CV58" s="28"/>
      <c r="DA58" s="3"/>
      <c r="DB58" s="21"/>
      <c r="DD58" s="37"/>
      <c r="DE58" s="9"/>
      <c r="DF58" s="13"/>
      <c r="DG58" s="9"/>
      <c r="DH58" s="21"/>
      <c r="EY58" s="124">
        <v>197556</v>
      </c>
      <c r="EZ58" s="124">
        <v>206359</v>
      </c>
      <c r="FA58" s="124"/>
      <c r="FB58" s="124">
        <v>182997</v>
      </c>
      <c r="FC58" s="124">
        <v>190176</v>
      </c>
      <c r="FD58" s="124">
        <v>230808</v>
      </c>
      <c r="HW58">
        <v>5691313</v>
      </c>
      <c r="HY58">
        <v>6206990</v>
      </c>
      <c r="IA58">
        <v>232735</v>
      </c>
      <c r="IC58">
        <v>18928</v>
      </c>
    </row>
    <row r="59" spans="19:239" ht="15.75">
      <c r="S59" s="1" t="str">
        <f>+B4</f>
        <v>KENTUCKY AMERICAN WATER COMPANY</v>
      </c>
      <c r="T59" s="1"/>
      <c r="U59" s="1"/>
      <c r="Y59" s="39"/>
      <c r="Z59" s="6"/>
      <c r="AA59" s="6"/>
      <c r="AC59" s="45"/>
      <c r="AI59" s="37"/>
      <c r="AJ59"/>
      <c r="AK59"/>
      <c r="AL59"/>
      <c r="AM59"/>
      <c r="AQ59" s="37"/>
      <c r="AW59" s="21"/>
      <c r="AY59" s="36">
        <v>24</v>
      </c>
      <c r="AZ59" t="s">
        <v>255</v>
      </c>
      <c r="BB59">
        <f>+CG22</f>
        <v>4991.408487000001</v>
      </c>
      <c r="BC59" s="21">
        <v>37</v>
      </c>
      <c r="BD59" s="28"/>
      <c r="BE59" t="s">
        <v>464</v>
      </c>
      <c r="BL59" s="2"/>
      <c r="BM59" s="2"/>
      <c r="BO59" s="4"/>
      <c r="CL59" s="40"/>
      <c r="CN59" s="77"/>
      <c r="CO59" s="21"/>
      <c r="CP59" s="24"/>
      <c r="CS59" s="28"/>
      <c r="CT59" s="28"/>
      <c r="CU59" s="30"/>
      <c r="CV59" s="28"/>
      <c r="DB59" s="21"/>
      <c r="DD59" s="37"/>
      <c r="DH59" s="83"/>
      <c r="EY59" s="124">
        <v>0</v>
      </c>
      <c r="EZ59" s="124">
        <v>13245</v>
      </c>
      <c r="FA59" s="124"/>
      <c r="FB59" s="124">
        <v>4359</v>
      </c>
      <c r="FC59" s="124">
        <v>0</v>
      </c>
      <c r="HW59">
        <v>20332</v>
      </c>
      <c r="HY59">
        <v>391653</v>
      </c>
      <c r="IA59">
        <v>10400404</v>
      </c>
      <c r="IC59">
        <v>1077920</v>
      </c>
      <c r="IE59">
        <v>1578661</v>
      </c>
    </row>
    <row r="60" spans="24:239" ht="18">
      <c r="X60" s="24"/>
      <c r="Y60" s="39"/>
      <c r="AC60" s="45"/>
      <c r="AI60" s="37"/>
      <c r="AJ60" s="1" t="str">
        <f>+B6</f>
        <v>FUTURE TEST YEAR ENDING NOVEMBER 30, 2005</v>
      </c>
      <c r="AK60"/>
      <c r="AL60"/>
      <c r="AM60"/>
      <c r="AQ60" s="37">
        <v>38</v>
      </c>
      <c r="AR60" t="s">
        <v>184</v>
      </c>
      <c r="AU60" s="160">
        <f>+AU56-AU58</f>
        <v>-1703201.2720261954</v>
      </c>
      <c r="AW60" s="21"/>
      <c r="AY60" s="36"/>
      <c r="BC60" s="21"/>
      <c r="BD60" s="28"/>
      <c r="BX60" s="1" t="str">
        <f>+B4</f>
        <v>KENTUCKY AMERICAN WATER COMPANY</v>
      </c>
      <c r="CO60" s="21"/>
      <c r="CS60" s="28"/>
      <c r="CT60" s="28"/>
      <c r="CU60" s="28"/>
      <c r="CV60" s="28"/>
      <c r="CX60" t="s">
        <v>48</v>
      </c>
      <c r="CY60" s="2"/>
      <c r="DB60" s="21"/>
      <c r="HW60">
        <v>441927</v>
      </c>
      <c r="HY60">
        <v>429630</v>
      </c>
      <c r="IA60">
        <v>503863</v>
      </c>
      <c r="IC60">
        <v>9585</v>
      </c>
      <c r="IE60">
        <v>167065</v>
      </c>
    </row>
    <row r="61" spans="17:239" ht="15.75">
      <c r="Q61" s="3"/>
      <c r="S61" s="1" t="str">
        <f>+B6</f>
        <v>FUTURE TEST YEAR ENDING NOVEMBER 30, 2005</v>
      </c>
      <c r="T61" s="1"/>
      <c r="U61" s="1"/>
      <c r="Y61" s="39"/>
      <c r="AC61" s="45"/>
      <c r="AJ61"/>
      <c r="AK61"/>
      <c r="AL61"/>
      <c r="AM61"/>
      <c r="AQ61" s="37"/>
      <c r="AU61" s="27"/>
      <c r="AY61" s="36">
        <v>25</v>
      </c>
      <c r="AZ61" t="s">
        <v>322</v>
      </c>
      <c r="BB61">
        <f>-FV19</f>
        <v>-1055.530827</v>
      </c>
      <c r="BC61" s="21">
        <v>38</v>
      </c>
      <c r="BR61" s="37"/>
      <c r="CN61" s="3"/>
      <c r="CO61" s="21"/>
      <c r="CS61" s="28"/>
      <c r="CT61" s="28"/>
      <c r="CU61" s="30"/>
      <c r="CV61" s="28"/>
      <c r="CX61" t="s">
        <v>433</v>
      </c>
      <c r="DB61" s="21"/>
      <c r="EX61" s="24"/>
      <c r="EY61" s="28"/>
      <c r="EZ61" s="28">
        <v>0</v>
      </c>
      <c r="FA61" s="28"/>
      <c r="FB61" s="86"/>
      <c r="FC61" s="60"/>
      <c r="FD61" s="86"/>
      <c r="HW61">
        <v>6818951</v>
      </c>
      <c r="HY61">
        <v>1217773</v>
      </c>
      <c r="IA61">
        <v>1334706</v>
      </c>
      <c r="IC61">
        <v>1021369</v>
      </c>
      <c r="IE61">
        <v>686327</v>
      </c>
    </row>
    <row r="62" spans="36:239" ht="15.75">
      <c r="AJ62" s="1" t="s">
        <v>194</v>
      </c>
      <c r="AK62"/>
      <c r="AL62"/>
      <c r="AM62"/>
      <c r="AN62" s="45"/>
      <c r="AY62" s="37"/>
      <c r="BC62" s="21"/>
      <c r="BE62" s="28"/>
      <c r="BF62" s="28"/>
      <c r="BG62" s="28"/>
      <c r="BH62" s="28"/>
      <c r="BI62" s="28"/>
      <c r="BJ62" s="28"/>
      <c r="BR62" s="37"/>
      <c r="BX62" s="1" t="str">
        <f>+B6</f>
        <v>FUTURE TEST YEAR ENDING NOVEMBER 30, 2005</v>
      </c>
      <c r="CO62" s="21"/>
      <c r="CS62" s="28"/>
      <c r="CT62" s="28"/>
      <c r="CU62" s="28"/>
      <c r="CV62" s="28"/>
      <c r="CX62" t="s">
        <v>273</v>
      </c>
      <c r="DA62" s="12"/>
      <c r="DB62" s="21"/>
      <c r="EY62" s="28"/>
      <c r="EZ62" s="28"/>
      <c r="FA62" s="28"/>
      <c r="FB62" s="28"/>
      <c r="FC62" s="28"/>
      <c r="FD62" s="28"/>
      <c r="HW62">
        <v>5850592</v>
      </c>
      <c r="HY62">
        <v>539797</v>
      </c>
      <c r="IA62">
        <v>925889</v>
      </c>
      <c r="IC62">
        <v>7651</v>
      </c>
      <c r="IE62">
        <v>119573</v>
      </c>
    </row>
    <row r="63" spans="19:239" ht="15.75">
      <c r="S63" s="1" t="s">
        <v>186</v>
      </c>
      <c r="T63" s="1"/>
      <c r="U63" s="1"/>
      <c r="AE63" s="28"/>
      <c r="AF63" s="28"/>
      <c r="AG63" s="28"/>
      <c r="AH63" s="28"/>
      <c r="AJ63"/>
      <c r="AK63"/>
      <c r="AL63"/>
      <c r="AM63" s="21"/>
      <c r="AN63" s="45"/>
      <c r="AR63" t="s">
        <v>48</v>
      </c>
      <c r="AY63" s="37">
        <v>26</v>
      </c>
      <c r="AZ63" t="s">
        <v>398</v>
      </c>
      <c r="BB63">
        <f>+HI27</f>
        <v>192902.88120909044</v>
      </c>
      <c r="BC63" s="21">
        <v>39</v>
      </c>
      <c r="BE63" s="28"/>
      <c r="BF63" s="28"/>
      <c r="BG63" s="28"/>
      <c r="BH63" s="28"/>
      <c r="BI63" s="28"/>
      <c r="BJ63" s="28"/>
      <c r="BR63" s="37"/>
      <c r="BT63" s="40"/>
      <c r="CO63" s="21"/>
      <c r="CS63" s="28"/>
      <c r="CT63" s="28"/>
      <c r="CU63" s="31"/>
      <c r="CV63" s="28"/>
      <c r="DB63" s="21"/>
      <c r="DF63" s="2"/>
      <c r="EX63" s="24" t="s">
        <v>223</v>
      </c>
      <c r="EY63" s="28">
        <f>+EY53-SUM(EY55:EY61)</f>
        <v>897888</v>
      </c>
      <c r="EZ63" s="28">
        <f>+EZ53-SUM(EZ55:EZ61)</f>
        <v>687834</v>
      </c>
      <c r="FA63" s="28"/>
      <c r="FB63" s="28">
        <f>+FB53-SUM(FB55:FB61)</f>
        <v>741798</v>
      </c>
      <c r="FC63" s="28">
        <f>+FC53-SUM(FC55:FC61)</f>
        <v>825341</v>
      </c>
      <c r="FD63" s="28">
        <f>+FD53-SUM(FD55:FD61)</f>
        <v>972706</v>
      </c>
      <c r="HY63">
        <v>8556221</v>
      </c>
      <c r="IA63">
        <v>3599870</v>
      </c>
      <c r="IC63">
        <v>3025831</v>
      </c>
      <c r="IE63">
        <v>3100291</v>
      </c>
    </row>
    <row r="64" spans="31:239" ht="15.75">
      <c r="AE64" s="28"/>
      <c r="AF64" s="28"/>
      <c r="AG64" s="28"/>
      <c r="AH64" s="28"/>
      <c r="AM64" s="163"/>
      <c r="AN64" s="63"/>
      <c r="AR64" t="s">
        <v>240</v>
      </c>
      <c r="AY64" s="37"/>
      <c r="BC64" s="21"/>
      <c r="BE64" s="28"/>
      <c r="BF64" s="28"/>
      <c r="BG64" s="28"/>
      <c r="BH64" s="28"/>
      <c r="BI64" s="28"/>
      <c r="BJ64" s="28"/>
      <c r="BR64" s="37"/>
      <c r="BX64" s="1" t="s">
        <v>290</v>
      </c>
      <c r="CO64" s="21"/>
      <c r="CS64" s="28"/>
      <c r="CT64" s="28"/>
      <c r="CU64" s="28"/>
      <c r="CV64" s="28"/>
      <c r="EY64" s="28"/>
      <c r="EZ64" s="28"/>
      <c r="FA64" s="28"/>
      <c r="FB64" s="33"/>
      <c r="FC64" s="33"/>
      <c r="FD64" s="33"/>
      <c r="HY64">
        <v>14879</v>
      </c>
      <c r="IA64">
        <v>145469</v>
      </c>
      <c r="IC64">
        <v>179207</v>
      </c>
      <c r="IE64">
        <v>176161</v>
      </c>
    </row>
    <row r="65" spans="23:239" ht="15">
      <c r="W65" s="21"/>
      <c r="AE65" s="28"/>
      <c r="AF65" s="28"/>
      <c r="AG65" s="28"/>
      <c r="AH65" s="28"/>
      <c r="AR65" t="s">
        <v>241</v>
      </c>
      <c r="AY65" s="37">
        <v>27</v>
      </c>
      <c r="AZ65" t="s">
        <v>61</v>
      </c>
      <c r="BB65" s="16">
        <f>-DZ21</f>
        <v>-249681.66684066955</v>
      </c>
      <c r="BC65" s="21">
        <v>40</v>
      </c>
      <c r="BE65" s="28"/>
      <c r="BF65" s="28"/>
      <c r="BG65" s="28"/>
      <c r="BH65" s="28"/>
      <c r="BI65" s="28"/>
      <c r="BJ65" s="28"/>
      <c r="BU65" t="s">
        <v>308</v>
      </c>
      <c r="BW65" s="28"/>
      <c r="BX65" s="28"/>
      <c r="BY65" s="28"/>
      <c r="BZ65" s="28"/>
      <c r="CA65" s="28"/>
      <c r="CB65" s="45"/>
      <c r="CN65" s="17"/>
      <c r="CO65" s="9"/>
      <c r="CS65" s="28"/>
      <c r="CT65" s="28"/>
      <c r="CU65" s="28"/>
      <c r="CV65" s="28"/>
      <c r="EX65" s="24"/>
      <c r="HY65">
        <v>450790</v>
      </c>
      <c r="IA65">
        <v>12287927</v>
      </c>
      <c r="IC65">
        <v>3042521</v>
      </c>
      <c r="IE65">
        <v>234863</v>
      </c>
    </row>
    <row r="66" spans="18:239" ht="15">
      <c r="R66" s="36"/>
      <c r="W66" s="21"/>
      <c r="X66" s="24"/>
      <c r="Y66" s="39"/>
      <c r="AC66" s="21"/>
      <c r="AE66" s="28"/>
      <c r="AF66" s="28"/>
      <c r="AG66" s="28"/>
      <c r="AH66" s="28"/>
      <c r="AR66" t="s">
        <v>242</v>
      </c>
      <c r="BC66" s="21"/>
      <c r="BE66" s="28"/>
      <c r="BF66" s="28"/>
      <c r="BG66" s="28"/>
      <c r="BH66" s="28"/>
      <c r="BI66" s="28"/>
      <c r="BJ66" s="28"/>
      <c r="BW66" s="45"/>
      <c r="BX66" s="45"/>
      <c r="BY66" s="45"/>
      <c r="BZ66" s="45"/>
      <c r="CA66" s="45"/>
      <c r="CB66" s="45"/>
      <c r="CN66" s="9"/>
      <c r="CO66" s="9"/>
      <c r="CS66" s="28"/>
      <c r="CT66" s="28"/>
      <c r="CU66" s="28"/>
      <c r="CV66" s="28"/>
      <c r="FC66">
        <f>+SUM(EY63:FC63)/4</f>
        <v>788215.25</v>
      </c>
      <c r="HY66">
        <v>6944245</v>
      </c>
      <c r="IA66">
        <v>586304</v>
      </c>
      <c r="IC66">
        <v>676275</v>
      </c>
      <c r="IE66">
        <v>164924</v>
      </c>
    </row>
    <row r="67" spans="18:239" ht="15.75">
      <c r="R67" s="36"/>
      <c r="W67" s="21"/>
      <c r="AC67" s="21"/>
      <c r="AE67" s="28"/>
      <c r="AF67" s="28"/>
      <c r="AG67" s="28"/>
      <c r="AH67" s="28"/>
      <c r="AI67" s="97">
        <v>1</v>
      </c>
      <c r="AJ67" s="51" t="s">
        <v>234</v>
      </c>
      <c r="AM67" s="116">
        <f>-AG26</f>
        <v>4570991</v>
      </c>
      <c r="AN67" s="45" t="s">
        <v>16</v>
      </c>
      <c r="AQ67" s="28"/>
      <c r="AR67" t="s">
        <v>243</v>
      </c>
      <c r="AY67">
        <v>28</v>
      </c>
      <c r="AZ67" t="s">
        <v>62</v>
      </c>
      <c r="BB67" s="204">
        <f>SUM(BB11:BB65)</f>
        <v>10562553.561081398</v>
      </c>
      <c r="BC67" s="21"/>
      <c r="BJ67" s="28"/>
      <c r="BW67" s="45"/>
      <c r="BX67" s="45"/>
      <c r="BY67" s="45"/>
      <c r="BZ67" s="45"/>
      <c r="CA67" s="45"/>
      <c r="CB67" s="45"/>
      <c r="CL67" s="2"/>
      <c r="CM67" s="2"/>
      <c r="CN67" s="14"/>
      <c r="CO67" s="9"/>
      <c r="CQ67" s="24"/>
      <c r="CS67" s="28"/>
      <c r="CT67" s="28"/>
      <c r="CU67" s="28"/>
      <c r="CV67" s="28"/>
      <c r="EX67" s="24"/>
      <c r="FD67" s="28"/>
      <c r="HY67">
        <v>555828</v>
      </c>
      <c r="IA67">
        <v>535523</v>
      </c>
      <c r="IC67">
        <v>6072890</v>
      </c>
      <c r="IE67">
        <v>4337965</v>
      </c>
    </row>
    <row r="68" spans="18:239" ht="15.75">
      <c r="R68" s="36">
        <v>1</v>
      </c>
      <c r="S68" s="39" t="s">
        <v>15</v>
      </c>
      <c r="V68" s="106">
        <v>6124953</v>
      </c>
      <c r="W68" s="21" t="s">
        <v>16</v>
      </c>
      <c r="X68" s="24"/>
      <c r="AC68" s="21"/>
      <c r="AE68" s="28"/>
      <c r="AF68" s="28"/>
      <c r="AG68" s="28"/>
      <c r="AH68" s="28"/>
      <c r="AI68" s="97"/>
      <c r="AJ68" s="51"/>
      <c r="AM68" s="116"/>
      <c r="AN68" s="142"/>
      <c r="AQ68" s="28"/>
      <c r="AR68" t="s">
        <v>244</v>
      </c>
      <c r="BC68" s="21"/>
      <c r="BJ68" s="28"/>
      <c r="BS68" s="1" t="str">
        <f>+B4</f>
        <v>KENTUCKY AMERICAN WATER COMPANY</v>
      </c>
      <c r="BW68" s="111">
        <v>1</v>
      </c>
      <c r="BX68" s="48" t="s">
        <v>324</v>
      </c>
      <c r="BY68" s="48"/>
      <c r="BZ68" s="48"/>
      <c r="CA68" s="195">
        <f>+(1553.43+1385.52)/2</f>
        <v>1469.475</v>
      </c>
      <c r="CB68" s="45" t="s">
        <v>16</v>
      </c>
      <c r="CS68" s="28"/>
      <c r="CT68" s="28"/>
      <c r="CU68" s="28"/>
      <c r="CV68" s="28"/>
      <c r="EX68" s="28"/>
      <c r="EY68" s="28"/>
      <c r="EZ68" s="28" t="s">
        <v>143</v>
      </c>
      <c r="FA68" s="28"/>
      <c r="FB68" s="28"/>
      <c r="FC68" s="28">
        <f>+(EY63+EZ63+FB63)/3</f>
        <v>775840</v>
      </c>
      <c r="FD68" s="28"/>
      <c r="IA68">
        <v>5900848</v>
      </c>
      <c r="IC68">
        <v>3858291</v>
      </c>
      <c r="IE68">
        <v>2158771</v>
      </c>
    </row>
    <row r="69" spans="18:160" ht="15">
      <c r="R69" s="36"/>
      <c r="S69" s="39"/>
      <c r="W69" s="21"/>
      <c r="AC69" s="21"/>
      <c r="AD69" s="28"/>
      <c r="AE69" s="28"/>
      <c r="AF69" s="28"/>
      <c r="AG69" s="28"/>
      <c r="AH69" s="28"/>
      <c r="AI69" s="97">
        <v>2</v>
      </c>
      <c r="AJ69" s="51" t="s">
        <v>32</v>
      </c>
      <c r="AL69" s="86">
        <f>+A50</f>
        <v>0.4036549</v>
      </c>
      <c r="AM69" s="166">
        <f>+A50*AM67</f>
        <v>1845102.9150059</v>
      </c>
      <c r="AN69" s="143"/>
      <c r="AQ69" s="28"/>
      <c r="AR69" t="s">
        <v>451</v>
      </c>
      <c r="BC69" s="21"/>
      <c r="BJ69" s="28"/>
      <c r="BX69" s="48"/>
      <c r="BY69" s="48"/>
      <c r="BZ69" s="48"/>
      <c r="CA69" s="48"/>
      <c r="CB69" s="45"/>
      <c r="CL69" s="28"/>
      <c r="CM69" s="28"/>
      <c r="CS69" s="28"/>
      <c r="CT69" s="28"/>
      <c r="CU69" s="31"/>
      <c r="CV69" s="28"/>
      <c r="EX69" s="28"/>
      <c r="EY69" s="28"/>
      <c r="EZ69" s="28" t="s">
        <v>382</v>
      </c>
      <c r="FA69" s="28"/>
      <c r="FB69" s="28"/>
      <c r="FC69" s="28">
        <f>+(EZ63+FB63+FC63)/3</f>
        <v>751657.6666666666</v>
      </c>
      <c r="FD69" s="28"/>
    </row>
    <row r="70" spans="18:240" ht="18">
      <c r="R70" s="36">
        <v>2</v>
      </c>
      <c r="S70" s="39" t="s">
        <v>27</v>
      </c>
      <c r="V70" s="159">
        <f>-V68</f>
        <v>-6124953</v>
      </c>
      <c r="W70" s="21" t="s">
        <v>24</v>
      </c>
      <c r="AC70" s="21"/>
      <c r="AD70" s="28"/>
      <c r="AI70" s="97"/>
      <c r="AJ70" s="51"/>
      <c r="AM70" s="44"/>
      <c r="AN70" s="142"/>
      <c r="AQ70" s="28"/>
      <c r="AR70" t="s">
        <v>245</v>
      </c>
      <c r="BC70" s="21"/>
      <c r="BJ70" s="28"/>
      <c r="BS70" s="1" t="str">
        <f>+B6</f>
        <v>FUTURE TEST YEAR ENDING NOVEMBER 30, 2005</v>
      </c>
      <c r="BW70" s="98">
        <v>2</v>
      </c>
      <c r="BX70" s="48" t="s">
        <v>325</v>
      </c>
      <c r="BY70" s="48"/>
      <c r="BZ70" s="48"/>
      <c r="CA70" s="195">
        <f>+CA68*365/1000</f>
        <v>536.358375</v>
      </c>
      <c r="CB70" s="45" t="s">
        <v>24</v>
      </c>
      <c r="CK70" s="28"/>
      <c r="CL70" s="28"/>
      <c r="CM70" s="30"/>
      <c r="CS70" s="28"/>
      <c r="CT70" s="28"/>
      <c r="CU70" s="28"/>
      <c r="CV70" s="28"/>
      <c r="EX70" s="28"/>
      <c r="FD70" s="28"/>
      <c r="HV70" t="s">
        <v>387</v>
      </c>
      <c r="HW70">
        <f>SUM(HW39:HW69)</f>
        <v>156370811</v>
      </c>
      <c r="HX70">
        <f>SUM(HX39:HX69)</f>
        <v>0</v>
      </c>
      <c r="HY70">
        <f>SUM(HY39:HY69)</f>
        <v>183669032</v>
      </c>
      <c r="HZ70">
        <f>SUM(HZ39:HZ69)</f>
        <v>0</v>
      </c>
      <c r="IA70">
        <f>SUM(IA39:IA69)</f>
        <v>222825060</v>
      </c>
      <c r="IB70">
        <f>SUM(IB39:IB69)</f>
        <v>0</v>
      </c>
      <c r="IC70">
        <f>SUM(IC39:IC69)</f>
        <v>215202579</v>
      </c>
      <c r="ID70">
        <f>SUM(ID39:ID69)</f>
        <v>0</v>
      </c>
      <c r="IE70">
        <f>SUM(IE39:IE69)</f>
        <v>138688168</v>
      </c>
      <c r="IF70">
        <f>SUM(IF39:IF69)</f>
        <v>0</v>
      </c>
    </row>
    <row r="71" spans="18:100" ht="18">
      <c r="R71" s="36"/>
      <c r="S71" s="39"/>
      <c r="W71" s="21"/>
      <c r="X71" s="28"/>
      <c r="Y71" s="28"/>
      <c r="Z71" s="28"/>
      <c r="AA71" s="28"/>
      <c r="AB71" s="28"/>
      <c r="AC71" s="45"/>
      <c r="AD71" s="28"/>
      <c r="AI71" s="97">
        <v>3</v>
      </c>
      <c r="AJ71" s="51" t="s">
        <v>27</v>
      </c>
      <c r="AM71" s="165">
        <f>+AM69</f>
        <v>1845102.9150059</v>
      </c>
      <c r="AN71" s="58"/>
      <c r="AQ71" s="28"/>
      <c r="AR71" t="s">
        <v>246</v>
      </c>
      <c r="BC71" s="21"/>
      <c r="BJ71" s="28"/>
      <c r="BX71" s="48"/>
      <c r="BY71" s="48"/>
      <c r="BZ71" s="48"/>
      <c r="CA71" s="48"/>
      <c r="CB71" s="45"/>
      <c r="CK71" s="124"/>
      <c r="CL71" s="28"/>
      <c r="CM71" s="28"/>
      <c r="CS71" s="28"/>
      <c r="CT71" s="28"/>
      <c r="CU71" s="28"/>
      <c r="CV71" s="28"/>
    </row>
    <row r="72" spans="18:240" ht="18">
      <c r="R72" s="36"/>
      <c r="S72" s="39"/>
      <c r="V72" s="160"/>
      <c r="W72" s="21"/>
      <c r="X72" s="28"/>
      <c r="Y72" s="28"/>
      <c r="Z72" s="28"/>
      <c r="AA72" s="28"/>
      <c r="AB72" s="28"/>
      <c r="AC72" s="45"/>
      <c r="AD72" s="28"/>
      <c r="AJ72" s="51"/>
      <c r="AM72" s="44"/>
      <c r="AN72" s="57"/>
      <c r="AQ72" s="28"/>
      <c r="BC72" s="21"/>
      <c r="BE72" s="1"/>
      <c r="BF72" s="1"/>
      <c r="BG72" s="1"/>
      <c r="BJ72" s="28"/>
      <c r="BS72" s="1" t="s">
        <v>251</v>
      </c>
      <c r="BW72" s="111">
        <v>3</v>
      </c>
      <c r="BX72" s="46" t="s">
        <v>285</v>
      </c>
      <c r="BY72" s="46"/>
      <c r="BZ72" s="46"/>
      <c r="CA72" s="85">
        <f>+BU81</f>
        <v>8289</v>
      </c>
      <c r="CB72" s="45" t="s">
        <v>30</v>
      </c>
      <c r="CS72" s="28"/>
      <c r="CT72" s="28"/>
      <c r="CU72" s="28"/>
      <c r="CV72" s="28"/>
      <c r="HV72" t="s">
        <v>97</v>
      </c>
      <c r="HW72">
        <f>+HW33+HW70</f>
        <v>159679534</v>
      </c>
      <c r="HX72">
        <f aca="true" t="shared" si="3" ref="HX72:IF72">+HX33+HX70</f>
        <v>30283194</v>
      </c>
      <c r="HY72">
        <f t="shared" si="3"/>
        <v>185827625</v>
      </c>
      <c r="HZ72">
        <f t="shared" si="3"/>
        <v>39700450</v>
      </c>
      <c r="IA72">
        <f t="shared" si="3"/>
        <v>224065688</v>
      </c>
      <c r="IB72">
        <f t="shared" si="3"/>
        <v>39058757</v>
      </c>
      <c r="IC72">
        <f t="shared" si="3"/>
        <v>219475964</v>
      </c>
      <c r="ID72">
        <f t="shared" si="3"/>
        <v>30507503</v>
      </c>
      <c r="IE72">
        <f t="shared" si="3"/>
        <v>194396985</v>
      </c>
      <c r="IF72">
        <f t="shared" si="3"/>
        <v>32084301</v>
      </c>
    </row>
    <row r="73" spans="18:100" ht="15.75">
      <c r="R73" s="36"/>
      <c r="W73" s="21"/>
      <c r="X73" s="69"/>
      <c r="Y73" s="28"/>
      <c r="Z73" s="28"/>
      <c r="AA73" s="28"/>
      <c r="AB73" s="28"/>
      <c r="AC73" s="45"/>
      <c r="AD73" s="28"/>
      <c r="AE73" s="1"/>
      <c r="AI73" s="37"/>
      <c r="AJ73" s="51"/>
      <c r="AM73" s="44"/>
      <c r="AN73" s="58"/>
      <c r="AQ73" s="28"/>
      <c r="BC73" s="21"/>
      <c r="BJ73" s="28"/>
      <c r="BR73" s="28"/>
      <c r="BS73" s="28"/>
      <c r="BT73" s="28"/>
      <c r="BU73" s="28"/>
      <c r="BV73" s="28"/>
      <c r="BW73" s="98"/>
      <c r="CB73" s="45"/>
      <c r="CS73" s="28"/>
      <c r="CT73" s="28"/>
      <c r="CU73" s="28"/>
      <c r="CV73" s="28"/>
    </row>
    <row r="74" spans="18:239" ht="15.75">
      <c r="R74" s="36"/>
      <c r="X74" s="28"/>
      <c r="Y74" s="28"/>
      <c r="Z74" s="28"/>
      <c r="AA74" s="28"/>
      <c r="AB74" s="28"/>
      <c r="AC74" s="45"/>
      <c r="AD74" s="28"/>
      <c r="AI74" s="37"/>
      <c r="AJ74" s="51"/>
      <c r="AM74" s="52"/>
      <c r="AN74" s="58"/>
      <c r="AQ74" s="28"/>
      <c r="BC74" s="21"/>
      <c r="BE74" s="1"/>
      <c r="BJ74" s="28"/>
      <c r="BR74" s="28"/>
      <c r="BS74" s="28"/>
      <c r="BT74" s="45" t="s">
        <v>202</v>
      </c>
      <c r="BU74" s="45" t="s">
        <v>203</v>
      </c>
      <c r="BV74" s="45"/>
      <c r="BW74" s="111">
        <v>4</v>
      </c>
      <c r="BX74" s="28" t="s">
        <v>326</v>
      </c>
      <c r="BY74" s="28"/>
      <c r="BZ74" s="28"/>
      <c r="CA74" s="28">
        <f>+CA70*CA72</f>
        <v>4445874.570375</v>
      </c>
      <c r="CB74" s="45" t="s">
        <v>40</v>
      </c>
      <c r="CS74" s="28"/>
      <c r="CT74" s="28"/>
      <c r="CU74" s="28"/>
      <c r="CV74" s="28"/>
      <c r="FD74">
        <f>SUM(FD54:FD58)</f>
        <v>388920</v>
      </c>
      <c r="HV74" t="s">
        <v>388</v>
      </c>
      <c r="HW74">
        <v>6818951</v>
      </c>
      <c r="HY74">
        <v>6944245</v>
      </c>
      <c r="IA74">
        <v>535523</v>
      </c>
      <c r="IC74">
        <v>6072890</v>
      </c>
      <c r="IE74">
        <v>4337965</v>
      </c>
    </row>
    <row r="75" spans="18:80" ht="15.75">
      <c r="R75" s="36"/>
      <c r="X75" s="69"/>
      <c r="Y75" s="28"/>
      <c r="Z75" s="28"/>
      <c r="AA75" s="28"/>
      <c r="AB75" s="28"/>
      <c r="AC75" s="45"/>
      <c r="AD75" s="28"/>
      <c r="AE75" s="1"/>
      <c r="AI75" s="37"/>
      <c r="AJ75" s="51"/>
      <c r="AN75" s="58"/>
      <c r="AQ75" s="28"/>
      <c r="BC75" s="21"/>
      <c r="BJ75" s="28"/>
      <c r="BR75" s="28"/>
      <c r="BS75" s="28"/>
      <c r="BT75" s="23" t="s">
        <v>247</v>
      </c>
      <c r="BU75" s="23" t="s">
        <v>247</v>
      </c>
      <c r="BV75" s="45"/>
      <c r="BW75" s="98"/>
      <c r="BX75" s="28"/>
      <c r="BY75" s="28"/>
      <c r="BZ75" s="28"/>
      <c r="CA75" s="28"/>
      <c r="CB75" s="45"/>
    </row>
    <row r="76" spans="2:239" ht="15.75">
      <c r="B76" s="1"/>
      <c r="C76" s="28"/>
      <c r="D76" s="28"/>
      <c r="E76" s="28"/>
      <c r="F76" s="28"/>
      <c r="G76" s="28"/>
      <c r="H76" s="28"/>
      <c r="I76" s="28"/>
      <c r="R76" s="36"/>
      <c r="S76" t="s">
        <v>48</v>
      </c>
      <c r="X76" s="28"/>
      <c r="Y76" s="28"/>
      <c r="Z76" s="28"/>
      <c r="AA76" s="28"/>
      <c r="AB76" s="28"/>
      <c r="AC76" s="45"/>
      <c r="AD76" s="28"/>
      <c r="AI76" s="96"/>
      <c r="AJ76" s="51"/>
      <c r="AN76" s="59"/>
      <c r="AQ76" s="28"/>
      <c r="BC76" s="21"/>
      <c r="BE76" s="1"/>
      <c r="BJ76" s="28"/>
      <c r="BT76" s="21" t="s">
        <v>16</v>
      </c>
      <c r="BU76" s="21" t="s">
        <v>24</v>
      </c>
      <c r="BV76" s="46"/>
      <c r="BW76" s="111">
        <v>5</v>
      </c>
      <c r="BX76" s="175" t="s">
        <v>327</v>
      </c>
      <c r="BY76" s="175"/>
      <c r="BZ76" s="175"/>
      <c r="CA76" s="194">
        <f>+(1/0.748)*CA74</f>
        <v>5943682.580715241</v>
      </c>
      <c r="CB76" s="45" t="s">
        <v>52</v>
      </c>
      <c r="HW76" s="40">
        <f>+HW74/HW72</f>
        <v>0.042703976077485294</v>
      </c>
      <c r="HY76" s="40">
        <f aca="true" t="shared" si="4" ref="HY76:IE76">+HY74/HY72</f>
        <v>0.03736928241966177</v>
      </c>
      <c r="HZ76" s="40"/>
      <c r="IA76" s="40">
        <f t="shared" si="4"/>
        <v>0.0023900268032113867</v>
      </c>
      <c r="IB76" s="40"/>
      <c r="IC76" s="40">
        <f t="shared" si="4"/>
        <v>0.02766995478375026</v>
      </c>
      <c r="ID76" s="40"/>
      <c r="IE76" s="40">
        <f t="shared" si="4"/>
        <v>0.022314980862486112</v>
      </c>
    </row>
    <row r="77" spans="3:80" ht="15.75">
      <c r="C77" s="28"/>
      <c r="D77" s="28"/>
      <c r="E77" s="28"/>
      <c r="F77" s="28"/>
      <c r="G77" s="28"/>
      <c r="H77" s="28"/>
      <c r="I77" s="28"/>
      <c r="P77" s="3"/>
      <c r="R77" s="21"/>
      <c r="S77" s="39" t="s">
        <v>229</v>
      </c>
      <c r="X77" s="69"/>
      <c r="Y77" s="28"/>
      <c r="Z77" s="28"/>
      <c r="AA77" s="28"/>
      <c r="AB77" s="28"/>
      <c r="AC77" s="45"/>
      <c r="AD77" s="28"/>
      <c r="AE77" s="1"/>
      <c r="AI77" s="37"/>
      <c r="AJ77" t="s">
        <v>48</v>
      </c>
      <c r="AN77" s="58"/>
      <c r="AQ77" s="28"/>
      <c r="BC77" s="21"/>
      <c r="BJ77" s="28"/>
      <c r="BR77" s="111">
        <v>1</v>
      </c>
      <c r="BS77" s="28" t="s">
        <v>140</v>
      </c>
      <c r="BT77" s="48">
        <f>101228/12</f>
        <v>8435.666666666666</v>
      </c>
      <c r="BU77" s="46">
        <v>8239</v>
      </c>
      <c r="BV77" s="48"/>
      <c r="BW77" s="98"/>
      <c r="BX77" s="28"/>
      <c r="BY77" s="28"/>
      <c r="BZ77" s="28"/>
      <c r="CA77" s="28"/>
      <c r="CB77" s="45"/>
    </row>
    <row r="78" spans="2:240" ht="15.75">
      <c r="B78" s="1"/>
      <c r="C78" s="28"/>
      <c r="D78" s="28"/>
      <c r="E78" s="28"/>
      <c r="F78" s="28"/>
      <c r="G78" s="28"/>
      <c r="H78" s="28"/>
      <c r="I78" s="28"/>
      <c r="S78" s="39" t="s">
        <v>230</v>
      </c>
      <c r="X78" s="28"/>
      <c r="Y78" s="28"/>
      <c r="Z78" s="28"/>
      <c r="AA78" s="28"/>
      <c r="AB78" s="28"/>
      <c r="AC78" s="45"/>
      <c r="AD78" s="28"/>
      <c r="AE78" s="28"/>
      <c r="AF78" s="69"/>
      <c r="AG78" s="28"/>
      <c r="AH78" s="28"/>
      <c r="AI78" s="37"/>
      <c r="AJ78" s="39" t="s">
        <v>421</v>
      </c>
      <c r="AN78" s="58"/>
      <c r="AQ78" s="31"/>
      <c r="AT78" s="57"/>
      <c r="AU78" s="55"/>
      <c r="AV78" s="55"/>
      <c r="AW78" s="55"/>
      <c r="BC78" s="21"/>
      <c r="BJ78" s="28"/>
      <c r="BR78" s="98">
        <v>2</v>
      </c>
      <c r="BS78" s="28" t="s">
        <v>141</v>
      </c>
      <c r="BT78" s="48">
        <v>46.416666666666664</v>
      </c>
      <c r="BU78" s="48">
        <v>50</v>
      </c>
      <c r="BV78" s="48"/>
      <c r="BW78" s="111">
        <v>6</v>
      </c>
      <c r="BX78" s="174" t="s">
        <v>15</v>
      </c>
      <c r="BY78" s="174"/>
      <c r="BZ78" s="174"/>
      <c r="CA78" s="151">
        <f>5453086+5202</f>
        <v>5458288</v>
      </c>
      <c r="CB78" s="45" t="s">
        <v>30</v>
      </c>
      <c r="HV78" t="s">
        <v>386</v>
      </c>
      <c r="HX78">
        <f>+HW76*HX72</f>
        <v>1293212.7921258463</v>
      </c>
      <c r="HZ78">
        <f aca="true" t="shared" si="5" ref="HZ78:IF78">+HY76*HZ72</f>
        <v>1483577.328237661</v>
      </c>
      <c r="IB78">
        <f t="shared" si="5"/>
        <v>93351.47613012037</v>
      </c>
      <c r="ID78">
        <f t="shared" si="5"/>
        <v>844141.2285751253</v>
      </c>
      <c r="IE78">
        <f t="shared" si="5"/>
        <v>0</v>
      </c>
      <c r="IF78">
        <f t="shared" si="5"/>
        <v>715960.562801244</v>
      </c>
    </row>
    <row r="79" spans="3:80" ht="15">
      <c r="C79" s="28"/>
      <c r="D79" s="28"/>
      <c r="E79" s="28"/>
      <c r="F79" s="28"/>
      <c r="G79" s="28"/>
      <c r="H79" s="28"/>
      <c r="I79" s="28"/>
      <c r="S79" s="39"/>
      <c r="X79" s="28"/>
      <c r="Y79" s="28"/>
      <c r="Z79" s="28"/>
      <c r="AA79" s="28"/>
      <c r="AB79" s="28"/>
      <c r="AC79" s="89"/>
      <c r="AD79" s="28"/>
      <c r="AE79" s="51"/>
      <c r="AF79" s="28"/>
      <c r="AG79" s="45"/>
      <c r="AH79" s="45"/>
      <c r="AI79" s="37"/>
      <c r="AJ79" s="51"/>
      <c r="AN79" s="58"/>
      <c r="AT79" s="57"/>
      <c r="AU79" s="56"/>
      <c r="AV79" s="56"/>
      <c r="AW79" s="56"/>
      <c r="BC79" s="21"/>
      <c r="BI79" s="21"/>
      <c r="BJ79" s="28"/>
      <c r="BR79" s="111">
        <v>3</v>
      </c>
      <c r="BS79" s="28" t="s">
        <v>142</v>
      </c>
      <c r="BT79" s="158">
        <v>0</v>
      </c>
      <c r="BU79" s="158">
        <v>0</v>
      </c>
      <c r="BV79" s="48"/>
      <c r="BW79" s="98"/>
      <c r="BX79" s="28"/>
      <c r="BY79" s="28"/>
      <c r="BZ79" s="28"/>
      <c r="CA79" s="28"/>
      <c r="CB79" s="45"/>
    </row>
    <row r="80" spans="2:80" ht="15.75">
      <c r="B80" s="1"/>
      <c r="C80" s="28"/>
      <c r="D80" s="28"/>
      <c r="E80" s="28"/>
      <c r="F80" s="69"/>
      <c r="G80" s="28"/>
      <c r="H80" s="28"/>
      <c r="I80" s="28"/>
      <c r="S80" s="39"/>
      <c r="T80" s="28"/>
      <c r="U80" s="28"/>
      <c r="V80" s="28"/>
      <c r="W80" s="28"/>
      <c r="X80" s="28"/>
      <c r="Y80" s="28"/>
      <c r="Z80" s="28"/>
      <c r="AA80" s="28"/>
      <c r="AB80" s="28"/>
      <c r="AC80" s="89"/>
      <c r="AD80" s="31"/>
      <c r="AE80" s="70"/>
      <c r="AF80" s="33"/>
      <c r="AG80" s="107"/>
      <c r="AH80" s="107"/>
      <c r="AI80" s="96"/>
      <c r="AJ80" s="51"/>
      <c r="AN80" s="59"/>
      <c r="AT80" s="57"/>
      <c r="AU80" s="109"/>
      <c r="AV80" s="109"/>
      <c r="AW80" s="55"/>
      <c r="BC80" s="21"/>
      <c r="BD80" s="24"/>
      <c r="BH80" s="27"/>
      <c r="BI80" s="21"/>
      <c r="BJ80" s="28"/>
      <c r="BR80" s="98"/>
      <c r="BS80" s="28"/>
      <c r="BT80" s="48"/>
      <c r="BU80" s="48"/>
      <c r="BV80" s="48"/>
      <c r="BW80" s="98">
        <v>7</v>
      </c>
      <c r="BX80" s="146" t="s">
        <v>27</v>
      </c>
      <c r="BY80" s="146"/>
      <c r="BZ80" s="146"/>
      <c r="CA80" s="174">
        <f>+CA76-CA78</f>
        <v>485394.5807152409</v>
      </c>
      <c r="CB80" s="45"/>
    </row>
    <row r="81" spans="3:240" ht="15">
      <c r="C81" s="28"/>
      <c r="D81" s="28"/>
      <c r="E81" s="28"/>
      <c r="F81" s="28"/>
      <c r="G81" s="28"/>
      <c r="H81" s="28"/>
      <c r="I81" s="28"/>
      <c r="T81" s="44"/>
      <c r="U81" s="44"/>
      <c r="V81" s="44"/>
      <c r="W81" s="44"/>
      <c r="X81" s="28"/>
      <c r="Y81" s="28"/>
      <c r="Z81" s="28"/>
      <c r="AA81" s="28"/>
      <c r="AB81" s="28"/>
      <c r="AC81" s="91"/>
      <c r="AD81" s="28"/>
      <c r="AG81" s="21"/>
      <c r="AH81" s="72"/>
      <c r="AI81" s="37"/>
      <c r="AJ81" s="51"/>
      <c r="AN81" s="58"/>
      <c r="AT81" s="57"/>
      <c r="AU81" s="55"/>
      <c r="AV81" s="55"/>
      <c r="AW81" s="55"/>
      <c r="BC81" s="21"/>
      <c r="BI81" s="21"/>
      <c r="BJ81" s="28"/>
      <c r="BR81" s="111">
        <v>4</v>
      </c>
      <c r="BS81" s="124" t="s">
        <v>97</v>
      </c>
      <c r="BT81" s="48">
        <f>+BT77+BT78+BT79</f>
        <v>8482.083333333332</v>
      </c>
      <c r="BU81" s="48">
        <f>+BU77+BU78+BU79</f>
        <v>8289</v>
      </c>
      <c r="BV81" s="28"/>
      <c r="BW81" s="98"/>
      <c r="BX81" s="28"/>
      <c r="BY81" s="28"/>
      <c r="BZ81" s="28"/>
      <c r="CA81" s="28"/>
      <c r="CB81" s="45"/>
      <c r="HV81" s="40">
        <v>0.35</v>
      </c>
      <c r="HX81">
        <f>+$HV$81*HX78</f>
        <v>452624.47724404617</v>
      </c>
      <c r="HZ81">
        <f>+$HV$81*HZ78</f>
        <v>519252.0648831813</v>
      </c>
      <c r="IB81">
        <f>+$HV$81*IB78</f>
        <v>32673.016645542128</v>
      </c>
      <c r="ID81">
        <f>+$HV$81*ID78</f>
        <v>295449.43000129383</v>
      </c>
      <c r="IE81">
        <f>+$HV$81*IE78</f>
        <v>0</v>
      </c>
      <c r="IF81">
        <f>+$HV$81*IF78</f>
        <v>250586.19698043537</v>
      </c>
    </row>
    <row r="82" spans="3:80" ht="15">
      <c r="C82" s="28"/>
      <c r="D82" s="28"/>
      <c r="E82" s="28"/>
      <c r="F82" s="28"/>
      <c r="G82" s="28"/>
      <c r="H82" s="28"/>
      <c r="I82" s="28"/>
      <c r="P82" s="3"/>
      <c r="T82" s="28"/>
      <c r="U82" s="28"/>
      <c r="V82" s="28"/>
      <c r="W82" s="28"/>
      <c r="X82" s="28"/>
      <c r="Y82" s="28"/>
      <c r="Z82" s="28"/>
      <c r="AA82" s="28"/>
      <c r="AB82" s="28"/>
      <c r="AC82" s="88"/>
      <c r="AD82" s="97"/>
      <c r="AE82" s="70"/>
      <c r="AF82" s="33"/>
      <c r="AG82" s="102"/>
      <c r="AH82" s="53"/>
      <c r="AI82" s="37"/>
      <c r="AJ82" s="51"/>
      <c r="AN82" s="58"/>
      <c r="AT82" s="57"/>
      <c r="AU82" s="62"/>
      <c r="AV82" s="62"/>
      <c r="AW82" s="55"/>
      <c r="BC82" s="21"/>
      <c r="BD82" s="24"/>
      <c r="BH82" s="100"/>
      <c r="BI82" s="21"/>
      <c r="BJ82" s="28"/>
      <c r="BR82" s="98"/>
      <c r="BS82" s="28"/>
      <c r="BT82" s="28"/>
      <c r="BU82" s="28"/>
      <c r="BV82" s="28"/>
      <c r="BW82" s="98">
        <v>8</v>
      </c>
      <c r="BX82" s="147" t="s">
        <v>329</v>
      </c>
      <c r="BY82" s="147"/>
      <c r="BZ82" s="147"/>
      <c r="CA82" s="196">
        <f>+BU89</f>
        <v>1.5517</v>
      </c>
      <c r="CB82" s="45" t="s">
        <v>188</v>
      </c>
    </row>
    <row r="83" spans="3:80" ht="15">
      <c r="C83" s="28"/>
      <c r="D83" s="28"/>
      <c r="E83" s="28"/>
      <c r="F83" s="28"/>
      <c r="G83" s="28"/>
      <c r="H83" s="28"/>
      <c r="I83" s="28"/>
      <c r="T83" s="44"/>
      <c r="U83" s="44"/>
      <c r="V83" s="44"/>
      <c r="W83" s="44"/>
      <c r="X83" s="28"/>
      <c r="Y83" s="28"/>
      <c r="Z83" s="28"/>
      <c r="AA83" s="28"/>
      <c r="AB83" s="28"/>
      <c r="AC83" s="42"/>
      <c r="AD83" s="97"/>
      <c r="AH83" s="73"/>
      <c r="AI83" s="37"/>
      <c r="AJ83" s="51"/>
      <c r="AN83" s="58"/>
      <c r="AT83" s="57"/>
      <c r="AU83" s="55"/>
      <c r="AV83" s="55"/>
      <c r="AW83" s="55"/>
      <c r="BC83" s="21"/>
      <c r="BI83" s="21"/>
      <c r="BJ83" s="28"/>
      <c r="BR83" s="111">
        <v>5</v>
      </c>
      <c r="BS83" s="124" t="s">
        <v>12</v>
      </c>
      <c r="BT83" s="33"/>
      <c r="BU83" s="28">
        <f>+BT81-BU81</f>
        <v>193.08333333333212</v>
      </c>
      <c r="BV83" s="28"/>
      <c r="BW83" s="98"/>
      <c r="CB83" s="21"/>
    </row>
    <row r="84" spans="3:80" ht="15">
      <c r="C84" s="28"/>
      <c r="D84" s="28"/>
      <c r="E84" s="31"/>
      <c r="F84" s="118"/>
      <c r="G84" s="205"/>
      <c r="H84" s="205"/>
      <c r="I84" s="31"/>
      <c r="T84" s="28"/>
      <c r="U84" s="28"/>
      <c r="V84" s="28"/>
      <c r="W84" s="28"/>
      <c r="X84" s="28"/>
      <c r="Y84" s="28"/>
      <c r="Z84" s="28"/>
      <c r="AA84" s="28"/>
      <c r="AB84" s="28"/>
      <c r="AC84" s="89"/>
      <c r="AD84" s="97"/>
      <c r="AE84" s="71"/>
      <c r="AF84" s="31"/>
      <c r="AG84" s="46"/>
      <c r="AH84" s="53"/>
      <c r="AT84" s="57"/>
      <c r="AU84" s="106"/>
      <c r="AV84" s="106"/>
      <c r="AW84" s="55"/>
      <c r="BC84" s="21"/>
      <c r="BD84" s="24"/>
      <c r="BF84" s="2"/>
      <c r="BH84" s="106"/>
      <c r="BI84" s="21"/>
      <c r="BJ84" s="28"/>
      <c r="BR84" s="98"/>
      <c r="BS84" s="28"/>
      <c r="BT84" s="28"/>
      <c r="BU84" s="28"/>
      <c r="BV84" s="175"/>
      <c r="BW84" s="98">
        <v>9</v>
      </c>
      <c r="BX84" s="176" t="s">
        <v>207</v>
      </c>
      <c r="BY84" s="176"/>
      <c r="BZ84" s="176"/>
      <c r="CA84" s="110">
        <f>+CA80*CA82</f>
        <v>753186.7708958393</v>
      </c>
      <c r="CB84" s="21"/>
    </row>
    <row r="85" spans="3:240" ht="15">
      <c r="C85" s="28"/>
      <c r="D85" s="28"/>
      <c r="E85" s="28"/>
      <c r="F85" s="28"/>
      <c r="G85" s="28"/>
      <c r="H85" s="28"/>
      <c r="I85" s="28"/>
      <c r="T85" s="44"/>
      <c r="U85" s="44"/>
      <c r="V85" s="44"/>
      <c r="W85" s="44"/>
      <c r="X85" s="28"/>
      <c r="Y85" s="28"/>
      <c r="Z85" s="28"/>
      <c r="AA85" s="28"/>
      <c r="AB85" s="28"/>
      <c r="AC85" s="88"/>
      <c r="AD85" s="97"/>
      <c r="AE85" s="70"/>
      <c r="AF85" s="33"/>
      <c r="AG85" s="46"/>
      <c r="AH85" s="53"/>
      <c r="AT85" s="57"/>
      <c r="AU85" s="28"/>
      <c r="AV85" s="28"/>
      <c r="AW85" s="55"/>
      <c r="BC85" s="21"/>
      <c r="BH85" s="28"/>
      <c r="BI85" s="21"/>
      <c r="BJ85" s="28"/>
      <c r="BR85" s="111">
        <v>6</v>
      </c>
      <c r="BS85" s="28" t="s">
        <v>342</v>
      </c>
      <c r="BT85" s="28"/>
      <c r="BU85" s="174">
        <f>1469.48*365</f>
        <v>536360.2</v>
      </c>
      <c r="BV85" s="198" t="s">
        <v>30</v>
      </c>
      <c r="BW85" s="37"/>
      <c r="BX85" s="176"/>
      <c r="BY85" s="176"/>
      <c r="BZ85" s="176"/>
      <c r="CA85" s="67"/>
      <c r="CB85" s="21"/>
      <c r="DB85" s="21"/>
      <c r="HV85" t="s">
        <v>389</v>
      </c>
      <c r="IF85">
        <f>SUM(IB81:IF81)</f>
        <v>578708.6436272713</v>
      </c>
    </row>
    <row r="86" spans="1:106" ht="15">
      <c r="A86" s="4"/>
      <c r="C86" s="28"/>
      <c r="D86" s="28"/>
      <c r="E86" s="28"/>
      <c r="F86" s="34"/>
      <c r="G86" s="205"/>
      <c r="H86" s="205"/>
      <c r="I86" s="28"/>
      <c r="T86" s="28"/>
      <c r="U86" s="28"/>
      <c r="V86" s="28"/>
      <c r="W86" s="28"/>
      <c r="X86" s="28"/>
      <c r="Y86" s="28"/>
      <c r="Z86" s="28"/>
      <c r="AA86" s="28"/>
      <c r="AB86" s="28"/>
      <c r="AC86" s="90"/>
      <c r="AD86" s="97"/>
      <c r="AE86" s="71"/>
      <c r="AF86" s="31"/>
      <c r="AG86" s="46"/>
      <c r="AH86" s="53"/>
      <c r="AT86" s="57"/>
      <c r="AU86" s="28"/>
      <c r="AV86" s="28"/>
      <c r="AW86" s="55"/>
      <c r="BC86" s="21"/>
      <c r="BD86" s="37"/>
      <c r="BF86" s="2"/>
      <c r="BH86" s="28"/>
      <c r="BI86" s="21"/>
      <c r="BJ86" s="28"/>
      <c r="BR86" s="98"/>
      <c r="BS86" s="28"/>
      <c r="BT86" s="28"/>
      <c r="BU86" s="28"/>
      <c r="BV86" s="45"/>
      <c r="BW86" s="37">
        <v>10</v>
      </c>
      <c r="BX86" s="176" t="s">
        <v>248</v>
      </c>
      <c r="BY86" s="176"/>
      <c r="BZ86" s="176"/>
      <c r="CA86" s="158">
        <f>+(BT147*CA80)+(0.0052352*CA84)</f>
        <v>142900.55118908436</v>
      </c>
      <c r="CB86" s="21" t="s">
        <v>189</v>
      </c>
      <c r="DB86" s="21"/>
    </row>
    <row r="87" spans="3:106" ht="15">
      <c r="C87" s="28"/>
      <c r="D87" s="28"/>
      <c r="E87" s="28"/>
      <c r="F87" s="28"/>
      <c r="G87" s="28"/>
      <c r="H87" s="28"/>
      <c r="I87" s="28"/>
      <c r="T87" s="44"/>
      <c r="U87" s="44"/>
      <c r="V87" s="44"/>
      <c r="W87" s="44"/>
      <c r="X87" s="28"/>
      <c r="Y87" s="28"/>
      <c r="Z87" s="28"/>
      <c r="AA87" s="28"/>
      <c r="AB87" s="33"/>
      <c r="AC87" s="45"/>
      <c r="AD87" s="97"/>
      <c r="AE87" s="51"/>
      <c r="AF87" s="28"/>
      <c r="AG87" s="46"/>
      <c r="AH87" s="53"/>
      <c r="AT87" s="57"/>
      <c r="AU87" s="28"/>
      <c r="AV87" s="28"/>
      <c r="AW87" s="55"/>
      <c r="BC87" s="21"/>
      <c r="BD87" s="36"/>
      <c r="BH87" s="28"/>
      <c r="BI87" s="21"/>
      <c r="BJ87" s="28"/>
      <c r="BR87" s="98">
        <v>7</v>
      </c>
      <c r="BS87" s="28" t="s">
        <v>343</v>
      </c>
      <c r="BT87" s="28"/>
      <c r="BU87" s="146">
        <f>+BU85/748</f>
        <v>717.0590909090909</v>
      </c>
      <c r="BV87" s="199" t="s">
        <v>40</v>
      </c>
      <c r="BW87" s="37"/>
      <c r="CA87" s="67"/>
      <c r="CB87" s="21"/>
      <c r="DB87" s="21"/>
    </row>
    <row r="88" spans="3:106" ht="15">
      <c r="C88" s="28"/>
      <c r="D88" s="28"/>
      <c r="E88" s="28"/>
      <c r="F88" s="34"/>
      <c r="G88" s="205"/>
      <c r="H88" s="205"/>
      <c r="I88" s="28"/>
      <c r="T88" s="28"/>
      <c r="U88" s="28"/>
      <c r="V88" s="28"/>
      <c r="W88" s="28"/>
      <c r="X88" s="28"/>
      <c r="Y88" s="28"/>
      <c r="Z88" s="28"/>
      <c r="AA88" s="28"/>
      <c r="AB88" s="28"/>
      <c r="AC88" s="45"/>
      <c r="AD88" s="97"/>
      <c r="AE88" s="71"/>
      <c r="AF88" s="31"/>
      <c r="AG88" s="46"/>
      <c r="AH88" s="53"/>
      <c r="AT88" s="57"/>
      <c r="AU88" s="124"/>
      <c r="AV88" s="124"/>
      <c r="AW88" s="62"/>
      <c r="BC88" s="21"/>
      <c r="BD88" s="37"/>
      <c r="BF88" s="40"/>
      <c r="BH88" s="103"/>
      <c r="BJ88" s="28"/>
      <c r="BR88" s="98"/>
      <c r="BS88" s="28"/>
      <c r="BT88" s="28"/>
      <c r="BU88" s="28"/>
      <c r="BV88" s="45"/>
      <c r="BW88" s="37">
        <v>11</v>
      </c>
      <c r="BX88" t="s">
        <v>249</v>
      </c>
      <c r="CA88" s="27">
        <f>+CA84-CA86</f>
        <v>610286.2197067549</v>
      </c>
      <c r="CB88" s="21"/>
      <c r="DB88" s="21"/>
    </row>
    <row r="89" spans="3:106" ht="15">
      <c r="C89" s="28"/>
      <c r="D89" s="28"/>
      <c r="E89" s="28"/>
      <c r="F89" s="28"/>
      <c r="G89" s="28"/>
      <c r="H89" s="28"/>
      <c r="I89" s="28"/>
      <c r="T89" s="44"/>
      <c r="U89" s="44"/>
      <c r="V89" s="44"/>
      <c r="W89" s="44"/>
      <c r="X89" s="28"/>
      <c r="Y89" s="28"/>
      <c r="Z89" s="28"/>
      <c r="AA89" s="28"/>
      <c r="AB89" s="28"/>
      <c r="AC89" s="90"/>
      <c r="AD89" s="97"/>
      <c r="AE89" s="51"/>
      <c r="AF89" s="28"/>
      <c r="AG89" s="46"/>
      <c r="AH89" s="53"/>
      <c r="AT89" s="57"/>
      <c r="AU89" s="124"/>
      <c r="AV89" s="124"/>
      <c r="AW89" s="135"/>
      <c r="BC89" s="21"/>
      <c r="BD89" s="37"/>
      <c r="BJ89" s="28"/>
      <c r="BR89" s="98">
        <v>8</v>
      </c>
      <c r="BS89" s="28" t="s">
        <v>338</v>
      </c>
      <c r="BT89" s="28"/>
      <c r="BU89" s="171">
        <v>1.5517</v>
      </c>
      <c r="BV89" s="200" t="s">
        <v>52</v>
      </c>
      <c r="BW89" s="37"/>
      <c r="CB89" s="21"/>
      <c r="DB89" s="21"/>
    </row>
    <row r="90" spans="3:106" ht="15">
      <c r="C90" s="28"/>
      <c r="D90" s="28"/>
      <c r="E90" s="28"/>
      <c r="F90" s="34"/>
      <c r="G90" s="206"/>
      <c r="H90" s="206"/>
      <c r="I90" s="28"/>
      <c r="T90" s="28"/>
      <c r="U90" s="28"/>
      <c r="V90" s="28"/>
      <c r="W90" s="28"/>
      <c r="X90" s="28"/>
      <c r="Y90" s="28"/>
      <c r="Z90" s="28"/>
      <c r="AA90" s="28"/>
      <c r="AB90" s="28"/>
      <c r="AC90" s="45"/>
      <c r="AD90" s="98"/>
      <c r="AE90" s="51"/>
      <c r="AF90" s="28"/>
      <c r="AG90" s="46"/>
      <c r="AH90" s="53"/>
      <c r="AT90" s="57"/>
      <c r="AU90" s="124"/>
      <c r="AV90" s="124"/>
      <c r="AW90" s="135"/>
      <c r="BC90" s="21"/>
      <c r="BD90" s="37"/>
      <c r="BH90" s="27"/>
      <c r="BJ90" s="28"/>
      <c r="BR90" s="98"/>
      <c r="BV90" s="45"/>
      <c r="BW90" s="98">
        <v>12</v>
      </c>
      <c r="BX90" s="28" t="s">
        <v>103</v>
      </c>
      <c r="BY90" s="28"/>
      <c r="BZ90" s="86">
        <f>+A50</f>
        <v>0.4036549</v>
      </c>
      <c r="CA90" s="5">
        <f>+A50*CA88</f>
        <v>246345.02298710815</v>
      </c>
      <c r="DB90" s="21"/>
    </row>
    <row r="91" spans="3:106" ht="15">
      <c r="C91" s="28"/>
      <c r="D91" s="28"/>
      <c r="E91" s="28"/>
      <c r="F91" s="28"/>
      <c r="G91" s="28"/>
      <c r="H91" s="28"/>
      <c r="I91" s="28"/>
      <c r="T91" s="28"/>
      <c r="U91" s="28"/>
      <c r="V91" s="28"/>
      <c r="W91" s="28"/>
      <c r="X91" s="28"/>
      <c r="Y91" s="28"/>
      <c r="Z91" s="28"/>
      <c r="AA91" s="28"/>
      <c r="AB91" s="28"/>
      <c r="AC91" s="45"/>
      <c r="AD91" s="97"/>
      <c r="AE91" s="51"/>
      <c r="AF91" s="28"/>
      <c r="AG91" s="46"/>
      <c r="AH91" s="53"/>
      <c r="AT91" s="57"/>
      <c r="AU91" s="124"/>
      <c r="AV91" s="124"/>
      <c r="AW91" s="135"/>
      <c r="BC91" s="21"/>
      <c r="BJ91" s="28"/>
      <c r="BR91" s="98">
        <v>9</v>
      </c>
      <c r="BS91" t="s">
        <v>205</v>
      </c>
      <c r="BU91" s="176">
        <f>+BU87*BU89</f>
        <v>1112.6605913636363</v>
      </c>
      <c r="BV91" s="201"/>
      <c r="BW91" s="37"/>
      <c r="DB91" s="21"/>
    </row>
    <row r="92" spans="20:106" ht="18">
      <c r="T92" s="28"/>
      <c r="U92" s="28"/>
      <c r="V92" s="28"/>
      <c r="W92" s="28"/>
      <c r="X92" s="28"/>
      <c r="Y92" s="28"/>
      <c r="Z92" s="28"/>
      <c r="AA92" s="28"/>
      <c r="AB92" s="28"/>
      <c r="AC92" s="45"/>
      <c r="AD92" s="97"/>
      <c r="AF92" s="28"/>
      <c r="AG92" s="46"/>
      <c r="AH92" s="54"/>
      <c r="AT92" s="57"/>
      <c r="AU92" s="124"/>
      <c r="AV92" s="124"/>
      <c r="AW92" s="135"/>
      <c r="BC92" s="21"/>
      <c r="BJ92" s="28"/>
      <c r="BR92" s="37"/>
      <c r="BU92" s="176"/>
      <c r="BV92" s="21"/>
      <c r="BW92" s="37">
        <v>13</v>
      </c>
      <c r="BX92" t="s">
        <v>99</v>
      </c>
      <c r="CA92" s="160">
        <f>+CA88-CA90</f>
        <v>363941.19671964674</v>
      </c>
      <c r="DB92" s="21"/>
    </row>
    <row r="93" spans="20:106" ht="15">
      <c r="T93" s="28"/>
      <c r="U93" s="28"/>
      <c r="V93" s="28"/>
      <c r="W93" s="28"/>
      <c r="X93" s="28"/>
      <c r="Y93" s="28"/>
      <c r="Z93" s="28"/>
      <c r="AA93" s="28"/>
      <c r="AB93" s="28"/>
      <c r="AC93" s="90"/>
      <c r="AF93" s="28"/>
      <c r="AG93" s="49"/>
      <c r="AH93" s="122"/>
      <c r="AT93" s="57"/>
      <c r="AU93" s="124"/>
      <c r="AV93" s="124"/>
      <c r="AW93" s="135"/>
      <c r="BC93" s="21"/>
      <c r="BJ93" s="28"/>
      <c r="BR93" s="37">
        <v>10</v>
      </c>
      <c r="BS93" s="28" t="s">
        <v>204</v>
      </c>
      <c r="BT93" s="28"/>
      <c r="BU93" s="197">
        <f>12*7.31</f>
        <v>87.72</v>
      </c>
      <c r="BV93" s="202" t="s">
        <v>188</v>
      </c>
      <c r="BW93" s="37"/>
      <c r="DB93" s="21"/>
    </row>
    <row r="94" spans="20:106" ht="15">
      <c r="T94" s="28"/>
      <c r="U94" s="28"/>
      <c r="V94" s="28"/>
      <c r="W94" s="28"/>
      <c r="X94" s="28"/>
      <c r="Y94" s="28"/>
      <c r="Z94" s="28"/>
      <c r="AA94" s="28"/>
      <c r="AB94" s="28"/>
      <c r="AC94" s="45"/>
      <c r="AD94" s="37"/>
      <c r="AE94" s="51"/>
      <c r="AF94" s="28"/>
      <c r="AG94" s="48"/>
      <c r="AH94" s="122"/>
      <c r="AT94" s="57"/>
      <c r="AU94" s="45"/>
      <c r="AV94" s="45"/>
      <c r="AW94" s="28"/>
      <c r="BC94" s="21"/>
      <c r="BJ94" s="28"/>
      <c r="BR94" s="37"/>
      <c r="BV94" s="202"/>
      <c r="BW94" s="98"/>
      <c r="BX94" s="28"/>
      <c r="BY94" s="28"/>
      <c r="BZ94" s="28"/>
      <c r="CA94" s="28"/>
      <c r="DB94" s="21"/>
    </row>
    <row r="95" spans="20:106" ht="15.75">
      <c r="T95" s="28"/>
      <c r="U95" s="28"/>
      <c r="V95" s="28"/>
      <c r="W95" s="28"/>
      <c r="X95" s="69"/>
      <c r="Y95" s="28"/>
      <c r="Z95" s="28"/>
      <c r="AA95" s="28"/>
      <c r="AB95" s="28"/>
      <c r="AC95" s="45"/>
      <c r="AD95" s="37"/>
      <c r="AE95" s="51"/>
      <c r="AF95" s="28"/>
      <c r="AG95" s="48"/>
      <c r="AH95" s="122"/>
      <c r="AT95" s="57"/>
      <c r="AU95" s="45"/>
      <c r="AV95" s="45"/>
      <c r="AW95" s="135"/>
      <c r="AZ95">
        <v>287</v>
      </c>
      <c r="BA95">
        <v>16133601</v>
      </c>
      <c r="BB95">
        <v>296</v>
      </c>
      <c r="BC95" s="21"/>
      <c r="BD95" s="24"/>
      <c r="BJ95" s="28"/>
      <c r="BR95" s="37">
        <v>11</v>
      </c>
      <c r="BS95" t="s">
        <v>206</v>
      </c>
      <c r="BU95" s="176">
        <f>+BU91+BU93</f>
        <v>1200.3805913636363</v>
      </c>
      <c r="DB95" s="21"/>
    </row>
    <row r="96" spans="20:106" ht="15">
      <c r="T96" s="28"/>
      <c r="U96" s="28"/>
      <c r="V96" s="28"/>
      <c r="W96" s="28"/>
      <c r="X96" s="28"/>
      <c r="Y96" s="28"/>
      <c r="Z96" s="28"/>
      <c r="AA96" s="28"/>
      <c r="AB96" s="28"/>
      <c r="AC96" s="45"/>
      <c r="AD96" s="37"/>
      <c r="AE96" s="51"/>
      <c r="AF96" s="28"/>
      <c r="AG96" s="48"/>
      <c r="AH96" s="122"/>
      <c r="AT96" s="57"/>
      <c r="AU96" s="45"/>
      <c r="AV96" s="45"/>
      <c r="AW96" s="28"/>
      <c r="AZ96">
        <v>745</v>
      </c>
      <c r="BA96">
        <v>33380946</v>
      </c>
      <c r="BB96">
        <v>770</v>
      </c>
      <c r="BC96" s="21"/>
      <c r="BJ96" s="28"/>
      <c r="BR96" s="37"/>
      <c r="BX96" t="s">
        <v>48</v>
      </c>
      <c r="DB96" s="21"/>
    </row>
    <row r="97" spans="20:106" ht="15">
      <c r="T97" s="28"/>
      <c r="U97" s="28"/>
      <c r="V97" s="28"/>
      <c r="W97" s="28"/>
      <c r="X97" s="34"/>
      <c r="Y97" s="28"/>
      <c r="Z97" s="28"/>
      <c r="AA97" s="28"/>
      <c r="AB97" s="28"/>
      <c r="AC97" s="45"/>
      <c r="AD97" s="37"/>
      <c r="AE97" s="51"/>
      <c r="AF97" s="28"/>
      <c r="AG97" s="48"/>
      <c r="AH97" s="123"/>
      <c r="AT97" s="57"/>
      <c r="AU97" s="45"/>
      <c r="AV97" s="45"/>
      <c r="AW97" s="28"/>
      <c r="BC97" s="21"/>
      <c r="BD97" s="24"/>
      <c r="BF97" s="28"/>
      <c r="BG97" s="28"/>
      <c r="BH97" s="30"/>
      <c r="BI97" s="28"/>
      <c r="BJ97" s="28"/>
      <c r="BR97" s="37">
        <v>12</v>
      </c>
      <c r="BS97" t="s">
        <v>207</v>
      </c>
      <c r="BU97">
        <f>+BU83*BU95</f>
        <v>231773.48584912732</v>
      </c>
      <c r="BV97" s="21" t="s">
        <v>189</v>
      </c>
      <c r="BX97" t="s">
        <v>452</v>
      </c>
      <c r="DB97" s="21"/>
    </row>
    <row r="98" spans="19:106" ht="15">
      <c r="S98">
        <f>+S41+S68</f>
        <v>0</v>
      </c>
      <c r="T98" s="28"/>
      <c r="U98" s="28"/>
      <c r="V98" s="28"/>
      <c r="W98" s="28"/>
      <c r="X98" s="28"/>
      <c r="Y98" s="28"/>
      <c r="Z98" s="28"/>
      <c r="AA98" s="28"/>
      <c r="AB98" s="28"/>
      <c r="AC98" s="45"/>
      <c r="AD98" s="37"/>
      <c r="AE98" s="51"/>
      <c r="AG98" s="67"/>
      <c r="AH98" s="123"/>
      <c r="AT98" s="57"/>
      <c r="AW98" s="28"/>
      <c r="AZ98">
        <f>AZ95+AZ96</f>
        <v>1032</v>
      </c>
      <c r="BA98">
        <f>BA95+BA96</f>
        <v>49514547</v>
      </c>
      <c r="BB98">
        <f>BB95+BB96</f>
        <v>1066</v>
      </c>
      <c r="BC98" s="21"/>
      <c r="BF98" s="28"/>
      <c r="BG98" s="28"/>
      <c r="BH98" s="28"/>
      <c r="BI98" s="28"/>
      <c r="BJ98" s="28"/>
      <c r="BR98" s="37"/>
      <c r="BV98" s="21"/>
      <c r="BX98" t="s">
        <v>453</v>
      </c>
      <c r="DB98" s="21"/>
    </row>
    <row r="99" spans="18:106" ht="15">
      <c r="R99" s="3"/>
      <c r="S99" s="3"/>
      <c r="T99" s="28"/>
      <c r="U99" s="28"/>
      <c r="V99" s="28"/>
      <c r="W99" s="28"/>
      <c r="X99" s="34"/>
      <c r="Y99" s="28"/>
      <c r="Z99" s="28"/>
      <c r="AA99" s="28"/>
      <c r="AB99" s="28"/>
      <c r="AC99" s="45"/>
      <c r="AD99" s="37"/>
      <c r="AE99" s="51"/>
      <c r="AG99" s="67"/>
      <c r="AH99" s="123"/>
      <c r="AT99" s="57"/>
      <c r="AU99" s="45"/>
      <c r="AV99" s="45"/>
      <c r="AW99" s="28"/>
      <c r="BC99" s="21"/>
      <c r="BF99" s="28"/>
      <c r="BG99" s="28"/>
      <c r="BH99" s="28"/>
      <c r="BI99" s="28"/>
      <c r="BJ99" s="28"/>
      <c r="BR99" s="37">
        <v>13</v>
      </c>
      <c r="BS99" t="s">
        <v>248</v>
      </c>
      <c r="BU99" s="5">
        <f>+(BT147*BU83*BU87)+(BT151*BU83)+(0.0052352*BU97)</f>
        <v>42570.62527236546</v>
      </c>
      <c r="BV99" s="45" t="s">
        <v>190</v>
      </c>
      <c r="BX99" t="s">
        <v>286</v>
      </c>
      <c r="DB99" s="21"/>
    </row>
    <row r="100" spans="20:106" ht="15">
      <c r="T100" s="28"/>
      <c r="U100" s="28"/>
      <c r="V100" s="28"/>
      <c r="W100" s="28"/>
      <c r="X100" s="28"/>
      <c r="Y100" s="28"/>
      <c r="Z100" s="28"/>
      <c r="AA100" s="28"/>
      <c r="AB100" s="28"/>
      <c r="AC100" s="45"/>
      <c r="AD100" s="37"/>
      <c r="AE100" s="51"/>
      <c r="AG100" s="67"/>
      <c r="AH100" s="123"/>
      <c r="AT100" s="57"/>
      <c r="AU100" s="21"/>
      <c r="AV100" s="21"/>
      <c r="AW100" s="124"/>
      <c r="BC100" s="21"/>
      <c r="BE100" s="78"/>
      <c r="BF100" s="28"/>
      <c r="BG100" s="28"/>
      <c r="BH100" s="28"/>
      <c r="BI100" s="28"/>
      <c r="BJ100" s="28"/>
      <c r="BR100" s="37"/>
      <c r="BX100" t="s">
        <v>287</v>
      </c>
      <c r="DB100" s="21"/>
    </row>
    <row r="101" spans="20:106" ht="15">
      <c r="T101" s="28"/>
      <c r="U101" s="28"/>
      <c r="V101" s="28"/>
      <c r="W101" s="28"/>
      <c r="X101" s="28"/>
      <c r="Y101" s="28"/>
      <c r="Z101" s="28"/>
      <c r="AA101" s="28"/>
      <c r="AB101" s="28"/>
      <c r="AC101" s="45"/>
      <c r="AD101" s="37"/>
      <c r="AE101" s="51"/>
      <c r="AG101" s="67"/>
      <c r="AH101" s="123"/>
      <c r="AT101" s="57"/>
      <c r="AU101" s="21"/>
      <c r="AV101" s="21"/>
      <c r="AW101" s="124"/>
      <c r="BC101" s="21"/>
      <c r="BE101" s="28"/>
      <c r="BF101" s="28"/>
      <c r="BG101" s="28"/>
      <c r="BH101" s="28"/>
      <c r="BI101" s="28"/>
      <c r="BJ101" s="28"/>
      <c r="BR101" s="37">
        <v>14</v>
      </c>
      <c r="BS101" t="s">
        <v>249</v>
      </c>
      <c r="BU101" s="27">
        <f>+BU97-BU99</f>
        <v>189202.86057676186</v>
      </c>
      <c r="BX101" t="s">
        <v>335</v>
      </c>
      <c r="DB101" s="21"/>
    </row>
    <row r="102" spans="18:106" ht="15">
      <c r="R102" s="12"/>
      <c r="S102" s="12"/>
      <c r="T102" s="28"/>
      <c r="U102" s="28"/>
      <c r="V102" s="28"/>
      <c r="W102" s="28"/>
      <c r="X102" s="28"/>
      <c r="Y102" s="28"/>
      <c r="Z102" s="28"/>
      <c r="AA102" s="28"/>
      <c r="AB102" s="28"/>
      <c r="AC102" s="88"/>
      <c r="AD102" s="37"/>
      <c r="AE102" s="51"/>
      <c r="AG102" s="67"/>
      <c r="AH102" s="73"/>
      <c r="AT102" s="57"/>
      <c r="AU102" s="21"/>
      <c r="AV102" s="21"/>
      <c r="AW102" s="124"/>
      <c r="BC102" s="21"/>
      <c r="BE102" s="28"/>
      <c r="BF102" s="28"/>
      <c r="BG102" s="28"/>
      <c r="BH102" s="28"/>
      <c r="BI102" s="28"/>
      <c r="BJ102" s="28"/>
      <c r="BR102" s="37"/>
      <c r="BV102" s="21"/>
      <c r="BX102" t="s">
        <v>288</v>
      </c>
      <c r="DB102" s="21"/>
    </row>
    <row r="103" spans="29:106" ht="15">
      <c r="AC103" s="21"/>
      <c r="AE103" s="51"/>
      <c r="AG103" s="67"/>
      <c r="AH103" s="74"/>
      <c r="AT103" s="57"/>
      <c r="AU103" s="21"/>
      <c r="AV103" s="21"/>
      <c r="AW103" s="124"/>
      <c r="BC103" s="21"/>
      <c r="BE103" s="28"/>
      <c r="BF103" s="28"/>
      <c r="BG103" s="28"/>
      <c r="BH103" s="28"/>
      <c r="BI103" s="28"/>
      <c r="BJ103" s="28"/>
      <c r="BR103" s="37">
        <v>15</v>
      </c>
      <c r="BS103" t="s">
        <v>32</v>
      </c>
      <c r="BT103" s="40">
        <f>+A50</f>
        <v>0.4036549</v>
      </c>
      <c r="BU103" s="5">
        <f>+A50*BU101</f>
        <v>76372.66176582675</v>
      </c>
      <c r="BX103" t="s">
        <v>331</v>
      </c>
      <c r="DB103" s="21"/>
    </row>
    <row r="104" spans="29:106" ht="15">
      <c r="AC104" s="23"/>
      <c r="AD104" s="37"/>
      <c r="AE104" s="51"/>
      <c r="AF104" s="3"/>
      <c r="AG104" s="75"/>
      <c r="AH104" s="76"/>
      <c r="AT104" s="57"/>
      <c r="AU104" s="21"/>
      <c r="AV104" s="21"/>
      <c r="AW104" s="124"/>
      <c r="BC104" s="21"/>
      <c r="BE104" s="28"/>
      <c r="BF104" s="28"/>
      <c r="BG104" s="28"/>
      <c r="BH104" s="28"/>
      <c r="BI104" s="28"/>
      <c r="BJ104" s="28"/>
      <c r="BR104" s="37"/>
      <c r="BX104" t="s">
        <v>291</v>
      </c>
      <c r="DB104" s="21"/>
    </row>
    <row r="105" spans="29:106" ht="18">
      <c r="AC105" s="21"/>
      <c r="AD105" s="37"/>
      <c r="AE105" s="51"/>
      <c r="AG105" s="67"/>
      <c r="AH105" s="74"/>
      <c r="AT105" s="57"/>
      <c r="AU105" s="21"/>
      <c r="AV105" s="21"/>
      <c r="AW105" s="124"/>
      <c r="BC105" s="21"/>
      <c r="BE105" s="28"/>
      <c r="BF105" s="28"/>
      <c r="BG105" s="28"/>
      <c r="BH105" s="28"/>
      <c r="BI105" s="28"/>
      <c r="BJ105" s="28"/>
      <c r="BR105" s="37">
        <v>16</v>
      </c>
      <c r="BS105" t="s">
        <v>99</v>
      </c>
      <c r="BU105" s="160">
        <f>+BU101-BU103</f>
        <v>112830.19881093511</v>
      </c>
      <c r="BX105" t="s">
        <v>333</v>
      </c>
      <c r="DB105" s="21"/>
    </row>
    <row r="106" spans="29:106" ht="15">
      <c r="AC106" s="22"/>
      <c r="AD106" s="37"/>
      <c r="AE106" s="71"/>
      <c r="AF106" s="3"/>
      <c r="AG106" s="3"/>
      <c r="AH106" s="73"/>
      <c r="AT106" s="57"/>
      <c r="AU106" s="21"/>
      <c r="AV106" s="21"/>
      <c r="AW106" s="124"/>
      <c r="BC106" s="21"/>
      <c r="BE106" s="28"/>
      <c r="BF106" s="28"/>
      <c r="BG106" s="28"/>
      <c r="BH106" s="28"/>
      <c r="BI106" s="28"/>
      <c r="BJ106" s="28"/>
      <c r="BX106" t="s">
        <v>334</v>
      </c>
      <c r="DB106" s="21"/>
    </row>
    <row r="107" spans="29:106" ht="15">
      <c r="AC107" s="22"/>
      <c r="AH107" s="73"/>
      <c r="AT107" s="57"/>
      <c r="AU107" s="21"/>
      <c r="AV107" s="21"/>
      <c r="AW107" s="124"/>
      <c r="BC107" s="21"/>
      <c r="BE107" s="28"/>
      <c r="BF107" s="28"/>
      <c r="BG107" s="28"/>
      <c r="BH107" s="28"/>
      <c r="BI107" s="28"/>
      <c r="BJ107" s="28"/>
      <c r="BR107" s="37"/>
      <c r="BS107" t="s">
        <v>48</v>
      </c>
      <c r="BX107" t="s">
        <v>465</v>
      </c>
      <c r="DB107" s="21"/>
    </row>
    <row r="108" spans="29:106" ht="15">
      <c r="AC108" s="21"/>
      <c r="AT108" s="57"/>
      <c r="AU108" s="21"/>
      <c r="AV108" s="21"/>
      <c r="AW108" s="124"/>
      <c r="BC108" s="21"/>
      <c r="BE108" s="28"/>
      <c r="BF108" s="28"/>
      <c r="BG108" s="28"/>
      <c r="BH108" s="28"/>
      <c r="BI108" s="28"/>
      <c r="BJ108" s="28"/>
      <c r="BR108" s="37"/>
      <c r="BS108" t="s">
        <v>301</v>
      </c>
      <c r="BX108" t="s">
        <v>445</v>
      </c>
      <c r="DB108" s="21"/>
    </row>
    <row r="109" spans="7:106" ht="15">
      <c r="G109" s="2"/>
      <c r="H109" s="2"/>
      <c r="AC109" s="81"/>
      <c r="AF109" s="28"/>
      <c r="AG109" s="28"/>
      <c r="AH109" s="28"/>
      <c r="AT109" s="57"/>
      <c r="AU109" s="21"/>
      <c r="AV109" s="21"/>
      <c r="AW109" s="124"/>
      <c r="BC109" s="21"/>
      <c r="BE109" s="28"/>
      <c r="BF109" s="28"/>
      <c r="BG109" s="28"/>
      <c r="BH109" s="28"/>
      <c r="BI109" s="28"/>
      <c r="BJ109" s="28"/>
      <c r="BR109" s="37"/>
      <c r="BS109" t="s">
        <v>302</v>
      </c>
      <c r="DB109" s="21"/>
    </row>
    <row r="110" spans="29:106" ht="15">
      <c r="AC110" s="21"/>
      <c r="AF110" s="28"/>
      <c r="AG110" s="28"/>
      <c r="AH110" s="28"/>
      <c r="BC110" s="21"/>
      <c r="BE110" s="28"/>
      <c r="BF110" s="28"/>
      <c r="BG110" s="28"/>
      <c r="BH110" s="28"/>
      <c r="BI110" s="28"/>
      <c r="BJ110" s="28"/>
      <c r="BR110" s="37"/>
      <c r="BS110" t="s">
        <v>467</v>
      </c>
      <c r="DB110" s="21"/>
    </row>
    <row r="111" spans="29:106" ht="15">
      <c r="AC111" s="21" t="s">
        <v>63</v>
      </c>
      <c r="AF111" s="28"/>
      <c r="AG111" s="28"/>
      <c r="AH111" s="28"/>
      <c r="BC111" s="21"/>
      <c r="BE111" s="28"/>
      <c r="BF111" s="28"/>
      <c r="BG111" s="28"/>
      <c r="BH111" s="28"/>
      <c r="BI111" s="28"/>
      <c r="BJ111" s="28"/>
      <c r="BR111" s="37"/>
      <c r="BS111" t="s">
        <v>297</v>
      </c>
      <c r="DB111" s="21"/>
    </row>
    <row r="112" spans="29:106" ht="15">
      <c r="AC112" s="21"/>
      <c r="AE112" s="28"/>
      <c r="AF112" s="28"/>
      <c r="AG112" s="28"/>
      <c r="AH112" s="28"/>
      <c r="BC112" s="21"/>
      <c r="BE112" s="28"/>
      <c r="BF112" s="28"/>
      <c r="BG112" s="28"/>
      <c r="BH112" s="28"/>
      <c r="BI112" s="28"/>
      <c r="BJ112" s="28"/>
      <c r="BR112" s="37"/>
      <c r="BS112" t="s">
        <v>298</v>
      </c>
      <c r="DB112" s="21"/>
    </row>
    <row r="113" spans="29:106" ht="15">
      <c r="AC113" s="21"/>
      <c r="AE113" s="28"/>
      <c r="AF113" s="28"/>
      <c r="AG113" s="28"/>
      <c r="AH113" s="28"/>
      <c r="BC113" s="21"/>
      <c r="BE113" s="28"/>
      <c r="BF113" s="28"/>
      <c r="BG113" s="28"/>
      <c r="BH113" s="28"/>
      <c r="BI113" s="28"/>
      <c r="BJ113" s="28"/>
      <c r="BR113" s="37"/>
      <c r="BS113" t="s">
        <v>299</v>
      </c>
      <c r="DB113" s="21"/>
    </row>
    <row r="114" spans="24:106" ht="15.75">
      <c r="X114" s="1"/>
      <c r="AC114" s="21"/>
      <c r="AE114" s="28"/>
      <c r="AF114" s="69"/>
      <c r="AG114" s="28"/>
      <c r="AH114" s="28"/>
      <c r="BC114" s="21"/>
      <c r="BE114" s="28"/>
      <c r="BF114" s="28"/>
      <c r="BG114" s="28"/>
      <c r="BH114" s="28"/>
      <c r="BI114" s="28"/>
      <c r="BJ114" s="28"/>
      <c r="BR114" s="37"/>
      <c r="BS114" t="s">
        <v>300</v>
      </c>
      <c r="DB114" s="21"/>
    </row>
    <row r="115" spans="29:106" ht="15">
      <c r="AC115" s="21"/>
      <c r="AE115" s="28"/>
      <c r="AF115" s="28"/>
      <c r="AG115" s="28"/>
      <c r="AH115" s="28"/>
      <c r="BC115" s="21"/>
      <c r="BE115" s="28"/>
      <c r="BF115" s="28"/>
      <c r="BG115" s="28"/>
      <c r="BH115" s="28"/>
      <c r="BI115" s="28"/>
      <c r="BJ115" s="28"/>
      <c r="BR115" s="37"/>
      <c r="BS115" t="s">
        <v>339</v>
      </c>
      <c r="DB115" s="21"/>
    </row>
    <row r="116" spans="24:106" ht="15.75">
      <c r="X116" s="1"/>
      <c r="AC116" s="21"/>
      <c r="AE116" s="28"/>
      <c r="AF116" s="69"/>
      <c r="AG116" s="28"/>
      <c r="AH116" s="28"/>
      <c r="BC116" s="21"/>
      <c r="BE116" s="28"/>
      <c r="BF116" s="28"/>
      <c r="BG116" s="28"/>
      <c r="BH116" s="28"/>
      <c r="BI116" s="28"/>
      <c r="BJ116" s="28"/>
      <c r="BR116" s="37"/>
      <c r="BS116" t="s">
        <v>334</v>
      </c>
      <c r="DB116" s="21"/>
    </row>
    <row r="117" spans="29:106" ht="15">
      <c r="AC117" s="21"/>
      <c r="AE117" s="28"/>
      <c r="AF117" s="28"/>
      <c r="AG117" s="28"/>
      <c r="AH117" s="28"/>
      <c r="BC117" s="21"/>
      <c r="BE117" s="28"/>
      <c r="BF117" s="28"/>
      <c r="BG117" s="28"/>
      <c r="BH117" s="28"/>
      <c r="BI117" s="28"/>
      <c r="BJ117" s="28"/>
      <c r="BR117" s="37"/>
      <c r="BS117" t="s">
        <v>465</v>
      </c>
      <c r="DB117" s="21"/>
    </row>
    <row r="118" spans="24:106" ht="15.75">
      <c r="X118" s="1"/>
      <c r="AC118" s="21"/>
      <c r="AE118" s="78"/>
      <c r="AF118" s="69"/>
      <c r="AG118" s="28"/>
      <c r="AH118" s="28"/>
      <c r="BC118" s="21"/>
      <c r="BE118" s="28"/>
      <c r="BF118" s="28"/>
      <c r="BG118" s="28"/>
      <c r="BH118" s="28"/>
      <c r="BI118" s="28"/>
      <c r="BJ118" s="28"/>
      <c r="BR118" s="37"/>
      <c r="BS118" t="s">
        <v>340</v>
      </c>
      <c r="DB118" s="21"/>
    </row>
    <row r="119" spans="29:106" ht="15">
      <c r="AC119" s="21"/>
      <c r="AE119" s="124"/>
      <c r="AF119" s="28"/>
      <c r="AG119" s="28"/>
      <c r="AH119" s="28"/>
      <c r="AT119" s="137"/>
      <c r="AU119" s="137"/>
      <c r="AV119" s="137"/>
      <c r="AW119" s="137"/>
      <c r="BC119" s="21"/>
      <c r="BE119" s="28"/>
      <c r="BF119" s="28"/>
      <c r="BG119" s="28"/>
      <c r="BH119" s="28"/>
      <c r="BI119" s="28"/>
      <c r="BJ119" s="28"/>
      <c r="BR119" s="37"/>
      <c r="BS119" t="s">
        <v>446</v>
      </c>
      <c r="DB119" s="21"/>
    </row>
    <row r="120" spans="29:106" ht="15">
      <c r="AC120" s="21"/>
      <c r="AE120" s="28"/>
      <c r="AF120" s="28"/>
      <c r="AG120" s="28"/>
      <c r="AH120" s="28"/>
      <c r="AT120" s="137"/>
      <c r="AU120" s="137"/>
      <c r="AV120" s="137"/>
      <c r="AW120" s="137"/>
      <c r="BC120" s="21"/>
      <c r="BE120" s="28"/>
      <c r="BF120" s="28"/>
      <c r="BG120" s="28"/>
      <c r="BH120" s="28"/>
      <c r="BI120" s="28"/>
      <c r="BJ120" s="28"/>
      <c r="DB120" s="21"/>
    </row>
    <row r="121" spans="29:106" ht="15">
      <c r="AC121" s="21"/>
      <c r="AE121" s="43"/>
      <c r="AF121" s="33"/>
      <c r="AG121" s="31"/>
      <c r="AH121" s="31"/>
      <c r="AT121" s="137"/>
      <c r="AU121" s="137"/>
      <c r="AV121" s="137"/>
      <c r="AW121" s="137"/>
      <c r="BC121" s="21"/>
      <c r="BE121" s="28"/>
      <c r="BF121" s="28"/>
      <c r="BG121" s="28"/>
      <c r="BH121" s="28"/>
      <c r="BI121" s="28"/>
      <c r="BJ121" s="28"/>
      <c r="BR121" s="37"/>
      <c r="DB121" s="21"/>
    </row>
    <row r="122" spans="20:106" ht="15">
      <c r="T122" s="24"/>
      <c r="U122" s="24"/>
      <c r="V122" s="24"/>
      <c r="W122" s="24"/>
      <c r="AC122" s="22"/>
      <c r="AE122" s="33"/>
      <c r="AF122" s="33"/>
      <c r="AG122" s="29"/>
      <c r="AH122" s="29"/>
      <c r="AS122" s="167"/>
      <c r="AT122" s="137"/>
      <c r="AU122" s="137"/>
      <c r="AV122" s="137"/>
      <c r="AW122" s="137"/>
      <c r="BC122" s="21"/>
      <c r="BE122" s="28"/>
      <c r="BF122" s="28"/>
      <c r="BG122" s="28"/>
      <c r="BH122" s="28"/>
      <c r="BI122" s="28"/>
      <c r="BJ122" s="28"/>
      <c r="BR122" s="37"/>
      <c r="DB122" s="21"/>
    </row>
    <row r="123" spans="29:106" ht="15">
      <c r="AC123" s="21"/>
      <c r="AE123" s="43"/>
      <c r="AF123" s="33"/>
      <c r="AG123" s="29"/>
      <c r="AH123" s="29"/>
      <c r="AS123" s="167"/>
      <c r="AT123" s="137"/>
      <c r="AU123" s="137"/>
      <c r="AV123" s="137"/>
      <c r="AW123" s="137"/>
      <c r="BC123" s="21"/>
      <c r="BE123" s="28"/>
      <c r="BF123" s="28"/>
      <c r="BG123" s="28"/>
      <c r="BH123" s="28"/>
      <c r="BI123" s="28"/>
      <c r="BJ123" s="28"/>
      <c r="BR123" s="37"/>
      <c r="DB123" s="21"/>
    </row>
    <row r="124" spans="20:106" ht="15">
      <c r="T124" s="24"/>
      <c r="U124" s="24"/>
      <c r="V124" s="24"/>
      <c r="W124" s="24"/>
      <c r="AC124" s="92"/>
      <c r="AE124" s="33"/>
      <c r="AF124" s="33"/>
      <c r="AG124" s="29"/>
      <c r="AH124" s="29"/>
      <c r="AS124" s="167"/>
      <c r="AT124" s="137"/>
      <c r="AU124" s="137"/>
      <c r="AV124" s="137"/>
      <c r="AW124" s="137"/>
      <c r="BC124" s="21"/>
      <c r="BE124" s="28"/>
      <c r="BF124" s="28"/>
      <c r="BG124" s="28"/>
      <c r="BH124" s="28"/>
      <c r="BI124" s="28"/>
      <c r="BJ124" s="28"/>
      <c r="BR124" s="37"/>
      <c r="DB124" s="21"/>
    </row>
    <row r="125" spans="29:106" ht="15">
      <c r="AC125" s="21"/>
      <c r="AD125" s="2"/>
      <c r="AE125" s="43"/>
      <c r="AF125" s="33"/>
      <c r="AG125" s="29"/>
      <c r="AH125" s="31"/>
      <c r="AS125" s="167"/>
      <c r="AT125" s="137"/>
      <c r="AU125" s="137"/>
      <c r="AV125" s="137"/>
      <c r="AW125" s="137"/>
      <c r="BC125" s="21"/>
      <c r="BE125" s="28"/>
      <c r="BF125" s="28"/>
      <c r="BG125" s="28"/>
      <c r="BH125" s="28"/>
      <c r="BI125" s="28"/>
      <c r="BJ125" s="28"/>
      <c r="BR125" s="37"/>
      <c r="DB125" s="21"/>
    </row>
    <row r="126" spans="20:106" ht="15">
      <c r="T126" s="24"/>
      <c r="U126" s="24"/>
      <c r="V126" s="24"/>
      <c r="W126" s="24"/>
      <c r="AC126" s="22"/>
      <c r="AD126" s="2"/>
      <c r="AE126" s="33"/>
      <c r="AF126" s="33"/>
      <c r="AG126" s="29"/>
      <c r="AH126" s="29"/>
      <c r="AS126" s="167"/>
      <c r="AT126" s="137"/>
      <c r="AU126" s="137"/>
      <c r="AV126" s="137"/>
      <c r="AW126" s="137"/>
      <c r="BC126" s="21"/>
      <c r="BE126" s="28"/>
      <c r="BF126" s="28"/>
      <c r="BG126" s="28"/>
      <c r="BH126" s="28"/>
      <c r="BI126" s="28"/>
      <c r="BJ126" s="28"/>
      <c r="BR126" s="37"/>
      <c r="DB126" s="21"/>
    </row>
    <row r="127" spans="11:106" ht="15">
      <c r="K127" s="2"/>
      <c r="N127" s="2"/>
      <c r="O127" s="2"/>
      <c r="AC127" s="21"/>
      <c r="AD127" s="2"/>
      <c r="AE127" s="44"/>
      <c r="AF127" s="28"/>
      <c r="AG127" s="29"/>
      <c r="AH127" s="29"/>
      <c r="AS127" s="167"/>
      <c r="AW127" s="137"/>
      <c r="BC127" s="21"/>
      <c r="BE127" s="28"/>
      <c r="BF127" s="28"/>
      <c r="BG127" s="28"/>
      <c r="BH127" s="28"/>
      <c r="BI127" s="28"/>
      <c r="BJ127" s="28"/>
      <c r="BR127" s="37"/>
      <c r="DB127" s="21"/>
    </row>
    <row r="128" spans="20:106" ht="15">
      <c r="T128" s="24"/>
      <c r="U128" s="24"/>
      <c r="V128" s="24"/>
      <c r="W128" s="24"/>
      <c r="AC128" s="21"/>
      <c r="AD128" s="2"/>
      <c r="AE128" s="33"/>
      <c r="AF128" s="33"/>
      <c r="AG128" s="29"/>
      <c r="AH128" s="29"/>
      <c r="AS128" s="167"/>
      <c r="BC128" s="21"/>
      <c r="BE128" s="28"/>
      <c r="BF128" s="28"/>
      <c r="BG128" s="28"/>
      <c r="BH128" s="28"/>
      <c r="BI128" s="28"/>
      <c r="BJ128" s="28"/>
      <c r="BR128" s="37"/>
      <c r="DB128" s="21"/>
    </row>
    <row r="129" spans="29:106" ht="15">
      <c r="AC129" s="21"/>
      <c r="AD129" s="2"/>
      <c r="AE129" s="43"/>
      <c r="AF129" s="33"/>
      <c r="AG129" s="29"/>
      <c r="AH129" s="30"/>
      <c r="AS129" s="167"/>
      <c r="BC129" s="21"/>
      <c r="BE129" s="28"/>
      <c r="BF129" s="28"/>
      <c r="BG129" s="28"/>
      <c r="BH129" s="28"/>
      <c r="BI129" s="28"/>
      <c r="BJ129" s="28"/>
      <c r="BR129" s="37"/>
      <c r="DB129" s="21"/>
    </row>
    <row r="130" spans="20:106" ht="15">
      <c r="T130" s="24"/>
      <c r="U130" s="24"/>
      <c r="V130" s="24"/>
      <c r="W130" s="24"/>
      <c r="AC130" s="23"/>
      <c r="AD130" s="2"/>
      <c r="AE130" s="33"/>
      <c r="AF130" s="33"/>
      <c r="AG130" s="29"/>
      <c r="AH130" s="29"/>
      <c r="AS130" s="167"/>
      <c r="BC130" s="21"/>
      <c r="BE130" s="28"/>
      <c r="BF130" s="28"/>
      <c r="BG130" s="28"/>
      <c r="BH130" s="28"/>
      <c r="BI130" s="28"/>
      <c r="BJ130" s="28"/>
      <c r="BR130" s="37"/>
      <c r="DB130" s="21"/>
    </row>
    <row r="131" spans="29:106" ht="15">
      <c r="AC131" s="21"/>
      <c r="AD131" s="2"/>
      <c r="AE131" s="31"/>
      <c r="AF131" s="31"/>
      <c r="AG131" s="29"/>
      <c r="AH131" s="29"/>
      <c r="AS131" s="167"/>
      <c r="BC131" s="21"/>
      <c r="BE131" s="28"/>
      <c r="BF131" s="28"/>
      <c r="BG131" s="28"/>
      <c r="BH131" s="28"/>
      <c r="BI131" s="28"/>
      <c r="BJ131" s="28"/>
      <c r="BR131" s="37"/>
      <c r="DB131" s="21"/>
    </row>
    <row r="132" spans="20:70" ht="15">
      <c r="T132" s="24"/>
      <c r="U132" s="24"/>
      <c r="V132" s="24"/>
      <c r="W132" s="24"/>
      <c r="AC132" s="22"/>
      <c r="AD132" s="2"/>
      <c r="AE132" s="33"/>
      <c r="AF132" s="33"/>
      <c r="AG132" s="29"/>
      <c r="AH132" s="29"/>
      <c r="BC132" s="21"/>
      <c r="BE132" s="28"/>
      <c r="BF132" s="28"/>
      <c r="BG132" s="28"/>
      <c r="BH132" s="28"/>
      <c r="BI132" s="28"/>
      <c r="BJ132" s="28"/>
      <c r="BR132" s="37"/>
    </row>
    <row r="133" spans="29:70" ht="15">
      <c r="AC133" s="21"/>
      <c r="AD133" s="2"/>
      <c r="AE133" s="31"/>
      <c r="AF133" s="31"/>
      <c r="AG133" s="29"/>
      <c r="AH133" s="29"/>
      <c r="BC133" s="21"/>
      <c r="BE133" s="28"/>
      <c r="BF133" s="28"/>
      <c r="BG133" s="28"/>
      <c r="BH133" s="28"/>
      <c r="BI133" s="28"/>
      <c r="BJ133" s="28"/>
      <c r="BR133" s="37"/>
    </row>
    <row r="134" spans="20:70" ht="15">
      <c r="T134" s="24"/>
      <c r="U134" s="24"/>
      <c r="V134" s="24"/>
      <c r="W134" s="24"/>
      <c r="AC134" s="23"/>
      <c r="AD134" s="2"/>
      <c r="AE134" s="28"/>
      <c r="AF134" s="28"/>
      <c r="AG134" s="28"/>
      <c r="AH134" s="29"/>
      <c r="BC134" s="21"/>
      <c r="BE134" s="28"/>
      <c r="BF134" s="28"/>
      <c r="BG134" s="28"/>
      <c r="BH134" s="28"/>
      <c r="BI134" s="28"/>
      <c r="BJ134" s="28"/>
      <c r="BR134" s="37"/>
    </row>
    <row r="135" spans="24:70" ht="15.75">
      <c r="X135" s="1"/>
      <c r="AC135" s="21"/>
      <c r="AD135" s="2"/>
      <c r="AE135" s="31"/>
      <c r="AF135" s="28"/>
      <c r="AG135" s="28"/>
      <c r="AH135" s="31"/>
      <c r="BC135" s="21"/>
      <c r="BE135" s="28"/>
      <c r="BF135" s="28"/>
      <c r="BG135" s="28"/>
      <c r="BH135" s="28"/>
      <c r="BI135" s="28"/>
      <c r="BJ135" s="28"/>
      <c r="BR135" s="37"/>
    </row>
    <row r="136" spans="20:70" ht="15">
      <c r="T136" s="24"/>
      <c r="U136" s="24"/>
      <c r="V136" s="24"/>
      <c r="W136" s="24"/>
      <c r="AC136" s="83"/>
      <c r="AE136" s="28"/>
      <c r="AF136" s="28"/>
      <c r="AG136" s="28"/>
      <c r="AH136" s="29"/>
      <c r="BC136" s="21"/>
      <c r="BE136" s="28"/>
      <c r="BF136" s="28"/>
      <c r="BG136" s="28"/>
      <c r="BH136" s="28"/>
      <c r="BI136" s="28"/>
      <c r="BJ136" s="28"/>
      <c r="BR136" s="37"/>
    </row>
    <row r="137" spans="29:70" ht="15">
      <c r="AC137" s="21"/>
      <c r="AD137" s="2"/>
      <c r="AE137" s="28"/>
      <c r="AF137" s="28"/>
      <c r="AG137" s="28"/>
      <c r="AH137" s="29"/>
      <c r="BC137" s="21"/>
      <c r="BE137" s="28"/>
      <c r="BF137" s="28"/>
      <c r="BG137" s="28"/>
      <c r="BH137" s="28"/>
      <c r="BI137" s="28"/>
      <c r="BJ137" s="28"/>
      <c r="BR137" s="37"/>
    </row>
    <row r="138" spans="29:70" ht="15">
      <c r="AC138" s="22"/>
      <c r="AD138" s="2"/>
      <c r="AE138" s="28"/>
      <c r="AF138" s="28"/>
      <c r="AG138" s="28"/>
      <c r="AH138" s="29"/>
      <c r="BC138" s="21"/>
      <c r="BE138" s="28"/>
      <c r="BF138" s="28"/>
      <c r="BG138" s="28"/>
      <c r="BH138" s="28"/>
      <c r="BI138" s="28"/>
      <c r="BJ138" s="28"/>
      <c r="BR138" s="37"/>
    </row>
    <row r="139" spans="29:72" ht="15">
      <c r="AC139" s="21"/>
      <c r="AE139" s="28"/>
      <c r="AF139" s="28"/>
      <c r="AG139" s="28"/>
      <c r="AH139" s="29"/>
      <c r="BC139" s="21"/>
      <c r="BE139" s="28"/>
      <c r="BF139" s="28"/>
      <c r="BG139" s="28"/>
      <c r="BH139" s="28"/>
      <c r="BI139" s="28"/>
      <c r="BJ139" s="28"/>
      <c r="BR139" s="37"/>
      <c r="BS139" t="s">
        <v>332</v>
      </c>
      <c r="BT139">
        <v>72000</v>
      </c>
    </row>
    <row r="140" spans="29:72" ht="15">
      <c r="AC140" s="21"/>
      <c r="AD140" s="2"/>
      <c r="AE140" s="28"/>
      <c r="AF140" s="31"/>
      <c r="AG140" s="31"/>
      <c r="AH140" s="30"/>
      <c r="BC140" s="21"/>
      <c r="BE140" s="28"/>
      <c r="BF140" s="28"/>
      <c r="BG140" s="28"/>
      <c r="BH140" s="28"/>
      <c r="BI140" s="28"/>
      <c r="BJ140" s="28"/>
      <c r="BS140" t="s">
        <v>158</v>
      </c>
      <c r="BT140">
        <f>1359190-138054</f>
        <v>1221136</v>
      </c>
    </row>
    <row r="141" spans="29:72" ht="15">
      <c r="AC141" s="21"/>
      <c r="AD141" s="2"/>
      <c r="AE141" s="28"/>
      <c r="AF141" s="28"/>
      <c r="AG141" s="28"/>
      <c r="AH141" s="28"/>
      <c r="BC141" s="21"/>
      <c r="BE141" s="28"/>
      <c r="BF141" s="28"/>
      <c r="BG141" s="28"/>
      <c r="BH141" s="28"/>
      <c r="BI141" s="28"/>
      <c r="BJ141" s="28"/>
      <c r="BS141" t="s">
        <v>275</v>
      </c>
      <c r="BT141">
        <f>2039507-116866</f>
        <v>1922641</v>
      </c>
    </row>
    <row r="142" spans="24:62" ht="15">
      <c r="X142" s="24"/>
      <c r="AC142" s="83"/>
      <c r="AE142" s="28"/>
      <c r="AF142" s="28"/>
      <c r="AG142" s="28"/>
      <c r="AH142" s="28"/>
      <c r="BC142" s="21"/>
      <c r="BE142" s="28"/>
      <c r="BF142" s="28"/>
      <c r="BG142" s="28"/>
      <c r="BH142" s="28"/>
      <c r="BI142" s="28"/>
      <c r="BJ142" s="28"/>
    </row>
    <row r="143" spans="24:73" ht="15">
      <c r="X143" s="24"/>
      <c r="AC143" s="21"/>
      <c r="AE143" s="28"/>
      <c r="AF143" s="28"/>
      <c r="AG143" s="28"/>
      <c r="AH143" s="28"/>
      <c r="BC143" s="21"/>
      <c r="BE143" s="28"/>
      <c r="BF143" s="28"/>
      <c r="BG143" s="28"/>
      <c r="BH143" s="28"/>
      <c r="BI143" s="28"/>
      <c r="BJ143" s="28"/>
      <c r="BS143" t="s">
        <v>276</v>
      </c>
      <c r="BT143">
        <v>14940000</v>
      </c>
      <c r="BU143" t="s">
        <v>341</v>
      </c>
    </row>
    <row r="144" spans="29:62" ht="15">
      <c r="AC144" s="21"/>
      <c r="AE144" s="28"/>
      <c r="AF144" s="28"/>
      <c r="AG144" s="28"/>
      <c r="AH144" s="28"/>
      <c r="BC144" s="21"/>
      <c r="BE144" s="28"/>
      <c r="BF144" s="28"/>
      <c r="BG144" s="28"/>
      <c r="BH144" s="28"/>
      <c r="BI144" s="28"/>
      <c r="BJ144" s="28"/>
    </row>
    <row r="145" spans="7:72" ht="15">
      <c r="G145" t="s">
        <v>312</v>
      </c>
      <c r="AC145" s="21"/>
      <c r="AE145" s="28"/>
      <c r="AF145" s="28"/>
      <c r="AG145" s="28"/>
      <c r="AH145" s="28"/>
      <c r="BC145" s="21"/>
      <c r="BE145" s="28"/>
      <c r="BF145" s="28"/>
      <c r="BG145" s="28"/>
      <c r="BH145" s="28"/>
      <c r="BI145" s="28"/>
      <c r="BJ145" s="28"/>
      <c r="BS145" t="s">
        <v>277</v>
      </c>
      <c r="BT145" s="176">
        <f>+(BT139+BT140+BT141)/BT143</f>
        <v>0.21524611780455155</v>
      </c>
    </row>
    <row r="146" spans="29:62" ht="15">
      <c r="AC146" s="21"/>
      <c r="AE146" s="28"/>
      <c r="AF146" s="28"/>
      <c r="AG146" s="28"/>
      <c r="AH146" s="28"/>
      <c r="BC146" s="21"/>
      <c r="BE146" s="28"/>
      <c r="BF146" s="28"/>
      <c r="BG146" s="28"/>
      <c r="BH146" s="28"/>
      <c r="BI146" s="28"/>
      <c r="BJ146" s="28"/>
    </row>
    <row r="147" spans="25:72" ht="15.75">
      <c r="Y147" s="1"/>
      <c r="Z147" s="1"/>
      <c r="AA147" s="1"/>
      <c r="AC147" s="21"/>
      <c r="AE147" s="28"/>
      <c r="AF147" s="28"/>
      <c r="AG147" s="28"/>
      <c r="AH147" s="28"/>
      <c r="BC147" s="21"/>
      <c r="BE147" s="28"/>
      <c r="BF147" s="28"/>
      <c r="BG147" s="28"/>
      <c r="BH147" s="28"/>
      <c r="BI147" s="28"/>
      <c r="BJ147" s="28"/>
      <c r="BS147" t="s">
        <v>278</v>
      </c>
      <c r="BT147" s="137">
        <f>1.33*BT145</f>
        <v>0.28627733668005356</v>
      </c>
    </row>
    <row r="148" spans="2:62" ht="15.75">
      <c r="B148" s="1" t="str">
        <f>+B4</f>
        <v>KENTUCKY AMERICAN WATER COMPANY</v>
      </c>
      <c r="AC148" s="21"/>
      <c r="AE148" s="28"/>
      <c r="AF148" s="28"/>
      <c r="AG148" s="28"/>
      <c r="AH148" s="28"/>
      <c r="BC148" s="21"/>
      <c r="BE148" s="28"/>
      <c r="BF148" s="28"/>
      <c r="BG148" s="28"/>
      <c r="BH148" s="28"/>
      <c r="BI148" s="28"/>
      <c r="BJ148" s="28"/>
    </row>
    <row r="149" spans="6:62" ht="15.75">
      <c r="F149" s="40"/>
      <c r="X149" s="1"/>
      <c r="AC149" s="21"/>
      <c r="AE149" s="28"/>
      <c r="AF149" s="28"/>
      <c r="AG149" s="28"/>
      <c r="AH149" s="28"/>
      <c r="AJ149" s="31"/>
      <c r="AK149" s="31"/>
      <c r="AL149" s="31"/>
      <c r="AM149" s="31"/>
      <c r="AN149" s="31"/>
      <c r="BC149" s="21"/>
      <c r="BE149" s="28"/>
      <c r="BF149" s="28"/>
      <c r="BG149" s="28"/>
      <c r="BH149" s="28"/>
      <c r="BI149" s="28"/>
      <c r="BJ149" s="28"/>
    </row>
    <row r="150" spans="2:72" ht="15.75">
      <c r="B150" s="1" t="str">
        <f>+B6</f>
        <v>FUTURE TEST YEAR ENDING NOVEMBER 30, 2005</v>
      </c>
      <c r="AC150" s="21"/>
      <c r="AE150" s="31"/>
      <c r="AF150" s="28"/>
      <c r="AG150" s="28"/>
      <c r="AH150" s="31"/>
      <c r="BC150" s="21"/>
      <c r="BE150" s="28"/>
      <c r="BF150" s="28"/>
      <c r="BG150" s="28"/>
      <c r="BH150" s="28"/>
      <c r="BI150" s="28"/>
      <c r="BJ150" s="28"/>
      <c r="BS150" t="s">
        <v>293</v>
      </c>
      <c r="BT150">
        <v>989860</v>
      </c>
    </row>
    <row r="151" spans="24:72" ht="15.75">
      <c r="X151" s="1"/>
      <c r="AC151" s="21"/>
      <c r="AJ151" s="29"/>
      <c r="AK151" s="29"/>
      <c r="AL151" s="29"/>
      <c r="AM151" s="29"/>
      <c r="AN151" s="29"/>
      <c r="BC151" s="21"/>
      <c r="BE151" s="28"/>
      <c r="BF151" s="28"/>
      <c r="BG151" s="28"/>
      <c r="BH151" s="28"/>
      <c r="BI151" s="28"/>
      <c r="BJ151" s="28"/>
      <c r="BS151" t="s">
        <v>294</v>
      </c>
      <c r="BT151" s="176">
        <f>+BT150/(BU81+BU17+763)</f>
        <v>8.915990929623517</v>
      </c>
    </row>
    <row r="152" spans="2:72" ht="15.75">
      <c r="B152" s="1" t="s">
        <v>64</v>
      </c>
      <c r="AC152" s="21"/>
      <c r="BC152" s="21"/>
      <c r="BE152" s="28"/>
      <c r="BF152" s="28"/>
      <c r="BG152" s="28"/>
      <c r="BH152" s="28"/>
      <c r="BI152" s="28"/>
      <c r="BJ152" s="28"/>
      <c r="BT152" s="176"/>
    </row>
    <row r="153" spans="24:62" ht="15.75">
      <c r="X153" s="1"/>
      <c r="AC153" s="21"/>
      <c r="AJ153" s="29"/>
      <c r="AK153" s="29"/>
      <c r="AL153" s="29"/>
      <c r="AM153" s="29"/>
      <c r="AN153" s="29"/>
      <c r="BC153" s="21"/>
      <c r="BE153" s="28"/>
      <c r="BF153" s="28"/>
      <c r="BG153" s="28"/>
      <c r="BH153" s="28"/>
      <c r="BI153" s="28"/>
      <c r="BJ153" s="28"/>
    </row>
    <row r="154" spans="6:62" ht="15">
      <c r="F154" s="21" t="s">
        <v>65</v>
      </c>
      <c r="G154" s="21" t="s">
        <v>9</v>
      </c>
      <c r="H154" s="21" t="s">
        <v>65</v>
      </c>
      <c r="AC154" s="21"/>
      <c r="BC154" s="21"/>
      <c r="BE154" s="28"/>
      <c r="BF154" s="28"/>
      <c r="BG154" s="28"/>
      <c r="BH154" s="28"/>
      <c r="BI154" s="28"/>
      <c r="BJ154" s="28"/>
    </row>
    <row r="155" spans="4:62" ht="15">
      <c r="D155" s="21" t="s">
        <v>66</v>
      </c>
      <c r="E155" s="93" t="s">
        <v>9</v>
      </c>
      <c r="F155" s="21" t="s">
        <v>67</v>
      </c>
      <c r="G155" s="21" t="s">
        <v>21</v>
      </c>
      <c r="H155" s="21" t="s">
        <v>68</v>
      </c>
      <c r="AC155" s="93"/>
      <c r="AJ155" s="31"/>
      <c r="AK155" s="31"/>
      <c r="AL155" s="31"/>
      <c r="AM155" s="31"/>
      <c r="AN155" s="31"/>
      <c r="BC155" s="21"/>
      <c r="BE155" s="28"/>
      <c r="BF155" s="28"/>
      <c r="BG155" s="28"/>
      <c r="BH155" s="28"/>
      <c r="BI155" s="28"/>
      <c r="BJ155" s="28"/>
    </row>
    <row r="156" spans="4:62" ht="15">
      <c r="D156" s="23" t="s">
        <v>8</v>
      </c>
      <c r="E156" s="23" t="s">
        <v>69</v>
      </c>
      <c r="F156" s="23" t="s">
        <v>70</v>
      </c>
      <c r="G156" s="23" t="s">
        <v>12</v>
      </c>
      <c r="H156" s="23" t="s">
        <v>70</v>
      </c>
      <c r="AC156" s="93"/>
      <c r="AD156" s="3"/>
      <c r="BC156" s="21"/>
      <c r="BE156" s="28"/>
      <c r="BF156" s="28"/>
      <c r="BG156" s="28"/>
      <c r="BH156" s="28"/>
      <c r="BI156" s="28"/>
      <c r="BJ156" s="28"/>
    </row>
    <row r="157" spans="20:62" ht="15">
      <c r="T157" s="24"/>
      <c r="U157" s="24"/>
      <c r="V157" s="24"/>
      <c r="W157" s="24"/>
      <c r="AC157" s="25"/>
      <c r="BC157" s="21"/>
      <c r="BE157" s="28"/>
      <c r="BF157" s="28"/>
      <c r="BG157" s="28"/>
      <c r="BH157" s="28"/>
      <c r="BI157" s="28"/>
      <c r="BJ157" s="28"/>
    </row>
    <row r="158" spans="1:62" ht="15">
      <c r="A158" s="24" t="s">
        <v>14</v>
      </c>
      <c r="B158" t="s">
        <v>71</v>
      </c>
      <c r="D158" s="3">
        <v>43389662</v>
      </c>
      <c r="E158" s="3">
        <f>SUM(D183:D188)+E204</f>
        <v>1878598.4192774673</v>
      </c>
      <c r="F158" s="3">
        <f>D158+E158</f>
        <v>45268260.41927747</v>
      </c>
      <c r="G158" s="3">
        <f>F25</f>
        <v>111932.6656811448</v>
      </c>
      <c r="H158" s="3">
        <f>F158+F25</f>
        <v>45380193.08495861</v>
      </c>
      <c r="AC158" s="21"/>
      <c r="BE158" s="28"/>
      <c r="BF158" s="28"/>
      <c r="BG158" s="28"/>
      <c r="BH158" s="28"/>
      <c r="BI158" s="28"/>
      <c r="BJ158" s="28"/>
    </row>
    <row r="159" spans="20:62" ht="15">
      <c r="T159" s="24"/>
      <c r="U159" s="24"/>
      <c r="V159" s="24"/>
      <c r="W159" s="24"/>
      <c r="AC159" s="94"/>
      <c r="BE159" s="28"/>
      <c r="BF159" s="28"/>
      <c r="BG159" s="28"/>
      <c r="BH159" s="28"/>
      <c r="BI159" s="28"/>
      <c r="BJ159" s="28"/>
    </row>
    <row r="160" spans="1:62" ht="15">
      <c r="A160" s="24" t="s">
        <v>26</v>
      </c>
      <c r="B160" t="s">
        <v>72</v>
      </c>
      <c r="D160">
        <v>21910724</v>
      </c>
      <c r="E160" s="8">
        <f>SUM(E183:E202)-E192</f>
        <v>-1163579.8223636518</v>
      </c>
      <c r="F160">
        <f>D160+E160</f>
        <v>20747144.177636348</v>
      </c>
      <c r="G160">
        <f>+G158*(0.0050683+0.001669)</f>
        <v>754.1239484935769</v>
      </c>
      <c r="H160">
        <f>F160+G160</f>
        <v>20747898.30158484</v>
      </c>
      <c r="AC160" s="21"/>
      <c r="BE160" s="28"/>
      <c r="BF160" s="28"/>
      <c r="BG160" s="28"/>
      <c r="BH160" s="28"/>
      <c r="BI160" s="28"/>
      <c r="BJ160" s="28"/>
    </row>
    <row r="161" spans="1:62" ht="15">
      <c r="A161" s="24" t="s">
        <v>31</v>
      </c>
      <c r="B161" t="s">
        <v>399</v>
      </c>
      <c r="D161">
        <v>7760915</v>
      </c>
      <c r="E161">
        <f>+E205+E206</f>
        <v>-10140</v>
      </c>
      <c r="F161">
        <f>D161+E161</f>
        <v>7750775</v>
      </c>
      <c r="G161">
        <v>0</v>
      </c>
      <c r="H161">
        <f>F161+G161</f>
        <v>7750775</v>
      </c>
      <c r="T161" s="24"/>
      <c r="U161" s="24"/>
      <c r="V161" s="24"/>
      <c r="W161" s="24"/>
      <c r="AC161" s="25"/>
      <c r="AJ161" s="30"/>
      <c r="AK161" s="30"/>
      <c r="AL161" s="30"/>
      <c r="AM161" s="30"/>
      <c r="AN161" s="30"/>
      <c r="BE161" s="28"/>
      <c r="BF161" s="28"/>
      <c r="BG161" s="28"/>
      <c r="BH161" s="28"/>
      <c r="BI161" s="28"/>
      <c r="BJ161" s="28"/>
    </row>
    <row r="162" spans="1:62" ht="15">
      <c r="A162" s="24" t="s">
        <v>35</v>
      </c>
      <c r="B162" t="s">
        <v>73</v>
      </c>
      <c r="D162" s="5">
        <v>2712460</v>
      </c>
      <c r="E162" s="5">
        <f>+E192+E203</f>
        <v>-14970.159599999999</v>
      </c>
      <c r="F162" s="5">
        <f>D162+E162</f>
        <v>2697489.8404</v>
      </c>
      <c r="G162" s="11">
        <f>(+EM13+EM15+EM17)*G158</f>
        <v>0</v>
      </c>
      <c r="H162" s="5">
        <f>F162+G162</f>
        <v>2697489.8404</v>
      </c>
      <c r="AC162" s="21"/>
      <c r="BE162" s="28"/>
      <c r="BF162" s="28"/>
      <c r="BG162" s="28"/>
      <c r="BH162" s="28"/>
      <c r="BI162" s="28"/>
      <c r="BJ162" s="28"/>
    </row>
    <row r="163" spans="20:62" ht="15">
      <c r="T163" s="24"/>
      <c r="U163" s="24"/>
      <c r="V163" s="24"/>
      <c r="W163" s="24"/>
      <c r="AC163" s="95"/>
      <c r="BE163" s="28"/>
      <c r="BF163" s="28"/>
      <c r="BG163" s="28"/>
      <c r="BH163" s="28"/>
      <c r="BI163" s="28"/>
      <c r="BJ163" s="28"/>
    </row>
    <row r="164" spans="1:62" ht="15">
      <c r="A164" s="24" t="s">
        <v>37</v>
      </c>
      <c r="B164" t="s">
        <v>74</v>
      </c>
      <c r="AC164" s="22"/>
      <c r="BE164" s="28"/>
      <c r="BF164" s="28"/>
      <c r="BG164" s="28"/>
      <c r="BH164" s="28"/>
      <c r="BI164" s="28"/>
      <c r="BJ164" s="28"/>
    </row>
    <row r="165" spans="2:62" ht="15">
      <c r="B165" t="s">
        <v>75</v>
      </c>
      <c r="D165" s="3">
        <f>D158-D160-D161-D162</f>
        <v>11005563</v>
      </c>
      <c r="E165" s="3">
        <f>E158-E160-E161-E162</f>
        <v>3067288.401241119</v>
      </c>
      <c r="F165" s="3">
        <f>F158-F160-F161-F162</f>
        <v>14072851.40124112</v>
      </c>
      <c r="G165" s="3">
        <f>G158-G160-G161-G162</f>
        <v>111178.54173265123</v>
      </c>
      <c r="H165" s="3">
        <f>H158-H160-H161-H162</f>
        <v>14184029.942973774</v>
      </c>
      <c r="T165" s="24"/>
      <c r="U165" s="24"/>
      <c r="V165" s="24"/>
      <c r="W165" s="24"/>
      <c r="AC165" s="22"/>
      <c r="BE165" s="28"/>
      <c r="BF165" s="28"/>
      <c r="BG165" s="28"/>
      <c r="BH165" s="28"/>
      <c r="BI165" s="28"/>
      <c r="BJ165" s="28"/>
    </row>
    <row r="166" spans="29:62" ht="15">
      <c r="AC166" s="93"/>
      <c r="BE166" s="28"/>
      <c r="BF166" s="28"/>
      <c r="BG166" s="28"/>
      <c r="BH166" s="28"/>
      <c r="BI166" s="28"/>
      <c r="BJ166" s="28"/>
    </row>
    <row r="167" spans="1:62" ht="15">
      <c r="A167" s="24" t="s">
        <v>38</v>
      </c>
      <c r="B167" t="s">
        <v>76</v>
      </c>
      <c r="D167" s="5">
        <f>DZ17</f>
        <v>5325120</v>
      </c>
      <c r="E167" s="5">
        <f>F167-D167</f>
        <v>-618552.3000976071</v>
      </c>
      <c r="F167" s="5">
        <f>DZ15</f>
        <v>4706567.699902393</v>
      </c>
      <c r="G167" s="5">
        <v>0</v>
      </c>
      <c r="H167" s="5">
        <f>F167</f>
        <v>4706567.699902393</v>
      </c>
      <c r="T167" s="24"/>
      <c r="U167" s="24"/>
      <c r="V167" s="24"/>
      <c r="W167" s="24"/>
      <c r="AB167" s="2"/>
      <c r="AC167" s="23"/>
      <c r="BE167" s="28"/>
      <c r="BF167" s="28"/>
      <c r="BG167" s="28"/>
      <c r="BH167" s="28"/>
      <c r="BI167" s="28"/>
      <c r="BJ167" s="28"/>
    </row>
    <row r="168" spans="29:62" ht="15">
      <c r="AC168" s="21"/>
      <c r="BE168" s="28"/>
      <c r="BF168" s="28"/>
      <c r="BG168" s="28"/>
      <c r="BH168" s="28"/>
      <c r="BI168" s="28"/>
      <c r="BJ168" s="28"/>
    </row>
    <row r="169" spans="1:62" ht="15">
      <c r="A169" s="24" t="s">
        <v>41</v>
      </c>
      <c r="B169" t="s">
        <v>77</v>
      </c>
      <c r="D169" s="3">
        <f>D165-D167</f>
        <v>5680443</v>
      </c>
      <c r="E169" s="3">
        <f>E165-E167</f>
        <v>3685840.701338726</v>
      </c>
      <c r="F169" s="3">
        <f>F165-F167</f>
        <v>9366283.701338727</v>
      </c>
      <c r="G169" s="3">
        <f>G165-G167</f>
        <v>111178.54173265123</v>
      </c>
      <c r="H169" s="3">
        <f>H165-H167</f>
        <v>9477462.243071381</v>
      </c>
      <c r="T169" s="24"/>
      <c r="U169" s="24"/>
      <c r="V169" s="24"/>
      <c r="W169" s="24"/>
      <c r="AC169" s="83"/>
      <c r="BE169" s="28"/>
      <c r="BF169" s="28"/>
      <c r="BG169" s="28"/>
      <c r="BH169" s="28"/>
      <c r="BI169" s="28"/>
      <c r="BJ169" s="28"/>
    </row>
    <row r="170" spans="29:62" ht="15">
      <c r="AC170" s="21"/>
      <c r="BE170" s="28"/>
      <c r="BF170" s="28"/>
      <c r="BG170" s="28"/>
      <c r="BH170" s="28"/>
      <c r="BI170" s="28"/>
      <c r="BJ170" s="28"/>
    </row>
    <row r="171" spans="1:62" ht="15">
      <c r="A171" s="24" t="s">
        <v>44</v>
      </c>
      <c r="B171" t="s">
        <v>32</v>
      </c>
      <c r="C171" s="2">
        <f>A50</f>
        <v>0.4036549</v>
      </c>
      <c r="D171" s="16">
        <f>483251+1730030</f>
        <v>2213281</v>
      </c>
      <c r="E171" s="5">
        <f>+(C171*E169)+F207</f>
        <v>1294904.778505723</v>
      </c>
      <c r="F171" s="5">
        <f>D171+E171</f>
        <v>3508185.778505723</v>
      </c>
      <c r="G171" s="5">
        <f>A50*G169</f>
        <v>44877.76314523916</v>
      </c>
      <c r="H171" s="5">
        <f>F171+G171</f>
        <v>3553063.541650962</v>
      </c>
      <c r="AC171" s="21"/>
      <c r="BE171" s="28"/>
      <c r="BF171" s="28"/>
      <c r="BG171" s="28"/>
      <c r="BH171" s="28"/>
      <c r="BI171" s="28"/>
      <c r="BJ171" s="28"/>
    </row>
    <row r="172" spans="13:62" ht="15">
      <c r="M172" s="4"/>
      <c r="AC172" s="21"/>
      <c r="BE172" s="28"/>
      <c r="BF172" s="28"/>
      <c r="BG172" s="28"/>
      <c r="BH172" s="28"/>
      <c r="BI172" s="28"/>
      <c r="BJ172" s="28"/>
    </row>
    <row r="173" spans="1:62" ht="15">
      <c r="A173" s="24" t="s">
        <v>47</v>
      </c>
      <c r="B173" t="s">
        <v>99</v>
      </c>
      <c r="D173" s="3">
        <f>D165-D171</f>
        <v>8792282</v>
      </c>
      <c r="E173" s="3">
        <f>E165-E171</f>
        <v>1772383.622735396</v>
      </c>
      <c r="F173" s="3">
        <f>F165-F171</f>
        <v>10564665.622735396</v>
      </c>
      <c r="G173" s="3">
        <f>G165-G171</f>
        <v>66300.77858741206</v>
      </c>
      <c r="H173" s="3">
        <f>H165-H171</f>
        <v>10630966.401322812</v>
      </c>
      <c r="M173" s="4"/>
      <c r="AC173" s="83"/>
      <c r="BE173" s="28"/>
      <c r="BF173" s="28"/>
      <c r="BG173" s="28"/>
      <c r="BH173" s="28"/>
      <c r="BI173" s="28"/>
      <c r="BJ173" s="28"/>
    </row>
    <row r="174" spans="13:62" ht="15">
      <c r="M174" s="4"/>
      <c r="AC174" s="21"/>
      <c r="BE174" s="28"/>
      <c r="BF174" s="28"/>
      <c r="BG174" s="28"/>
      <c r="BH174" s="28"/>
      <c r="BI174" s="28"/>
      <c r="BJ174" s="28"/>
    </row>
    <row r="175" spans="1:62" ht="15.75">
      <c r="A175" s="24" t="s">
        <v>50</v>
      </c>
      <c r="B175" t="s">
        <v>78</v>
      </c>
      <c r="D175" s="3">
        <f>D13</f>
        <v>158958817</v>
      </c>
      <c r="F175" s="3">
        <f>F13</f>
        <v>149515649.6429797</v>
      </c>
      <c r="G175" s="3"/>
      <c r="H175" s="3">
        <f>F175</f>
        <v>149515649.6429797</v>
      </c>
      <c r="M175" s="4"/>
      <c r="X175" s="1"/>
      <c r="AC175" s="21"/>
      <c r="BE175" s="28"/>
      <c r="BF175" s="28"/>
      <c r="BG175" s="28"/>
      <c r="BH175" s="28"/>
      <c r="BI175" s="28"/>
      <c r="BJ175" s="28"/>
    </row>
    <row r="176" spans="13:62" ht="15">
      <c r="M176" s="4"/>
      <c r="AC176" s="21"/>
      <c r="BE176" s="28"/>
      <c r="BF176" s="28"/>
      <c r="BG176" s="28"/>
      <c r="BH176" s="28"/>
      <c r="BI176" s="28"/>
      <c r="BJ176" s="28"/>
    </row>
    <row r="177" spans="1:62" ht="15">
      <c r="A177" s="24" t="s">
        <v>53</v>
      </c>
      <c r="B177" t="s">
        <v>79</v>
      </c>
      <c r="D177" s="15">
        <f>D173/D175</f>
        <v>0.05531169749457811</v>
      </c>
      <c r="E177" s="20"/>
      <c r="F177" s="15">
        <f>F173/F175</f>
        <v>0.07065926308023399</v>
      </c>
      <c r="G177" s="20"/>
      <c r="H177" s="15">
        <f>H173/H175</f>
        <v>0.07110270013010624</v>
      </c>
      <c r="M177" s="4"/>
      <c r="X177" s="9"/>
      <c r="AC177" s="21"/>
      <c r="BE177" s="28"/>
      <c r="BF177" s="28"/>
      <c r="BG177" s="28"/>
      <c r="BH177" s="28"/>
      <c r="BI177" s="28"/>
      <c r="BJ177" s="28"/>
    </row>
    <row r="178" spans="13:62" ht="15">
      <c r="M178" s="4"/>
      <c r="AC178" s="21"/>
      <c r="BE178" s="28"/>
      <c r="BF178" s="28"/>
      <c r="BG178" s="28"/>
      <c r="BH178" s="28"/>
      <c r="BI178" s="28"/>
      <c r="BJ178" s="28"/>
    </row>
    <row r="179" spans="4:62" ht="15">
      <c r="D179">
        <f>+D19</f>
        <v>8792281</v>
      </c>
      <c r="F179">
        <f>+F19</f>
        <v>10562553.561081398</v>
      </c>
      <c r="H179">
        <f>+F17</f>
        <v>10628844.30625451</v>
      </c>
      <c r="M179" s="4"/>
      <c r="X179" s="9"/>
      <c r="AC179" s="21"/>
      <c r="BE179" s="28"/>
      <c r="BF179" s="28"/>
      <c r="BG179" s="28"/>
      <c r="BH179" s="28"/>
      <c r="BI179" s="28"/>
      <c r="BJ179" s="28"/>
    </row>
    <row r="180" spans="13:62" ht="15">
      <c r="M180" s="4"/>
      <c r="AC180" s="21"/>
      <c r="BE180" s="28"/>
      <c r="BF180" s="28"/>
      <c r="BG180" s="28"/>
      <c r="BH180" s="28"/>
      <c r="BI180" s="28"/>
      <c r="BJ180" s="28"/>
    </row>
    <row r="181" spans="4:62" ht="15">
      <c r="D181" t="s">
        <v>384</v>
      </c>
      <c r="E181" t="s">
        <v>80</v>
      </c>
      <c r="F181" t="s">
        <v>104</v>
      </c>
      <c r="M181" s="4"/>
      <c r="AC181" s="21"/>
      <c r="BE181" s="28"/>
      <c r="BF181" s="28"/>
      <c r="BG181" s="28"/>
      <c r="BH181" s="28"/>
      <c r="BI181" s="28"/>
      <c r="BJ181" s="28"/>
    </row>
    <row r="182" spans="13:62" ht="15">
      <c r="M182" s="4"/>
      <c r="AC182" s="21"/>
      <c r="BE182" s="28"/>
      <c r="BF182" s="28"/>
      <c r="BG182" s="28"/>
      <c r="BH182" s="28"/>
      <c r="BI182" s="28"/>
      <c r="BJ182" s="28"/>
    </row>
    <row r="183" spans="2:62" ht="15">
      <c r="B183" t="str">
        <f>+AZ15</f>
        <v>Residential Consumption</v>
      </c>
      <c r="D183">
        <f>+CA28</f>
        <v>1095293.336565442</v>
      </c>
      <c r="E183">
        <f>+CA30</f>
        <v>192843.31662233773</v>
      </c>
      <c r="F183">
        <f>+CA34</f>
        <v>364278.3725551317</v>
      </c>
      <c r="G183">
        <f>$A$50*(D183-E183)</f>
        <v>364278.3725551317</v>
      </c>
      <c r="M183" s="4"/>
      <c r="AC183" s="21"/>
      <c r="BE183" s="28"/>
      <c r="BF183" s="28"/>
      <c r="BG183" s="28"/>
      <c r="BH183" s="28"/>
      <c r="BI183" s="28"/>
      <c r="BJ183" s="28"/>
    </row>
    <row r="184" spans="2:62" ht="15.75">
      <c r="B184" t="str">
        <f>+AZ17</f>
        <v>Residential Customers</v>
      </c>
      <c r="D184">
        <f>+BU33</f>
        <v>151248.82596705883</v>
      </c>
      <c r="E184">
        <f>+BU35</f>
        <v>22648.272292585654</v>
      </c>
      <c r="F184">
        <f>+BU39</f>
        <v>51910.2436334141</v>
      </c>
      <c r="G184">
        <f aca="true" t="shared" si="6" ref="G184:G207">$A$50*(D184-E184)</f>
        <v>51910.2436334141</v>
      </c>
      <c r="M184" s="4"/>
      <c r="X184" s="1"/>
      <c r="AC184" s="21"/>
      <c r="BE184" s="28"/>
      <c r="BF184" s="28"/>
      <c r="BG184" s="28"/>
      <c r="BH184" s="28"/>
      <c r="BI184" s="28"/>
      <c r="BJ184" s="28"/>
    </row>
    <row r="185" spans="2:62" ht="15">
      <c r="B185" t="str">
        <f>+AZ19</f>
        <v>Commercial Consumption</v>
      </c>
      <c r="D185">
        <f>+CA84</f>
        <v>753186.7708958393</v>
      </c>
      <c r="E185">
        <f>+CA86</f>
        <v>142900.55118908436</v>
      </c>
      <c r="F185">
        <f>+CA90</f>
        <v>246345.02298710815</v>
      </c>
      <c r="G185">
        <f t="shared" si="6"/>
        <v>246345.02298710815</v>
      </c>
      <c r="AC185" s="21"/>
      <c r="BE185" s="28"/>
      <c r="BF185" s="28"/>
      <c r="BG185" s="28"/>
      <c r="BH185" s="28"/>
      <c r="BI185" s="28"/>
      <c r="BJ185" s="28"/>
    </row>
    <row r="186" spans="2:62" ht="15">
      <c r="B186" t="str">
        <f>+AZ21</f>
        <v>Commercial Customers</v>
      </c>
      <c r="D186">
        <f>+BU97</f>
        <v>231773.48584912732</v>
      </c>
      <c r="E186">
        <f>+BU99</f>
        <v>42570.62527236546</v>
      </c>
      <c r="F186">
        <f>+BU103</f>
        <v>76372.66176582675</v>
      </c>
      <c r="G186">
        <f t="shared" si="6"/>
        <v>76372.66176582675</v>
      </c>
      <c r="J186">
        <f>+D186/(1-$A$50)</f>
        <v>388656.64503511024</v>
      </c>
      <c r="AC186" s="21"/>
      <c r="BE186" s="28"/>
      <c r="BF186" s="28"/>
      <c r="BG186" s="28"/>
      <c r="BH186" s="28"/>
      <c r="BI186" s="28"/>
      <c r="BJ186" s="28"/>
    </row>
    <row r="187" spans="2:62" ht="15">
      <c r="B187" t="str">
        <f>+AZ23</f>
        <v>Public Fire Revenue</v>
      </c>
      <c r="D187">
        <f>+BH16</f>
        <v>89013</v>
      </c>
      <c r="F187">
        <f>+BH18</f>
        <v>35930.5336137</v>
      </c>
      <c r="G187">
        <f t="shared" si="6"/>
        <v>35930.5336137</v>
      </c>
      <c r="J187">
        <f>+D187/(1-$A$50)</f>
        <v>149264.24313706945</v>
      </c>
      <c r="AC187" s="21"/>
      <c r="BE187" s="28"/>
      <c r="BF187" s="28"/>
      <c r="BG187" s="28"/>
      <c r="BH187" s="28"/>
      <c r="BI187" s="28"/>
      <c r="BJ187" s="28"/>
    </row>
    <row r="188" spans="2:62" ht="15.75">
      <c r="B188" t="str">
        <f>+AZ25</f>
        <v>Private Fire Revenue</v>
      </c>
      <c r="D188">
        <f>+BH47</f>
        <v>29023</v>
      </c>
      <c r="F188">
        <f>+BH49</f>
        <v>11715.2761627</v>
      </c>
      <c r="G188">
        <f t="shared" si="6"/>
        <v>11715.2761627</v>
      </c>
      <c r="X188" s="1"/>
      <c r="AC188" s="21"/>
      <c r="BE188" s="28"/>
      <c r="BF188" s="28"/>
      <c r="BG188" s="28"/>
      <c r="BH188" s="28"/>
      <c r="BI188" s="28"/>
      <c r="BJ188" s="28"/>
    </row>
    <row r="189" spans="2:62" ht="15">
      <c r="B189" t="str">
        <f>+AZ29</f>
        <v>Salaries and Wages- Vacancies</v>
      </c>
      <c r="E189">
        <f>-DA23</f>
        <v>-178181.31217669172</v>
      </c>
      <c r="F189">
        <f>+DA25</f>
        <v>71923.75974855128</v>
      </c>
      <c r="G189">
        <f t="shared" si="6"/>
        <v>71923.75974855128</v>
      </c>
      <c r="AC189" s="21"/>
      <c r="BE189" s="28"/>
      <c r="BF189" s="28"/>
      <c r="BG189" s="28"/>
      <c r="BH189" s="28"/>
      <c r="BI189" s="28"/>
      <c r="BJ189" s="28"/>
    </row>
    <row r="190" spans="2:62" ht="15">
      <c r="B190" t="str">
        <f>+AZ31</f>
        <v>Salaries and Wages - Other</v>
      </c>
      <c r="E190">
        <f>-CU20</f>
        <v>-193796.1</v>
      </c>
      <c r="F190">
        <f>CU22</f>
        <v>78226.74536589</v>
      </c>
      <c r="G190">
        <f t="shared" si="6"/>
        <v>78226.74536589</v>
      </c>
      <c r="AC190" s="21"/>
      <c r="BE190" s="28"/>
      <c r="BF190" s="28"/>
      <c r="BG190" s="28"/>
      <c r="BH190" s="28"/>
      <c r="BI190" s="28"/>
      <c r="BJ190" s="28"/>
    </row>
    <row r="191" spans="2:62" ht="15">
      <c r="B191" t="str">
        <f>+AZ33</f>
        <v>Incentive Plans</v>
      </c>
      <c r="E191">
        <f>-DG21</f>
        <v>-170786.4</v>
      </c>
      <c r="F191">
        <f>+DG23</f>
        <v>68938.76721336</v>
      </c>
      <c r="G191">
        <f t="shared" si="6"/>
        <v>68938.76721336</v>
      </c>
      <c r="AB191" s="3"/>
      <c r="AC191" s="21"/>
      <c r="BE191" s="28"/>
      <c r="BF191" s="28"/>
      <c r="BG191" s="28"/>
      <c r="BH191" s="28"/>
      <c r="BI191" s="28"/>
      <c r="BJ191" s="28"/>
    </row>
    <row r="192" spans="2:62" ht="15">
      <c r="B192" t="str">
        <f>+AZ35</f>
        <v>Payroll Taxes</v>
      </c>
      <c r="E192">
        <f>-DA52</f>
        <v>-13065.159599999999</v>
      </c>
      <c r="F192">
        <f>+DA54</f>
        <v>5273.815691822039</v>
      </c>
      <c r="G192">
        <f t="shared" si="6"/>
        <v>5273.815691822039</v>
      </c>
      <c r="AC192" s="21"/>
      <c r="BE192" s="28"/>
      <c r="BF192" s="28"/>
      <c r="BG192" s="28"/>
      <c r="BH192" s="28"/>
      <c r="BI192" s="28"/>
      <c r="BJ192" s="28"/>
    </row>
    <row r="193" spans="2:62" ht="15">
      <c r="B193" t="str">
        <f>+AZ37</f>
        <v>OPEBs</v>
      </c>
      <c r="E193">
        <f>-GP21</f>
        <v>-51381.34223000007</v>
      </c>
      <c r="F193">
        <f>+GP23</f>
        <v>20740.330559716454</v>
      </c>
      <c r="G193">
        <f t="shared" si="6"/>
        <v>20740.330559716454</v>
      </c>
      <c r="AC193" s="21"/>
      <c r="BE193" s="28"/>
      <c r="BF193" s="28"/>
      <c r="BG193" s="28"/>
      <c r="BH193" s="28"/>
      <c r="BI193" s="28"/>
      <c r="BJ193" s="28"/>
    </row>
    <row r="194" spans="2:62" ht="15">
      <c r="B194" t="str">
        <f>+AZ39</f>
        <v>Deferred Costs</v>
      </c>
      <c r="E194">
        <f>-DL23</f>
        <v>-393457.1</v>
      </c>
      <c r="F194">
        <f>+DL25</f>
        <v>158820.88635478998</v>
      </c>
      <c r="G194">
        <f t="shared" si="6"/>
        <v>158820.88635478998</v>
      </c>
      <c r="AB194" s="5"/>
      <c r="AC194" s="21"/>
      <c r="BE194" s="28"/>
      <c r="BF194" s="28"/>
      <c r="BG194" s="28"/>
      <c r="BH194" s="28"/>
      <c r="BI194" s="28"/>
      <c r="BJ194" s="28"/>
    </row>
    <row r="195" spans="2:62" ht="15">
      <c r="B195" t="str">
        <f>+AZ41</f>
        <v>Waste Disposal</v>
      </c>
      <c r="E195">
        <f>-DS21</f>
        <v>-58666.66666666667</v>
      </c>
      <c r="F195">
        <f>+DS23</f>
        <v>23681.087466666668</v>
      </c>
      <c r="G195">
        <f t="shared" si="6"/>
        <v>23681.087466666668</v>
      </c>
      <c r="AC195" s="21"/>
      <c r="BE195" s="28"/>
      <c r="BF195" s="28"/>
      <c r="BG195" s="28"/>
      <c r="BH195" s="28"/>
      <c r="BI195" s="28"/>
      <c r="BJ195" s="28"/>
    </row>
    <row r="196" spans="2:62" ht="15">
      <c r="B196" t="str">
        <f>+AZ43</f>
        <v>Maintenance Costs</v>
      </c>
      <c r="E196">
        <f>-FB20</f>
        <v>-211477.33333333337</v>
      </c>
      <c r="F196">
        <f>+FB22</f>
        <v>85363.86183893334</v>
      </c>
      <c r="G196">
        <f t="shared" si="6"/>
        <v>85363.86183893334</v>
      </c>
      <c r="AB196" s="12"/>
      <c r="AC196" s="21"/>
      <c r="BE196" s="28"/>
      <c r="BF196" s="28"/>
      <c r="BG196" s="28"/>
      <c r="BH196" s="28"/>
      <c r="BI196" s="28"/>
      <c r="BJ196" s="28"/>
    </row>
    <row r="197" spans="2:62" ht="15">
      <c r="B197" t="str">
        <f>+AZ45</f>
        <v>Regulatory Commission Expense</v>
      </c>
      <c r="E197">
        <f>-CN19</f>
        <v>-23333.333333333332</v>
      </c>
      <c r="F197">
        <f>+CN21</f>
        <v>9418.614333333333</v>
      </c>
      <c r="G197">
        <f t="shared" si="6"/>
        <v>9418.614333333333</v>
      </c>
      <c r="AC197" s="21"/>
      <c r="BE197" s="28"/>
      <c r="BF197" s="28"/>
      <c r="BG197" s="28"/>
      <c r="BH197" s="28"/>
      <c r="BI197" s="28"/>
      <c r="BJ197" s="28"/>
    </row>
    <row r="198" spans="2:62" ht="15">
      <c r="B198" t="str">
        <f>+AZ47</f>
        <v>Rental Expenses</v>
      </c>
      <c r="E198">
        <f>-ET13</f>
        <v>-58295</v>
      </c>
      <c r="F198">
        <f>+ET15</f>
        <v>23531.062395499997</v>
      </c>
      <c r="G198">
        <f t="shared" si="6"/>
        <v>23531.062395499997</v>
      </c>
      <c r="AC198" s="21"/>
      <c r="BE198" s="28"/>
      <c r="BF198" s="28"/>
      <c r="BG198" s="28"/>
      <c r="BH198" s="28"/>
      <c r="BI198" s="28"/>
      <c r="BJ198" s="28"/>
    </row>
    <row r="199" spans="2:62" ht="15">
      <c r="B199" t="str">
        <f>+AZ49</f>
        <v>Social Club Dues</v>
      </c>
      <c r="E199">
        <f>-FP12</f>
        <v>-5228</v>
      </c>
      <c r="F199">
        <f>+FP14</f>
        <v>2110.3078172</v>
      </c>
      <c r="G199">
        <f t="shared" si="6"/>
        <v>2110.3078172</v>
      </c>
      <c r="AC199" s="21"/>
      <c r="BE199" s="28"/>
      <c r="BF199" s="28"/>
      <c r="BG199" s="28"/>
      <c r="BH199" s="28"/>
      <c r="BI199" s="28"/>
      <c r="BJ199" s="28"/>
    </row>
    <row r="200" spans="2:62" ht="15">
      <c r="B200" t="str">
        <f>+AZ51</f>
        <v>Institutional Advertising</v>
      </c>
      <c r="E200">
        <f>-FI12</f>
        <v>-72415</v>
      </c>
      <c r="F200">
        <f>+FI14</f>
        <v>29230.6695835</v>
      </c>
      <c r="G200">
        <f t="shared" si="6"/>
        <v>29230.6695835</v>
      </c>
      <c r="AC200" s="21"/>
      <c r="BE200" s="28"/>
      <c r="BF200" s="28"/>
      <c r="BG200" s="28"/>
      <c r="BH200" s="28"/>
      <c r="BI200" s="28"/>
      <c r="BJ200" s="28"/>
    </row>
    <row r="201" spans="2:62" ht="15">
      <c r="B201" t="str">
        <f>+AZ53</f>
        <v>Business Development Costs</v>
      </c>
      <c r="E201">
        <f>-GW14</f>
        <v>-117525</v>
      </c>
      <c r="F201">
        <f>+GW16</f>
        <v>47439.542122499995</v>
      </c>
      <c r="G201">
        <f t="shared" si="6"/>
        <v>47439.542122499995</v>
      </c>
      <c r="J201" t="s">
        <v>102</v>
      </c>
      <c r="AC201" s="21"/>
      <c r="BE201" s="28"/>
      <c r="BF201" s="28"/>
      <c r="BG201" s="28"/>
      <c r="BH201" s="28"/>
      <c r="BI201" s="28"/>
      <c r="BJ201" s="28"/>
    </row>
    <row r="202" spans="2:62" ht="15">
      <c r="B202" t="str">
        <f>+AZ55</f>
        <v>Low Income Discount</v>
      </c>
      <c r="E202">
        <f>-HD12</f>
        <v>-30000</v>
      </c>
      <c r="F202">
        <f>+HD14</f>
        <v>12109.646999999999</v>
      </c>
      <c r="G202">
        <f t="shared" si="6"/>
        <v>12109.646999999999</v>
      </c>
      <c r="AC202" s="21"/>
      <c r="BE202" s="28"/>
      <c r="BF202" s="28"/>
      <c r="BG202" s="28"/>
      <c r="BH202" s="28"/>
      <c r="BI202" s="28"/>
      <c r="BJ202" s="28"/>
    </row>
    <row r="203" spans="2:62" ht="15">
      <c r="B203" t="str">
        <f>+AZ57</f>
        <v>Property Taxes</v>
      </c>
      <c r="E203">
        <f>-GJ17</f>
        <v>-1905</v>
      </c>
      <c r="F203">
        <f>+GJ19</f>
        <v>768.9625844999999</v>
      </c>
      <c r="G203">
        <f t="shared" si="6"/>
        <v>768.9625844999999</v>
      </c>
      <c r="AC203" s="21"/>
      <c r="BE203" s="28"/>
      <c r="BF203" s="28"/>
      <c r="BG203" s="28"/>
      <c r="BH203" s="28"/>
      <c r="BI203" s="28"/>
      <c r="BJ203" s="28"/>
    </row>
    <row r="204" spans="2:62" ht="15">
      <c r="B204" t="str">
        <f>+AZ27</f>
        <v>AFUDC</v>
      </c>
      <c r="E204">
        <f>-GD13</f>
        <v>-470940</v>
      </c>
      <c r="F204">
        <f>-GD15</f>
        <v>-190097.238606</v>
      </c>
      <c r="G204">
        <f t="shared" si="6"/>
        <v>190097.238606</v>
      </c>
      <c r="J204">
        <f>-DS19</f>
        <v>-12000</v>
      </c>
      <c r="AC204" s="21"/>
      <c r="BE204" s="28"/>
      <c r="BF204" s="28"/>
      <c r="BG204" s="28"/>
      <c r="BH204" s="28"/>
      <c r="BI204" s="28"/>
      <c r="BJ204" s="28"/>
    </row>
    <row r="205" spans="2:62" ht="15">
      <c r="B205" t="str">
        <f>+AZ61</f>
        <v>Depreciation Expense</v>
      </c>
      <c r="E205">
        <f>-FV15</f>
        <v>-1770</v>
      </c>
      <c r="F205">
        <f>+FV17</f>
        <v>714.469173</v>
      </c>
      <c r="G205">
        <f t="shared" si="6"/>
        <v>714.469173</v>
      </c>
      <c r="J205">
        <f>-CU14</f>
        <v>-72837</v>
      </c>
      <c r="AC205" s="21"/>
      <c r="BE205" s="28"/>
      <c r="BF205" s="28"/>
      <c r="BG205" s="28"/>
      <c r="BH205" s="28"/>
      <c r="BI205" s="28"/>
      <c r="BJ205" s="28"/>
    </row>
    <row r="206" spans="2:62" ht="15">
      <c r="B206" t="str">
        <f>+AZ59</f>
        <v>Acquisition Amortization</v>
      </c>
      <c r="E206">
        <f>-CG18</f>
        <v>-8370</v>
      </c>
      <c r="F206">
        <f>+CG20</f>
        <v>3378.591513</v>
      </c>
      <c r="G206">
        <f t="shared" si="6"/>
        <v>3378.591513</v>
      </c>
      <c r="J206">
        <f>-GP21</f>
        <v>-51381.34223000007</v>
      </c>
      <c r="AC206" s="21"/>
      <c r="BE206" s="28"/>
      <c r="BF206" s="28"/>
      <c r="BG206" s="28"/>
      <c r="BH206" s="28"/>
      <c r="BI206" s="28"/>
      <c r="BJ206" s="28"/>
    </row>
    <row r="207" spans="2:62" ht="15">
      <c r="B207" t="str">
        <f>+AZ63</f>
        <v>Consolidated Income Taxes</v>
      </c>
      <c r="F207">
        <f>-HI27</f>
        <v>-192902.88120909044</v>
      </c>
      <c r="G207">
        <f t="shared" si="6"/>
        <v>0</v>
      </c>
      <c r="AC207" s="21"/>
      <c r="BE207" s="28"/>
      <c r="BF207" s="28"/>
      <c r="BG207" s="28"/>
      <c r="BH207" s="28"/>
      <c r="BI207" s="28"/>
      <c r="BJ207" s="28"/>
    </row>
    <row r="208" spans="2:62" ht="15">
      <c r="B208" t="str">
        <f>+AZ65</f>
        <v>Interest Synchronization</v>
      </c>
      <c r="AC208" s="21"/>
      <c r="BE208" s="28"/>
      <c r="BF208" s="28"/>
      <c r="BG208" s="28"/>
      <c r="BH208" s="28"/>
      <c r="BI208" s="28"/>
      <c r="BJ208" s="28"/>
    </row>
    <row r="209" spans="29:62" ht="15">
      <c r="AC209" s="21"/>
      <c r="BE209" s="28"/>
      <c r="BF209" s="28"/>
      <c r="BG209" s="28"/>
      <c r="BH209" s="28"/>
      <c r="BI209" s="28"/>
      <c r="BJ209" s="28"/>
    </row>
    <row r="210" spans="29:62" ht="15">
      <c r="AC210" s="21"/>
      <c r="BE210" s="28"/>
      <c r="BF210" s="28"/>
      <c r="BG210" s="28"/>
      <c r="BH210" s="28"/>
      <c r="BI210" s="28"/>
      <c r="BJ210" s="28"/>
    </row>
    <row r="211" spans="29:62" ht="15">
      <c r="AC211" s="21"/>
      <c r="BE211" s="28"/>
      <c r="BF211" s="28"/>
      <c r="BG211" s="28"/>
      <c r="BH211" s="28"/>
      <c r="BI211" s="28"/>
      <c r="BJ211" s="28"/>
    </row>
    <row r="212" spans="29:62" ht="15">
      <c r="AC212" s="21"/>
      <c r="BE212" s="28"/>
      <c r="BF212" s="28"/>
      <c r="BG212" s="28"/>
      <c r="BH212" s="28"/>
      <c r="BI212" s="28"/>
      <c r="BJ212" s="28"/>
    </row>
    <row r="213" spans="29:62" ht="15">
      <c r="AC213" s="21"/>
      <c r="BE213" s="28"/>
      <c r="BF213" s="28"/>
      <c r="BG213" s="28"/>
      <c r="BH213" s="28"/>
      <c r="BI213" s="28"/>
      <c r="BJ213" s="28"/>
    </row>
    <row r="214" spans="29:62" ht="15">
      <c r="AC214" s="21"/>
      <c r="BE214" s="28"/>
      <c r="BF214" s="28"/>
      <c r="BG214" s="28"/>
      <c r="BH214" s="28"/>
      <c r="BI214" s="28"/>
      <c r="BJ214" s="28"/>
    </row>
    <row r="215" spans="29:62" ht="15">
      <c r="AC215" s="21"/>
      <c r="BE215" s="28"/>
      <c r="BF215" s="28"/>
      <c r="BG215" s="28"/>
      <c r="BH215" s="28"/>
      <c r="BI215" s="28"/>
      <c r="BJ215" s="28"/>
    </row>
    <row r="216" spans="29:62" ht="15">
      <c r="AC216" s="21"/>
      <c r="BE216" s="28"/>
      <c r="BF216" s="28"/>
      <c r="BG216" s="28"/>
      <c r="BH216" s="28"/>
      <c r="BI216" s="28"/>
      <c r="BJ216" s="28"/>
    </row>
    <row r="217" spans="29:62" ht="15">
      <c r="AC217" s="21"/>
      <c r="BE217" s="28"/>
      <c r="BF217" s="28"/>
      <c r="BG217" s="28"/>
      <c r="BH217" s="28"/>
      <c r="BI217" s="28"/>
      <c r="BJ217" s="28"/>
    </row>
    <row r="218" spans="29:62" ht="15">
      <c r="AC218" s="21"/>
      <c r="BE218" s="28"/>
      <c r="BF218" s="28"/>
      <c r="BG218" s="28"/>
      <c r="BH218" s="28"/>
      <c r="BI218" s="28"/>
      <c r="BJ218" s="28"/>
    </row>
    <row r="219" spans="29:62" ht="15">
      <c r="AC219" s="21"/>
      <c r="BE219" s="28"/>
      <c r="BF219" s="28"/>
      <c r="BG219" s="28"/>
      <c r="BH219" s="28"/>
      <c r="BI219" s="28"/>
      <c r="BJ219" s="28"/>
    </row>
    <row r="220" spans="29:62" ht="15">
      <c r="AC220" s="21"/>
      <c r="BE220" s="28"/>
      <c r="BF220" s="28"/>
      <c r="BG220" s="28"/>
      <c r="BH220" s="28"/>
      <c r="BI220" s="28"/>
      <c r="BJ220" s="28"/>
    </row>
    <row r="221" spans="29:62" ht="15">
      <c r="AC221" s="21"/>
      <c r="BE221" s="28"/>
      <c r="BF221" s="28"/>
      <c r="BG221" s="28"/>
      <c r="BH221" s="28"/>
      <c r="BI221" s="28"/>
      <c r="BJ221" s="28"/>
    </row>
    <row r="222" spans="29:62" ht="15">
      <c r="AC222" s="21"/>
      <c r="BE222" s="28"/>
      <c r="BF222" s="28"/>
      <c r="BG222" s="28"/>
      <c r="BH222" s="28"/>
      <c r="BI222" s="28"/>
      <c r="BJ222" s="28"/>
    </row>
    <row r="223" spans="29:62" ht="15">
      <c r="AC223" s="21"/>
      <c r="BE223" s="28"/>
      <c r="BF223" s="28"/>
      <c r="BG223" s="28"/>
      <c r="BH223" s="28"/>
      <c r="BI223" s="28"/>
      <c r="BJ223" s="28"/>
    </row>
    <row r="224" spans="29:62" ht="15">
      <c r="AC224" s="21"/>
      <c r="BE224" s="28"/>
      <c r="BF224" s="28"/>
      <c r="BG224" s="28"/>
      <c r="BH224" s="28"/>
      <c r="BI224" s="28"/>
      <c r="BJ224" s="28"/>
    </row>
    <row r="225" spans="29:62" ht="15">
      <c r="AC225" s="21"/>
      <c r="BE225" s="28"/>
      <c r="BF225" s="28"/>
      <c r="BG225" s="28"/>
      <c r="BH225" s="28"/>
      <c r="BI225" s="28"/>
      <c r="BJ225" s="28"/>
    </row>
    <row r="226" spans="5:62" ht="15">
      <c r="E226" t="s">
        <v>311</v>
      </c>
      <c r="AC226" s="21"/>
      <c r="BE226" s="28"/>
      <c r="BF226" s="28"/>
      <c r="BG226" s="28"/>
      <c r="BH226" s="28"/>
      <c r="BI226" s="28"/>
      <c r="BJ226" s="28"/>
    </row>
    <row r="227" spans="29:62" ht="15">
      <c r="AC227" s="21"/>
      <c r="BE227" s="28"/>
      <c r="BF227" s="28"/>
      <c r="BG227" s="28"/>
      <c r="BH227" s="28"/>
      <c r="BI227" s="28"/>
      <c r="BJ227" s="28"/>
    </row>
    <row r="228" spans="29:62" ht="15">
      <c r="AC228" s="21"/>
      <c r="BE228" s="28"/>
      <c r="BF228" s="28"/>
      <c r="BG228" s="28"/>
      <c r="BH228" s="28"/>
      <c r="BI228" s="28"/>
      <c r="BJ228" s="28"/>
    </row>
    <row r="229" spans="2:62" ht="15.75">
      <c r="B229" s="1" t="str">
        <f>+B4</f>
        <v>KENTUCKY AMERICAN WATER COMPANY</v>
      </c>
      <c r="AC229" s="21"/>
      <c r="BE229" s="28"/>
      <c r="BF229" s="28"/>
      <c r="BG229" s="28"/>
      <c r="BH229" s="28"/>
      <c r="BI229" s="28"/>
      <c r="BJ229" s="28"/>
    </row>
    <row r="230" spans="29:62" ht="15">
      <c r="AC230" s="21"/>
      <c r="BE230" s="28"/>
      <c r="BF230" s="28"/>
      <c r="BG230" s="28"/>
      <c r="BH230" s="28"/>
      <c r="BI230" s="28"/>
      <c r="BJ230" s="28"/>
    </row>
    <row r="231" spans="2:62" ht="15.75">
      <c r="B231" s="1" t="str">
        <f>+B6</f>
        <v>FUTURE TEST YEAR ENDING NOVEMBER 30, 2005</v>
      </c>
      <c r="AC231" s="21"/>
      <c r="BE231" s="28"/>
      <c r="BF231" s="28"/>
      <c r="BG231" s="28"/>
      <c r="BH231" s="28"/>
      <c r="BI231" s="28"/>
      <c r="BJ231" s="28"/>
    </row>
    <row r="232" spans="29:62" ht="15">
      <c r="AC232" s="21"/>
      <c r="BE232" s="28"/>
      <c r="BF232" s="28"/>
      <c r="BG232" s="28"/>
      <c r="BH232" s="28"/>
      <c r="BI232" s="28"/>
      <c r="BJ232" s="28"/>
    </row>
    <row r="233" spans="2:62" ht="15.75">
      <c r="B233" s="1" t="s">
        <v>81</v>
      </c>
      <c r="G233" s="40"/>
      <c r="AC233" s="21"/>
      <c r="BE233" s="28"/>
      <c r="BF233" s="28"/>
      <c r="BG233" s="28"/>
      <c r="BH233" s="28"/>
      <c r="BI233" s="28"/>
      <c r="BJ233" s="28"/>
    </row>
    <row r="234" spans="29:62" ht="15">
      <c r="AC234" s="21"/>
      <c r="BE234" s="28"/>
      <c r="BF234" s="28"/>
      <c r="BG234" s="28"/>
      <c r="BH234" s="28"/>
      <c r="BI234" s="28"/>
      <c r="BJ234" s="28"/>
    </row>
    <row r="235" spans="7:62" ht="15">
      <c r="G235" s="21"/>
      <c r="BE235" s="28"/>
      <c r="BF235" s="28"/>
      <c r="BG235" s="28"/>
      <c r="BH235" s="28"/>
      <c r="BI235" s="28"/>
      <c r="BJ235" s="28"/>
    </row>
    <row r="236" spans="57:62" ht="15">
      <c r="BE236" s="28"/>
      <c r="BF236" s="28"/>
      <c r="BG236" s="28"/>
      <c r="BH236" s="28"/>
      <c r="BI236" s="28"/>
      <c r="BJ236" s="28"/>
    </row>
    <row r="237" spans="1:62" ht="15">
      <c r="A237" s="24" t="s">
        <v>14</v>
      </c>
      <c r="B237" t="s">
        <v>79</v>
      </c>
      <c r="E237" s="3">
        <f>D13*E15*D23</f>
        <v>-3062886.7530037956</v>
      </c>
      <c r="G237" s="27"/>
      <c r="BE237" s="28"/>
      <c r="BF237" s="28"/>
      <c r="BG237" s="28"/>
      <c r="BH237" s="28"/>
      <c r="BI237" s="28"/>
      <c r="BJ237" s="28"/>
    </row>
    <row r="238" spans="57:62" ht="15">
      <c r="BE238" s="28"/>
      <c r="BF238" s="28"/>
      <c r="BG238" s="28"/>
      <c r="BH238" s="28"/>
      <c r="BI238" s="28"/>
      <c r="BJ238" s="28"/>
    </row>
    <row r="239" spans="1:62" ht="15">
      <c r="A239" s="128" t="s">
        <v>26</v>
      </c>
      <c r="B239" s="9" t="str">
        <f>+J14</f>
        <v>Utility Plant in Service</v>
      </c>
      <c r="E239" s="8">
        <f>$F$15*$D$23*N14</f>
        <v>-980.0754892292555</v>
      </c>
      <c r="BE239" s="28"/>
      <c r="BF239" s="28"/>
      <c r="BG239" s="28"/>
      <c r="BH239" s="28"/>
      <c r="BI239" s="28"/>
      <c r="BJ239" s="28"/>
    </row>
    <row r="240" spans="1:62" ht="15">
      <c r="A240" s="128" t="s">
        <v>31</v>
      </c>
      <c r="B240" s="9" t="str">
        <f>+J15</f>
        <v>Utility Plant Acquisition Adjustment</v>
      </c>
      <c r="E240" s="8">
        <f>$F$15*$D$23*N15</f>
        <v>-37742.56905141733</v>
      </c>
      <c r="BE240" s="28"/>
      <c r="BF240" s="28"/>
      <c r="BG240" s="28"/>
      <c r="BH240" s="28"/>
      <c r="BI240" s="28"/>
      <c r="BJ240" s="28"/>
    </row>
    <row r="241" spans="1:62" ht="15">
      <c r="A241" s="128" t="s">
        <v>35</v>
      </c>
      <c r="B241" s="9" t="str">
        <f>+J16</f>
        <v>Accumulated Depreciation</v>
      </c>
      <c r="E241" s="8">
        <f>$F$15*$D$23*N16</f>
        <v>1837.4764959119955</v>
      </c>
      <c r="BE241" s="28"/>
      <c r="BF241" s="28"/>
      <c r="BG241" s="28"/>
      <c r="BH241" s="28"/>
      <c r="BI241" s="28"/>
      <c r="BJ241" s="28"/>
    </row>
    <row r="242" spans="1:62" ht="15">
      <c r="A242" s="128" t="s">
        <v>37</v>
      </c>
      <c r="B242" s="9" t="str">
        <f>+J22</f>
        <v>Construction Work in Progress</v>
      </c>
      <c r="E242" s="8">
        <f>$F$15*$D$23*N22</f>
        <v>-735201.0175114754</v>
      </c>
      <c r="BE242" s="28"/>
      <c r="BF242" s="28"/>
      <c r="BG242" s="28"/>
      <c r="BH242" s="28"/>
      <c r="BI242" s="28"/>
      <c r="BJ242" s="28"/>
    </row>
    <row r="243" spans="1:62" ht="15">
      <c r="A243" s="128" t="s">
        <v>38</v>
      </c>
      <c r="B243" s="9" t="str">
        <f>+J23</f>
        <v>Working Capital Allowance</v>
      </c>
      <c r="E243" s="8">
        <f>$F$15*$D$23*N23</f>
        <v>-204441.6190982197</v>
      </c>
      <c r="BE243" s="28"/>
      <c r="BF243" s="28"/>
      <c r="BG243" s="28"/>
      <c r="BH243" s="28"/>
      <c r="BI243" s="28"/>
      <c r="BJ243" s="28"/>
    </row>
    <row r="244" spans="1:5" ht="15">
      <c r="A244" s="128" t="s">
        <v>41</v>
      </c>
      <c r="B244" s="9" t="str">
        <f>+J25</f>
        <v>Contributions in Aid of Construction</v>
      </c>
      <c r="E244" s="8">
        <f>$F$15*$D$23*N25</f>
        <v>178004.6352884226</v>
      </c>
    </row>
    <row r="245" spans="1:5" ht="15">
      <c r="A245" s="129" t="s">
        <v>44</v>
      </c>
      <c r="B245" s="9" t="str">
        <f>+J26</f>
        <v>Customer Advances</v>
      </c>
      <c r="E245" s="8">
        <f>$F$15*$D$23*N26</f>
        <v>-16690.571549520973</v>
      </c>
    </row>
    <row r="246" spans="1:5" ht="15">
      <c r="A246" s="129" t="s">
        <v>47</v>
      </c>
      <c r="B246" s="9" t="str">
        <f>+J27</f>
        <v>Deferred Income Taxes</v>
      </c>
      <c r="E246" s="8">
        <f>$F$15*$D$23*N27</f>
        <v>230388.1895722484</v>
      </c>
    </row>
    <row r="247" spans="1:5" ht="15">
      <c r="A247" s="129" t="s">
        <v>50</v>
      </c>
      <c r="B247" t="str">
        <f>+J30</f>
        <v>Deferred Debits</v>
      </c>
      <c r="E247" s="8">
        <f>$F$15*$D$23*N30</f>
        <v>-548673.1464283556</v>
      </c>
    </row>
    <row r="251" spans="1:5" ht="15">
      <c r="A251" s="129" t="s">
        <v>53</v>
      </c>
      <c r="B251" s="9" t="str">
        <f>+AZ15</f>
        <v>Residential Consumption</v>
      </c>
      <c r="E251">
        <f>+$D$23*-BB15</f>
        <v>-908708.8541370422</v>
      </c>
    </row>
    <row r="252" spans="1:5" ht="15">
      <c r="A252" s="129" t="s">
        <v>55</v>
      </c>
      <c r="B252" s="9" t="str">
        <f>+AZ17</f>
        <v>Residential Customers</v>
      </c>
      <c r="E252">
        <f>+$D$23*-BB17</f>
        <v>-129492.4474358007</v>
      </c>
    </row>
    <row r="253" spans="1:5" ht="15">
      <c r="A253" s="129" t="s">
        <v>56</v>
      </c>
      <c r="B253" s="9" t="str">
        <f>+AZ19</f>
        <v>Commercial Consumption</v>
      </c>
      <c r="E253">
        <f>+$D$23*-BB19</f>
        <v>-614518.7868025268</v>
      </c>
    </row>
    <row r="254" spans="1:5" ht="15">
      <c r="A254" s="129" t="s">
        <v>58</v>
      </c>
      <c r="B254" s="9" t="str">
        <f>+AZ21</f>
        <v>Commercial Customers</v>
      </c>
      <c r="E254">
        <f>+$D$23*-BB21</f>
        <v>-190515.0543904906</v>
      </c>
    </row>
    <row r="255" spans="1:5" ht="15">
      <c r="A255" s="129" t="s">
        <v>59</v>
      </c>
      <c r="B255" s="9" t="str">
        <f>+AZ23</f>
        <v>Public Fire Revenue</v>
      </c>
      <c r="E255">
        <f>+$D$23*-BB23</f>
        <v>-89630.33901689108</v>
      </c>
    </row>
    <row r="256" spans="1:5" ht="15">
      <c r="A256" s="129" t="s">
        <v>60</v>
      </c>
      <c r="B256" s="9" t="str">
        <f>+AZ25</f>
        <v>Private Fire Revenue</v>
      </c>
      <c r="E256">
        <f>+$D$23*-BB25</f>
        <v>-29224.28554578803</v>
      </c>
    </row>
    <row r="257" spans="1:5" ht="15">
      <c r="A257" s="129" t="s">
        <v>82</v>
      </c>
      <c r="B257" s="9" t="str">
        <f>+AZ29</f>
        <v>Salaries and Wages- Vacancies</v>
      </c>
      <c r="E257">
        <f>+$D$23*-BB29</f>
        <v>-179417.0673595023</v>
      </c>
    </row>
    <row r="258" spans="1:5" ht="15">
      <c r="A258" s="129" t="s">
        <v>83</v>
      </c>
      <c r="B258" s="9" t="str">
        <f>+AZ31</f>
        <v>Salaries and Wages - Other</v>
      </c>
      <c r="E258">
        <f>+$D$23*-BB31</f>
        <v>-195140.14967646665</v>
      </c>
    </row>
    <row r="259" spans="1:5" ht="15">
      <c r="A259" s="129" t="s">
        <v>84</v>
      </c>
      <c r="B259" s="9" t="str">
        <f>+AZ33</f>
        <v>Incentive Plans</v>
      </c>
      <c r="E259">
        <f>+$D$23*-BB33</f>
        <v>-171970.86865372883</v>
      </c>
    </row>
    <row r="260" spans="1:5" ht="15">
      <c r="A260" s="129" t="s">
        <v>85</v>
      </c>
      <c r="B260" s="9" t="str">
        <f>+AZ35</f>
        <v>Payroll Taxes</v>
      </c>
      <c r="E260">
        <f>+$D$23*-BB35</f>
        <v>-13155.771452010256</v>
      </c>
    </row>
    <row r="261" spans="1:5" ht="15">
      <c r="A261" s="129" t="s">
        <v>86</v>
      </c>
      <c r="B261" s="9" t="str">
        <f>+AZ37</f>
        <v>OPEBs</v>
      </c>
      <c r="E261">
        <f>+$D$23*-BB37</f>
        <v>-51737.691384604586</v>
      </c>
    </row>
    <row r="262" spans="1:5" ht="15">
      <c r="A262" s="129" t="s">
        <v>87</v>
      </c>
      <c r="B262" s="9" t="str">
        <f>+AZ39</f>
        <v>Deferred Costs</v>
      </c>
      <c r="E262">
        <f>+$D$23*-BB39</f>
        <v>-396185.8746655299</v>
      </c>
    </row>
    <row r="263" spans="1:5" ht="15">
      <c r="A263" s="129" t="s">
        <v>88</v>
      </c>
      <c r="B263" s="9" t="str">
        <f>+AZ41</f>
        <v>Waste Disposal</v>
      </c>
      <c r="E263">
        <f>+$D$23*-BB41</f>
        <v>-59073.54231768705</v>
      </c>
    </row>
    <row r="264" spans="1:5" ht="15">
      <c r="A264" s="129" t="s">
        <v>89</v>
      </c>
      <c r="B264" s="9" t="str">
        <f>+AZ43</f>
        <v>Maintenance Costs</v>
      </c>
      <c r="E264">
        <f>+$D$23*-BB43</f>
        <v>-212944.00908917518</v>
      </c>
    </row>
    <row r="265" spans="1:5" ht="15">
      <c r="A265" s="129" t="s">
        <v>90</v>
      </c>
      <c r="B265" s="9" t="str">
        <f>+AZ45</f>
        <v>Regulatory Commission Expense</v>
      </c>
      <c r="E265">
        <f>+$D$23*-BB45</f>
        <v>-23495.158876352798</v>
      </c>
    </row>
    <row r="266" spans="1:5" ht="15">
      <c r="A266" s="130">
        <v>26</v>
      </c>
      <c r="B266" s="9" t="str">
        <f>+AZ47</f>
        <v>Rental Expenses</v>
      </c>
      <c r="E266">
        <f>+$D$23*-BB47</f>
        <v>-58699.29800129942</v>
      </c>
    </row>
    <row r="267" spans="1:7" ht="15">
      <c r="A267" s="130">
        <v>27</v>
      </c>
      <c r="B267" s="9" t="str">
        <f>+AZ49</f>
        <v>Social Club Dues</v>
      </c>
      <c r="E267">
        <f>+$D$23*-BB49</f>
        <v>-5264.258168810247</v>
      </c>
      <c r="G267" s="28"/>
    </row>
    <row r="268" spans="1:7" ht="15">
      <c r="A268" s="130">
        <v>28</v>
      </c>
      <c r="B268" s="9" t="str">
        <f>+AZ51</f>
        <v>Institutional Advertising</v>
      </c>
      <c r="E268">
        <f>+$D$23*-BB51</f>
        <v>-72917.22557276092</v>
      </c>
      <c r="G268" s="28"/>
    </row>
    <row r="269" spans="1:7" ht="15">
      <c r="A269" s="130">
        <v>29</v>
      </c>
      <c r="B269" s="9" t="str">
        <f>+AZ53</f>
        <v>Business Development Costs</v>
      </c>
      <c r="E269">
        <f>+$D$23*-BB53</f>
        <v>-118340.080583287</v>
      </c>
      <c r="G269" s="28"/>
    </row>
    <row r="270" spans="1:7" ht="15">
      <c r="A270" s="130">
        <v>30</v>
      </c>
      <c r="B270" s="9" t="str">
        <f>+AZ55</f>
        <v>Low Income Discount</v>
      </c>
      <c r="E270">
        <f>+$D$23*-BB55</f>
        <v>-30208.061412453604</v>
      </c>
      <c r="G270" s="28"/>
    </row>
    <row r="271" spans="1:7" ht="15">
      <c r="A271" s="130">
        <v>31</v>
      </c>
      <c r="B271" s="9" t="str">
        <f>+AZ57</f>
        <v>Property Taxes</v>
      </c>
      <c r="E271">
        <f>+$D$23*-BB57</f>
        <v>-1918.2118996908034</v>
      </c>
      <c r="G271" s="106"/>
    </row>
    <row r="272" spans="1:7" ht="15">
      <c r="A272" s="130">
        <v>32</v>
      </c>
      <c r="B272" s="9" t="str">
        <f>+AZ27</f>
        <v>AFUDC</v>
      </c>
      <c r="E272">
        <f>+$D$23*-BB27</f>
        <v>474206.14805269666</v>
      </c>
      <c r="F272" s="3"/>
      <c r="G272" s="28"/>
    </row>
    <row r="273" spans="1:7" ht="15">
      <c r="A273" s="130">
        <v>33</v>
      </c>
      <c r="B273" s="9" t="str">
        <f>+AZ61</f>
        <v>Depreciation Expense</v>
      </c>
      <c r="E273">
        <f>+$D$23*-BB61</f>
        <v>1782.2756233347625</v>
      </c>
      <c r="G273" s="28"/>
    </row>
    <row r="274" spans="1:7" ht="15">
      <c r="A274" s="130">
        <v>34</v>
      </c>
      <c r="B274" s="9" t="str">
        <f>+AZ59</f>
        <v>Acquisition Amortization</v>
      </c>
      <c r="E274">
        <f>+$D$23*-BB59</f>
        <v>-8428.049134074556</v>
      </c>
      <c r="G274" s="28"/>
    </row>
    <row r="275" spans="1:7" ht="15">
      <c r="A275" s="130">
        <v>35</v>
      </c>
      <c r="B275" t="str">
        <f>+AZ63</f>
        <v>Consolidated Income Taxes</v>
      </c>
      <c r="E275">
        <f>+$D$23*-BB63</f>
        <v>-325718.6754338188</v>
      </c>
      <c r="G275" s="30"/>
    </row>
    <row r="276" spans="1:7" ht="15">
      <c r="A276" s="130">
        <v>36</v>
      </c>
      <c r="B276" t="str">
        <f>+AZ65</f>
        <v>Interest Synchronization</v>
      </c>
      <c r="E276">
        <f>+$D$23*-BB65</f>
        <v>421590.29089513916</v>
      </c>
      <c r="G276" s="28"/>
    </row>
    <row r="277" spans="1:7" ht="15">
      <c r="A277" s="37"/>
      <c r="G277" s="28"/>
    </row>
    <row r="278" ht="15">
      <c r="A278" s="130"/>
    </row>
    <row r="279" spans="1:5" ht="15">
      <c r="A279" s="130">
        <v>37</v>
      </c>
      <c r="B279" s="9" t="s">
        <v>113</v>
      </c>
      <c r="E279" s="27">
        <f>SUM(E237:E276)</f>
        <v>-7185510.497214054</v>
      </c>
    </row>
    <row r="280" spans="1:2" ht="15">
      <c r="A280" s="130"/>
      <c r="B280" s="9"/>
    </row>
    <row r="281" spans="1:5" ht="15">
      <c r="A281" s="130">
        <v>38</v>
      </c>
      <c r="B281" s="9" t="s">
        <v>15</v>
      </c>
      <c r="E281" s="5">
        <f>D25</f>
        <v>7297443.1628952</v>
      </c>
    </row>
    <row r="282" spans="1:2" ht="15">
      <c r="A282" s="130"/>
      <c r="B282" s="9"/>
    </row>
    <row r="283" spans="1:5" ht="15.75">
      <c r="A283" s="130">
        <v>39</v>
      </c>
      <c r="B283" s="9" t="s">
        <v>91</v>
      </c>
      <c r="E283" s="204">
        <f>+E281+E279</f>
        <v>111932.66568114609</v>
      </c>
    </row>
    <row r="284" spans="1:2" ht="15">
      <c r="A284" s="130"/>
      <c r="B284" s="9"/>
    </row>
    <row r="285" spans="1:2" ht="15">
      <c r="A285" s="9"/>
      <c r="B285" s="9"/>
    </row>
    <row r="286" spans="1:2" ht="15">
      <c r="A286" s="9"/>
      <c r="B286" s="9"/>
    </row>
    <row r="287" spans="1:2" ht="15">
      <c r="A287" s="9"/>
      <c r="B287" s="9"/>
    </row>
    <row r="288" spans="1:2" ht="15">
      <c r="A288" s="9"/>
      <c r="B288" s="9"/>
    </row>
    <row r="289" spans="1:2" ht="15">
      <c r="A289" s="9"/>
      <c r="B289" s="9"/>
    </row>
    <row r="290" spans="1:2" ht="15">
      <c r="A290" s="9"/>
      <c r="B290" s="9"/>
    </row>
    <row r="291" spans="1:2" ht="15">
      <c r="A291" s="9"/>
      <c r="B291" s="9"/>
    </row>
    <row r="292" spans="1:2" ht="15">
      <c r="A292" s="9"/>
      <c r="B292" s="9"/>
    </row>
    <row r="293" spans="1:2" ht="15">
      <c r="A293" s="9"/>
      <c r="B293" s="9"/>
    </row>
    <row r="294" spans="1:2" ht="15">
      <c r="A294" s="9"/>
      <c r="B294" s="9"/>
    </row>
    <row r="295" spans="1:2" ht="15">
      <c r="A295" s="9"/>
      <c r="B295" s="9"/>
    </row>
    <row r="296" spans="1:2" ht="15">
      <c r="A296" s="9"/>
      <c r="B296" s="9"/>
    </row>
    <row r="297" spans="1:2" ht="15">
      <c r="A297" s="9"/>
      <c r="B297" s="9"/>
    </row>
    <row r="298" spans="1:2" ht="15">
      <c r="A298" s="9"/>
      <c r="B298" s="9"/>
    </row>
    <row r="299" spans="1:2" ht="15">
      <c r="A299" s="9"/>
      <c r="B299" s="9"/>
    </row>
    <row r="300" spans="1:2" ht="15">
      <c r="A300" s="9"/>
      <c r="B300" s="9"/>
    </row>
    <row r="301" spans="1:2" ht="15">
      <c r="A301" s="9"/>
      <c r="B301" s="9"/>
    </row>
    <row r="302" spans="1:2" ht="15">
      <c r="A302" s="9"/>
      <c r="B302" s="9"/>
    </row>
    <row r="303" spans="1:2" ht="15">
      <c r="A303" s="9"/>
      <c r="B303" s="9"/>
    </row>
    <row r="304" spans="1:2" ht="15">
      <c r="A304" s="9"/>
      <c r="B304" s="9"/>
    </row>
    <row r="305" spans="1:2" ht="15">
      <c r="A305" s="9"/>
      <c r="B305" s="9"/>
    </row>
    <row r="306" spans="1:2" ht="15">
      <c r="A306" s="9"/>
      <c r="B306" s="9"/>
    </row>
    <row r="307" spans="1:2" ht="15">
      <c r="A307" s="9"/>
      <c r="B307" s="9"/>
    </row>
    <row r="308" spans="1:2" ht="15">
      <c r="A308" s="9"/>
      <c r="B308" s="9"/>
    </row>
    <row r="309" spans="1:2" ht="15">
      <c r="A309" s="9"/>
      <c r="B309" s="9"/>
    </row>
    <row r="310" spans="1:7" ht="15">
      <c r="A310" s="9"/>
      <c r="B310" s="9"/>
      <c r="G310">
        <f>B304+C304-D304+E304-F310</f>
        <v>0</v>
      </c>
    </row>
    <row r="311" spans="1:7" ht="15">
      <c r="A311" s="9"/>
      <c r="B311" s="9"/>
      <c r="G311">
        <f>B305+C305-D305+E305-F311</f>
        <v>0</v>
      </c>
    </row>
    <row r="312" spans="1:2" ht="15">
      <c r="A312" s="9"/>
      <c r="B312" s="9"/>
    </row>
    <row r="313" spans="1:2" ht="15">
      <c r="A313" s="9"/>
      <c r="B313" s="9"/>
    </row>
    <row r="314" spans="1:2" ht="15">
      <c r="A314" s="9"/>
      <c r="B314" s="9"/>
    </row>
    <row r="315" spans="1:2" ht="15">
      <c r="A315" s="9"/>
      <c r="B315" s="9"/>
    </row>
    <row r="316" spans="1:2" ht="15">
      <c r="A316" s="9"/>
      <c r="B316" s="9"/>
    </row>
    <row r="317" spans="1:2" ht="15">
      <c r="A317" s="9"/>
      <c r="B317" s="9"/>
    </row>
  </sheetData>
  <printOptions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Columbia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D Cotton</dc:creator>
  <cp:keywords/>
  <dc:description/>
  <cp:lastModifiedBy>DSPENARD</cp:lastModifiedBy>
  <cp:lastPrinted>2004-08-26T18:05:05Z</cp:lastPrinted>
  <dcterms:created xsi:type="dcterms:W3CDTF">2004-02-11T18:17:58Z</dcterms:created>
  <dcterms:modified xsi:type="dcterms:W3CDTF">2004-08-26T20:33:52Z</dcterms:modified>
  <cp:category/>
  <cp:version/>
  <cp:contentType/>
  <cp:contentStatus/>
</cp:coreProperties>
</file>