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tabRatio="636" activeTab="0"/>
  </bookViews>
  <sheets>
    <sheet name="Instructions" sheetId="1" r:id="rId1"/>
    <sheet name="Control" sheetId="2" r:id="rId2"/>
    <sheet name="Rates" sheetId="3" r:id="rId3"/>
    <sheet name="Summary" sheetId="4" r:id="rId4"/>
    <sheet name="Res" sheetId="5" r:id="rId5"/>
    <sheet name="Comm" sheetId="6" r:id="rId6"/>
    <sheet name="Ind" sheetId="7" r:id="rId7"/>
    <sheet name="OPA" sheetId="8" r:id="rId8"/>
    <sheet name="Resale" sheetId="9" r:id="rId9"/>
    <sheet name="Fire" sheetId="10" r:id="rId10"/>
    <sheet name="Misc" sheetId="11" r:id="rId11"/>
    <sheet name="TriRes" sheetId="12" r:id="rId12"/>
    <sheet name="TriComm" sheetId="13" r:id="rId13"/>
    <sheet name="TriOPA" sheetId="14" r:id="rId14"/>
    <sheet name="TriResale" sheetId="15" r:id="rId15"/>
    <sheet name="TriMisc" sheetId="16" r:id="rId16"/>
    <sheet name="ElkRes" sheetId="17" r:id="rId17"/>
    <sheet name="ElkMisc" sheetId="18" r:id="rId18"/>
  </sheets>
  <externalReferences>
    <externalReference r:id="rId21"/>
  </externalReferences>
  <definedNames>
    <definedName name="_5_8IfActivation">'Control'!$B$19</definedName>
    <definedName name="_5_8Revenue">'Control'!$B$17</definedName>
    <definedName name="_5_8RevenueTarget">'Control'!$B$18</definedName>
    <definedName name="Activation">'Control'!$B$8</definedName>
    <definedName name="ActivationRevenue">'Control'!$B$10</definedName>
    <definedName name="AdjustMeter">'Control'!$B$21</definedName>
    <definedName name="AdjustUsage">'Control'!$B$22</definedName>
    <definedName name="AdjustUsageMultiple">'Control'!$B$23</definedName>
    <definedName name="AG_Revenue_Requirement">'Control'!$B$5</definedName>
    <definedName name="AG_Revenue_under_Present_Rates">'Control'!$B$4</definedName>
    <definedName name="CentralIncr">'Control'!$B$14</definedName>
    <definedName name="CentralPct">'Control'!$B$15</definedName>
    <definedName name="EliminateAFUDC">'Control'!$B$16</definedName>
    <definedName name="LowIncome">'Control'!$B$9</definedName>
    <definedName name="Name1">'Control'!$B$1</definedName>
    <definedName name="Name2">'Control'!$B$2</definedName>
    <definedName name="North">'Control'!$B$11</definedName>
    <definedName name="NorthIncr">'Control'!$B$13</definedName>
    <definedName name="NorthPct">'Control'!$B$11</definedName>
    <definedName name="NorthRev">'Control'!$B$12</definedName>
    <definedName name="Overall">'Control'!$B$7</definedName>
    <definedName name="OverallPct">'Control'!$B$6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<sst xmlns="http://schemas.openxmlformats.org/spreadsheetml/2006/main" count="572" uniqueCount="184">
  <si>
    <t xml:space="preserve"> 5/8" Monthly</t>
  </si>
  <si>
    <t xml:space="preserve"> 3/4" Monthly</t>
  </si>
  <si>
    <t xml:space="preserve"> 1" Monthly</t>
  </si>
  <si>
    <t xml:space="preserve"> 1 1/2" Monthly</t>
  </si>
  <si>
    <t xml:space="preserve"> 2" Monthly</t>
  </si>
  <si>
    <t xml:space="preserve"> 3" Monthly</t>
  </si>
  <si>
    <t xml:space="preserve"> 4" Monthly</t>
  </si>
  <si>
    <t xml:space="preserve"> 6" Monthly</t>
  </si>
  <si>
    <t xml:space="preserve"> 8" Monthly</t>
  </si>
  <si>
    <t>Consumption</t>
  </si>
  <si>
    <t>Rate</t>
  </si>
  <si>
    <t>Revenue</t>
  </si>
  <si>
    <t>Customer Charge Revenue</t>
  </si>
  <si>
    <t>Total Revenue</t>
  </si>
  <si>
    <t>Private Fire</t>
  </si>
  <si>
    <t>Total Private Fire Service</t>
  </si>
  <si>
    <t xml:space="preserve"> 4" Connections</t>
  </si>
  <si>
    <t xml:space="preserve"> 6" Connections</t>
  </si>
  <si>
    <t xml:space="preserve"> 8" Connections</t>
  </si>
  <si>
    <t>10" Connections</t>
  </si>
  <si>
    <t>12" Connections</t>
  </si>
  <si>
    <t>14" Connections</t>
  </si>
  <si>
    <t>16" Connections</t>
  </si>
  <si>
    <t>Private Fire Hydrants</t>
  </si>
  <si>
    <t xml:space="preserve"> 2" Connections</t>
  </si>
  <si>
    <t>Public Fire</t>
  </si>
  <si>
    <t>Public Fire Hydrants</t>
  </si>
  <si>
    <t>Residential</t>
  </si>
  <si>
    <t>Commercial</t>
  </si>
  <si>
    <t>Industrial</t>
  </si>
  <si>
    <t>Other Public Authority</t>
  </si>
  <si>
    <t>Sales for Resale</t>
  </si>
  <si>
    <t>Miscellaneous</t>
  </si>
  <si>
    <t>AG
Adjustment</t>
  </si>
  <si>
    <t>Units
As Filed</t>
  </si>
  <si>
    <t>Adjusted
Units</t>
  </si>
  <si>
    <t>Source: KAWC W/P-2</t>
  </si>
  <si>
    <t>Additional / Local Billings</t>
  </si>
  <si>
    <t>As Filed</t>
  </si>
  <si>
    <t>Present
As Filed</t>
  </si>
  <si>
    <t>Present
Revenue</t>
  </si>
  <si>
    <t>Other Revenue-Rents Water Property</t>
  </si>
  <si>
    <t>Other Revenue - Collections for Others</t>
  </si>
  <si>
    <t>Other Revenues - NSF Checks</t>
  </si>
  <si>
    <t>Other Revenue - Misc Services</t>
  </si>
  <si>
    <t>Activiation Fee</t>
  </si>
  <si>
    <t>Present Rates</t>
  </si>
  <si>
    <t>AG 
Adjustments</t>
  </si>
  <si>
    <t>Adjusted
Present</t>
  </si>
  <si>
    <t>% Increase</t>
  </si>
  <si>
    <t>Company Proposed Rates</t>
  </si>
  <si>
    <t>Increase</t>
  </si>
  <si>
    <t>AG Proposed Rates</t>
  </si>
  <si>
    <t>Revenue
As Filed</t>
  </si>
  <si>
    <t>AG Adjusted
Revenue</t>
  </si>
  <si>
    <t>Central Division</t>
  </si>
  <si>
    <t>Tri-Village</t>
  </si>
  <si>
    <t>Elk Lake</t>
  </si>
  <si>
    <t>Proof of Revenues - Existing Rates - Residential Class - Central Division</t>
  </si>
  <si>
    <t>Proof of Revenues - Existing Rates - Commercial Class - Central Division</t>
  </si>
  <si>
    <t>Proof of Revenues - Existing Rates - Industrial Class - Central Division</t>
  </si>
  <si>
    <t>Proof of Revenues - Existing Rates - Other Public Authority Class - Central Division</t>
  </si>
  <si>
    <t>Proof of Revenues - Existing Rates - Sales for Resale Class - Central Division</t>
  </si>
  <si>
    <t>Proof of Revenues - Existing Rates - Miscellaneous Revenue - Central Division</t>
  </si>
  <si>
    <t>Proof of Revenues - Existing Rates - Public and Private Fire - Central Division</t>
  </si>
  <si>
    <t>Subtotal</t>
  </si>
  <si>
    <t>AFUDC</t>
  </si>
  <si>
    <t>Proof of Revenues - Existing Rates - Residential Class - Tri-Village</t>
  </si>
  <si>
    <t>Proof of Revenues - Existing Rates - Miscellaneous Revenue - Tri-Village</t>
  </si>
  <si>
    <t>Proof of Revenues - Existing Rates - Other Public Authority Class - Tri-Village</t>
  </si>
  <si>
    <t>Proof of Revenues - Existing Rates - Commercial Class - Tri-Village</t>
  </si>
  <si>
    <t>First 2.67 ccf</t>
  </si>
  <si>
    <t>2nd 5.33 ccf</t>
  </si>
  <si>
    <t>3rd 5.33 ccf</t>
  </si>
  <si>
    <t>4th 13.33 ccf</t>
  </si>
  <si>
    <t>In excess of 26.66 ccf</t>
  </si>
  <si>
    <t>Consumption Revenue</t>
  </si>
  <si>
    <t>Proof of Revenues - Existing Rates - Sales for Resale Class - Tri-Village</t>
  </si>
  <si>
    <t>NSF Checks</t>
  </si>
  <si>
    <t>Other Misc Service Revenues</t>
  </si>
  <si>
    <t>Rents from Water Property</t>
  </si>
  <si>
    <t>Billing &amp; Collection Services</t>
  </si>
  <si>
    <t>AFDUC</t>
  </si>
  <si>
    <t>Total</t>
  </si>
  <si>
    <t>Proof of Revenues - Existing Rates - Residential Class - Elk Lake</t>
  </si>
  <si>
    <t>2nd 2.67 ccf</t>
  </si>
  <si>
    <t>In excess of 5.34 ccf</t>
  </si>
  <si>
    <t>Proof of Revenues - Existing Rates - Miscellaneous Revenue - Elk Lake</t>
  </si>
  <si>
    <t>Company Proposed</t>
  </si>
  <si>
    <t>AG Proposed</t>
  </si>
  <si>
    <t>Company
Proposed</t>
  </si>
  <si>
    <t>AG
Proposed</t>
  </si>
  <si>
    <t>Name1</t>
  </si>
  <si>
    <t>Name2</t>
  </si>
  <si>
    <t>Kentucky-American Water Company</t>
  </si>
  <si>
    <t>Case No. 2004-00103</t>
  </si>
  <si>
    <t>AG Revenue under Present Rates</t>
  </si>
  <si>
    <t>AG Revenue Requirement</t>
  </si>
  <si>
    <t>Overall</t>
  </si>
  <si>
    <t>Activation</t>
  </si>
  <si>
    <t>LowIncome</t>
  </si>
  <si>
    <t>If Yes: offset 5/8-inch customer charge</t>
  </si>
  <si>
    <t>AG Rates</t>
  </si>
  <si>
    <t>Present</t>
  </si>
  <si>
    <t>AG</t>
  </si>
  <si>
    <t>ActivationRevenue</t>
  </si>
  <si>
    <t>5/8Revenue</t>
  </si>
  <si>
    <t>Central</t>
  </si>
  <si>
    <t>OverallPct</t>
  </si>
  <si>
    <t>NorthPct</t>
  </si>
  <si>
    <t>NorthIncr</t>
  </si>
  <si>
    <t>NorthRev</t>
  </si>
  <si>
    <t>CentralIncr</t>
  </si>
  <si>
    <t>CentralPct</t>
  </si>
  <si>
    <t>5/8RevenueTarget</t>
  </si>
  <si>
    <t>5/8IfActivation</t>
  </si>
  <si>
    <t>Res</t>
  </si>
  <si>
    <t>Comm</t>
  </si>
  <si>
    <t>Ind</t>
  </si>
  <si>
    <t>OPA</t>
  </si>
  <si>
    <t>Resale</t>
  </si>
  <si>
    <t>Activation Fee</t>
  </si>
  <si>
    <t>AdjustMeter</t>
  </si>
  <si>
    <t>AdjustUsage</t>
  </si>
  <si>
    <t>AdjustUsageMultiple</t>
  </si>
  <si>
    <t>Difference</t>
  </si>
  <si>
    <t>Meter Charges</t>
  </si>
  <si>
    <t>Consumption Charges</t>
  </si>
  <si>
    <t>Fire Charges</t>
  </si>
  <si>
    <t>Hydrants</t>
  </si>
  <si>
    <t>Northern Division: Tri-Village</t>
  </si>
  <si>
    <t>Block 1</t>
  </si>
  <si>
    <t>Block 2</t>
  </si>
  <si>
    <t>Block 3</t>
  </si>
  <si>
    <t>Block 4</t>
  </si>
  <si>
    <t>Block 5</t>
  </si>
  <si>
    <t>Northern Division: Elk Lake</t>
  </si>
  <si>
    <t>Page 2 of 2</t>
  </si>
  <si>
    <t>Page 1 of 2</t>
  </si>
  <si>
    <t>EliminateAFUDC</t>
  </si>
  <si>
    <t>Instructions for Using this Workbook</t>
  </si>
  <si>
    <t>This workbook was used to develop the Attorney General's rate design recommendations for this case.</t>
  </si>
  <si>
    <t>It is not meant to be "user friendly" and it has not been tested to ensure accuracy under options other than</t>
  </si>
  <si>
    <t>those addressed in the testimony of Attorney General witness Scott J. Rubin.</t>
  </si>
  <si>
    <t>Options and basic input information are found on the Control sheet.</t>
  </si>
  <si>
    <t>Cells highlighted in yellow are those that the user can change.</t>
  </si>
  <si>
    <t>Cells that are "True / False" cells should be changed by using the drop-down list in each cell.</t>
  </si>
  <si>
    <t>AG Revenue Requirement - total revenue required, from testimony of Andrea Crane</t>
  </si>
  <si>
    <t>AG Revenue under Present Rates - reflects all adjustments to present-rate revenues made by Andrea Crane</t>
  </si>
  <si>
    <t>OverallPct - revenue requirement as a percentage of present rates revenue</t>
  </si>
  <si>
    <t>Overall - revenue requirement minus present rates revenue</t>
  </si>
  <si>
    <t>Activation - True = adopt KAWC proposal to charge an activation fee</t>
  </si>
  <si>
    <t>LowIncome - True = adopt KAWC proposal to discount customer charge for low-income customers</t>
  </si>
  <si>
    <t>ActivationRevenue - KAWC projected revenue from activation fee</t>
  </si>
  <si>
    <t>NorthPct - input percentage increase for Northern Division customers, plus 100%</t>
  </si>
  <si>
    <t>NorthRev - calculated revenue from Northern Division</t>
  </si>
  <si>
    <t>NorthIncr - calculated dollar increase from Northern Division</t>
  </si>
  <si>
    <t>CentralIncr - calculated dollar increase from Central Division</t>
  </si>
  <si>
    <t>CentralPct - calculated percent increase in Central Division, plus 100%</t>
  </si>
  <si>
    <t>EliminateAFUDC - True = put AFUDC below the line</t>
  </si>
  <si>
    <t>5/8Revenue - calculated revenue from 5/8-inch meter charges</t>
  </si>
  <si>
    <t>5/8RevenueTarget - target revenue from 5/8-inch meter charges, using activation revenue as a credit</t>
  </si>
  <si>
    <t>5/8IfActivation - calculated 5/8-inch meter charge if activation fee is implemented</t>
  </si>
  <si>
    <t>AdjustUsageMultiple - see Adjust Usage</t>
  </si>
  <si>
    <t>The Rates and Summary sheets are the schedules attached to Mr. Rubin's testimony.</t>
  </si>
  <si>
    <t>The schedule number on these sheets changes depending on the selection for Activation.</t>
  </si>
  <si>
    <t>The remaining sheets are workpapers containing the proof of revenues for each customer class</t>
  </si>
  <si>
    <t>or rate type in each division.</t>
  </si>
  <si>
    <t>The present rates on the Rates sheet and the billing determinants on the individual sheets are</t>
  </si>
  <si>
    <t>This is identical to the file named KAW_R_PSCDR2#51_attachment_062804.xls provided</t>
  </si>
  <si>
    <t>by KAWC; it has been renamed to add the phrase Proof of Revenues to further identify the</t>
  </si>
  <si>
    <t>information contained in the file.  A copy of the renamed file is provided with this workbook.</t>
  </si>
  <si>
    <t>It should be emphasized, again, that this workbook has not been tested under all possible options</t>
  </si>
  <si>
    <t>that could be selected on the Control sheet, so care should be exercised in using this file.</t>
  </si>
  <si>
    <t>The cells on the Control page have the following meanings (these are named ranges that can be used in formulas):</t>
  </si>
  <si>
    <t>AdjustMeter - True = add $0.01 to Central Division 5/8-inch meter charge</t>
  </si>
  <si>
    <t>AdjustUsage - True = adjust all Central Division consumption charges by $0.0001 multiplied by AdjustUsageMultiple</t>
  </si>
  <si>
    <t>taken directly from, and linked to, KAWC's rate filing.  This workbook is linked to the file:</t>
  </si>
  <si>
    <t>Proof of Revenues KAW_R_PSCDR2#51_attachment_062804.xls</t>
  </si>
  <si>
    <t>Any questions or problems with using this file should be addressed to:</t>
  </si>
  <si>
    <t>Scott J. Rubin</t>
  </si>
  <si>
    <t>scott@publicutilityhome.com</t>
  </si>
  <si>
    <t>phone: 570-743-2233</t>
  </si>
  <si>
    <t>Activation Fee: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</si>
</sst>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\-#,##0"/>
    <numFmt numFmtId="165" formatCode="_(* #,##0.0_);_(* \(#,##0.0\);_(* &quot;-&quot;??_);_(@_)"/>
    <numFmt numFmtId="166" formatCode="_(* #,##0_);_(* \(#,##0\);_(* &quot;-&quot;??_);_(@_)"/>
    <numFmt numFmtId="167" formatCode="_(* #,##0.000_);_(* \(#,##0.000\);_(* &quot;-&quot;??_);_(@_)"/>
    <numFmt numFmtId="168" formatCode="_(* #,##0.0000_);_(* \(#,##0.0000\);_(* &quot;-&quot;??_);_(@_)"/>
    <numFmt numFmtId="169" formatCode="_(&quot;$&quot;* #,##0.0_);_(&quot;$&quot;* \(#,##0.0\);_(&quot;$&quot;* &quot;-&quot;??_);_(@_)"/>
    <numFmt numFmtId="170" formatCode="_(&quot;$&quot;* #,##0_);_(&quot;$&quot;* \(#,##0\);_(&quot;$&quot;* &quot;-&quot;??_);_(@_)"/>
    <numFmt numFmtId="171" formatCode="0.0%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0.000%"/>
    <numFmt numFmtId="175" formatCode="0.0000%"/>
    <numFmt numFmtId="176" formatCode="_(* #,##0.0000_);_(* \(#,##0.0000\);_(* &quot;-&quot;????_);_(@_)"/>
  </numFmts>
  <fonts count="6">
    <font>
      <sz val="10"/>
      <name val="Arial"/>
      <family val="0"/>
    </font>
    <font>
      <b/>
      <sz val="10"/>
      <name val="Arial"/>
      <family val="2"/>
    </font>
    <font>
      <u val="singleAccounting"/>
      <sz val="10"/>
      <name val="Arial"/>
      <family val="2"/>
    </font>
    <font>
      <u val="doubleAccounting"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5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6" fontId="0" fillId="0" borderId="0" xfId="15" applyNumberFormat="1" applyAlignment="1">
      <alignment/>
    </xf>
    <xf numFmtId="166" fontId="1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6" fontId="0" fillId="0" borderId="0" xfId="15" applyNumberFormat="1" applyFont="1" applyAlignment="1">
      <alignment/>
    </xf>
    <xf numFmtId="166" fontId="2" fillId="0" borderId="0" xfId="15" applyNumberFormat="1" applyFont="1" applyAlignment="1">
      <alignment horizontal="center"/>
    </xf>
    <xf numFmtId="168" fontId="0" fillId="0" borderId="0" xfId="15" applyNumberFormat="1" applyAlignment="1">
      <alignment/>
    </xf>
    <xf numFmtId="168" fontId="2" fillId="0" borderId="0" xfId="15" applyNumberFormat="1" applyFont="1" applyAlignment="1">
      <alignment horizontal="center"/>
    </xf>
    <xf numFmtId="166" fontId="2" fillId="0" borderId="0" xfId="15" applyNumberFormat="1" applyFont="1" applyAlignment="1">
      <alignment/>
    </xf>
    <xf numFmtId="170" fontId="0" fillId="0" borderId="0" xfId="17" applyNumberFormat="1" applyAlignment="1">
      <alignment/>
    </xf>
    <xf numFmtId="166" fontId="0" fillId="0" borderId="0" xfId="15" applyNumberFormat="1" applyAlignment="1">
      <alignment/>
    </xf>
    <xf numFmtId="168" fontId="0" fillId="0" borderId="0" xfId="15" applyNumberFormat="1" applyAlignment="1">
      <alignment/>
    </xf>
    <xf numFmtId="166" fontId="0" fillId="0" borderId="0" xfId="15" applyNumberFormat="1" applyFont="1" applyAlignment="1">
      <alignment/>
    </xf>
    <xf numFmtId="170" fontId="0" fillId="0" borderId="0" xfId="17" applyNumberFormat="1" applyAlignment="1">
      <alignment/>
    </xf>
    <xf numFmtId="170" fontId="3" fillId="0" borderId="0" xfId="17" applyNumberFormat="1" applyFont="1" applyAlignment="1">
      <alignment/>
    </xf>
    <xf numFmtId="43" fontId="0" fillId="0" borderId="0" xfId="15" applyNumberFormat="1" applyAlignment="1">
      <alignment/>
    </xf>
    <xf numFmtId="43" fontId="0" fillId="0" borderId="0" xfId="15" applyNumberFormat="1" applyAlignment="1">
      <alignment/>
    </xf>
    <xf numFmtId="166" fontId="2" fillId="0" borderId="0" xfId="15" applyNumberFormat="1" applyFont="1" applyAlignment="1">
      <alignment horizontal="center" wrapText="1"/>
    </xf>
    <xf numFmtId="166" fontId="0" fillId="0" borderId="0" xfId="15" applyNumberFormat="1" applyAlignment="1">
      <alignment horizontal="left" indent="2"/>
    </xf>
    <xf numFmtId="168" fontId="2" fillId="0" borderId="0" xfId="15" applyNumberFormat="1" applyFont="1" applyAlignment="1">
      <alignment horizontal="center" wrapText="1"/>
    </xf>
    <xf numFmtId="43" fontId="0" fillId="0" borderId="0" xfId="15" applyFont="1" applyAlignment="1">
      <alignment/>
    </xf>
    <xf numFmtId="44" fontId="0" fillId="0" borderId="0" xfId="17" applyFont="1" applyAlignment="1">
      <alignment/>
    </xf>
    <xf numFmtId="166" fontId="1" fillId="0" borderId="0" xfId="15" applyNumberFormat="1" applyFont="1" applyAlignment="1">
      <alignment horizontal="left"/>
    </xf>
    <xf numFmtId="166" fontId="1" fillId="0" borderId="0" xfId="15" applyNumberFormat="1" applyFont="1" applyAlignment="1">
      <alignment/>
    </xf>
    <xf numFmtId="171" fontId="0" fillId="0" borderId="0" xfId="20" applyNumberFormat="1" applyAlignment="1">
      <alignment/>
    </xf>
    <xf numFmtId="43" fontId="0" fillId="0" borderId="0" xfId="15" applyAlignment="1">
      <alignment/>
    </xf>
    <xf numFmtId="44" fontId="0" fillId="0" borderId="0" xfId="17" applyAlignment="1">
      <alignment/>
    </xf>
    <xf numFmtId="43" fontId="0" fillId="0" borderId="0" xfId="15" applyFont="1" applyAlignment="1">
      <alignment/>
    </xf>
    <xf numFmtId="170" fontId="2" fillId="0" borderId="0" xfId="17" applyNumberFormat="1" applyFont="1" applyAlignment="1">
      <alignment/>
    </xf>
    <xf numFmtId="171" fontId="0" fillId="0" borderId="0" xfId="20" applyNumberFormat="1" applyAlignment="1">
      <alignment/>
    </xf>
    <xf numFmtId="43" fontId="0" fillId="0" borderId="0" xfId="15" applyAlignment="1">
      <alignment/>
    </xf>
    <xf numFmtId="44" fontId="0" fillId="0" borderId="0" xfId="17" applyNumberFormat="1" applyAlignment="1">
      <alignment/>
    </xf>
    <xf numFmtId="44" fontId="0" fillId="0" borderId="0" xfId="17" applyAlignment="1">
      <alignment/>
    </xf>
    <xf numFmtId="173" fontId="0" fillId="0" borderId="0" xfId="17" applyNumberFormat="1" applyAlignment="1">
      <alignment/>
    </xf>
    <xf numFmtId="10" fontId="0" fillId="0" borderId="0" xfId="20" applyNumberFormat="1" applyAlignment="1">
      <alignment/>
    </xf>
    <xf numFmtId="166" fontId="0" fillId="0" borderId="0" xfId="15" applyNumberFormat="1" applyFont="1" applyAlignment="1">
      <alignment horizontal="right"/>
    </xf>
    <xf numFmtId="10" fontId="0" fillId="2" borderId="0" xfId="20" applyNumberFormat="1" applyFill="1" applyAlignment="1">
      <alignment/>
    </xf>
    <xf numFmtId="166" fontId="0" fillId="2" borderId="0" xfId="15" applyNumberFormat="1" applyFill="1" applyAlignment="1">
      <alignment/>
    </xf>
    <xf numFmtId="166" fontId="0" fillId="2" borderId="0" xfId="15" applyNumberFormat="1" applyFont="1" applyFill="1" applyAlignment="1">
      <alignment horizontal="right"/>
    </xf>
    <xf numFmtId="166" fontId="0" fillId="2" borderId="0" xfId="15" applyNumberFormat="1" applyFill="1" applyAlignment="1">
      <alignment horizontal="right"/>
    </xf>
    <xf numFmtId="166" fontId="0" fillId="3" borderId="1" xfId="15" applyNumberFormat="1" applyFont="1" applyFill="1" applyBorder="1" applyAlignment="1">
      <alignment/>
    </xf>
    <xf numFmtId="166" fontId="0" fillId="3" borderId="2" xfId="15" applyNumberFormat="1" applyFill="1" applyBorder="1" applyAlignment="1">
      <alignment/>
    </xf>
    <xf numFmtId="166" fontId="2" fillId="3" borderId="3" xfId="15" applyNumberFormat="1" applyFont="1" applyFill="1" applyBorder="1" applyAlignment="1">
      <alignment horizontal="center"/>
    </xf>
    <xf numFmtId="166" fontId="2" fillId="3" borderId="4" xfId="15" applyNumberFormat="1" applyFont="1" applyFill="1" applyBorder="1" applyAlignment="1">
      <alignment horizontal="center"/>
    </xf>
    <xf numFmtId="43" fontId="1" fillId="0" borderId="0" xfId="15" applyFont="1" applyAlignment="1">
      <alignment/>
    </xf>
    <xf numFmtId="43" fontId="2" fillId="0" borderId="0" xfId="15" applyFont="1" applyAlignment="1">
      <alignment/>
    </xf>
    <xf numFmtId="43" fontId="2" fillId="0" borderId="0" xfId="15" applyFont="1" applyAlignment="1">
      <alignment horizontal="center"/>
    </xf>
    <xf numFmtId="43" fontId="2" fillId="0" borderId="0" xfId="15" applyFont="1" applyAlignment="1">
      <alignment horizontal="center" wrapText="1"/>
    </xf>
    <xf numFmtId="7" fontId="0" fillId="0" borderId="0" xfId="15" applyNumberFormat="1" applyAlignment="1">
      <alignment/>
    </xf>
    <xf numFmtId="44" fontId="0" fillId="0" borderId="0" xfId="17" applyNumberFormat="1" applyAlignment="1">
      <alignment/>
    </xf>
    <xf numFmtId="43" fontId="0" fillId="0" borderId="0" xfId="15" applyAlignment="1">
      <alignment horizontal="right"/>
    </xf>
    <xf numFmtId="171" fontId="0" fillId="0" borderId="0" xfId="20" applyNumberFormat="1" applyAlignment="1">
      <alignment horizontal="center"/>
    </xf>
    <xf numFmtId="166" fontId="0" fillId="0" borderId="0" xfId="15" applyNumberFormat="1" applyAlignment="1">
      <alignment horizontal="center"/>
    </xf>
    <xf numFmtId="168" fontId="1" fillId="0" borderId="0" xfId="15" applyNumberFormat="1" applyFont="1" applyAlignment="1">
      <alignment/>
    </xf>
    <xf numFmtId="166" fontId="2" fillId="0" borderId="0" xfId="15" applyNumberFormat="1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indent="1"/>
    </xf>
    <xf numFmtId="166" fontId="0" fillId="0" borderId="0" xfId="15" applyNumberFormat="1" applyFont="1" applyAlignment="1">
      <alignment horizontal="left" indent="1"/>
    </xf>
    <xf numFmtId="166" fontId="1" fillId="0" borderId="0" xfId="15" applyNumberFormat="1" applyFont="1" applyAlignment="1">
      <alignment horizontal="left" indent="1"/>
    </xf>
    <xf numFmtId="166" fontId="5" fillId="0" borderId="0" xfId="19" applyNumberFormat="1" applyAlignment="1">
      <alignment horizontal="left" indent="1"/>
    </xf>
    <xf numFmtId="166" fontId="0" fillId="0" borderId="0" xfId="15" applyNumberFormat="1" applyFont="1" applyFill="1" applyBorder="1" applyAlignment="1">
      <alignment horizontal="left" inden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oof%20of%20Revenues%20KAW_R_PSCDR2#51_attachment_0628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hedule M"/>
      <sheetName val="Schedule M Tri Village"/>
      <sheetName val="Schedule M Elk Lake"/>
    </sheetNames>
    <sheetDataSet>
      <sheetData sheetId="0">
        <row r="9">
          <cell r="S9">
            <v>7.31</v>
          </cell>
        </row>
        <row r="11">
          <cell r="S11">
            <v>10.97</v>
          </cell>
        </row>
        <row r="13">
          <cell r="S13">
            <v>18.28</v>
          </cell>
        </row>
        <row r="15">
          <cell r="S15">
            <v>36.55</v>
          </cell>
        </row>
        <row r="17">
          <cell r="S17">
            <v>58.48</v>
          </cell>
        </row>
        <row r="19">
          <cell r="S19">
            <v>109.65</v>
          </cell>
        </row>
        <row r="21">
          <cell r="S21">
            <v>182.75</v>
          </cell>
        </row>
        <row r="23">
          <cell r="S23">
            <v>365.5</v>
          </cell>
        </row>
        <row r="25">
          <cell r="S25">
            <v>584.8</v>
          </cell>
        </row>
        <row r="91">
          <cell r="H91">
            <v>82740</v>
          </cell>
          <cell r="J91">
            <v>82740</v>
          </cell>
        </row>
        <row r="92">
          <cell r="H92">
            <v>781676</v>
          </cell>
          <cell r="J92">
            <v>781676</v>
          </cell>
        </row>
        <row r="93">
          <cell r="H93">
            <v>36113</v>
          </cell>
          <cell r="J93">
            <v>36113</v>
          </cell>
        </row>
        <row r="94">
          <cell r="H94">
            <v>214227</v>
          </cell>
          <cell r="J94">
            <v>214227</v>
          </cell>
        </row>
        <row r="95">
          <cell r="H95">
            <v>0</v>
          </cell>
          <cell r="J95">
            <v>665280</v>
          </cell>
        </row>
        <row r="97">
          <cell r="H97">
            <v>470940</v>
          </cell>
          <cell r="J97">
            <v>470940</v>
          </cell>
        </row>
        <row r="138">
          <cell r="F138">
            <v>1178307</v>
          </cell>
          <cell r="I138">
            <v>8.428624080499999</v>
          </cell>
        </row>
        <row r="140">
          <cell r="I140">
            <v>12.648701253499999</v>
          </cell>
        </row>
        <row r="142">
          <cell r="F142">
            <v>17721</v>
          </cell>
          <cell r="I142">
            <v>21.077325333999998</v>
          </cell>
        </row>
        <row r="144">
          <cell r="F144">
            <v>131</v>
          </cell>
          <cell r="I144">
            <v>42.14312040249999</v>
          </cell>
        </row>
        <row r="146">
          <cell r="F146">
            <v>778</v>
          </cell>
          <cell r="I146">
            <v>67.42899264399999</v>
          </cell>
        </row>
        <row r="148">
          <cell r="I148">
            <v>126.4293612075</v>
          </cell>
        </row>
        <row r="150">
          <cell r="I150">
            <v>210.71560201249997</v>
          </cell>
        </row>
        <row r="152">
          <cell r="I152">
            <v>421.43120402499994</v>
          </cell>
        </row>
        <row r="154">
          <cell r="I154">
            <v>674.2899264399998</v>
          </cell>
        </row>
        <row r="159">
          <cell r="G159">
            <v>7908302</v>
          </cell>
          <cell r="I159">
            <v>1.9322534227554997</v>
          </cell>
          <cell r="L159">
            <v>1.67581</v>
          </cell>
        </row>
        <row r="199">
          <cell r="F199">
            <v>54283</v>
          </cell>
        </row>
        <row r="203">
          <cell r="F203">
            <v>24156</v>
          </cell>
        </row>
        <row r="205">
          <cell r="F205">
            <v>2052</v>
          </cell>
        </row>
        <row r="207">
          <cell r="F207">
            <v>18000</v>
          </cell>
        </row>
        <row r="209">
          <cell r="F209">
            <v>12</v>
          </cell>
        </row>
        <row r="211">
          <cell r="F211">
            <v>300</v>
          </cell>
        </row>
        <row r="213">
          <cell r="F213">
            <v>48</v>
          </cell>
        </row>
        <row r="215">
          <cell r="F215">
            <v>24</v>
          </cell>
        </row>
        <row r="220">
          <cell r="G220">
            <v>5453086</v>
          </cell>
          <cell r="I220">
            <v>1.7891974186969997</v>
          </cell>
          <cell r="L220">
            <v>1.55174</v>
          </cell>
        </row>
        <row r="260">
          <cell r="F260">
            <v>12</v>
          </cell>
        </row>
        <row r="264">
          <cell r="F264">
            <v>12</v>
          </cell>
        </row>
        <row r="266">
          <cell r="F266">
            <v>12</v>
          </cell>
        </row>
        <row r="268">
          <cell r="F268">
            <v>252</v>
          </cell>
        </row>
        <row r="272">
          <cell r="F272">
            <v>168</v>
          </cell>
        </row>
        <row r="274">
          <cell r="F274">
            <v>36</v>
          </cell>
        </row>
        <row r="281">
          <cell r="G281">
            <v>1201109</v>
          </cell>
          <cell r="I281">
            <v>1.4599737478755</v>
          </cell>
          <cell r="L281">
            <v>1.26621</v>
          </cell>
        </row>
        <row r="321">
          <cell r="F321">
            <v>1524</v>
          </cell>
        </row>
        <row r="325">
          <cell r="F325">
            <v>2016</v>
          </cell>
        </row>
        <row r="327">
          <cell r="F327">
            <v>360</v>
          </cell>
        </row>
        <row r="329">
          <cell r="F329">
            <v>3936</v>
          </cell>
        </row>
        <row r="333">
          <cell r="F333">
            <v>348</v>
          </cell>
        </row>
        <row r="335">
          <cell r="F335">
            <v>108</v>
          </cell>
        </row>
        <row r="342">
          <cell r="G342">
            <v>1834339</v>
          </cell>
          <cell r="I342">
            <v>1.7139393757784998</v>
          </cell>
          <cell r="L342">
            <v>1.48647</v>
          </cell>
        </row>
        <row r="390">
          <cell r="F390">
            <v>120</v>
          </cell>
        </row>
        <row r="394">
          <cell r="F394">
            <v>96</v>
          </cell>
        </row>
        <row r="396">
          <cell r="F396">
            <v>24</v>
          </cell>
        </row>
        <row r="403">
          <cell r="G403">
            <v>496465</v>
          </cell>
          <cell r="I403">
            <v>1.7139393757784998</v>
          </cell>
          <cell r="L403">
            <v>1.48647</v>
          </cell>
        </row>
        <row r="478">
          <cell r="J478">
            <v>15908</v>
          </cell>
          <cell r="M478">
            <v>15908</v>
          </cell>
        </row>
        <row r="504">
          <cell r="F504">
            <v>47</v>
          </cell>
          <cell r="I504">
            <v>55.32</v>
          </cell>
          <cell r="L504">
            <v>48</v>
          </cell>
        </row>
        <row r="505">
          <cell r="F505">
            <v>251</v>
          </cell>
          <cell r="I505">
            <v>221.4</v>
          </cell>
          <cell r="L505">
            <v>192</v>
          </cell>
        </row>
        <row r="506">
          <cell r="F506">
            <v>699</v>
          </cell>
          <cell r="I506">
            <v>497.52</v>
          </cell>
          <cell r="L506">
            <v>431.52</v>
          </cell>
        </row>
        <row r="507">
          <cell r="F507">
            <v>252</v>
          </cell>
          <cell r="I507">
            <v>884.4</v>
          </cell>
          <cell r="L507">
            <v>767.04</v>
          </cell>
        </row>
        <row r="508">
          <cell r="F508">
            <v>5</v>
          </cell>
          <cell r="I508">
            <v>1381.92</v>
          </cell>
          <cell r="L508">
            <v>1198.56</v>
          </cell>
        </row>
        <row r="509">
          <cell r="F509">
            <v>3</v>
          </cell>
          <cell r="I509">
            <v>1990.32</v>
          </cell>
          <cell r="L509">
            <v>1726.2</v>
          </cell>
        </row>
        <row r="510">
          <cell r="F510">
            <v>1</v>
          </cell>
          <cell r="I510">
            <v>2709.48</v>
          </cell>
          <cell r="L510">
            <v>2349.84</v>
          </cell>
        </row>
        <row r="511">
          <cell r="F511">
            <v>1</v>
          </cell>
          <cell r="I511">
            <v>3537.96</v>
          </cell>
          <cell r="L511">
            <v>3068.4</v>
          </cell>
        </row>
        <row r="512">
          <cell r="F512">
            <v>642</v>
          </cell>
          <cell r="I512">
            <v>497.52</v>
          </cell>
          <cell r="L512">
            <v>431.52</v>
          </cell>
        </row>
        <row r="565">
          <cell r="F565">
            <v>6268</v>
          </cell>
          <cell r="I565">
            <v>331.56</v>
          </cell>
          <cell r="L565">
            <v>287.52</v>
          </cell>
        </row>
      </sheetData>
      <sheetData sheetId="1">
        <row r="91">
          <cell r="H91">
            <v>0</v>
          </cell>
          <cell r="J91">
            <v>0</v>
          </cell>
        </row>
        <row r="92">
          <cell r="H92">
            <v>0</v>
          </cell>
          <cell r="J92">
            <v>0</v>
          </cell>
        </row>
        <row r="93">
          <cell r="H93">
            <v>0</v>
          </cell>
          <cell r="J93">
            <v>0</v>
          </cell>
        </row>
        <row r="94">
          <cell r="H94">
            <v>0</v>
          </cell>
          <cell r="J94">
            <v>0</v>
          </cell>
        </row>
        <row r="95">
          <cell r="J95">
            <v>6480</v>
          </cell>
        </row>
        <row r="97">
          <cell r="H97">
            <v>0</v>
          </cell>
          <cell r="J97">
            <v>0</v>
          </cell>
        </row>
        <row r="138">
          <cell r="F138">
            <v>22356</v>
          </cell>
          <cell r="I138">
            <v>27.210206229999997</v>
          </cell>
          <cell r="L138">
            <v>19.4</v>
          </cell>
        </row>
        <row r="142">
          <cell r="F142">
            <v>168</v>
          </cell>
        </row>
        <row r="146">
          <cell r="F146">
            <v>36</v>
          </cell>
        </row>
        <row r="160">
          <cell r="G160">
            <v>46126.23453601908</v>
          </cell>
          <cell r="I160">
            <v>0</v>
          </cell>
          <cell r="L160">
            <v>0</v>
          </cell>
        </row>
        <row r="161">
          <cell r="G161">
            <v>47122.309919083105</v>
          </cell>
          <cell r="I161">
            <v>6.54307</v>
          </cell>
          <cell r="L161">
            <v>4.665</v>
          </cell>
        </row>
        <row r="162">
          <cell r="G162">
            <v>11817.576366856045</v>
          </cell>
          <cell r="I162">
            <v>6.41684</v>
          </cell>
          <cell r="L162">
            <v>4.575</v>
          </cell>
        </row>
        <row r="163">
          <cell r="G163">
            <v>7811.608561450108</v>
          </cell>
          <cell r="I163">
            <v>6.29061</v>
          </cell>
          <cell r="L163">
            <v>4.485</v>
          </cell>
        </row>
        <row r="164">
          <cell r="G164">
            <v>8308.270616591652</v>
          </cell>
          <cell r="I164">
            <v>6.03814</v>
          </cell>
          <cell r="L164">
            <v>4.305</v>
          </cell>
        </row>
        <row r="199">
          <cell r="F199">
            <v>540</v>
          </cell>
        </row>
        <row r="203">
          <cell r="F203">
            <v>12</v>
          </cell>
        </row>
        <row r="207">
          <cell r="F207">
            <v>48</v>
          </cell>
        </row>
        <row r="221">
          <cell r="G221">
            <v>1113.112169380269</v>
          </cell>
        </row>
        <row r="222">
          <cell r="G222">
            <v>1158.9757384645088</v>
          </cell>
        </row>
        <row r="223">
          <cell r="G223">
            <v>623.3428148529507</v>
          </cell>
        </row>
        <row r="224">
          <cell r="G224">
            <v>1017.7025548619604</v>
          </cell>
        </row>
        <row r="225">
          <cell r="G225">
            <v>1288.8667224403118</v>
          </cell>
        </row>
        <row r="325">
          <cell r="F325">
            <v>5</v>
          </cell>
        </row>
        <row r="329">
          <cell r="F329">
            <v>15</v>
          </cell>
        </row>
        <row r="331">
          <cell r="F331">
            <v>10</v>
          </cell>
        </row>
        <row r="343">
          <cell r="G343">
            <v>81.33333333333333</v>
          </cell>
        </row>
        <row r="344">
          <cell r="G344">
            <v>32</v>
          </cell>
        </row>
        <row r="345">
          <cell r="G345">
            <v>136</v>
          </cell>
        </row>
        <row r="346">
          <cell r="G346">
            <v>321.3333333333333</v>
          </cell>
        </row>
        <row r="347">
          <cell r="G347">
            <v>1217.3333333333333</v>
          </cell>
        </row>
        <row r="390">
          <cell r="F390">
            <v>120</v>
          </cell>
        </row>
        <row r="394">
          <cell r="F394">
            <v>96</v>
          </cell>
        </row>
        <row r="396">
          <cell r="F396">
            <v>24</v>
          </cell>
        </row>
        <row r="404">
          <cell r="G404">
            <v>0</v>
          </cell>
        </row>
        <row r="405">
          <cell r="G405">
            <v>0</v>
          </cell>
        </row>
        <row r="406">
          <cell r="G406">
            <v>0</v>
          </cell>
        </row>
        <row r="407">
          <cell r="G407">
            <v>0</v>
          </cell>
        </row>
        <row r="408">
          <cell r="G408">
            <v>0</v>
          </cell>
        </row>
      </sheetData>
      <sheetData sheetId="2">
        <row r="91">
          <cell r="H91">
            <v>0</v>
          </cell>
          <cell r="J91">
            <v>0</v>
          </cell>
        </row>
        <row r="92">
          <cell r="H92">
            <v>0</v>
          </cell>
          <cell r="J92">
            <v>0</v>
          </cell>
        </row>
        <row r="93">
          <cell r="H93">
            <v>0</v>
          </cell>
          <cell r="J93">
            <v>0</v>
          </cell>
        </row>
        <row r="94">
          <cell r="H94">
            <v>0</v>
          </cell>
          <cell r="J94">
            <v>0</v>
          </cell>
        </row>
        <row r="95">
          <cell r="J95">
            <v>240</v>
          </cell>
        </row>
        <row r="97">
          <cell r="H97">
            <v>0</v>
          </cell>
        </row>
        <row r="138">
          <cell r="F138">
            <v>4128</v>
          </cell>
          <cell r="I138">
            <v>29.74062838</v>
          </cell>
          <cell r="L138">
            <v>20.95</v>
          </cell>
        </row>
        <row r="159">
          <cell r="G159">
            <v>3941</v>
          </cell>
          <cell r="I159">
            <v>0</v>
          </cell>
          <cell r="L159">
            <v>0</v>
          </cell>
        </row>
        <row r="160">
          <cell r="G160">
            <v>1813.4</v>
          </cell>
          <cell r="I160">
            <v>2.502045705</v>
          </cell>
          <cell r="L160">
            <v>1.7625</v>
          </cell>
        </row>
        <row r="161">
          <cell r="G161">
            <v>2800.2</v>
          </cell>
          <cell r="I161">
            <v>1.8099905099999998</v>
          </cell>
          <cell r="L161">
            <v>1.275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ott@publicutilityhome.com" TargetMode="Externa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53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2.421875" style="0" bestFit="1" customWidth="1"/>
  </cols>
  <sheetData>
    <row r="1" ht="12.75">
      <c r="A1" s="57" t="s">
        <v>140</v>
      </c>
    </row>
    <row r="3" ht="12.75">
      <c r="A3" s="58" t="s">
        <v>141</v>
      </c>
    </row>
    <row r="4" ht="12.75">
      <c r="A4" s="58" t="s">
        <v>142</v>
      </c>
    </row>
    <row r="5" ht="12.75">
      <c r="A5" s="58" t="s">
        <v>143</v>
      </c>
    </row>
    <row r="6" ht="12.75">
      <c r="A6" s="58"/>
    </row>
    <row r="7" ht="12.75">
      <c r="A7" s="58" t="s">
        <v>144</v>
      </c>
    </row>
    <row r="8" ht="12.75">
      <c r="A8" s="58" t="s">
        <v>145</v>
      </c>
    </row>
    <row r="9" ht="12.75">
      <c r="A9" s="58" t="s">
        <v>146</v>
      </c>
    </row>
    <row r="10" ht="12.75">
      <c r="A10" s="58"/>
    </row>
    <row r="11" ht="12.75">
      <c r="A11" s="58" t="s">
        <v>174</v>
      </c>
    </row>
    <row r="12" ht="12.75">
      <c r="A12" s="58"/>
    </row>
    <row r="13" ht="12.75">
      <c r="A13" s="59" t="s">
        <v>148</v>
      </c>
    </row>
    <row r="14" ht="12.75">
      <c r="A14" s="59" t="s">
        <v>147</v>
      </c>
    </row>
    <row r="15" ht="12.75">
      <c r="A15" s="59" t="s">
        <v>149</v>
      </c>
    </row>
    <row r="16" ht="12.75">
      <c r="A16" s="59" t="s">
        <v>150</v>
      </c>
    </row>
    <row r="17" ht="12.75">
      <c r="A17" s="59" t="s">
        <v>151</v>
      </c>
    </row>
    <row r="18" ht="12.75">
      <c r="A18" s="59" t="s">
        <v>152</v>
      </c>
    </row>
    <row r="19" ht="12.75">
      <c r="A19" s="59" t="s">
        <v>153</v>
      </c>
    </row>
    <row r="20" ht="12.75">
      <c r="A20" s="59" t="s">
        <v>154</v>
      </c>
    </row>
    <row r="21" ht="12.75">
      <c r="A21" s="59" t="s">
        <v>155</v>
      </c>
    </row>
    <row r="22" ht="12.75">
      <c r="A22" s="59" t="s">
        <v>156</v>
      </c>
    </row>
    <row r="23" ht="12.75">
      <c r="A23" s="59" t="s">
        <v>157</v>
      </c>
    </row>
    <row r="24" ht="12.75">
      <c r="A24" s="59" t="s">
        <v>158</v>
      </c>
    </row>
    <row r="25" ht="12.75">
      <c r="A25" s="59" t="s">
        <v>159</v>
      </c>
    </row>
    <row r="26" ht="12.75">
      <c r="A26" s="59" t="s">
        <v>160</v>
      </c>
    </row>
    <row r="27" ht="12.75">
      <c r="A27" s="59" t="s">
        <v>161</v>
      </c>
    </row>
    <row r="28" ht="12.75">
      <c r="A28" s="59" t="s">
        <v>162</v>
      </c>
    </row>
    <row r="29" ht="12.75">
      <c r="A29" s="59"/>
    </row>
    <row r="30" ht="12.75">
      <c r="A30" s="59" t="s">
        <v>175</v>
      </c>
    </row>
    <row r="31" ht="12.75">
      <c r="A31" s="59" t="s">
        <v>176</v>
      </c>
    </row>
    <row r="32" ht="12.75">
      <c r="A32" s="59" t="s">
        <v>163</v>
      </c>
    </row>
    <row r="33" ht="12.75">
      <c r="A33" s="58"/>
    </row>
    <row r="34" ht="12.75">
      <c r="A34" s="60" t="s">
        <v>172</v>
      </c>
    </row>
    <row r="35" ht="12.75">
      <c r="A35" s="60" t="s">
        <v>173</v>
      </c>
    </row>
    <row r="36" ht="12.75">
      <c r="A36" s="58"/>
    </row>
    <row r="37" ht="12.75">
      <c r="A37" s="59" t="s">
        <v>164</v>
      </c>
    </row>
    <row r="38" ht="12.75">
      <c r="A38" s="59" t="s">
        <v>165</v>
      </c>
    </row>
    <row r="39" ht="12.75">
      <c r="A39" s="58"/>
    </row>
    <row r="40" ht="12.75">
      <c r="A40" s="59" t="s">
        <v>166</v>
      </c>
    </row>
    <row r="41" ht="12.75">
      <c r="A41" s="59" t="s">
        <v>167</v>
      </c>
    </row>
    <row r="42" ht="12.75">
      <c r="A42" s="58"/>
    </row>
    <row r="43" ht="12.75">
      <c r="A43" s="59" t="s">
        <v>168</v>
      </c>
    </row>
    <row r="44" ht="12.75">
      <c r="A44" s="59" t="s">
        <v>177</v>
      </c>
    </row>
    <row r="45" ht="12.75">
      <c r="A45" s="59" t="s">
        <v>178</v>
      </c>
    </row>
    <row r="46" ht="12.75">
      <c r="A46" s="59" t="s">
        <v>169</v>
      </c>
    </row>
    <row r="47" ht="12.75">
      <c r="A47" s="59" t="s">
        <v>170</v>
      </c>
    </row>
    <row r="48" ht="12.75">
      <c r="A48" s="59" t="s">
        <v>171</v>
      </c>
    </row>
    <row r="49" ht="12.75">
      <c r="A49" s="58"/>
    </row>
    <row r="50" ht="12.75">
      <c r="A50" s="59" t="s">
        <v>179</v>
      </c>
    </row>
    <row r="51" ht="12.75">
      <c r="A51" s="59" t="s">
        <v>180</v>
      </c>
    </row>
    <row r="52" ht="12.75">
      <c r="A52" s="61" t="s">
        <v>181</v>
      </c>
    </row>
    <row r="53" ht="12.75">
      <c r="A53" s="62" t="s">
        <v>182</v>
      </c>
    </row>
  </sheetData>
  <hyperlinks>
    <hyperlink ref="A52" r:id="rId1" display="scott@publicutilityhome.com"/>
  </hyperlinks>
  <printOptions/>
  <pageMargins left="0.75" right="0.75" top="1" bottom="1" header="0.5" footer="0.5"/>
  <pageSetup horizontalDpi="600" verticalDpi="600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12.8515625" style="11" bestFit="1" customWidth="1"/>
    <col min="3" max="3" width="10.28125" style="12" bestFit="1" customWidth="1"/>
    <col min="4" max="4" width="12.28125" style="11" bestFit="1" customWidth="1"/>
    <col min="5" max="5" width="11.8515625" style="11" customWidth="1"/>
    <col min="6" max="6" width="9.140625" style="11" customWidth="1"/>
    <col min="7" max="7" width="13.421875" style="11" customWidth="1"/>
    <col min="8" max="8" width="10.421875" style="11" customWidth="1"/>
    <col min="9" max="9" width="12.421875" style="11" customWidth="1"/>
    <col min="10" max="10" width="11.421875" style="11" bestFit="1" customWidth="1"/>
    <col min="11" max="11" width="10.710937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3" s="24" customFormat="1" ht="12.75">
      <c r="A4" s="24" t="s">
        <v>64</v>
      </c>
      <c r="C4" s="54"/>
    </row>
    <row r="5" ht="12.75">
      <c r="A5" s="13" t="s">
        <v>36</v>
      </c>
    </row>
    <row r="6" spans="1:2" ht="12.75">
      <c r="A6" s="13" t="s">
        <v>183</v>
      </c>
      <c r="B6" s="11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6" t="s">
        <v>10</v>
      </c>
      <c r="C8" s="20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2" t="s">
        <v>14</v>
      </c>
      <c r="B9" s="4"/>
      <c r="D9" s="14"/>
      <c r="G9" s="14"/>
      <c r="I9" s="14"/>
      <c r="J9" s="30">
        <f>IF($G9&gt;0,I9/$G9-1,"")</f>
      </c>
      <c r="L9" s="14"/>
      <c r="M9" s="30">
        <f>IF($G9&gt;0,L9/$G9-1,"")</f>
      </c>
    </row>
    <row r="10" spans="1:13" ht="12.75">
      <c r="A10" s="3" t="s">
        <v>24</v>
      </c>
      <c r="B10" s="22">
        <f>'[1]Schedule M'!$L$504</f>
        <v>48</v>
      </c>
      <c r="C10" s="11">
        <f>'[1]Schedule M'!F504</f>
        <v>47</v>
      </c>
      <c r="D10" s="14">
        <f>ROUND(B10*C10,0)</f>
        <v>2256</v>
      </c>
      <c r="F10" s="11">
        <f>C10+E10</f>
        <v>47</v>
      </c>
      <c r="G10" s="14">
        <f aca="true" t="shared" si="0" ref="G10:G18">ROUND(B10*F10,0)</f>
        <v>2256</v>
      </c>
      <c r="H10" s="27">
        <f>'[1]Schedule M'!$I$504</f>
        <v>55.32</v>
      </c>
      <c r="I10" s="14">
        <f aca="true" t="shared" si="1" ref="I10:I18">ROUND($F10*H10,0)</f>
        <v>2600</v>
      </c>
      <c r="J10" s="30">
        <f aca="true" t="shared" si="2" ref="J10:J19">IF($G10&gt;0,I10/$G10-1,"")</f>
        <v>0.15248226950354615</v>
      </c>
      <c r="K10" s="27">
        <f>Rates!D33</f>
        <v>47.9</v>
      </c>
      <c r="L10" s="14">
        <f aca="true" t="shared" si="3" ref="L10:L18">ROUND($F10*K10,0)</f>
        <v>2251</v>
      </c>
      <c r="M10" s="30">
        <f aca="true" t="shared" si="4" ref="M10:M19">IF($G10&gt;0,L10/$G10-1,"")</f>
        <v>-0.002216312056737557</v>
      </c>
    </row>
    <row r="11" spans="1:13" ht="12.75">
      <c r="A11" s="3" t="s">
        <v>16</v>
      </c>
      <c r="B11" s="21">
        <f>'[1]Schedule M'!$L$505</f>
        <v>192</v>
      </c>
      <c r="C11" s="11">
        <f>'[1]Schedule M'!F505</f>
        <v>251</v>
      </c>
      <c r="D11" s="11">
        <f aca="true" t="shared" si="5" ref="D11:D18">ROUND(B11*C11,0)</f>
        <v>48192</v>
      </c>
      <c r="F11" s="11">
        <f aca="true" t="shared" si="6" ref="F11:F18">C11+E11</f>
        <v>251</v>
      </c>
      <c r="G11" s="11">
        <f t="shared" si="0"/>
        <v>48192</v>
      </c>
      <c r="H11" s="26">
        <f>'[1]Schedule M'!$I$505</f>
        <v>221.4</v>
      </c>
      <c r="I11" s="11">
        <f t="shared" si="1"/>
        <v>55571</v>
      </c>
      <c r="J11" s="30">
        <f t="shared" si="2"/>
        <v>0.15311669986719778</v>
      </c>
      <c r="K11" s="26">
        <f>Rates!D34</f>
        <v>191.6</v>
      </c>
      <c r="L11" s="11">
        <f t="shared" si="3"/>
        <v>48092</v>
      </c>
      <c r="M11" s="30">
        <f t="shared" si="4"/>
        <v>-0.002075033200531262</v>
      </c>
    </row>
    <row r="12" spans="1:13" ht="12.75">
      <c r="A12" s="3" t="s">
        <v>17</v>
      </c>
      <c r="B12" s="21">
        <f>'[1]Schedule M'!$L$506</f>
        <v>431.52</v>
      </c>
      <c r="C12" s="11">
        <f>'[1]Schedule M'!F506</f>
        <v>699</v>
      </c>
      <c r="D12" s="11">
        <f t="shared" si="5"/>
        <v>301632</v>
      </c>
      <c r="E12" s="11">
        <f>709-C12</f>
        <v>10</v>
      </c>
      <c r="F12" s="11">
        <f t="shared" si="6"/>
        <v>709</v>
      </c>
      <c r="G12" s="11">
        <f t="shared" si="0"/>
        <v>305948</v>
      </c>
      <c r="H12" s="26">
        <f>'[1]Schedule M'!$I$506</f>
        <v>497.52</v>
      </c>
      <c r="I12" s="11">
        <f t="shared" si="1"/>
        <v>352742</v>
      </c>
      <c r="J12" s="30">
        <f t="shared" si="2"/>
        <v>0.15294755971603013</v>
      </c>
      <c r="K12" s="26">
        <f>Rates!D35</f>
        <v>430.63</v>
      </c>
      <c r="L12" s="11">
        <f t="shared" si="3"/>
        <v>305317</v>
      </c>
      <c r="M12" s="30">
        <f t="shared" si="4"/>
        <v>-0.0020624419836050567</v>
      </c>
    </row>
    <row r="13" spans="1:13" ht="12.75">
      <c r="A13" s="3" t="s">
        <v>18</v>
      </c>
      <c r="B13" s="21">
        <f>'[1]Schedule M'!$L$507</f>
        <v>767.04</v>
      </c>
      <c r="C13" s="11">
        <f>'[1]Schedule M'!F507</f>
        <v>252</v>
      </c>
      <c r="D13" s="11">
        <f t="shared" si="5"/>
        <v>193294</v>
      </c>
      <c r="F13" s="11">
        <f t="shared" si="6"/>
        <v>252</v>
      </c>
      <c r="G13" s="11">
        <f t="shared" si="0"/>
        <v>193294</v>
      </c>
      <c r="H13" s="26">
        <f>'[1]Schedule M'!$I$507</f>
        <v>884.4</v>
      </c>
      <c r="I13" s="11">
        <f t="shared" si="1"/>
        <v>222869</v>
      </c>
      <c r="J13" s="30">
        <f t="shared" si="2"/>
        <v>0.15300526658871982</v>
      </c>
      <c r="K13" s="26">
        <f>Rates!D36</f>
        <v>765.46</v>
      </c>
      <c r="L13" s="11">
        <f t="shared" si="3"/>
        <v>192896</v>
      </c>
      <c r="M13" s="30">
        <f t="shared" si="4"/>
        <v>-0.002059039597711254</v>
      </c>
    </row>
    <row r="14" spans="1:13" ht="12.75">
      <c r="A14" s="3" t="s">
        <v>19</v>
      </c>
      <c r="B14" s="21">
        <f>'[1]Schedule M'!$L$508</f>
        <v>1198.56</v>
      </c>
      <c r="C14" s="11">
        <f>'[1]Schedule M'!F508</f>
        <v>5</v>
      </c>
      <c r="D14" s="11">
        <f t="shared" si="5"/>
        <v>5993</v>
      </c>
      <c r="F14" s="11">
        <f t="shared" si="6"/>
        <v>5</v>
      </c>
      <c r="G14" s="11">
        <f t="shared" si="0"/>
        <v>5993</v>
      </c>
      <c r="H14" s="26">
        <f>'[1]Schedule M'!$I$508</f>
        <v>1381.92</v>
      </c>
      <c r="I14" s="11">
        <f t="shared" si="1"/>
        <v>6910</v>
      </c>
      <c r="J14" s="30">
        <f t="shared" si="2"/>
        <v>0.15301184715501415</v>
      </c>
      <c r="K14" s="26">
        <f>Rates!D37</f>
        <v>1196.09</v>
      </c>
      <c r="L14" s="11">
        <f t="shared" si="3"/>
        <v>5980</v>
      </c>
      <c r="M14" s="30">
        <f t="shared" si="4"/>
        <v>-0.002169197396963085</v>
      </c>
    </row>
    <row r="15" spans="1:13" ht="12.75">
      <c r="A15" s="3" t="s">
        <v>20</v>
      </c>
      <c r="B15" s="21">
        <f>'[1]Schedule M'!$L$509</f>
        <v>1726.2</v>
      </c>
      <c r="C15" s="11">
        <f>'[1]Schedule M'!F509</f>
        <v>3</v>
      </c>
      <c r="D15" s="11">
        <f t="shared" si="5"/>
        <v>5179</v>
      </c>
      <c r="F15" s="11">
        <f t="shared" si="6"/>
        <v>3</v>
      </c>
      <c r="G15" s="11">
        <f t="shared" si="0"/>
        <v>5179</v>
      </c>
      <c r="H15" s="26">
        <f>'[1]Schedule M'!$I$509</f>
        <v>1990.32</v>
      </c>
      <c r="I15" s="11">
        <f t="shared" si="1"/>
        <v>5971</v>
      </c>
      <c r="J15" s="30">
        <f t="shared" si="2"/>
        <v>0.15292527514964283</v>
      </c>
      <c r="K15" s="26">
        <f>Rates!D38</f>
        <v>1722.64</v>
      </c>
      <c r="L15" s="11">
        <f t="shared" si="3"/>
        <v>5168</v>
      </c>
      <c r="M15" s="30">
        <f t="shared" si="4"/>
        <v>-0.002123962154856107</v>
      </c>
    </row>
    <row r="16" spans="1:13" ht="12.75">
      <c r="A16" s="3" t="s">
        <v>21</v>
      </c>
      <c r="B16" s="21">
        <f>'[1]Schedule M'!$L$510</f>
        <v>2349.84</v>
      </c>
      <c r="C16" s="11">
        <f>'[1]Schedule M'!F510</f>
        <v>1</v>
      </c>
      <c r="D16" s="11">
        <f t="shared" si="5"/>
        <v>2350</v>
      </c>
      <c r="F16" s="11">
        <f t="shared" si="6"/>
        <v>1</v>
      </c>
      <c r="G16" s="11">
        <f t="shared" si="0"/>
        <v>2350</v>
      </c>
      <c r="H16" s="26">
        <f>'[1]Schedule M'!$I$510</f>
        <v>2709.48</v>
      </c>
      <c r="I16" s="11">
        <f t="shared" si="1"/>
        <v>2709</v>
      </c>
      <c r="J16" s="30">
        <f t="shared" si="2"/>
        <v>0.15276595744680854</v>
      </c>
      <c r="K16" s="26">
        <f>Rates!D39</f>
        <v>2344.99</v>
      </c>
      <c r="L16" s="11">
        <f t="shared" si="3"/>
        <v>2345</v>
      </c>
      <c r="M16" s="30">
        <f t="shared" si="4"/>
        <v>-0.0021276595744680327</v>
      </c>
    </row>
    <row r="17" spans="1:13" ht="12.75">
      <c r="A17" s="3" t="s">
        <v>22</v>
      </c>
      <c r="B17" s="21">
        <f>'[1]Schedule M'!$L$511</f>
        <v>3068.4</v>
      </c>
      <c r="C17" s="11">
        <f>'[1]Schedule M'!F511</f>
        <v>1</v>
      </c>
      <c r="D17" s="11">
        <f t="shared" si="5"/>
        <v>3068</v>
      </c>
      <c r="F17" s="11">
        <f t="shared" si="6"/>
        <v>1</v>
      </c>
      <c r="G17" s="11">
        <f t="shared" si="0"/>
        <v>3068</v>
      </c>
      <c r="H17" s="26">
        <f>'[1]Schedule M'!$I$511</f>
        <v>3537.96</v>
      </c>
      <c r="I17" s="11">
        <f t="shared" si="1"/>
        <v>3538</v>
      </c>
      <c r="J17" s="30">
        <f t="shared" si="2"/>
        <v>0.15319426336375486</v>
      </c>
      <c r="K17" s="26">
        <f>Rates!D40</f>
        <v>3062.07</v>
      </c>
      <c r="L17" s="11">
        <f t="shared" si="3"/>
        <v>3062</v>
      </c>
      <c r="M17" s="30">
        <f t="shared" si="4"/>
        <v>-0.001955671447196883</v>
      </c>
    </row>
    <row r="18" spans="1:13" ht="15">
      <c r="A18" s="3" t="s">
        <v>23</v>
      </c>
      <c r="B18" s="21">
        <f>'[1]Schedule M'!$L$512</f>
        <v>431.52</v>
      </c>
      <c r="C18" s="11">
        <f>'[1]Schedule M'!F512</f>
        <v>642</v>
      </c>
      <c r="D18" s="9">
        <f t="shared" si="5"/>
        <v>277036</v>
      </c>
      <c r="E18" s="11">
        <f>699-C18</f>
        <v>57</v>
      </c>
      <c r="F18" s="11">
        <f t="shared" si="6"/>
        <v>699</v>
      </c>
      <c r="G18" s="9">
        <f t="shared" si="0"/>
        <v>301632</v>
      </c>
      <c r="H18" s="26">
        <f>'[1]Schedule M'!$I$512</f>
        <v>497.52</v>
      </c>
      <c r="I18" s="9">
        <f t="shared" si="1"/>
        <v>347766</v>
      </c>
      <c r="J18" s="30">
        <f t="shared" si="2"/>
        <v>0.15294796308084013</v>
      </c>
      <c r="K18" s="26">
        <f>Rates!D41</f>
        <v>430.63</v>
      </c>
      <c r="L18" s="9">
        <f t="shared" si="3"/>
        <v>301010</v>
      </c>
      <c r="M18" s="30">
        <f t="shared" si="4"/>
        <v>-0.002062115425419009</v>
      </c>
    </row>
    <row r="19" spans="1:13" ht="15">
      <c r="A19" s="3" t="s">
        <v>15</v>
      </c>
      <c r="B19" s="4"/>
      <c r="D19" s="15">
        <f>SUM(D10:D18)</f>
        <v>839000</v>
      </c>
      <c r="G19" s="15">
        <f>SUM(G10:G18)</f>
        <v>867912</v>
      </c>
      <c r="I19" s="15">
        <f>SUM(I10:I18)</f>
        <v>1000676</v>
      </c>
      <c r="J19" s="30">
        <f t="shared" si="2"/>
        <v>0.1529694254717069</v>
      </c>
      <c r="L19" s="15">
        <f>SUM(L10:L18)</f>
        <v>866121</v>
      </c>
      <c r="M19" s="30">
        <f t="shared" si="4"/>
        <v>-0.0020635732654923356</v>
      </c>
    </row>
    <row r="20" spans="2:13" ht="12.75">
      <c r="B20" s="4"/>
      <c r="J20" s="30">
        <f>IF($G20&gt;0,I20/$G20-1,"")</f>
      </c>
      <c r="M20" s="30">
        <f>IF($G20&gt;0,L20/$G20-1,"")</f>
      </c>
    </row>
    <row r="21" spans="1:2" ht="12.75">
      <c r="A21" s="2" t="s">
        <v>25</v>
      </c>
      <c r="B21" s="4"/>
    </row>
    <row r="22" spans="1:13" ht="15">
      <c r="A22" s="3" t="s">
        <v>26</v>
      </c>
      <c r="B22" s="22">
        <f>'[1]Schedule M'!$L$565</f>
        <v>287.52</v>
      </c>
      <c r="C22" s="11">
        <f>'[1]Schedule M'!$F$565</f>
        <v>6268</v>
      </c>
      <c r="D22" s="15">
        <f>ROUND(B22*C22,0)</f>
        <v>1802175</v>
      </c>
      <c r="E22" s="11">
        <f>6578-C22</f>
        <v>310</v>
      </c>
      <c r="F22" s="11">
        <f>C22+E22</f>
        <v>6578</v>
      </c>
      <c r="G22" s="15">
        <f>ROUND(B22*F22,0)</f>
        <v>1891307</v>
      </c>
      <c r="H22" s="27">
        <f>'[1]Schedule M'!$I$565</f>
        <v>331.56</v>
      </c>
      <c r="I22" s="15">
        <f>ROUND($F22*H22,0)</f>
        <v>2181002</v>
      </c>
      <c r="J22" s="30">
        <f>IF($G22&gt;0,I22/$G22-1,"")</f>
        <v>0.1531718541728022</v>
      </c>
      <c r="K22" s="27">
        <f>Rates!D44</f>
        <v>286.93</v>
      </c>
      <c r="L22" s="15">
        <f>ROUND($F22*K22,0)</f>
        <v>1887426</v>
      </c>
      <c r="M22" s="30">
        <f>IF($G22&gt;0,L22/$G22-1,"")</f>
        <v>-0.0020520201109602842</v>
      </c>
    </row>
    <row r="23" spans="1:2" ht="12.75">
      <c r="A23" s="3"/>
      <c r="B23" s="4"/>
    </row>
    <row r="24" spans="1:2" ht="12.75">
      <c r="A24" s="3"/>
      <c r="B24" s="4"/>
    </row>
    <row r="25" spans="1:2" ht="12.75">
      <c r="A25" s="3"/>
      <c r="B25" s="4"/>
    </row>
    <row r="26" spans="1:9" ht="15">
      <c r="A26" s="3"/>
      <c r="B26" s="4"/>
      <c r="D26" s="9"/>
      <c r="G26" s="9"/>
      <c r="I26" s="9"/>
    </row>
    <row r="27" spans="1:9" ht="12.75">
      <c r="A27" s="3"/>
      <c r="B27" s="4"/>
      <c r="D27" s="14"/>
      <c r="G27" s="14"/>
      <c r="I27" s="14"/>
    </row>
    <row r="28" ht="12.75">
      <c r="A28" s="3"/>
    </row>
    <row r="29" spans="1:9" ht="12.75">
      <c r="A29" s="3"/>
      <c r="B29" s="4"/>
      <c r="D29" s="14"/>
      <c r="G29" s="14"/>
      <c r="I29" s="14"/>
    </row>
    <row r="30" spans="1:9" ht="15">
      <c r="A30" s="3"/>
      <c r="B30" s="9"/>
      <c r="D30" s="9"/>
      <c r="G30" s="9"/>
      <c r="I30" s="9"/>
    </row>
    <row r="31" spans="1:9" ht="12.75">
      <c r="A31" s="3"/>
      <c r="C31" s="11"/>
      <c r="D31" s="14"/>
      <c r="G31" s="14"/>
      <c r="I31" s="14"/>
    </row>
    <row r="33" spans="1:9" ht="15">
      <c r="A33" s="13"/>
      <c r="D33" s="15"/>
      <c r="G33" s="15"/>
      <c r="I33" s="15"/>
    </row>
    <row r="34" spans="4:9" ht="12.75">
      <c r="D34" s="14"/>
      <c r="G34" s="14"/>
      <c r="I34" s="14"/>
    </row>
    <row r="35" spans="4:9" ht="12.75">
      <c r="D35" s="14"/>
      <c r="G35" s="14"/>
      <c r="I35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67" r:id="rId1"/>
  <headerFooter alignWithMargins="0">
    <oddFooter>&amp;L&amp;F, 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11" customWidth="1"/>
    <col min="2" max="2" width="12.8515625" style="11" bestFit="1" customWidth="1"/>
    <col min="3" max="3" width="12.8515625" style="11" customWidth="1"/>
    <col min="4" max="6" width="12.28125" style="11" bestFit="1" customWidth="1"/>
    <col min="7" max="7" width="13.421875" style="11" customWidth="1"/>
    <col min="8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="24" customFormat="1" ht="12.75">
      <c r="A4" s="24" t="s">
        <v>63</v>
      </c>
    </row>
    <row r="5" ht="12.75">
      <c r="A5" s="13" t="s">
        <v>36</v>
      </c>
    </row>
    <row r="6" spans="1:2" ht="12.75">
      <c r="A6" s="11" t="s">
        <v>183</v>
      </c>
      <c r="B6" s="11" t="b">
        <f>Activation</f>
        <v>1</v>
      </c>
    </row>
    <row r="7" spans="2:6" s="6" customFormat="1" ht="30">
      <c r="B7" s="18" t="s">
        <v>39</v>
      </c>
      <c r="C7" s="18" t="s">
        <v>33</v>
      </c>
      <c r="D7" s="18" t="s">
        <v>40</v>
      </c>
      <c r="E7" s="18" t="s">
        <v>90</v>
      </c>
      <c r="F7" s="18" t="s">
        <v>91</v>
      </c>
    </row>
    <row r="8" spans="1:6" ht="12.75">
      <c r="A8" s="3" t="s">
        <v>37</v>
      </c>
      <c r="B8" s="14">
        <f>'[1]Schedule M'!$M$478</f>
        <v>15908</v>
      </c>
      <c r="C8" s="4"/>
      <c r="D8" s="14">
        <f>B8+C8</f>
        <v>15908</v>
      </c>
      <c r="E8" s="14">
        <f>'[1]Schedule M'!$J$478</f>
        <v>15908</v>
      </c>
      <c r="F8" s="14">
        <f>E8</f>
        <v>15908</v>
      </c>
    </row>
    <row r="9" spans="1:6" ht="12.75">
      <c r="A9" s="3" t="s">
        <v>41</v>
      </c>
      <c r="B9" s="4">
        <f>'[1]Schedule M'!H91</f>
        <v>82740</v>
      </c>
      <c r="C9" s="4"/>
      <c r="D9" s="11">
        <f aca="true" t="shared" si="0" ref="D9:D14">B9+C9</f>
        <v>82740</v>
      </c>
      <c r="E9" s="11">
        <f>'[1]Schedule M'!J91</f>
        <v>82740</v>
      </c>
      <c r="F9" s="11">
        <f>E9</f>
        <v>82740</v>
      </c>
    </row>
    <row r="10" spans="1:6" ht="12.75">
      <c r="A10" s="3" t="s">
        <v>42</v>
      </c>
      <c r="B10" s="11">
        <f>'[1]Schedule M'!H92</f>
        <v>781676</v>
      </c>
      <c r="D10" s="11">
        <f t="shared" si="0"/>
        <v>781676</v>
      </c>
      <c r="E10" s="11">
        <f>'[1]Schedule M'!J92</f>
        <v>781676</v>
      </c>
      <c r="F10" s="11">
        <f>E10</f>
        <v>781676</v>
      </c>
    </row>
    <row r="11" spans="1:6" ht="12.75">
      <c r="A11" s="3" t="s">
        <v>43</v>
      </c>
      <c r="B11" s="11">
        <f>'[1]Schedule M'!H93</f>
        <v>36113</v>
      </c>
      <c r="D11" s="11">
        <f t="shared" si="0"/>
        <v>36113</v>
      </c>
      <c r="E11" s="11">
        <f>'[1]Schedule M'!J93</f>
        <v>36113</v>
      </c>
      <c r="F11" s="11">
        <f>E11</f>
        <v>36113</v>
      </c>
    </row>
    <row r="12" spans="1:6" ht="12.75">
      <c r="A12" s="3" t="s">
        <v>44</v>
      </c>
      <c r="B12" s="11">
        <f>'[1]Schedule M'!H94</f>
        <v>214227</v>
      </c>
      <c r="D12" s="11">
        <f t="shared" si="0"/>
        <v>214227</v>
      </c>
      <c r="E12" s="11">
        <f>'[1]Schedule M'!J94</f>
        <v>214227</v>
      </c>
      <c r="F12" s="11">
        <f>E12</f>
        <v>214227</v>
      </c>
    </row>
    <row r="13" spans="1:6" ht="12.75">
      <c r="A13" s="3" t="s">
        <v>121</v>
      </c>
      <c r="B13" s="4">
        <f>'[1]Schedule M'!$H$95</f>
        <v>0</v>
      </c>
      <c r="C13" s="11">
        <v>0</v>
      </c>
      <c r="D13" s="11">
        <f t="shared" si="0"/>
        <v>0</v>
      </c>
      <c r="E13" s="11">
        <f>'[1]Schedule M'!J95</f>
        <v>665280</v>
      </c>
      <c r="F13" s="11">
        <f>IF(Activation,E13,0)</f>
        <v>665280</v>
      </c>
    </row>
    <row r="14" spans="1:6" ht="15">
      <c r="A14" s="3" t="s">
        <v>66</v>
      </c>
      <c r="B14" s="9">
        <f>'[1]Schedule M'!$H$97</f>
        <v>470940</v>
      </c>
      <c r="C14" s="9">
        <v>0</v>
      </c>
      <c r="D14" s="9">
        <f t="shared" si="0"/>
        <v>470940</v>
      </c>
      <c r="E14" s="9">
        <f>'[1]Schedule M'!$J$97</f>
        <v>470940</v>
      </c>
      <c r="F14" s="9">
        <f>IF(EliminateAFUDC,0,417280)</f>
        <v>0</v>
      </c>
    </row>
    <row r="15" spans="1:6" ht="15">
      <c r="A15" s="3"/>
      <c r="B15" s="15">
        <f>SUM(B8:B14)</f>
        <v>1601604</v>
      </c>
      <c r="C15" s="11">
        <f>SUM(C8:C14)</f>
        <v>0</v>
      </c>
      <c r="D15" s="15">
        <f>SUM(D8:D14)</f>
        <v>1601604</v>
      </c>
      <c r="E15" s="15">
        <f>SUM(E8:E14)</f>
        <v>2266884</v>
      </c>
      <c r="F15" s="15">
        <f>SUM(F8:F14)</f>
        <v>1795944</v>
      </c>
    </row>
    <row r="16" spans="1:3" ht="12.75">
      <c r="A16" s="3"/>
      <c r="C16" s="4"/>
    </row>
    <row r="17" spans="1:6" ht="15">
      <c r="A17" s="3"/>
      <c r="B17" s="4"/>
      <c r="C17" s="4"/>
      <c r="D17" s="9"/>
      <c r="E17" s="9"/>
      <c r="F17" s="9"/>
    </row>
    <row r="18" spans="4:6" ht="12.75">
      <c r="D18" s="14"/>
      <c r="E18" s="14"/>
      <c r="F18" s="14"/>
    </row>
    <row r="19" spans="4:6" ht="12.75">
      <c r="D19" s="14"/>
      <c r="E19" s="14"/>
      <c r="F19" s="14"/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67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27">
        <f>'[1]Schedule M Tri Village'!$L$138</f>
        <v>19.4</v>
      </c>
      <c r="C9" s="4">
        <f>'[1]Schedule M Tri Village'!$F$138</f>
        <v>22356</v>
      </c>
      <c r="D9" s="14">
        <f aca="true" t="shared" si="0" ref="D9:D16">ROUND(B9*C9,0)</f>
        <v>433706</v>
      </c>
      <c r="E9" s="4"/>
      <c r="F9" s="4">
        <f aca="true" t="shared" si="1" ref="F9:F16">C9+E9</f>
        <v>22356</v>
      </c>
      <c r="G9" s="14">
        <f aca="true" t="shared" si="2" ref="G9:G16">ROUND(F9*B9,0)</f>
        <v>433706</v>
      </c>
      <c r="H9" s="27">
        <f>Rates!G9</f>
        <v>27.210206229999997</v>
      </c>
      <c r="I9" s="14">
        <f>ROUND($F9*H9,0)</f>
        <v>608311</v>
      </c>
      <c r="J9" s="30">
        <f>IF($G9&gt;0,I9/$G9-1,"")</f>
        <v>0.4025883893697575</v>
      </c>
      <c r="K9" s="27">
        <f>Control!C44</f>
        <v>19.4</v>
      </c>
      <c r="L9" s="14">
        <f>ROUND($F9*K9,0)</f>
        <v>433706</v>
      </c>
      <c r="M9" s="30">
        <f>IF($G9&gt;0,L9/$G9-1,"")</f>
        <v>0</v>
      </c>
    </row>
    <row r="10" spans="1:13" ht="12.75">
      <c r="A10" s="3" t="s">
        <v>1</v>
      </c>
      <c r="B10" s="26">
        <f aca="true" t="shared" si="3" ref="B10:B16">B9</f>
        <v>19.4</v>
      </c>
      <c r="C10" s="4"/>
      <c r="D10" s="4">
        <f t="shared" si="0"/>
        <v>0</v>
      </c>
      <c r="E10" s="4"/>
      <c r="F10" s="4">
        <f t="shared" si="1"/>
        <v>0</v>
      </c>
      <c r="G10" s="11">
        <f t="shared" si="2"/>
        <v>0</v>
      </c>
      <c r="H10" s="26">
        <f aca="true" t="shared" si="4" ref="H10:H16">H9</f>
        <v>27.210206229999997</v>
      </c>
      <c r="I10" s="11">
        <f aca="true" t="shared" si="5" ref="I10:I16">ROUND($F10*H10,0)</f>
        <v>0</v>
      </c>
      <c r="J10" s="30">
        <f aca="true" t="shared" si="6" ref="J10:J18">IF($G10&gt;0,I10/$G10-1,"")</f>
      </c>
      <c r="K10" s="26">
        <f>Control!C45</f>
        <v>19.4</v>
      </c>
      <c r="L10" s="11">
        <f aca="true" t="shared" si="7" ref="L10:L16">ROUND($F10*K10,0)</f>
        <v>0</v>
      </c>
      <c r="M10" s="30">
        <f aca="true" t="shared" si="8" ref="M10:M16">IF($G10&gt;0,L10/$G10-1,"")</f>
      </c>
    </row>
    <row r="11" spans="1:13" ht="12.75">
      <c r="A11" s="3" t="s">
        <v>2</v>
      </c>
      <c r="B11" s="26">
        <f t="shared" si="3"/>
        <v>19.4</v>
      </c>
      <c r="C11" s="11">
        <f>'[1]Schedule M Tri Village'!$F$142</f>
        <v>168</v>
      </c>
      <c r="D11" s="4">
        <f t="shared" si="0"/>
        <v>3259</v>
      </c>
      <c r="F11" s="4">
        <f t="shared" si="1"/>
        <v>168</v>
      </c>
      <c r="G11" s="11">
        <f t="shared" si="2"/>
        <v>3259</v>
      </c>
      <c r="H11" s="26">
        <f t="shared" si="4"/>
        <v>27.210206229999997</v>
      </c>
      <c r="I11" s="11">
        <f t="shared" si="5"/>
        <v>4571</v>
      </c>
      <c r="J11" s="30">
        <f t="shared" si="6"/>
        <v>0.40257747775391217</v>
      </c>
      <c r="K11" s="26">
        <f>Control!C46</f>
        <v>19.4</v>
      </c>
      <c r="L11" s="11">
        <f t="shared" si="7"/>
        <v>3259</v>
      </c>
      <c r="M11" s="30">
        <f t="shared" si="8"/>
        <v>0</v>
      </c>
    </row>
    <row r="12" spans="1:13" ht="12.75">
      <c r="A12" s="3" t="s">
        <v>3</v>
      </c>
      <c r="B12" s="26">
        <f t="shared" si="3"/>
        <v>19.4</v>
      </c>
      <c r="D12" s="4">
        <f t="shared" si="0"/>
        <v>0</v>
      </c>
      <c r="F12" s="4">
        <f t="shared" si="1"/>
        <v>0</v>
      </c>
      <c r="G12" s="11">
        <f t="shared" si="2"/>
        <v>0</v>
      </c>
      <c r="H12" s="26">
        <f t="shared" si="4"/>
        <v>27.210206229999997</v>
      </c>
      <c r="I12" s="11">
        <f t="shared" si="5"/>
        <v>0</v>
      </c>
      <c r="J12" s="30">
        <f t="shared" si="6"/>
      </c>
      <c r="K12" s="26">
        <f>Control!C47</f>
        <v>19.4</v>
      </c>
      <c r="L12" s="11">
        <f t="shared" si="7"/>
        <v>0</v>
      </c>
      <c r="M12" s="30">
        <f t="shared" si="8"/>
      </c>
    </row>
    <row r="13" spans="1:13" ht="12.75">
      <c r="A13" s="3" t="s">
        <v>4</v>
      </c>
      <c r="B13" s="26">
        <f t="shared" si="3"/>
        <v>19.4</v>
      </c>
      <c r="C13" s="11">
        <f>'[1]Schedule M Tri Village'!$F$146</f>
        <v>36</v>
      </c>
      <c r="D13" s="4">
        <f t="shared" si="0"/>
        <v>698</v>
      </c>
      <c r="F13" s="4">
        <f t="shared" si="1"/>
        <v>36</v>
      </c>
      <c r="G13" s="11">
        <f t="shared" si="2"/>
        <v>698</v>
      </c>
      <c r="H13" s="26">
        <f t="shared" si="4"/>
        <v>27.210206229999997</v>
      </c>
      <c r="I13" s="11">
        <f t="shared" si="5"/>
        <v>980</v>
      </c>
      <c r="J13" s="30">
        <f t="shared" si="6"/>
        <v>0.40401146131805166</v>
      </c>
      <c r="K13" s="26">
        <f>Control!C48</f>
        <v>19.4</v>
      </c>
      <c r="L13" s="11">
        <f t="shared" si="7"/>
        <v>698</v>
      </c>
      <c r="M13" s="30">
        <f t="shared" si="8"/>
        <v>0</v>
      </c>
    </row>
    <row r="14" spans="1:13" ht="12.75">
      <c r="A14" s="3" t="s">
        <v>5</v>
      </c>
      <c r="B14" s="26">
        <f t="shared" si="3"/>
        <v>19.4</v>
      </c>
      <c r="C14" s="4"/>
      <c r="D14" s="4">
        <f t="shared" si="0"/>
        <v>0</v>
      </c>
      <c r="E14" s="4"/>
      <c r="F14" s="4">
        <f t="shared" si="1"/>
        <v>0</v>
      </c>
      <c r="G14" s="4">
        <f t="shared" si="2"/>
        <v>0</v>
      </c>
      <c r="H14" s="26">
        <f t="shared" si="4"/>
        <v>27.210206229999997</v>
      </c>
      <c r="I14" s="4">
        <f t="shared" si="5"/>
        <v>0</v>
      </c>
      <c r="J14" s="30">
        <f t="shared" si="6"/>
      </c>
      <c r="K14" s="26">
        <f>Control!C49</f>
        <v>19.4</v>
      </c>
      <c r="L14" s="4">
        <f t="shared" si="7"/>
        <v>0</v>
      </c>
      <c r="M14" s="30">
        <f t="shared" si="8"/>
      </c>
    </row>
    <row r="15" spans="1:13" ht="12.75">
      <c r="A15" s="3" t="s">
        <v>6</v>
      </c>
      <c r="B15" s="26">
        <f t="shared" si="3"/>
        <v>19.4</v>
      </c>
      <c r="C15" s="4"/>
      <c r="D15" s="4">
        <f t="shared" si="0"/>
        <v>0</v>
      </c>
      <c r="E15" s="4"/>
      <c r="F15" s="4">
        <f t="shared" si="1"/>
        <v>0</v>
      </c>
      <c r="G15" s="4">
        <f t="shared" si="2"/>
        <v>0</v>
      </c>
      <c r="H15" s="26">
        <f t="shared" si="4"/>
        <v>27.210206229999997</v>
      </c>
      <c r="I15" s="4">
        <f t="shared" si="5"/>
        <v>0</v>
      </c>
      <c r="J15" s="30">
        <f t="shared" si="6"/>
      </c>
      <c r="K15" s="26">
        <f>Control!C50</f>
        <v>19.4</v>
      </c>
      <c r="L15" s="4">
        <f t="shared" si="7"/>
        <v>0</v>
      </c>
      <c r="M15" s="30">
        <f t="shared" si="8"/>
      </c>
    </row>
    <row r="16" spans="1:13" ht="15">
      <c r="A16" s="3" t="s">
        <v>7</v>
      </c>
      <c r="B16" s="26">
        <f t="shared" si="3"/>
        <v>19.4</v>
      </c>
      <c r="C16" s="4"/>
      <c r="D16" s="9">
        <f t="shared" si="0"/>
        <v>0</v>
      </c>
      <c r="E16" s="4"/>
      <c r="F16" s="4">
        <f t="shared" si="1"/>
        <v>0</v>
      </c>
      <c r="G16" s="9">
        <f t="shared" si="2"/>
        <v>0</v>
      </c>
      <c r="H16" s="26">
        <f t="shared" si="4"/>
        <v>27.210206229999997</v>
      </c>
      <c r="I16" s="9">
        <f t="shared" si="5"/>
        <v>0</v>
      </c>
      <c r="J16" s="30">
        <f t="shared" si="6"/>
      </c>
      <c r="K16" s="26">
        <f>Control!C51</f>
        <v>19.4</v>
      </c>
      <c r="L16" s="9">
        <f t="shared" si="7"/>
        <v>0</v>
      </c>
      <c r="M16" s="30">
        <f t="shared" si="8"/>
      </c>
    </row>
    <row r="17" spans="1:13" ht="12.75">
      <c r="A17" s="3" t="s">
        <v>12</v>
      </c>
      <c r="C17" s="4"/>
      <c r="D17" s="14">
        <f>SUM(D9:D16)</f>
        <v>437663</v>
      </c>
      <c r="E17" s="4"/>
      <c r="F17" s="4"/>
      <c r="G17" s="14">
        <f>SUM(G9:G16)</f>
        <v>437663</v>
      </c>
      <c r="I17" s="14">
        <f>SUM(I9:I16)</f>
        <v>613862</v>
      </c>
      <c r="J17" s="30">
        <f t="shared" si="6"/>
        <v>0.402590577681915</v>
      </c>
      <c r="L17" s="14">
        <f>SUM(L9:L16)</f>
        <v>437663</v>
      </c>
      <c r="M17" s="30">
        <f aca="true" t="shared" si="9" ref="M17:M24">IF($G17&gt;0,L17/$G17-1,"")</f>
        <v>0</v>
      </c>
    </row>
    <row r="18" spans="1:13" ht="12.75">
      <c r="A18" s="3"/>
      <c r="J18" s="30">
        <f t="shared" si="6"/>
      </c>
      <c r="M18" s="30">
        <f t="shared" si="9"/>
      </c>
    </row>
    <row r="19" spans="1:13" ht="12.75">
      <c r="A19" s="3" t="s">
        <v>71</v>
      </c>
      <c r="B19" s="27">
        <f>Rates!F25</f>
        <v>0</v>
      </c>
      <c r="C19" s="11">
        <f>'[1]Schedule M Tri Village'!G160</f>
        <v>46126.23453601908</v>
      </c>
      <c r="D19" s="14">
        <f>ROUND(B19*C19,0)</f>
        <v>0</v>
      </c>
      <c r="F19" s="4">
        <f>C19+E19</f>
        <v>46126.23453601908</v>
      </c>
      <c r="G19" s="14">
        <f>ROUND(F19*B19,0)</f>
        <v>0</v>
      </c>
      <c r="H19" s="27">
        <f>Rates!G25</f>
        <v>0</v>
      </c>
      <c r="I19" s="14"/>
      <c r="K19" s="34">
        <f>Rates!H25</f>
        <v>0</v>
      </c>
      <c r="L19" s="11">
        <f>ROUND($F19*K19,0)</f>
        <v>0</v>
      </c>
      <c r="M19" s="30">
        <f t="shared" si="9"/>
      </c>
    </row>
    <row r="20" spans="1:13" ht="12.75">
      <c r="A20" s="3" t="s">
        <v>72</v>
      </c>
      <c r="B20" s="12">
        <f>Rates!F26</f>
        <v>4.665</v>
      </c>
      <c r="C20" s="11">
        <f>'[1]Schedule M Tri Village'!G161</f>
        <v>47122.309919083105</v>
      </c>
      <c r="D20" s="4">
        <f>ROUND(B20*C20,0)</f>
        <v>219826</v>
      </c>
      <c r="F20" s="4">
        <f>C20+E20</f>
        <v>47122.309919083105</v>
      </c>
      <c r="G20" s="11">
        <f>ROUND(F20*B20,0)</f>
        <v>219826</v>
      </c>
      <c r="H20" s="12">
        <f>Rates!G26</f>
        <v>6.54307</v>
      </c>
      <c r="I20" s="11">
        <f>ROUND($F20*H20,0)</f>
        <v>308325</v>
      </c>
      <c r="J20" s="30">
        <f>IF($G20&gt;0,I20/$G20-1,"")</f>
        <v>0.4025865912130504</v>
      </c>
      <c r="K20" s="12">
        <f>Rates!H26</f>
        <v>4.665</v>
      </c>
      <c r="L20" s="11">
        <f>ROUND($F20*K20,0)</f>
        <v>219826</v>
      </c>
      <c r="M20" s="30">
        <f t="shared" si="9"/>
        <v>0</v>
      </c>
    </row>
    <row r="21" spans="1:13" ht="12.75">
      <c r="A21" s="3" t="s">
        <v>73</v>
      </c>
      <c r="B21" s="12">
        <f>Rates!F27</f>
        <v>4.575</v>
      </c>
      <c r="C21" s="11">
        <f>'[1]Schedule M Tri Village'!G162</f>
        <v>11817.576366856045</v>
      </c>
      <c r="D21" s="4">
        <f>ROUND(B21*C21,0)</f>
        <v>54065</v>
      </c>
      <c r="F21" s="4">
        <f>C21+E21</f>
        <v>11817.576366856045</v>
      </c>
      <c r="G21" s="11">
        <f>ROUND(F21*B21,0)</f>
        <v>54065</v>
      </c>
      <c r="H21" s="12">
        <f>Rates!G27</f>
        <v>6.41684</v>
      </c>
      <c r="I21" s="11">
        <f>ROUND($F21*H21,0)</f>
        <v>75831</v>
      </c>
      <c r="J21" s="30">
        <f>IF($G21&gt;0,I21/$G21-1,"")</f>
        <v>0.40258947563118475</v>
      </c>
      <c r="K21" s="12">
        <f>Rates!H27</f>
        <v>4.575</v>
      </c>
      <c r="L21" s="11">
        <f>ROUND($F21*K21,0)</f>
        <v>54065</v>
      </c>
      <c r="M21" s="30">
        <f t="shared" si="9"/>
        <v>0</v>
      </c>
    </row>
    <row r="22" spans="1:13" ht="12.75">
      <c r="A22" s="3" t="s">
        <v>74</v>
      </c>
      <c r="B22" s="12">
        <f>Rates!F28</f>
        <v>4.485</v>
      </c>
      <c r="C22" s="11">
        <f>'[1]Schedule M Tri Village'!G163</f>
        <v>7811.608561450108</v>
      </c>
      <c r="D22" s="4">
        <f>ROUND(B22*C22,0)</f>
        <v>35035</v>
      </c>
      <c r="F22" s="4">
        <f>C22+E22</f>
        <v>7811.608561450108</v>
      </c>
      <c r="G22" s="11">
        <f>ROUND(F22*B22,0)</f>
        <v>35035</v>
      </c>
      <c r="H22" s="12">
        <f>Rates!G28</f>
        <v>6.29061</v>
      </c>
      <c r="I22" s="11">
        <f>ROUND($F22*H22,0)</f>
        <v>49140</v>
      </c>
      <c r="J22" s="30">
        <f>IF($G22&gt;0,I22/$G22-1,"")</f>
        <v>0.4025974025974026</v>
      </c>
      <c r="K22" s="12">
        <f>Rates!H28</f>
        <v>4.485</v>
      </c>
      <c r="L22" s="11">
        <f>ROUND($F22*K22,0)</f>
        <v>35035</v>
      </c>
      <c r="M22" s="30">
        <f t="shared" si="9"/>
        <v>0</v>
      </c>
    </row>
    <row r="23" spans="1:13" ht="15">
      <c r="A23" s="3" t="s">
        <v>75</v>
      </c>
      <c r="B23" s="12">
        <f>Rates!F29</f>
        <v>4.305</v>
      </c>
      <c r="C23" s="11">
        <f>'[1]Schedule M Tri Village'!G164</f>
        <v>8308.270616591652</v>
      </c>
      <c r="D23" s="9">
        <f>ROUND(B23*C23,0)</f>
        <v>35767</v>
      </c>
      <c r="F23" s="4">
        <f>C23+E23</f>
        <v>8308.270616591652</v>
      </c>
      <c r="G23" s="9">
        <f>ROUND(F23*B23,0)</f>
        <v>35767</v>
      </c>
      <c r="H23" s="12">
        <f>Rates!G29</f>
        <v>6.03814</v>
      </c>
      <c r="I23" s="9">
        <f>ROUND($F23*H23,0)</f>
        <v>50167</v>
      </c>
      <c r="J23" s="30">
        <f>IF($G23&gt;0,I23/$G23-1,"")</f>
        <v>0.40260575390723297</v>
      </c>
      <c r="K23" s="12">
        <f>Rates!H29</f>
        <v>4.305</v>
      </c>
      <c r="L23" s="9">
        <f>ROUND($F23*K23,0)</f>
        <v>35767</v>
      </c>
      <c r="M23" s="30">
        <f t="shared" si="9"/>
        <v>0</v>
      </c>
    </row>
    <row r="24" spans="1:13" ht="12.75">
      <c r="A24" s="3" t="s">
        <v>76</v>
      </c>
      <c r="C24" s="4"/>
      <c r="D24" s="14">
        <f>SUM(D19:D23)</f>
        <v>344693</v>
      </c>
      <c r="E24" s="4"/>
      <c r="F24" s="4"/>
      <c r="G24" s="14">
        <f>SUM(G19:G23)</f>
        <v>344693</v>
      </c>
      <c r="I24" s="14">
        <f>SUM(I19:I23)</f>
        <v>483463</v>
      </c>
      <c r="J24" s="30">
        <f>IF($G24&gt;0,I24/$G24-1,"")</f>
        <v>0.40259013092810125</v>
      </c>
      <c r="L24" s="14">
        <f>SUM(L19:L23)</f>
        <v>344693</v>
      </c>
      <c r="M24" s="30">
        <f t="shared" si="9"/>
        <v>0</v>
      </c>
    </row>
    <row r="26" spans="1:13" ht="15">
      <c r="A26" s="13" t="s">
        <v>13</v>
      </c>
      <c r="D26" s="15">
        <f>D17+D24</f>
        <v>782356</v>
      </c>
      <c r="E26" s="15"/>
      <c r="G26" s="15">
        <f>G17+G24</f>
        <v>782356</v>
      </c>
      <c r="I26" s="15">
        <f>I17+I24</f>
        <v>1097325</v>
      </c>
      <c r="J26" s="30">
        <f>IF($G26&gt;0,I26/$G26-1,"")</f>
        <v>0.4025903808496387</v>
      </c>
      <c r="L26" s="15">
        <f>L17+L24</f>
        <v>782356</v>
      </c>
      <c r="M26" s="30">
        <f>IF($G26&gt;0,L26/$G26-1,"")</f>
        <v>0</v>
      </c>
    </row>
    <row r="27" spans="7:9" ht="12.75">
      <c r="G27" s="14"/>
      <c r="I27" s="14"/>
    </row>
    <row r="28" spans="7:9" ht="12.75">
      <c r="G28" s="14"/>
      <c r="I28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70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27">
        <f>'[1]Schedule M Tri Village'!$L$138</f>
        <v>19.4</v>
      </c>
      <c r="C9" s="4">
        <f>'[1]Schedule M Tri Village'!$F$199</f>
        <v>540</v>
      </c>
      <c r="D9" s="14">
        <f aca="true" t="shared" si="0" ref="D9:D16">ROUND(B9*C9,0)</f>
        <v>10476</v>
      </c>
      <c r="E9" s="4"/>
      <c r="F9" s="4">
        <f aca="true" t="shared" si="1" ref="F9:F16">C9+E9</f>
        <v>540</v>
      </c>
      <c r="G9" s="14">
        <f aca="true" t="shared" si="2" ref="G9:G16">ROUND(F9*B9,0)</f>
        <v>10476</v>
      </c>
      <c r="H9" s="27">
        <f>TriRes!H9</f>
        <v>27.210206229999997</v>
      </c>
      <c r="I9" s="14">
        <f>ROUND($F9*H9,0)</f>
        <v>14694</v>
      </c>
      <c r="J9" s="30">
        <f>IF($G9&gt;0,I9/$G9-1,"")</f>
        <v>0.40263459335624274</v>
      </c>
      <c r="K9" s="27">
        <f>Control!C44</f>
        <v>19.4</v>
      </c>
      <c r="L9" s="14">
        <f>ROUND($F9*K9,0)</f>
        <v>10476</v>
      </c>
      <c r="M9" s="30">
        <f>IF($G9&gt;0,L9/$G9-1,"")</f>
        <v>0</v>
      </c>
    </row>
    <row r="10" spans="1:13" ht="12.75">
      <c r="A10" s="3" t="s">
        <v>1</v>
      </c>
      <c r="B10" s="26">
        <f aca="true" t="shared" si="3" ref="B10:B16">B9</f>
        <v>19.4</v>
      </c>
      <c r="C10" s="4"/>
      <c r="D10" s="4">
        <f t="shared" si="0"/>
        <v>0</v>
      </c>
      <c r="E10" s="4"/>
      <c r="F10" s="4">
        <f t="shared" si="1"/>
        <v>0</v>
      </c>
      <c r="G10" s="11">
        <f t="shared" si="2"/>
        <v>0</v>
      </c>
      <c r="H10" s="26">
        <f>TriRes!H10</f>
        <v>27.210206229999997</v>
      </c>
      <c r="I10" s="11">
        <f aca="true" t="shared" si="4" ref="I10:I16">ROUND($F10*H10,0)</f>
        <v>0</v>
      </c>
      <c r="J10" s="30">
        <f aca="true" t="shared" si="5" ref="J10:J18">IF($G10&gt;0,I10/$G10-1,"")</f>
      </c>
      <c r="K10" s="26">
        <f>Control!C45</f>
        <v>19.4</v>
      </c>
      <c r="L10" s="11">
        <f aca="true" t="shared" si="6" ref="L10:L16">ROUND($F10*K10,0)</f>
        <v>0</v>
      </c>
      <c r="M10" s="30">
        <f aca="true" t="shared" si="7" ref="M10:M16">IF($G10&gt;0,L10/$G10-1,"")</f>
      </c>
    </row>
    <row r="11" spans="1:13" ht="12.75">
      <c r="A11" s="3" t="s">
        <v>2</v>
      </c>
      <c r="B11" s="26">
        <f t="shared" si="3"/>
        <v>19.4</v>
      </c>
      <c r="C11" s="11">
        <f>'[1]Schedule M Tri Village'!$F$203</f>
        <v>12</v>
      </c>
      <c r="D11" s="4">
        <f t="shared" si="0"/>
        <v>233</v>
      </c>
      <c r="F11" s="4">
        <f t="shared" si="1"/>
        <v>12</v>
      </c>
      <c r="G11" s="11">
        <f t="shared" si="2"/>
        <v>233</v>
      </c>
      <c r="H11" s="26">
        <f>TriRes!H11</f>
        <v>27.210206229999997</v>
      </c>
      <c r="I11" s="11">
        <f t="shared" si="4"/>
        <v>327</v>
      </c>
      <c r="J11" s="30">
        <f t="shared" si="5"/>
        <v>0.4034334763948497</v>
      </c>
      <c r="K11" s="26">
        <f>Control!C46</f>
        <v>19.4</v>
      </c>
      <c r="L11" s="11">
        <f t="shared" si="6"/>
        <v>233</v>
      </c>
      <c r="M11" s="30">
        <f t="shared" si="7"/>
        <v>0</v>
      </c>
    </row>
    <row r="12" spans="1:13" ht="12.75">
      <c r="A12" s="3" t="s">
        <v>3</v>
      </c>
      <c r="B12" s="26">
        <f t="shared" si="3"/>
        <v>19.4</v>
      </c>
      <c r="D12" s="4">
        <f t="shared" si="0"/>
        <v>0</v>
      </c>
      <c r="F12" s="4">
        <f t="shared" si="1"/>
        <v>0</v>
      </c>
      <c r="G12" s="11">
        <f t="shared" si="2"/>
        <v>0</v>
      </c>
      <c r="H12" s="26">
        <f>TriRes!H12</f>
        <v>27.210206229999997</v>
      </c>
      <c r="I12" s="11">
        <f t="shared" si="4"/>
        <v>0</v>
      </c>
      <c r="J12" s="30">
        <f t="shared" si="5"/>
      </c>
      <c r="K12" s="26">
        <f>Control!C47</f>
        <v>19.4</v>
      </c>
      <c r="L12" s="11">
        <f t="shared" si="6"/>
        <v>0</v>
      </c>
      <c r="M12" s="30">
        <f t="shared" si="7"/>
      </c>
    </row>
    <row r="13" spans="1:13" ht="12.75">
      <c r="A13" s="3" t="s">
        <v>4</v>
      </c>
      <c r="B13" s="26">
        <f t="shared" si="3"/>
        <v>19.4</v>
      </c>
      <c r="C13" s="11">
        <f>'[1]Schedule M Tri Village'!$F$207</f>
        <v>48</v>
      </c>
      <c r="D13" s="4">
        <f t="shared" si="0"/>
        <v>931</v>
      </c>
      <c r="F13" s="4">
        <f t="shared" si="1"/>
        <v>48</v>
      </c>
      <c r="G13" s="11">
        <f t="shared" si="2"/>
        <v>931</v>
      </c>
      <c r="H13" s="26">
        <f>TriRes!H13</f>
        <v>27.210206229999997</v>
      </c>
      <c r="I13" s="11">
        <f t="shared" si="4"/>
        <v>1306</v>
      </c>
      <c r="J13" s="30">
        <f t="shared" si="5"/>
        <v>0.40279269602577883</v>
      </c>
      <c r="K13" s="26">
        <f>Control!C48</f>
        <v>19.4</v>
      </c>
      <c r="L13" s="11">
        <f t="shared" si="6"/>
        <v>931</v>
      </c>
      <c r="M13" s="30">
        <f t="shared" si="7"/>
        <v>0</v>
      </c>
    </row>
    <row r="14" spans="1:13" ht="12.75">
      <c r="A14" s="3" t="s">
        <v>5</v>
      </c>
      <c r="B14" s="26">
        <f t="shared" si="3"/>
        <v>19.4</v>
      </c>
      <c r="C14" s="4"/>
      <c r="D14" s="4">
        <f t="shared" si="0"/>
        <v>0</v>
      </c>
      <c r="E14" s="4"/>
      <c r="F14" s="4">
        <f t="shared" si="1"/>
        <v>0</v>
      </c>
      <c r="G14" s="4">
        <f t="shared" si="2"/>
        <v>0</v>
      </c>
      <c r="H14" s="26">
        <f>TriRes!H14</f>
        <v>27.210206229999997</v>
      </c>
      <c r="I14" s="4">
        <f t="shared" si="4"/>
        <v>0</v>
      </c>
      <c r="J14" s="30">
        <f t="shared" si="5"/>
      </c>
      <c r="K14" s="26">
        <f>Control!C49</f>
        <v>19.4</v>
      </c>
      <c r="L14" s="4">
        <f t="shared" si="6"/>
        <v>0</v>
      </c>
      <c r="M14" s="30">
        <f t="shared" si="7"/>
      </c>
    </row>
    <row r="15" spans="1:13" ht="12.75">
      <c r="A15" s="3" t="s">
        <v>6</v>
      </c>
      <c r="B15" s="26">
        <f t="shared" si="3"/>
        <v>19.4</v>
      </c>
      <c r="C15" s="4"/>
      <c r="D15" s="4">
        <f t="shared" si="0"/>
        <v>0</v>
      </c>
      <c r="E15" s="4"/>
      <c r="F15" s="4">
        <f t="shared" si="1"/>
        <v>0</v>
      </c>
      <c r="G15" s="4">
        <f t="shared" si="2"/>
        <v>0</v>
      </c>
      <c r="H15" s="26">
        <f>TriRes!H15</f>
        <v>27.210206229999997</v>
      </c>
      <c r="I15" s="4">
        <f t="shared" si="4"/>
        <v>0</v>
      </c>
      <c r="J15" s="30">
        <f t="shared" si="5"/>
      </c>
      <c r="K15" s="26">
        <f>Control!C50</f>
        <v>19.4</v>
      </c>
      <c r="L15" s="4">
        <f t="shared" si="6"/>
        <v>0</v>
      </c>
      <c r="M15" s="30">
        <f t="shared" si="7"/>
      </c>
    </row>
    <row r="16" spans="1:13" ht="15">
      <c r="A16" s="3" t="s">
        <v>7</v>
      </c>
      <c r="B16" s="26">
        <f t="shared" si="3"/>
        <v>19.4</v>
      </c>
      <c r="C16" s="4"/>
      <c r="D16" s="9">
        <f t="shared" si="0"/>
        <v>0</v>
      </c>
      <c r="E16" s="4"/>
      <c r="F16" s="4">
        <f t="shared" si="1"/>
        <v>0</v>
      </c>
      <c r="G16" s="9">
        <f t="shared" si="2"/>
        <v>0</v>
      </c>
      <c r="H16" s="26">
        <f>TriRes!H16</f>
        <v>27.210206229999997</v>
      </c>
      <c r="I16" s="9">
        <f t="shared" si="4"/>
        <v>0</v>
      </c>
      <c r="J16" s="30">
        <f t="shared" si="5"/>
      </c>
      <c r="K16" s="26">
        <f>Control!C51</f>
        <v>19.4</v>
      </c>
      <c r="L16" s="9">
        <f t="shared" si="6"/>
        <v>0</v>
      </c>
      <c r="M16" s="30">
        <f t="shared" si="7"/>
      </c>
    </row>
    <row r="17" spans="1:13" ht="12.75">
      <c r="A17" s="3" t="s">
        <v>12</v>
      </c>
      <c r="C17" s="4"/>
      <c r="D17" s="14">
        <f>SUM(D9:D16)</f>
        <v>11640</v>
      </c>
      <c r="E17" s="4"/>
      <c r="F17" s="4"/>
      <c r="G17" s="14">
        <f>SUM(G9:G16)</f>
        <v>11640</v>
      </c>
      <c r="I17" s="14">
        <f>SUM(I9:I16)</f>
        <v>16327</v>
      </c>
      <c r="J17" s="30">
        <f t="shared" si="5"/>
        <v>0.40266323024054973</v>
      </c>
      <c r="L17" s="14">
        <f>SUM(L9:L16)</f>
        <v>11640</v>
      </c>
      <c r="M17" s="30">
        <f aca="true" t="shared" si="8" ref="M17:M24">IF($G17&gt;0,L17/$G17-1,"")</f>
        <v>0</v>
      </c>
    </row>
    <row r="18" spans="1:13" ht="12.75">
      <c r="A18" s="3"/>
      <c r="J18" s="30">
        <f t="shared" si="5"/>
      </c>
      <c r="M18" s="30">
        <f t="shared" si="8"/>
      </c>
    </row>
    <row r="19" spans="1:13" ht="12.75">
      <c r="A19" s="3" t="s">
        <v>71</v>
      </c>
      <c r="B19" s="27">
        <f>Rates!F25</f>
        <v>0</v>
      </c>
      <c r="C19" s="11">
        <f>'[1]Schedule M Tri Village'!G221</f>
        <v>1113.112169380269</v>
      </c>
      <c r="D19" s="14">
        <f>ROUND(B19*C19,0)</f>
        <v>0</v>
      </c>
      <c r="F19" s="4">
        <f>C19+E19</f>
        <v>1113.112169380269</v>
      </c>
      <c r="G19" s="14">
        <f>ROUND(F19*B19,0)</f>
        <v>0</v>
      </c>
      <c r="H19" s="27">
        <f>Rates!G25</f>
        <v>0</v>
      </c>
      <c r="I19" s="11">
        <f>ROUND($F19*H19,0)</f>
        <v>0</v>
      </c>
      <c r="K19" s="34">
        <f>Rates!H25</f>
        <v>0</v>
      </c>
      <c r="L19" s="11">
        <f>ROUND($F19*K19,0)</f>
        <v>0</v>
      </c>
      <c r="M19" s="30">
        <f t="shared" si="8"/>
      </c>
    </row>
    <row r="20" spans="1:13" ht="12.75">
      <c r="A20" s="3" t="s">
        <v>72</v>
      </c>
      <c r="B20" s="12">
        <f>Rates!F26</f>
        <v>4.665</v>
      </c>
      <c r="C20" s="11">
        <f>'[1]Schedule M Tri Village'!G222</f>
        <v>1158.9757384645088</v>
      </c>
      <c r="D20" s="4">
        <f>ROUND(B20*C20,0)</f>
        <v>5407</v>
      </c>
      <c r="F20" s="4">
        <f>C20+E20</f>
        <v>1158.9757384645088</v>
      </c>
      <c r="G20" s="11">
        <f>ROUND(F20*B20,0)</f>
        <v>5407</v>
      </c>
      <c r="H20" s="12">
        <f>Rates!G26</f>
        <v>6.54307</v>
      </c>
      <c r="I20" s="11">
        <f>ROUND($F20*H20,0)</f>
        <v>7583</v>
      </c>
      <c r="J20" s="30">
        <f>IF($G20&gt;0,I20/$G20-1,"")</f>
        <v>0.40244127982245237</v>
      </c>
      <c r="K20" s="12">
        <f>Rates!H26</f>
        <v>4.665</v>
      </c>
      <c r="L20" s="11">
        <f>ROUND($F20*K20,0)</f>
        <v>5407</v>
      </c>
      <c r="M20" s="30">
        <f t="shared" si="8"/>
        <v>0</v>
      </c>
    </row>
    <row r="21" spans="1:13" ht="12.75">
      <c r="A21" s="3" t="s">
        <v>73</v>
      </c>
      <c r="B21" s="12">
        <f>Rates!F27</f>
        <v>4.575</v>
      </c>
      <c r="C21" s="11">
        <f>'[1]Schedule M Tri Village'!G223</f>
        <v>623.3428148529507</v>
      </c>
      <c r="D21" s="4">
        <f>ROUND(B21*C21,0)</f>
        <v>2852</v>
      </c>
      <c r="F21" s="4">
        <f>C21+E21</f>
        <v>623.3428148529507</v>
      </c>
      <c r="G21" s="11">
        <f>ROUND(F21*B21,0)</f>
        <v>2852</v>
      </c>
      <c r="H21" s="12">
        <f>Rates!G27</f>
        <v>6.41684</v>
      </c>
      <c r="I21" s="11">
        <f>ROUND($F21*H21,0)</f>
        <v>4000</v>
      </c>
      <c r="J21" s="30">
        <f aca="true" t="shared" si="9" ref="J21:J26">IF($G21&gt;0,I21/$G21-1,"")</f>
        <v>0.4025245441795231</v>
      </c>
      <c r="K21" s="12">
        <f>Rates!H27</f>
        <v>4.575</v>
      </c>
      <c r="L21" s="11">
        <f>ROUND($F21*K21,0)</f>
        <v>2852</v>
      </c>
      <c r="M21" s="30">
        <f t="shared" si="8"/>
        <v>0</v>
      </c>
    </row>
    <row r="22" spans="1:13" ht="12.75">
      <c r="A22" s="3" t="s">
        <v>74</v>
      </c>
      <c r="B22" s="12">
        <f>Rates!F28</f>
        <v>4.485</v>
      </c>
      <c r="C22" s="11">
        <f>'[1]Schedule M Tri Village'!G224</f>
        <v>1017.7025548619604</v>
      </c>
      <c r="D22" s="4">
        <f>ROUND(B22*C22,0)</f>
        <v>4564</v>
      </c>
      <c r="F22" s="4">
        <f>C22+E22</f>
        <v>1017.7025548619604</v>
      </c>
      <c r="G22" s="11">
        <f>ROUND(F22*B22,0)</f>
        <v>4564</v>
      </c>
      <c r="H22" s="12">
        <f>Rates!G28</f>
        <v>6.29061</v>
      </c>
      <c r="I22" s="11">
        <f>ROUND($F22*H22,0)</f>
        <v>6402</v>
      </c>
      <c r="J22" s="30">
        <f t="shared" si="9"/>
        <v>0.4027169149868537</v>
      </c>
      <c r="K22" s="12">
        <f>Rates!H28</f>
        <v>4.485</v>
      </c>
      <c r="L22" s="11">
        <f>ROUND($F22*K22,0)</f>
        <v>4564</v>
      </c>
      <c r="M22" s="30">
        <f t="shared" si="8"/>
        <v>0</v>
      </c>
    </row>
    <row r="23" spans="1:13" ht="15">
      <c r="A23" s="3" t="s">
        <v>75</v>
      </c>
      <c r="B23" s="12">
        <f>Rates!F29</f>
        <v>4.305</v>
      </c>
      <c r="C23" s="11">
        <f>'[1]Schedule M Tri Village'!G225</f>
        <v>1288.8667224403118</v>
      </c>
      <c r="D23" s="9">
        <f>ROUND(B23*C23,0)</f>
        <v>5549</v>
      </c>
      <c r="F23" s="4">
        <f>C23+E23</f>
        <v>1288.8667224403118</v>
      </c>
      <c r="G23" s="9">
        <f>ROUND(F23*B23,0)</f>
        <v>5549</v>
      </c>
      <c r="H23" s="12">
        <f>Rates!G29</f>
        <v>6.03814</v>
      </c>
      <c r="I23" s="9">
        <f>ROUND($F23*H23,0)</f>
        <v>7782</v>
      </c>
      <c r="J23" s="30">
        <f t="shared" si="9"/>
        <v>0.40241484952243645</v>
      </c>
      <c r="K23" s="12">
        <f>Rates!H29</f>
        <v>4.305</v>
      </c>
      <c r="L23" s="9">
        <f>ROUND($F23*K23,0)</f>
        <v>5549</v>
      </c>
      <c r="M23" s="30">
        <f t="shared" si="8"/>
        <v>0</v>
      </c>
    </row>
    <row r="24" spans="1:13" ht="12.75">
      <c r="A24" s="3" t="s">
        <v>76</v>
      </c>
      <c r="C24" s="4"/>
      <c r="D24" s="14">
        <f>SUM(D19:D23)</f>
        <v>18372</v>
      </c>
      <c r="E24" s="4"/>
      <c r="F24" s="4"/>
      <c r="G24" s="14">
        <f>SUM(G19:G23)</f>
        <v>18372</v>
      </c>
      <c r="I24" s="14">
        <f>SUM(I19:I23)</f>
        <v>25767</v>
      </c>
      <c r="J24" s="30">
        <f t="shared" si="9"/>
        <v>0.40251469627694325</v>
      </c>
      <c r="L24" s="14">
        <f>SUM(L19:L23)</f>
        <v>18372</v>
      </c>
      <c r="M24" s="30">
        <f t="shared" si="8"/>
        <v>0</v>
      </c>
    </row>
    <row r="26" spans="1:13" ht="15">
      <c r="A26" s="13" t="s">
        <v>13</v>
      </c>
      <c r="D26" s="15">
        <f>D17+D24</f>
        <v>30012</v>
      </c>
      <c r="E26" s="15"/>
      <c r="G26" s="15">
        <f>G17+G24</f>
        <v>30012</v>
      </c>
      <c r="I26" s="15">
        <f>I17+I24</f>
        <v>42094</v>
      </c>
      <c r="J26" s="30">
        <f t="shared" si="9"/>
        <v>0.40257230441156877</v>
      </c>
      <c r="L26" s="15">
        <f>L17+L24</f>
        <v>30012</v>
      </c>
      <c r="M26" s="30">
        <f>IF($G26&gt;0,L26/$G26-1,"")</f>
        <v>0</v>
      </c>
    </row>
    <row r="27" spans="7:9" ht="12.75">
      <c r="G27" s="14"/>
      <c r="I27" s="14"/>
    </row>
    <row r="28" spans="7:9" ht="12.75">
      <c r="G28" s="14"/>
      <c r="I28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69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27">
        <f>'[1]Schedule M Tri Village'!$L$138</f>
        <v>19.4</v>
      </c>
      <c r="C9" s="4"/>
      <c r="D9" s="14">
        <f aca="true" t="shared" si="0" ref="D9:D16">ROUND(B9*C9,0)</f>
        <v>0</v>
      </c>
      <c r="E9" s="4"/>
      <c r="F9" s="4">
        <f aca="true" t="shared" si="1" ref="F9:F16">C9+E9</f>
        <v>0</v>
      </c>
      <c r="G9" s="14">
        <f aca="true" t="shared" si="2" ref="G9:G16">ROUND(F9*B9,0)</f>
        <v>0</v>
      </c>
      <c r="H9" s="27">
        <f>TriComm!H9</f>
        <v>27.210206229999997</v>
      </c>
      <c r="I9" s="14">
        <f>ROUND($F9*H9,0)</f>
        <v>0</v>
      </c>
      <c r="J9" s="30">
        <f>IF($G9&gt;0,I9/$G9-1,"")</f>
      </c>
      <c r="K9" s="27">
        <f>Control!C44</f>
        <v>19.4</v>
      </c>
      <c r="L9" s="14">
        <f>ROUND($F9*K9,0)</f>
        <v>0</v>
      </c>
      <c r="M9" s="30">
        <f>IF($G9&gt;0,L9/$G9-1,"")</f>
      </c>
    </row>
    <row r="10" spans="1:13" ht="12.75">
      <c r="A10" s="3" t="s">
        <v>1</v>
      </c>
      <c r="B10" s="26">
        <f aca="true" t="shared" si="3" ref="B10:B16">B9</f>
        <v>19.4</v>
      </c>
      <c r="C10" s="4"/>
      <c r="D10" s="4">
        <f t="shared" si="0"/>
        <v>0</v>
      </c>
      <c r="E10" s="4"/>
      <c r="F10" s="4">
        <f t="shared" si="1"/>
        <v>0</v>
      </c>
      <c r="G10" s="11">
        <f t="shared" si="2"/>
        <v>0</v>
      </c>
      <c r="H10" s="26">
        <f>TriComm!H10</f>
        <v>27.210206229999997</v>
      </c>
      <c r="I10" s="11">
        <f aca="true" t="shared" si="4" ref="I10:I16">ROUND($F10*H10,0)</f>
        <v>0</v>
      </c>
      <c r="J10" s="30">
        <f aca="true" t="shared" si="5" ref="J10:J19">IF($G10&gt;0,I10/$G10-1,"")</f>
      </c>
      <c r="K10" s="26">
        <f>Control!C45</f>
        <v>19.4</v>
      </c>
      <c r="L10" s="11">
        <f aca="true" t="shared" si="6" ref="L10:L16">ROUND($F10*K10,0)</f>
        <v>0</v>
      </c>
      <c r="M10" s="30">
        <f aca="true" t="shared" si="7" ref="M10:M16">IF($G10&gt;0,L10/$G10-1,"")</f>
      </c>
    </row>
    <row r="11" spans="1:13" ht="12.75">
      <c r="A11" s="3" t="s">
        <v>2</v>
      </c>
      <c r="B11" s="26">
        <f t="shared" si="3"/>
        <v>19.4</v>
      </c>
      <c r="C11" s="11">
        <f>'[1]Schedule M Tri Village'!$F$325</f>
        <v>5</v>
      </c>
      <c r="D11" s="4">
        <f t="shared" si="0"/>
        <v>97</v>
      </c>
      <c r="F11" s="4">
        <f t="shared" si="1"/>
        <v>5</v>
      </c>
      <c r="G11" s="11">
        <f t="shared" si="2"/>
        <v>97</v>
      </c>
      <c r="H11" s="26">
        <f>TriComm!H11</f>
        <v>27.210206229999997</v>
      </c>
      <c r="I11" s="11">
        <f t="shared" si="4"/>
        <v>136</v>
      </c>
      <c r="J11" s="30">
        <f t="shared" si="5"/>
        <v>0.402061855670103</v>
      </c>
      <c r="K11" s="26">
        <f>Control!C46</f>
        <v>19.4</v>
      </c>
      <c r="L11" s="11">
        <f t="shared" si="6"/>
        <v>97</v>
      </c>
      <c r="M11" s="30">
        <f t="shared" si="7"/>
        <v>0</v>
      </c>
    </row>
    <row r="12" spans="1:13" ht="12.75">
      <c r="A12" s="3" t="s">
        <v>3</v>
      </c>
      <c r="B12" s="26">
        <f t="shared" si="3"/>
        <v>19.4</v>
      </c>
      <c r="D12" s="4">
        <f t="shared" si="0"/>
        <v>0</v>
      </c>
      <c r="F12" s="4">
        <f t="shared" si="1"/>
        <v>0</v>
      </c>
      <c r="G12" s="11">
        <f t="shared" si="2"/>
        <v>0</v>
      </c>
      <c r="H12" s="26">
        <f>TriComm!H12</f>
        <v>27.210206229999997</v>
      </c>
      <c r="I12" s="11">
        <f t="shared" si="4"/>
        <v>0</v>
      </c>
      <c r="J12" s="30">
        <f t="shared" si="5"/>
      </c>
      <c r="K12" s="26">
        <f>Control!C47</f>
        <v>19.4</v>
      </c>
      <c r="L12" s="11">
        <f t="shared" si="6"/>
        <v>0</v>
      </c>
      <c r="M12" s="30">
        <f t="shared" si="7"/>
      </c>
    </row>
    <row r="13" spans="1:13" ht="12.75">
      <c r="A13" s="3" t="s">
        <v>4</v>
      </c>
      <c r="B13" s="26">
        <f t="shared" si="3"/>
        <v>19.4</v>
      </c>
      <c r="C13" s="11">
        <f>'[1]Schedule M Tri Village'!$F$329</f>
        <v>15</v>
      </c>
      <c r="D13" s="4">
        <f t="shared" si="0"/>
        <v>291</v>
      </c>
      <c r="F13" s="4">
        <f t="shared" si="1"/>
        <v>15</v>
      </c>
      <c r="G13" s="11">
        <f t="shared" si="2"/>
        <v>291</v>
      </c>
      <c r="H13" s="26">
        <f>TriComm!H13</f>
        <v>27.210206229999997</v>
      </c>
      <c r="I13" s="11">
        <f t="shared" si="4"/>
        <v>408</v>
      </c>
      <c r="J13" s="30">
        <f t="shared" si="5"/>
        <v>0.402061855670103</v>
      </c>
      <c r="K13" s="26">
        <f>Control!C48</f>
        <v>19.4</v>
      </c>
      <c r="L13" s="11">
        <f t="shared" si="6"/>
        <v>291</v>
      </c>
      <c r="M13" s="30">
        <f t="shared" si="7"/>
        <v>0</v>
      </c>
    </row>
    <row r="14" spans="1:13" ht="12.75">
      <c r="A14" s="3" t="s">
        <v>5</v>
      </c>
      <c r="B14" s="26">
        <f t="shared" si="3"/>
        <v>19.4</v>
      </c>
      <c r="C14" s="4">
        <f>'[1]Schedule M Tri Village'!$F$331</f>
        <v>10</v>
      </c>
      <c r="D14" s="4">
        <f t="shared" si="0"/>
        <v>194</v>
      </c>
      <c r="E14" s="4"/>
      <c r="F14" s="4">
        <f t="shared" si="1"/>
        <v>10</v>
      </c>
      <c r="G14" s="4">
        <f t="shared" si="2"/>
        <v>194</v>
      </c>
      <c r="H14" s="26">
        <f>TriComm!H14</f>
        <v>27.210206229999997</v>
      </c>
      <c r="I14" s="4">
        <f t="shared" si="4"/>
        <v>272</v>
      </c>
      <c r="J14" s="30">
        <f t="shared" si="5"/>
        <v>0.402061855670103</v>
      </c>
      <c r="K14" s="26">
        <f>Control!C49</f>
        <v>19.4</v>
      </c>
      <c r="L14" s="4">
        <f t="shared" si="6"/>
        <v>194</v>
      </c>
      <c r="M14" s="30">
        <f t="shared" si="7"/>
        <v>0</v>
      </c>
    </row>
    <row r="15" spans="1:13" ht="12.75">
      <c r="A15" s="3" t="s">
        <v>6</v>
      </c>
      <c r="B15" s="26">
        <f t="shared" si="3"/>
        <v>19.4</v>
      </c>
      <c r="C15" s="4"/>
      <c r="D15" s="4">
        <f t="shared" si="0"/>
        <v>0</v>
      </c>
      <c r="E15" s="4"/>
      <c r="F15" s="4">
        <f t="shared" si="1"/>
        <v>0</v>
      </c>
      <c r="G15" s="4">
        <f t="shared" si="2"/>
        <v>0</v>
      </c>
      <c r="H15" s="26">
        <f>TriComm!H15</f>
        <v>27.210206229999997</v>
      </c>
      <c r="I15" s="4">
        <f t="shared" si="4"/>
        <v>0</v>
      </c>
      <c r="J15" s="30">
        <f t="shared" si="5"/>
      </c>
      <c r="K15" s="26">
        <f>Control!C50</f>
        <v>19.4</v>
      </c>
      <c r="L15" s="4">
        <f t="shared" si="6"/>
        <v>0</v>
      </c>
      <c r="M15" s="30">
        <f t="shared" si="7"/>
      </c>
    </row>
    <row r="16" spans="1:13" ht="15">
      <c r="A16" s="3" t="s">
        <v>7</v>
      </c>
      <c r="B16" s="26">
        <f t="shared" si="3"/>
        <v>19.4</v>
      </c>
      <c r="C16" s="4"/>
      <c r="D16" s="9">
        <f t="shared" si="0"/>
        <v>0</v>
      </c>
      <c r="E16" s="4"/>
      <c r="F16" s="4">
        <f t="shared" si="1"/>
        <v>0</v>
      </c>
      <c r="G16" s="9">
        <f t="shared" si="2"/>
        <v>0</v>
      </c>
      <c r="H16" s="26">
        <f>TriComm!H16</f>
        <v>27.210206229999997</v>
      </c>
      <c r="I16" s="9">
        <f t="shared" si="4"/>
        <v>0</v>
      </c>
      <c r="J16" s="30">
        <f t="shared" si="5"/>
      </c>
      <c r="K16" s="26">
        <f>Control!C51</f>
        <v>19.4</v>
      </c>
      <c r="L16" s="9">
        <f t="shared" si="6"/>
        <v>0</v>
      </c>
      <c r="M16" s="30">
        <f t="shared" si="7"/>
      </c>
    </row>
    <row r="17" spans="1:13" ht="12.75">
      <c r="A17" s="3" t="s">
        <v>12</v>
      </c>
      <c r="C17" s="4"/>
      <c r="D17" s="14">
        <f>SUM(D9:D16)</f>
        <v>582</v>
      </c>
      <c r="E17" s="4"/>
      <c r="F17" s="4"/>
      <c r="G17" s="14">
        <f>SUM(G9:G16)</f>
        <v>582</v>
      </c>
      <c r="I17" s="14">
        <f>SUM(I9:I16)</f>
        <v>816</v>
      </c>
      <c r="J17" s="30">
        <f t="shared" si="5"/>
        <v>0.402061855670103</v>
      </c>
      <c r="L17" s="14">
        <f>SUM(L9:L16)</f>
        <v>582</v>
      </c>
      <c r="M17" s="30">
        <f aca="true" t="shared" si="8" ref="M17:M24">IF($G17&gt;0,L17/$G17-1,"")</f>
        <v>0</v>
      </c>
    </row>
    <row r="18" spans="1:13" ht="12.75">
      <c r="A18" s="3"/>
      <c r="J18" s="30">
        <f t="shared" si="5"/>
      </c>
      <c r="M18" s="30">
        <f t="shared" si="8"/>
      </c>
    </row>
    <row r="19" spans="1:13" ht="12.75">
      <c r="A19" s="3" t="s">
        <v>71</v>
      </c>
      <c r="B19" s="27">
        <f>Rates!F25</f>
        <v>0</v>
      </c>
      <c r="C19" s="11">
        <f>'[1]Schedule M Tri Village'!G343</f>
        <v>81.33333333333333</v>
      </c>
      <c r="D19" s="14">
        <f>ROUND(B19*C19,0)</f>
        <v>0</v>
      </c>
      <c r="F19" s="4">
        <f>C19+E19</f>
        <v>81.33333333333333</v>
      </c>
      <c r="G19" s="14">
        <f>ROUND(F19*B19,0)</f>
        <v>0</v>
      </c>
      <c r="H19" s="27">
        <f>Rates!G25</f>
        <v>0</v>
      </c>
      <c r="I19" s="11">
        <f>ROUND($F19*H19,0)</f>
        <v>0</v>
      </c>
      <c r="J19" s="30">
        <f t="shared" si="5"/>
      </c>
      <c r="K19" s="34">
        <f>Rates!H25</f>
        <v>0</v>
      </c>
      <c r="L19" s="11">
        <f>ROUND($F19*K19,0)</f>
        <v>0</v>
      </c>
      <c r="M19" s="30">
        <f t="shared" si="8"/>
      </c>
    </row>
    <row r="20" spans="1:13" ht="12.75">
      <c r="A20" s="3" t="s">
        <v>72</v>
      </c>
      <c r="B20" s="12">
        <f>Rates!F26</f>
        <v>4.665</v>
      </c>
      <c r="C20" s="11">
        <f>'[1]Schedule M Tri Village'!G344</f>
        <v>32</v>
      </c>
      <c r="D20" s="4">
        <f>ROUND(B20*C20,0)</f>
        <v>149</v>
      </c>
      <c r="F20" s="4">
        <f>C20+E20</f>
        <v>32</v>
      </c>
      <c r="G20" s="11">
        <f>ROUND(F20*B20,0)</f>
        <v>149</v>
      </c>
      <c r="H20" s="12">
        <f>Rates!G26</f>
        <v>6.54307</v>
      </c>
      <c r="I20" s="11">
        <f>ROUND($F20*H20,0)</f>
        <v>209</v>
      </c>
      <c r="J20" s="30">
        <f>IF($G20&gt;0,I20/$G20-1,"")</f>
        <v>0.40268456375838935</v>
      </c>
      <c r="K20" s="12">
        <f>Rates!H26</f>
        <v>4.665</v>
      </c>
      <c r="L20" s="11">
        <f>ROUND($F20*K20,0)</f>
        <v>149</v>
      </c>
      <c r="M20" s="30">
        <f t="shared" si="8"/>
        <v>0</v>
      </c>
    </row>
    <row r="21" spans="1:13" ht="12.75">
      <c r="A21" s="3" t="s">
        <v>73</v>
      </c>
      <c r="B21" s="12">
        <f>Rates!F27</f>
        <v>4.575</v>
      </c>
      <c r="C21" s="11">
        <f>'[1]Schedule M Tri Village'!G345</f>
        <v>136</v>
      </c>
      <c r="D21" s="4">
        <f>ROUND(B21*C21,0)</f>
        <v>622</v>
      </c>
      <c r="F21" s="4">
        <f>C21+E21</f>
        <v>136</v>
      </c>
      <c r="G21" s="11">
        <f>ROUND(F21*B21,0)</f>
        <v>622</v>
      </c>
      <c r="H21" s="12">
        <f>Rates!G27</f>
        <v>6.41684</v>
      </c>
      <c r="I21" s="11">
        <f>ROUND($F21*H21,0)</f>
        <v>873</v>
      </c>
      <c r="J21" s="30">
        <f aca="true" t="shared" si="9" ref="J21:J26">IF($G21&gt;0,I21/$G21-1,"")</f>
        <v>0.4035369774919615</v>
      </c>
      <c r="K21" s="12">
        <f>Rates!H27</f>
        <v>4.575</v>
      </c>
      <c r="L21" s="11">
        <f>ROUND($F21*K21,0)</f>
        <v>622</v>
      </c>
      <c r="M21" s="30">
        <f t="shared" si="8"/>
        <v>0</v>
      </c>
    </row>
    <row r="22" spans="1:13" ht="12.75">
      <c r="A22" s="3" t="s">
        <v>74</v>
      </c>
      <c r="B22" s="12">
        <f>Rates!F28</f>
        <v>4.485</v>
      </c>
      <c r="C22" s="11">
        <f>'[1]Schedule M Tri Village'!G346</f>
        <v>321.3333333333333</v>
      </c>
      <c r="D22" s="4">
        <f>ROUND(B22*C22,0)</f>
        <v>1441</v>
      </c>
      <c r="F22" s="4">
        <f>C22+E22</f>
        <v>321.3333333333333</v>
      </c>
      <c r="G22" s="11">
        <f>ROUND(F22*B22,0)</f>
        <v>1441</v>
      </c>
      <c r="H22" s="12">
        <f>Rates!G28</f>
        <v>6.29061</v>
      </c>
      <c r="I22" s="11">
        <f>ROUND($F22*H22,0)</f>
        <v>2021</v>
      </c>
      <c r="J22" s="30">
        <f t="shared" si="9"/>
        <v>0.402498265093685</v>
      </c>
      <c r="K22" s="12">
        <f>Rates!H28</f>
        <v>4.485</v>
      </c>
      <c r="L22" s="11">
        <f>ROUND($F22*K22,0)</f>
        <v>1441</v>
      </c>
      <c r="M22" s="30">
        <f t="shared" si="8"/>
        <v>0</v>
      </c>
    </row>
    <row r="23" spans="1:13" ht="15">
      <c r="A23" s="3" t="s">
        <v>75</v>
      </c>
      <c r="B23" s="12">
        <f>Rates!F29</f>
        <v>4.305</v>
      </c>
      <c r="C23" s="11">
        <f>'[1]Schedule M Tri Village'!G347</f>
        <v>1217.3333333333333</v>
      </c>
      <c r="D23" s="9">
        <f>ROUND(B23*C23,0)</f>
        <v>5241</v>
      </c>
      <c r="F23" s="4">
        <f>C23+E23</f>
        <v>1217.3333333333333</v>
      </c>
      <c r="G23" s="9">
        <f>ROUND(F23*B23,0)</f>
        <v>5241</v>
      </c>
      <c r="H23" s="12">
        <f>Rates!G29</f>
        <v>6.03814</v>
      </c>
      <c r="I23" s="11">
        <f>ROUND($F23*H23,0)</f>
        <v>7350</v>
      </c>
      <c r="J23" s="30">
        <f t="shared" si="9"/>
        <v>0.4024041213508873</v>
      </c>
      <c r="K23" s="12">
        <f>Rates!H29</f>
        <v>4.305</v>
      </c>
      <c r="L23" s="9">
        <f>ROUND($F23*K23,0)</f>
        <v>5241</v>
      </c>
      <c r="M23" s="30">
        <f t="shared" si="8"/>
        <v>0</v>
      </c>
    </row>
    <row r="24" spans="1:13" ht="12.75">
      <c r="A24" s="3" t="s">
        <v>76</v>
      </c>
      <c r="C24" s="4"/>
      <c r="D24" s="14">
        <f>SUM(D19:D23)</f>
        <v>7453</v>
      </c>
      <c r="E24" s="4"/>
      <c r="F24" s="4"/>
      <c r="G24" s="14">
        <f>SUM(G19:G23)</f>
        <v>7453</v>
      </c>
      <c r="I24" s="14">
        <f>SUM(I19:I23)</f>
        <v>10453</v>
      </c>
      <c r="J24" s="30">
        <f t="shared" si="9"/>
        <v>0.4025224741714746</v>
      </c>
      <c r="L24" s="14">
        <f>SUM(L19:L23)</f>
        <v>7453</v>
      </c>
      <c r="M24" s="30">
        <f t="shared" si="8"/>
        <v>0</v>
      </c>
    </row>
    <row r="25" ht="12.75">
      <c r="J25" s="30"/>
    </row>
    <row r="26" spans="1:13" ht="15">
      <c r="A26" s="13" t="s">
        <v>13</v>
      </c>
      <c r="D26" s="15">
        <f>D17+D24</f>
        <v>8035</v>
      </c>
      <c r="E26" s="15"/>
      <c r="G26" s="15">
        <f>G17+G24</f>
        <v>8035</v>
      </c>
      <c r="I26" s="15">
        <f>I17+I24</f>
        <v>11269</v>
      </c>
      <c r="J26" s="30">
        <f t="shared" si="9"/>
        <v>0.40248911014312383</v>
      </c>
      <c r="L26" s="15">
        <f>L17+L24</f>
        <v>8035</v>
      </c>
      <c r="M26" s="30">
        <f>IF($G26&gt;0,L26/$G26-1,"")</f>
        <v>0</v>
      </c>
    </row>
    <row r="27" spans="7:9" ht="12.75">
      <c r="G27" s="14"/>
      <c r="I27" s="14"/>
    </row>
    <row r="28" spans="7:9" ht="12.75">
      <c r="G28" s="14"/>
      <c r="I28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77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27">
        <f>'[1]Schedule M Tri Village'!$L$138</f>
        <v>19.4</v>
      </c>
      <c r="C9" s="4"/>
      <c r="D9" s="14">
        <f aca="true" t="shared" si="0" ref="D9:D16">ROUND(B9*C9,0)</f>
        <v>0</v>
      </c>
      <c r="E9" s="4"/>
      <c r="F9" s="4">
        <f aca="true" t="shared" si="1" ref="F9:F16">C9+E9</f>
        <v>0</v>
      </c>
      <c r="G9" s="14">
        <f aca="true" t="shared" si="2" ref="G9:G16">ROUND(F9*B9,0)</f>
        <v>0</v>
      </c>
      <c r="H9" s="27">
        <f>TriOPA!H9</f>
        <v>27.210206229999997</v>
      </c>
      <c r="I9" s="14">
        <f>ROUND($F9*H9,0)</f>
        <v>0</v>
      </c>
      <c r="J9" s="30">
        <f>IF($G9&gt;0,I9/$G9-1,"")</f>
      </c>
      <c r="K9" s="27">
        <f>Control!C44</f>
        <v>19.4</v>
      </c>
      <c r="L9" s="14">
        <f>ROUND($F9*K9,0)</f>
        <v>0</v>
      </c>
      <c r="M9" s="30">
        <f>IF($G9&gt;0,L9/$G9-1,"")</f>
      </c>
    </row>
    <row r="10" spans="1:13" ht="12.75">
      <c r="A10" s="3" t="s">
        <v>1</v>
      </c>
      <c r="B10" s="26">
        <f aca="true" t="shared" si="3" ref="B10:B16">B9</f>
        <v>19.4</v>
      </c>
      <c r="C10" s="4"/>
      <c r="D10" s="4">
        <f t="shared" si="0"/>
        <v>0</v>
      </c>
      <c r="E10" s="4"/>
      <c r="F10" s="4">
        <f t="shared" si="1"/>
        <v>0</v>
      </c>
      <c r="G10" s="11">
        <f t="shared" si="2"/>
        <v>0</v>
      </c>
      <c r="H10" s="26">
        <f>TriOPA!H10</f>
        <v>27.210206229999997</v>
      </c>
      <c r="I10" s="11">
        <f aca="true" t="shared" si="4" ref="I10:I16">ROUND($F10*H10,0)</f>
        <v>0</v>
      </c>
      <c r="J10" s="30">
        <f aca="true" t="shared" si="5" ref="J10:J26">IF($G10&gt;0,I10/$G10-1,"")</f>
      </c>
      <c r="K10" s="26">
        <f>Control!C45</f>
        <v>19.4</v>
      </c>
      <c r="L10" s="11">
        <f aca="true" t="shared" si="6" ref="L10:L16">ROUND($F10*K10,0)</f>
        <v>0</v>
      </c>
      <c r="M10" s="30">
        <f aca="true" t="shared" si="7" ref="M10:M16">IF($G10&gt;0,L10/$G10-1,"")</f>
      </c>
    </row>
    <row r="11" spans="1:13" ht="12.75">
      <c r="A11" s="3" t="s">
        <v>2</v>
      </c>
      <c r="B11" s="26">
        <f t="shared" si="3"/>
        <v>19.4</v>
      </c>
      <c r="D11" s="4">
        <f t="shared" si="0"/>
        <v>0</v>
      </c>
      <c r="F11" s="4">
        <f t="shared" si="1"/>
        <v>0</v>
      </c>
      <c r="G11" s="11">
        <f t="shared" si="2"/>
        <v>0</v>
      </c>
      <c r="H11" s="26">
        <f>TriOPA!H11</f>
        <v>27.210206229999997</v>
      </c>
      <c r="I11" s="11">
        <f t="shared" si="4"/>
        <v>0</v>
      </c>
      <c r="J11" s="30">
        <f t="shared" si="5"/>
      </c>
      <c r="K11" s="26">
        <f>Control!C46</f>
        <v>19.4</v>
      </c>
      <c r="L11" s="11">
        <f t="shared" si="6"/>
        <v>0</v>
      </c>
      <c r="M11" s="30">
        <f t="shared" si="7"/>
      </c>
    </row>
    <row r="12" spans="1:13" ht="12.75">
      <c r="A12" s="3" t="s">
        <v>3</v>
      </c>
      <c r="B12" s="26">
        <f t="shared" si="3"/>
        <v>19.4</v>
      </c>
      <c r="D12" s="4">
        <f t="shared" si="0"/>
        <v>0</v>
      </c>
      <c r="F12" s="4">
        <f t="shared" si="1"/>
        <v>0</v>
      </c>
      <c r="G12" s="11">
        <f t="shared" si="2"/>
        <v>0</v>
      </c>
      <c r="H12" s="26">
        <f>TriOPA!H12</f>
        <v>27.210206229999997</v>
      </c>
      <c r="I12" s="11">
        <f t="shared" si="4"/>
        <v>0</v>
      </c>
      <c r="J12" s="30">
        <f t="shared" si="5"/>
      </c>
      <c r="K12" s="26">
        <f>Control!C47</f>
        <v>19.4</v>
      </c>
      <c r="L12" s="11">
        <f t="shared" si="6"/>
        <v>0</v>
      </c>
      <c r="M12" s="30">
        <f t="shared" si="7"/>
      </c>
    </row>
    <row r="13" spans="1:13" ht="12.75">
      <c r="A13" s="3" t="s">
        <v>4</v>
      </c>
      <c r="B13" s="26">
        <f t="shared" si="3"/>
        <v>19.4</v>
      </c>
      <c r="C13" s="11">
        <f>'[1]Schedule M Tri Village'!$F$390</f>
        <v>120</v>
      </c>
      <c r="D13" s="4">
        <f t="shared" si="0"/>
        <v>2328</v>
      </c>
      <c r="F13" s="4">
        <f t="shared" si="1"/>
        <v>120</v>
      </c>
      <c r="G13" s="11">
        <f t="shared" si="2"/>
        <v>2328</v>
      </c>
      <c r="H13" s="26">
        <f>TriOPA!H13</f>
        <v>27.210206229999997</v>
      </c>
      <c r="I13" s="11">
        <f t="shared" si="4"/>
        <v>3265</v>
      </c>
      <c r="J13" s="30">
        <f t="shared" si="5"/>
        <v>0.4024914089347078</v>
      </c>
      <c r="K13" s="26">
        <f>Control!C48</f>
        <v>19.4</v>
      </c>
      <c r="L13" s="11">
        <f t="shared" si="6"/>
        <v>2328</v>
      </c>
      <c r="M13" s="30">
        <f t="shared" si="7"/>
        <v>0</v>
      </c>
    </row>
    <row r="14" spans="1:13" ht="12.75">
      <c r="A14" s="3" t="s">
        <v>5</v>
      </c>
      <c r="B14" s="26">
        <f t="shared" si="3"/>
        <v>19.4</v>
      </c>
      <c r="C14" s="4"/>
      <c r="D14" s="4">
        <f t="shared" si="0"/>
        <v>0</v>
      </c>
      <c r="E14" s="4"/>
      <c r="F14" s="4">
        <f t="shared" si="1"/>
        <v>0</v>
      </c>
      <c r="G14" s="4">
        <f t="shared" si="2"/>
        <v>0</v>
      </c>
      <c r="H14" s="26">
        <f>TriOPA!H14</f>
        <v>27.210206229999997</v>
      </c>
      <c r="I14" s="4">
        <f t="shared" si="4"/>
        <v>0</v>
      </c>
      <c r="J14" s="30">
        <f t="shared" si="5"/>
      </c>
      <c r="K14" s="26">
        <f>Control!C49</f>
        <v>19.4</v>
      </c>
      <c r="L14" s="4">
        <f t="shared" si="6"/>
        <v>0</v>
      </c>
      <c r="M14" s="30">
        <f t="shared" si="7"/>
      </c>
    </row>
    <row r="15" spans="1:13" ht="12.75">
      <c r="A15" s="3" t="s">
        <v>6</v>
      </c>
      <c r="B15" s="26">
        <f t="shared" si="3"/>
        <v>19.4</v>
      </c>
      <c r="C15" s="4">
        <f>'[1]Schedule M Tri Village'!$F$394</f>
        <v>96</v>
      </c>
      <c r="D15" s="4">
        <f t="shared" si="0"/>
        <v>1862</v>
      </c>
      <c r="E15" s="4"/>
      <c r="F15" s="4">
        <f t="shared" si="1"/>
        <v>96</v>
      </c>
      <c r="G15" s="4">
        <f t="shared" si="2"/>
        <v>1862</v>
      </c>
      <c r="H15" s="26">
        <f>TriOPA!H15</f>
        <v>27.210206229999997</v>
      </c>
      <c r="I15" s="4">
        <f t="shared" si="4"/>
        <v>2612</v>
      </c>
      <c r="J15" s="30">
        <f t="shared" si="5"/>
        <v>0.40279269602577883</v>
      </c>
      <c r="K15" s="26">
        <f>Control!C50</f>
        <v>19.4</v>
      </c>
      <c r="L15" s="4">
        <f t="shared" si="6"/>
        <v>1862</v>
      </c>
      <c r="M15" s="30">
        <f t="shared" si="7"/>
        <v>0</v>
      </c>
    </row>
    <row r="16" spans="1:13" ht="15">
      <c r="A16" s="3" t="s">
        <v>7</v>
      </c>
      <c r="B16" s="26">
        <f t="shared" si="3"/>
        <v>19.4</v>
      </c>
      <c r="C16" s="4">
        <f>'[1]Schedule M Tri Village'!$F$396</f>
        <v>24</v>
      </c>
      <c r="D16" s="9">
        <f t="shared" si="0"/>
        <v>466</v>
      </c>
      <c r="E16" s="4"/>
      <c r="F16" s="4">
        <f t="shared" si="1"/>
        <v>24</v>
      </c>
      <c r="G16" s="9">
        <f t="shared" si="2"/>
        <v>466</v>
      </c>
      <c r="H16" s="26">
        <f>TriOPA!H16</f>
        <v>27.210206229999997</v>
      </c>
      <c r="I16" s="9">
        <f t="shared" si="4"/>
        <v>653</v>
      </c>
      <c r="J16" s="30">
        <f t="shared" si="5"/>
        <v>0.4012875536480687</v>
      </c>
      <c r="K16" s="26">
        <f>Control!C51</f>
        <v>19.4</v>
      </c>
      <c r="L16" s="9">
        <f t="shared" si="6"/>
        <v>466</v>
      </c>
      <c r="M16" s="30">
        <f t="shared" si="7"/>
        <v>0</v>
      </c>
    </row>
    <row r="17" spans="1:13" ht="12.75">
      <c r="A17" s="3" t="s">
        <v>12</v>
      </c>
      <c r="C17" s="4"/>
      <c r="D17" s="14">
        <f>SUM(D9:D16)</f>
        <v>4656</v>
      </c>
      <c r="E17" s="4"/>
      <c r="F17" s="4"/>
      <c r="G17" s="14">
        <f>SUM(G9:G16)</f>
        <v>4656</v>
      </c>
      <c r="I17" s="14">
        <f>SUM(I9:I16)</f>
        <v>6530</v>
      </c>
      <c r="J17" s="30">
        <f t="shared" si="5"/>
        <v>0.4024914089347078</v>
      </c>
      <c r="L17" s="14">
        <f>SUM(L9:L16)</f>
        <v>4656</v>
      </c>
      <c r="M17" s="30">
        <f aca="true" t="shared" si="8" ref="M17:M24">IF($G17&gt;0,L17/$G17-1,"")</f>
        <v>0</v>
      </c>
    </row>
    <row r="18" spans="1:13" ht="12.75">
      <c r="A18" s="3"/>
      <c r="J18" s="30">
        <f t="shared" si="5"/>
      </c>
      <c r="M18" s="30">
        <f t="shared" si="8"/>
      </c>
    </row>
    <row r="19" spans="1:13" ht="12.75">
      <c r="A19" s="3" t="s">
        <v>71</v>
      </c>
      <c r="B19" s="27">
        <f>Rates!F25</f>
        <v>0</v>
      </c>
      <c r="C19" s="11">
        <f>'[1]Schedule M Tri Village'!G404</f>
        <v>0</v>
      </c>
      <c r="D19" s="14">
        <f>ROUND(B19*C19,0)</f>
        <v>0</v>
      </c>
      <c r="F19" s="4">
        <f>C19+E19</f>
        <v>0</v>
      </c>
      <c r="G19" s="14">
        <f>ROUND(F19*B19,0)</f>
        <v>0</v>
      </c>
      <c r="H19" s="27">
        <f>Rates!G25</f>
        <v>0</v>
      </c>
      <c r="I19" s="11">
        <f>ROUND($F19*H19,0)</f>
        <v>0</v>
      </c>
      <c r="J19" s="30">
        <f t="shared" si="5"/>
      </c>
      <c r="K19" s="34">
        <f>Rates!H25</f>
        <v>0</v>
      </c>
      <c r="L19" s="11">
        <f>ROUND($F19*K19,0)</f>
        <v>0</v>
      </c>
      <c r="M19" s="30">
        <f t="shared" si="8"/>
      </c>
    </row>
    <row r="20" spans="1:13" ht="12.75">
      <c r="A20" s="3" t="s">
        <v>72</v>
      </c>
      <c r="B20" s="12">
        <f>Rates!F26</f>
        <v>4.665</v>
      </c>
      <c r="C20" s="11">
        <f>'[1]Schedule M Tri Village'!G405</f>
        <v>0</v>
      </c>
      <c r="D20" s="4">
        <f>ROUND(B20*C20,0)</f>
        <v>0</v>
      </c>
      <c r="F20" s="4">
        <f>C20+E20</f>
        <v>0</v>
      </c>
      <c r="G20" s="11">
        <f>ROUND(F20*B20,0)</f>
        <v>0</v>
      </c>
      <c r="H20" s="12">
        <f>Rates!G26</f>
        <v>6.54307</v>
      </c>
      <c r="I20" s="11">
        <f>ROUND($F20*H20,0)</f>
        <v>0</v>
      </c>
      <c r="J20" s="30">
        <f t="shared" si="5"/>
      </c>
      <c r="K20" s="12">
        <f>Rates!H26</f>
        <v>4.665</v>
      </c>
      <c r="L20" s="11">
        <f>ROUND($F20*K20,0)</f>
        <v>0</v>
      </c>
      <c r="M20" s="30">
        <f t="shared" si="8"/>
      </c>
    </row>
    <row r="21" spans="1:13" ht="12.75">
      <c r="A21" s="3" t="s">
        <v>73</v>
      </c>
      <c r="B21" s="12">
        <f>Rates!F27</f>
        <v>4.575</v>
      </c>
      <c r="C21" s="11">
        <f>'[1]Schedule M Tri Village'!G406</f>
        <v>0</v>
      </c>
      <c r="D21" s="4">
        <f>ROUND(B21*C21,0)</f>
        <v>0</v>
      </c>
      <c r="F21" s="4">
        <f>C21+E21</f>
        <v>0</v>
      </c>
      <c r="G21" s="11">
        <f>ROUND(F21*B21,0)</f>
        <v>0</v>
      </c>
      <c r="H21" s="12">
        <f>Rates!G27</f>
        <v>6.41684</v>
      </c>
      <c r="I21" s="11">
        <f>ROUND($F21*H21,0)</f>
        <v>0</v>
      </c>
      <c r="J21" s="30">
        <f t="shared" si="5"/>
      </c>
      <c r="K21" s="12">
        <f>Rates!H27</f>
        <v>4.575</v>
      </c>
      <c r="L21" s="11">
        <f>ROUND($F21*K21,0)</f>
        <v>0</v>
      </c>
      <c r="M21" s="30">
        <f t="shared" si="8"/>
      </c>
    </row>
    <row r="22" spans="1:13" ht="12.75">
      <c r="A22" s="3" t="s">
        <v>74</v>
      </c>
      <c r="B22" s="12">
        <f>Rates!F28</f>
        <v>4.485</v>
      </c>
      <c r="C22" s="11">
        <f>'[1]Schedule M Tri Village'!G407</f>
        <v>0</v>
      </c>
      <c r="D22" s="4">
        <f>ROUND(B22*C22,0)</f>
        <v>0</v>
      </c>
      <c r="F22" s="4">
        <f>C22+E22</f>
        <v>0</v>
      </c>
      <c r="G22" s="11">
        <f>ROUND(F22*B22,0)</f>
        <v>0</v>
      </c>
      <c r="H22" s="12">
        <f>Rates!G28</f>
        <v>6.29061</v>
      </c>
      <c r="I22" s="11">
        <f>ROUND($F22*H22,0)</f>
        <v>0</v>
      </c>
      <c r="J22" s="30">
        <f t="shared" si="5"/>
      </c>
      <c r="K22" s="12">
        <f>Rates!H28</f>
        <v>4.485</v>
      </c>
      <c r="L22" s="11">
        <f>ROUND($F22*K22,0)</f>
        <v>0</v>
      </c>
      <c r="M22" s="30">
        <f t="shared" si="8"/>
      </c>
    </row>
    <row r="23" spans="1:13" ht="15">
      <c r="A23" s="3" t="s">
        <v>75</v>
      </c>
      <c r="B23" s="12">
        <f>Rates!F29</f>
        <v>4.305</v>
      </c>
      <c r="C23" s="11">
        <f>'[1]Schedule M Tri Village'!G408</f>
        <v>0</v>
      </c>
      <c r="D23" s="9">
        <f>ROUND(B23*C23,0)</f>
        <v>0</v>
      </c>
      <c r="F23" s="4">
        <f>C23+E23</f>
        <v>0</v>
      </c>
      <c r="G23" s="9">
        <f>ROUND(F23*B23,0)</f>
        <v>0</v>
      </c>
      <c r="H23" s="12">
        <f>Rates!G29</f>
        <v>6.03814</v>
      </c>
      <c r="I23" s="11">
        <f>ROUND($F23*H23,0)</f>
        <v>0</v>
      </c>
      <c r="J23" s="30">
        <f t="shared" si="5"/>
      </c>
      <c r="K23" s="12">
        <f>Rates!H29</f>
        <v>4.305</v>
      </c>
      <c r="L23" s="9">
        <f>ROUND($F23*K23,0)</f>
        <v>0</v>
      </c>
      <c r="M23" s="30">
        <f t="shared" si="8"/>
      </c>
    </row>
    <row r="24" spans="1:13" ht="12.75">
      <c r="A24" s="3" t="s">
        <v>76</v>
      </c>
      <c r="C24" s="4"/>
      <c r="D24" s="14">
        <f>SUM(D19:D23)</f>
        <v>0</v>
      </c>
      <c r="E24" s="4"/>
      <c r="F24" s="4"/>
      <c r="G24" s="14">
        <f>SUM(G19:G23)</f>
        <v>0</v>
      </c>
      <c r="I24" s="14">
        <f>SUM(I19:I23)</f>
        <v>0</v>
      </c>
      <c r="J24" s="30">
        <f t="shared" si="5"/>
      </c>
      <c r="L24" s="14">
        <f>SUM(L19:L23)</f>
        <v>0</v>
      </c>
      <c r="M24" s="30">
        <f t="shared" si="8"/>
      </c>
    </row>
    <row r="26" spans="1:13" ht="15">
      <c r="A26" s="13" t="s">
        <v>13</v>
      </c>
      <c r="D26" s="15">
        <f>D17+D24</f>
        <v>4656</v>
      </c>
      <c r="E26" s="15"/>
      <c r="G26" s="15">
        <f>G17+G24</f>
        <v>4656</v>
      </c>
      <c r="I26" s="15">
        <f>I17+I24</f>
        <v>6530</v>
      </c>
      <c r="J26" s="30">
        <f t="shared" si="5"/>
        <v>0.4024914089347078</v>
      </c>
      <c r="L26" s="15">
        <f>L17+L24</f>
        <v>4656</v>
      </c>
      <c r="M26" s="30">
        <f>IF($G26&gt;0,L26/$G26-1,"")</f>
        <v>0</v>
      </c>
    </row>
    <row r="27" spans="7:9" ht="12.75">
      <c r="G27" s="14"/>
      <c r="I27" s="14"/>
    </row>
    <row r="28" spans="7:9" ht="12.75">
      <c r="G28" s="14"/>
      <c r="I28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11" customWidth="1"/>
    <col min="2" max="2" width="12.8515625" style="11" bestFit="1" customWidth="1"/>
    <col min="3" max="3" width="12.8515625" style="11" customWidth="1"/>
    <col min="4" max="4" width="12.28125" style="11" bestFit="1" customWidth="1"/>
    <col min="5" max="5" width="10.28125" style="11" customWidth="1"/>
    <col min="6" max="6" width="9.140625" style="11" customWidth="1"/>
    <col min="7" max="7" width="13.421875" style="11" customWidth="1"/>
    <col min="8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="24" customFormat="1" ht="12.75">
      <c r="A4" s="24" t="s">
        <v>68</v>
      </c>
    </row>
    <row r="5" ht="12.75">
      <c r="A5" s="13" t="s">
        <v>36</v>
      </c>
    </row>
    <row r="6" spans="1:2" ht="12.75">
      <c r="A6" s="11" t="s">
        <v>183</v>
      </c>
      <c r="B6" s="11" t="b">
        <f>Activation</f>
        <v>1</v>
      </c>
    </row>
    <row r="7" spans="2:6" s="6" customFormat="1" ht="30">
      <c r="B7" s="18" t="s">
        <v>39</v>
      </c>
      <c r="C7" s="18" t="s">
        <v>33</v>
      </c>
      <c r="D7" s="18" t="s">
        <v>40</v>
      </c>
      <c r="E7" s="18" t="s">
        <v>90</v>
      </c>
      <c r="F7" s="18" t="s">
        <v>91</v>
      </c>
    </row>
    <row r="8" spans="1:6" ht="12.75">
      <c r="A8" s="28" t="s">
        <v>78</v>
      </c>
      <c r="B8" s="14">
        <f>'[1]Schedule M Tri Village'!H91</f>
        <v>0</v>
      </c>
      <c r="C8" s="4"/>
      <c r="D8" s="14">
        <f aca="true" t="shared" si="0" ref="D8:D13">B8+C8</f>
        <v>0</v>
      </c>
      <c r="E8" s="14">
        <f>'[1]Schedule M Tri Village'!J91</f>
        <v>0</v>
      </c>
      <c r="F8" s="14">
        <f>E8</f>
        <v>0</v>
      </c>
    </row>
    <row r="9" spans="1:6" ht="12.75">
      <c r="A9" s="28" t="s">
        <v>79</v>
      </c>
      <c r="B9" s="4">
        <f>'[1]Schedule M Tri Village'!H92</f>
        <v>0</v>
      </c>
      <c r="C9" s="4"/>
      <c r="D9" s="11">
        <f t="shared" si="0"/>
        <v>0</v>
      </c>
      <c r="E9" s="11">
        <f>'[1]Schedule M Tri Village'!J92</f>
        <v>0</v>
      </c>
      <c r="F9" s="11">
        <f>E9</f>
        <v>0</v>
      </c>
    </row>
    <row r="10" spans="1:6" ht="12.75">
      <c r="A10" s="28" t="s">
        <v>80</v>
      </c>
      <c r="B10" s="4">
        <f>'[1]Schedule M Tri Village'!H93</f>
        <v>0</v>
      </c>
      <c r="C10" s="4"/>
      <c r="D10" s="11">
        <f t="shared" si="0"/>
        <v>0</v>
      </c>
      <c r="E10" s="11">
        <f>'[1]Schedule M Tri Village'!J93</f>
        <v>0</v>
      </c>
      <c r="F10" s="11">
        <f>E10</f>
        <v>0</v>
      </c>
    </row>
    <row r="11" spans="1:6" ht="12.75">
      <c r="A11" s="28" t="s">
        <v>81</v>
      </c>
      <c r="B11" s="4">
        <f>'[1]Schedule M Tri Village'!H94</f>
        <v>0</v>
      </c>
      <c r="C11" s="4"/>
      <c r="D11" s="11">
        <f t="shared" si="0"/>
        <v>0</v>
      </c>
      <c r="E11" s="11">
        <f>'[1]Schedule M Tri Village'!J94</f>
        <v>0</v>
      </c>
      <c r="F11" s="11">
        <f>E11</f>
        <v>0</v>
      </c>
    </row>
    <row r="12" spans="1:6" ht="12.75">
      <c r="A12" s="28" t="s">
        <v>121</v>
      </c>
      <c r="B12" s="4">
        <f>'[1]Schedule M Tri Village'!H95</f>
        <v>0</v>
      </c>
      <c r="C12" s="4"/>
      <c r="D12" s="11">
        <f t="shared" si="0"/>
        <v>0</v>
      </c>
      <c r="E12" s="11">
        <f>'[1]Schedule M Tri Village'!J95</f>
        <v>6480</v>
      </c>
      <c r="F12" s="11">
        <f>IF(Activation,E12,0)</f>
        <v>6480</v>
      </c>
    </row>
    <row r="13" spans="1:6" ht="15">
      <c r="A13" s="28" t="s">
        <v>82</v>
      </c>
      <c r="B13" s="9">
        <f>'[1]Schedule M Tri Village'!H97</f>
        <v>0</v>
      </c>
      <c r="C13" s="9">
        <v>0</v>
      </c>
      <c r="D13" s="9">
        <f t="shared" si="0"/>
        <v>0</v>
      </c>
      <c r="E13" s="9">
        <f>'[1]Schedule M Tri Village'!$J$97</f>
        <v>0</v>
      </c>
      <c r="F13" s="9">
        <f>E13</f>
        <v>0</v>
      </c>
    </row>
    <row r="14" spans="1:6" ht="12.75">
      <c r="A14" s="13" t="s">
        <v>83</v>
      </c>
      <c r="B14" s="14">
        <f>SUM(B8:B13)</f>
        <v>0</v>
      </c>
      <c r="C14" s="14">
        <f>SUM(C8:C13)</f>
        <v>0</v>
      </c>
      <c r="D14" s="14">
        <f>SUM(D8:D13)</f>
        <v>0</v>
      </c>
      <c r="E14" s="14">
        <f>SUM(E8:E13)</f>
        <v>6480</v>
      </c>
      <c r="F14" s="14">
        <f>SUM(F8:F13)</f>
        <v>6480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84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50">
        <f>Rates!J9</f>
        <v>20.95</v>
      </c>
      <c r="C9" s="4">
        <f>'[1]Schedule M Elk Lake'!$F$138</f>
        <v>4128</v>
      </c>
      <c r="D9" s="14">
        <f>ROUND(B9*C9,0)</f>
        <v>86482</v>
      </c>
      <c r="E9" s="4"/>
      <c r="F9" s="4">
        <f>C9+E9</f>
        <v>4128</v>
      </c>
      <c r="G9" s="14">
        <f>ROUND(F9*B9,0)</f>
        <v>86482</v>
      </c>
      <c r="H9" s="27">
        <f>Rates!K9</f>
        <v>29.74062838</v>
      </c>
      <c r="I9" s="14">
        <f>ROUND($F9*H9,0)</f>
        <v>122769</v>
      </c>
      <c r="J9" s="30">
        <f>IF($G9&gt;0,I9/$G9-1,"")</f>
        <v>0.4195902037418191</v>
      </c>
      <c r="K9" s="27">
        <f>Rates!L9</f>
        <v>20.95</v>
      </c>
      <c r="L9" s="14">
        <f>ROUND($F9*K9,0)</f>
        <v>86482</v>
      </c>
      <c r="M9" s="30">
        <f>IF($G9&gt;0,L9/$G9-1,"")</f>
        <v>0</v>
      </c>
    </row>
    <row r="10" spans="1:13" ht="12.75">
      <c r="A10" s="3" t="s">
        <v>1</v>
      </c>
      <c r="B10" s="26">
        <f>Rates!J10</f>
        <v>20.95</v>
      </c>
      <c r="C10" s="4"/>
      <c r="D10" s="4">
        <f>ROUND(B10*C10,0)</f>
        <v>0</v>
      </c>
      <c r="E10" s="4"/>
      <c r="F10" s="4">
        <f>C10+E10</f>
        <v>0</v>
      </c>
      <c r="G10" s="11">
        <f>ROUND(F10*B10,0)</f>
        <v>0</v>
      </c>
      <c r="H10" s="26">
        <f>Rates!K10</f>
        <v>29.74062838</v>
      </c>
      <c r="I10" s="11">
        <f aca="true" t="shared" si="0" ref="I10:I16">ROUND($F10*H10,0)</f>
        <v>0</v>
      </c>
      <c r="J10" s="30">
        <f aca="true" t="shared" si="1" ref="J10:J19">IF($G10&gt;0,I10/$G10-1,"")</f>
      </c>
      <c r="K10" s="26">
        <f>Rates!L10</f>
        <v>20.95</v>
      </c>
      <c r="L10" s="11">
        <f aca="true" t="shared" si="2" ref="L10:L16">ROUND($F10*K10,0)</f>
        <v>0</v>
      </c>
      <c r="M10" s="30">
        <f aca="true" t="shared" si="3" ref="M10:M19">IF($G10&gt;0,L10/$G10-1,"")</f>
      </c>
    </row>
    <row r="11" spans="1:13" ht="15">
      <c r="A11" s="3" t="s">
        <v>2</v>
      </c>
      <c r="B11" s="26">
        <f>Rates!J11</f>
        <v>20.95</v>
      </c>
      <c r="D11" s="9">
        <f>ROUND(B11*C11,0)</f>
        <v>0</v>
      </c>
      <c r="F11" s="4">
        <f>C11+E11</f>
        <v>0</v>
      </c>
      <c r="G11" s="9">
        <f>ROUND(F11*B11,0)</f>
        <v>0</v>
      </c>
      <c r="H11" s="26">
        <f>Rates!K11</f>
        <v>29.74062838</v>
      </c>
      <c r="I11" s="9">
        <f t="shared" si="0"/>
        <v>0</v>
      </c>
      <c r="J11" s="30">
        <f t="shared" si="1"/>
      </c>
      <c r="K11" s="26">
        <f>Rates!L11</f>
        <v>20.95</v>
      </c>
      <c r="L11" s="9">
        <f t="shared" si="2"/>
        <v>0</v>
      </c>
      <c r="M11" s="30">
        <f t="shared" si="3"/>
      </c>
    </row>
    <row r="12" spans="1:13" ht="12.75">
      <c r="A12" s="3" t="s">
        <v>12</v>
      </c>
      <c r="C12" s="4"/>
      <c r="D12" s="14">
        <f>SUM(D9:D11)</f>
        <v>86482</v>
      </c>
      <c r="E12" s="4"/>
      <c r="F12" s="4"/>
      <c r="G12" s="14">
        <f>SUM(G9:G11)</f>
        <v>86482</v>
      </c>
      <c r="I12" s="14">
        <f>SUM(I9:I11)</f>
        <v>122769</v>
      </c>
      <c r="J12" s="30">
        <f t="shared" si="1"/>
        <v>0.4195902037418191</v>
      </c>
      <c r="L12" s="14">
        <f>SUM(L9:L11)</f>
        <v>86482</v>
      </c>
      <c r="M12" s="30">
        <f t="shared" si="3"/>
        <v>0</v>
      </c>
    </row>
    <row r="13" spans="1:13" ht="12.75">
      <c r="A13" s="3"/>
      <c r="J13" s="30">
        <f t="shared" si="1"/>
      </c>
      <c r="M13" s="30">
        <f t="shared" si="3"/>
      </c>
    </row>
    <row r="14" spans="1:13" ht="12.75">
      <c r="A14" s="28" t="s">
        <v>71</v>
      </c>
      <c r="B14" s="27">
        <f>Rates!J25</f>
        <v>0</v>
      </c>
      <c r="C14" s="11">
        <f>'[1]Schedule M Elk Lake'!G159</f>
        <v>3941</v>
      </c>
      <c r="D14" s="14">
        <f>ROUND(B14*C14,0)</f>
        <v>0</v>
      </c>
      <c r="F14" s="4">
        <f>C14+E14</f>
        <v>3941</v>
      </c>
      <c r="G14" s="14">
        <f>ROUND(F14*B14,0)</f>
        <v>0</v>
      </c>
      <c r="H14" s="34">
        <f>Rates!K25</f>
        <v>0</v>
      </c>
      <c r="I14" s="14">
        <f t="shared" si="0"/>
        <v>0</v>
      </c>
      <c r="J14" s="30">
        <f t="shared" si="1"/>
      </c>
      <c r="K14" s="34">
        <f>Rates!L25</f>
        <v>0</v>
      </c>
      <c r="L14" s="14">
        <f t="shared" si="2"/>
        <v>0</v>
      </c>
      <c r="M14" s="30">
        <f t="shared" si="3"/>
      </c>
    </row>
    <row r="15" spans="1:13" ht="12.75">
      <c r="A15" s="28" t="s">
        <v>85</v>
      </c>
      <c r="B15" s="12">
        <f>Rates!J26</f>
        <v>1.7625</v>
      </c>
      <c r="C15" s="11">
        <f>'[1]Schedule M Elk Lake'!G160</f>
        <v>1813.4</v>
      </c>
      <c r="D15" s="4">
        <f>ROUND(B15*C15,0)</f>
        <v>3196</v>
      </c>
      <c r="F15" s="4">
        <f>C15+E15</f>
        <v>1813.4</v>
      </c>
      <c r="G15" s="11">
        <f>ROUND(F15*B15,0)</f>
        <v>3196</v>
      </c>
      <c r="H15" s="12">
        <f>Rates!K26</f>
        <v>2.502045705</v>
      </c>
      <c r="I15" s="11">
        <f t="shared" si="0"/>
        <v>4537</v>
      </c>
      <c r="J15" s="30">
        <f t="shared" si="1"/>
        <v>0.4195869837296622</v>
      </c>
      <c r="K15" s="12">
        <f>Rates!L26</f>
        <v>1.7625</v>
      </c>
      <c r="L15" s="11">
        <f t="shared" si="2"/>
        <v>3196</v>
      </c>
      <c r="M15" s="30">
        <f t="shared" si="3"/>
        <v>0</v>
      </c>
    </row>
    <row r="16" spans="1:13" ht="15">
      <c r="A16" s="28" t="s">
        <v>86</v>
      </c>
      <c r="B16" s="12">
        <f>Rates!J27</f>
        <v>1.275</v>
      </c>
      <c r="C16" s="11">
        <f>'[1]Schedule M Elk Lake'!G161</f>
        <v>2800.2</v>
      </c>
      <c r="D16" s="9">
        <f>ROUND(B16*C16,0)</f>
        <v>3570</v>
      </c>
      <c r="F16" s="4">
        <f>C16+E16</f>
        <v>2800.2</v>
      </c>
      <c r="G16" s="9">
        <f>ROUND(F16*B16,0)</f>
        <v>3570</v>
      </c>
      <c r="H16" s="12">
        <f>Rates!K27</f>
        <v>1.8099905099999998</v>
      </c>
      <c r="I16" s="9">
        <f t="shared" si="0"/>
        <v>5068</v>
      </c>
      <c r="J16" s="30">
        <f t="shared" si="1"/>
        <v>0.41960784313725497</v>
      </c>
      <c r="K16" s="12">
        <f>Rates!L27</f>
        <v>1.275</v>
      </c>
      <c r="L16" s="9">
        <f t="shared" si="2"/>
        <v>3570</v>
      </c>
      <c r="M16" s="30">
        <f t="shared" si="3"/>
        <v>0</v>
      </c>
    </row>
    <row r="17" spans="1:13" ht="12.75">
      <c r="A17" s="3" t="s">
        <v>76</v>
      </c>
      <c r="C17" s="4"/>
      <c r="D17" s="14">
        <f>SUM(D14:D16)</f>
        <v>6766</v>
      </c>
      <c r="E17" s="4"/>
      <c r="F17" s="4"/>
      <c r="G17" s="14">
        <f>SUM(G14:G16)</f>
        <v>6766</v>
      </c>
      <c r="I17" s="14">
        <f>SUM(I14:I16)</f>
        <v>9605</v>
      </c>
      <c r="J17" s="30">
        <f t="shared" si="1"/>
        <v>0.41959798994974884</v>
      </c>
      <c r="L17" s="14">
        <f>SUM(L14:L16)</f>
        <v>6766</v>
      </c>
      <c r="M17" s="30">
        <f t="shared" si="3"/>
        <v>0</v>
      </c>
    </row>
    <row r="18" spans="10:13" ht="12.75">
      <c r="J18" s="30">
        <f t="shared" si="1"/>
      </c>
      <c r="M18" s="30">
        <f t="shared" si="3"/>
      </c>
    </row>
    <row r="19" spans="1:13" ht="15">
      <c r="A19" s="13" t="s">
        <v>13</v>
      </c>
      <c r="D19" s="15">
        <f>D12+D17</f>
        <v>93248</v>
      </c>
      <c r="E19" s="15"/>
      <c r="G19" s="15">
        <f>G12+G17</f>
        <v>93248</v>
      </c>
      <c r="I19" s="15">
        <f>I12+I17</f>
        <v>132374</v>
      </c>
      <c r="J19" s="30">
        <f t="shared" si="1"/>
        <v>0.419590768702814</v>
      </c>
      <c r="L19" s="15">
        <f>L12+L17</f>
        <v>93248</v>
      </c>
      <c r="M19" s="30">
        <f t="shared" si="3"/>
        <v>0</v>
      </c>
    </row>
    <row r="20" spans="7:13" ht="12.75">
      <c r="G20" s="14"/>
      <c r="I20" s="14"/>
      <c r="J20" s="30">
        <f>IF($G20&gt;0,I20/$G20-1,"")</f>
      </c>
      <c r="L20" s="14"/>
      <c r="M20" s="30">
        <f>IF($G20&gt;0,L20/$G20-1,"")</f>
      </c>
    </row>
    <row r="21" spans="7:12" ht="12.75">
      <c r="G21" s="14"/>
      <c r="I21" s="14"/>
      <c r="L21" s="14"/>
    </row>
    <row r="22" spans="10:13" ht="12.75">
      <c r="J22" s="30">
        <f>IF($G22&gt;0,I22/$G22-1,"")</f>
      </c>
      <c r="M22" s="30">
        <f>IF($G22&gt;0,L22/$G22-1,"")</f>
      </c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workbookViewId="0" topLeftCell="A1">
      <selection activeCell="A1" sqref="A1"/>
    </sheetView>
  </sheetViews>
  <sheetFormatPr defaultColWidth="9.140625" defaultRowHeight="12.75"/>
  <cols>
    <col min="1" max="1" width="34.7109375" style="11" customWidth="1"/>
    <col min="2" max="2" width="12.8515625" style="11" bestFit="1" customWidth="1"/>
    <col min="3" max="3" width="12.8515625" style="11" customWidth="1"/>
    <col min="4" max="4" width="12.28125" style="11" bestFit="1" customWidth="1"/>
    <col min="5" max="5" width="11.00390625" style="11" customWidth="1"/>
    <col min="6" max="6" width="10.00390625" style="11" customWidth="1"/>
    <col min="7" max="7" width="13.421875" style="11" customWidth="1"/>
    <col min="8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="24" customFormat="1" ht="12.75">
      <c r="A4" s="24" t="s">
        <v>87</v>
      </c>
    </row>
    <row r="5" ht="12.75">
      <c r="A5" s="13" t="s">
        <v>36</v>
      </c>
    </row>
    <row r="6" spans="1:2" ht="12.75">
      <c r="A6" s="11" t="s">
        <v>183</v>
      </c>
      <c r="B6" s="11" t="b">
        <f>Activation</f>
        <v>1</v>
      </c>
    </row>
    <row r="7" spans="2:6" s="6" customFormat="1" ht="30">
      <c r="B7" s="18" t="s">
        <v>39</v>
      </c>
      <c r="C7" s="18" t="s">
        <v>33</v>
      </c>
      <c r="D7" s="18" t="s">
        <v>40</v>
      </c>
      <c r="E7" s="18" t="s">
        <v>90</v>
      </c>
      <c r="F7" s="18" t="s">
        <v>91</v>
      </c>
    </row>
    <row r="8" spans="1:6" ht="12.75">
      <c r="A8" s="28" t="s">
        <v>78</v>
      </c>
      <c r="B8" s="14">
        <f>'[1]Schedule M Elk Lake'!H91</f>
        <v>0</v>
      </c>
      <c r="C8" s="22">
        <v>0</v>
      </c>
      <c r="D8" s="14">
        <f aca="true" t="shared" si="0" ref="D8:D13">B8+C8</f>
        <v>0</v>
      </c>
      <c r="E8" s="27">
        <f>'[1]Schedule M Elk Lake'!J91</f>
        <v>0</v>
      </c>
      <c r="F8" s="27">
        <f>E8</f>
        <v>0</v>
      </c>
    </row>
    <row r="9" spans="1:6" ht="12.75">
      <c r="A9" s="28" t="s">
        <v>79</v>
      </c>
      <c r="B9" s="4">
        <f>'[1]Schedule M Elk Lake'!H92</f>
        <v>0</v>
      </c>
      <c r="C9" s="4"/>
      <c r="D9" s="11">
        <f t="shared" si="0"/>
        <v>0</v>
      </c>
      <c r="E9" s="11">
        <f>'[1]Schedule M Elk Lake'!J92</f>
        <v>0</v>
      </c>
      <c r="F9" s="11">
        <f>E9</f>
        <v>0</v>
      </c>
    </row>
    <row r="10" spans="1:6" ht="12.75">
      <c r="A10" s="28" t="s">
        <v>80</v>
      </c>
      <c r="B10" s="4">
        <f>'[1]Schedule M Elk Lake'!H93</f>
        <v>0</v>
      </c>
      <c r="C10" s="4"/>
      <c r="D10" s="11">
        <f t="shared" si="0"/>
        <v>0</v>
      </c>
      <c r="E10" s="11">
        <f>'[1]Schedule M Elk Lake'!J93</f>
        <v>0</v>
      </c>
      <c r="F10" s="11">
        <f>E10</f>
        <v>0</v>
      </c>
    </row>
    <row r="11" spans="1:6" ht="12.75">
      <c r="A11" s="28" t="s">
        <v>81</v>
      </c>
      <c r="B11" s="4">
        <f>'[1]Schedule M Elk Lake'!H94</f>
        <v>0</v>
      </c>
      <c r="C11" s="4"/>
      <c r="D11" s="11">
        <f t="shared" si="0"/>
        <v>0</v>
      </c>
      <c r="E11" s="11">
        <f>'[1]Schedule M Elk Lake'!J94</f>
        <v>0</v>
      </c>
      <c r="F11" s="11">
        <f>E11</f>
        <v>0</v>
      </c>
    </row>
    <row r="12" spans="1:6" ht="12.75">
      <c r="A12" s="28" t="s">
        <v>45</v>
      </c>
      <c r="B12" s="4">
        <f>'[1]Schedule M Elk Lake'!H95</f>
        <v>0</v>
      </c>
      <c r="C12" s="4"/>
      <c r="D12" s="11">
        <f t="shared" si="0"/>
        <v>0</v>
      </c>
      <c r="E12" s="11">
        <f>'[1]Schedule M Elk Lake'!J95</f>
        <v>240</v>
      </c>
      <c r="F12" s="11">
        <f>IF(Activation,E12,0)</f>
        <v>240</v>
      </c>
    </row>
    <row r="13" spans="1:6" ht="15">
      <c r="A13" s="28" t="s">
        <v>82</v>
      </c>
      <c r="B13" s="9">
        <f>'[1]Schedule M Elk Lake'!$H$97</f>
        <v>0</v>
      </c>
      <c r="C13" s="9">
        <v>0</v>
      </c>
      <c r="D13" s="9">
        <f t="shared" si="0"/>
        <v>0</v>
      </c>
      <c r="E13" s="9">
        <v>0</v>
      </c>
      <c r="F13" s="9">
        <f>E13</f>
        <v>0</v>
      </c>
    </row>
    <row r="14" spans="1:6" ht="12.75">
      <c r="A14" s="13" t="s">
        <v>83</v>
      </c>
      <c r="B14" s="14">
        <f>SUM(B8:B13)</f>
        <v>0</v>
      </c>
      <c r="C14" s="14">
        <f>SUM(C8:C13)</f>
        <v>0</v>
      </c>
      <c r="D14" s="14">
        <f>SUM(D8:D13)</f>
        <v>0</v>
      </c>
      <c r="E14" s="14">
        <f>SUM(E8:E13)</f>
        <v>240</v>
      </c>
      <c r="F14" s="14">
        <f>SUM(F8:F13)</f>
        <v>240</v>
      </c>
    </row>
  </sheetData>
  <printOptions/>
  <pageMargins left="0.75" right="0.75" top="1" bottom="1" header="0.5" footer="0.5"/>
  <pageSetup fitToHeight="1" fitToWidth="1" horizontalDpi="300" verticalDpi="300" orientation="landscape" r:id="rId1"/>
  <headerFooter alignWithMargins="0">
    <oddFooter>&amp;L&amp;F,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workbookViewId="0" topLeftCell="A1">
      <selection activeCell="A1" sqref="A1"/>
    </sheetView>
  </sheetViews>
  <sheetFormatPr defaultColWidth="9.140625" defaultRowHeight="12.75"/>
  <cols>
    <col min="1" max="1" width="29.421875" style="1" bestFit="1" customWidth="1"/>
    <col min="2" max="2" width="11.8515625" style="1" customWidth="1"/>
    <col min="3" max="3" width="10.8515625" style="1" bestFit="1" customWidth="1"/>
    <col min="4" max="4" width="11.28125" style="1" bestFit="1" customWidth="1"/>
    <col min="5" max="5" width="10.28125" style="1" bestFit="1" customWidth="1"/>
    <col min="6" max="16384" width="9.140625" style="1" customWidth="1"/>
  </cols>
  <sheetData>
    <row r="1" spans="1:2" ht="12.75">
      <c r="A1" s="1" t="s">
        <v>92</v>
      </c>
      <c r="B1" s="1" t="s">
        <v>94</v>
      </c>
    </row>
    <row r="2" spans="1:2" ht="12.75">
      <c r="A2" s="1" t="s">
        <v>93</v>
      </c>
      <c r="B2" s="1" t="s">
        <v>95</v>
      </c>
    </row>
    <row r="3" ht="13.5" thickBot="1">
      <c r="G3" s="36" t="b">
        <f>TRUE()</f>
        <v>1</v>
      </c>
    </row>
    <row r="4" spans="1:7" ht="15">
      <c r="A4" s="1" t="s">
        <v>96</v>
      </c>
      <c r="B4" s="1">
        <f>Summary!D32</f>
        <v>45739139</v>
      </c>
      <c r="D4" s="43" t="s">
        <v>11</v>
      </c>
      <c r="E4" s="44" t="s">
        <v>125</v>
      </c>
      <c r="G4" s="36" t="b">
        <f>FALSE()</f>
        <v>0</v>
      </c>
    </row>
    <row r="5" spans="1:5" ht="13.5" thickBot="1">
      <c r="A5" s="1" t="s">
        <v>97</v>
      </c>
      <c r="B5" s="38">
        <f>AG_Revenue_under_Present_Rates+111933</f>
        <v>45851072</v>
      </c>
      <c r="D5" s="41">
        <f>Summary!$I$32</f>
        <v>45850472</v>
      </c>
      <c r="E5" s="42">
        <f>D5-AG_Revenue_Requirement</f>
        <v>-600</v>
      </c>
    </row>
    <row r="6" spans="1:2" ht="12.75">
      <c r="A6" s="5" t="s">
        <v>108</v>
      </c>
      <c r="B6" s="35">
        <f>ROUND(B5/B4,4)</f>
        <v>1.0024</v>
      </c>
    </row>
    <row r="7" spans="1:2" ht="12.75">
      <c r="A7" s="5" t="s">
        <v>98</v>
      </c>
      <c r="B7" s="1">
        <f>B5-B4</f>
        <v>111933</v>
      </c>
    </row>
    <row r="8" spans="1:4" ht="12.75">
      <c r="A8" s="5" t="s">
        <v>99</v>
      </c>
      <c r="B8" s="39" t="b">
        <v>1</v>
      </c>
      <c r="D8" s="5" t="s">
        <v>101</v>
      </c>
    </row>
    <row r="9" spans="1:2" ht="12.75">
      <c r="A9" s="5" t="s">
        <v>100</v>
      </c>
      <c r="B9" s="40" t="b">
        <v>0</v>
      </c>
    </row>
    <row r="10" spans="1:2" ht="12.75">
      <c r="A10" s="5" t="s">
        <v>105</v>
      </c>
      <c r="B10" s="5">
        <f>Misc!E13+TriMisc!E12+ElkMisc!E12</f>
        <v>672000</v>
      </c>
    </row>
    <row r="11" spans="1:2" ht="12.75">
      <c r="A11" s="5" t="s">
        <v>109</v>
      </c>
      <c r="B11" s="37">
        <v>1</v>
      </c>
    </row>
    <row r="12" spans="1:2" ht="12.75">
      <c r="A12" s="5" t="s">
        <v>111</v>
      </c>
      <c r="B12" s="1">
        <f>ROUND(North*(Summary!D25+Summary!D30),0)</f>
        <v>918307</v>
      </c>
    </row>
    <row r="13" spans="1:2" ht="12.75">
      <c r="A13" s="5" t="s">
        <v>110</v>
      </c>
      <c r="B13" s="1">
        <f>B12-(Summary!D25+Summary!D30)</f>
        <v>0</v>
      </c>
    </row>
    <row r="14" spans="1:2" ht="12.75">
      <c r="A14" s="5" t="s">
        <v>112</v>
      </c>
      <c r="B14" s="1">
        <f>Overall-NorthIncr-IF(Activation,ActivationRevenue,0)+IF(EliminateAFUDC,Misc!E14,0)</f>
        <v>-89127</v>
      </c>
    </row>
    <row r="15" spans="1:3" ht="12.75">
      <c r="A15" s="5" t="s">
        <v>113</v>
      </c>
      <c r="B15" s="35">
        <f>1+((CentralIncr-IF(_5_8RevenueTarget&gt;_5_8Revenue,_5_8RevenueTarget-_5_8Revenue,0))/(Summary!D17-Summary!D16-IF(AND(ActivationRevenue&lt;Overall,Activation),_5_8Revenue,0)))</f>
        <v>0.9979377928731166</v>
      </c>
      <c r="C15" s="35"/>
    </row>
    <row r="16" spans="1:2" ht="12.75">
      <c r="A16" s="5" t="s">
        <v>139</v>
      </c>
      <c r="B16" s="39" t="b">
        <v>1</v>
      </c>
    </row>
    <row r="17" spans="1:2" ht="12.75">
      <c r="A17" s="5" t="s">
        <v>106</v>
      </c>
      <c r="B17" s="1">
        <f>SUM(Res:Resale!G9)</f>
        <v>9095935</v>
      </c>
    </row>
    <row r="18" spans="1:2" ht="12.75">
      <c r="A18" s="5" t="s">
        <v>114</v>
      </c>
      <c r="B18" s="1">
        <f>ROUND(_5_8Revenue*CentralPct-ActivationRevenue,0)</f>
        <v>8405177</v>
      </c>
    </row>
    <row r="19" spans="1:2" ht="12.75">
      <c r="A19" s="5" t="s">
        <v>115</v>
      </c>
      <c r="B19" s="31">
        <f>IF(AND(Overall&gt;ActivationRevenue,_5_8RevenueTarget&lt;=_5_8Revenue),B27,IF(Overall&lt;ActivationRevenue,B27*CentralPct,(_5_8RevenueTarget/_5_8Revenue)*B27))</f>
        <v>7.2949252659024815</v>
      </c>
    </row>
    <row r="20" spans="1:2" ht="12.75">
      <c r="A20" s="5"/>
      <c r="B20" s="31"/>
    </row>
    <row r="21" spans="1:2" ht="12.75">
      <c r="A21" s="5" t="s">
        <v>122</v>
      </c>
      <c r="B21" s="39" t="b">
        <v>0</v>
      </c>
    </row>
    <row r="22" spans="1:2" ht="12.75">
      <c r="A22" s="5" t="s">
        <v>123</v>
      </c>
      <c r="B22" s="40" t="b">
        <v>1</v>
      </c>
    </row>
    <row r="23" spans="1:2" ht="12.75">
      <c r="A23" s="5" t="s">
        <v>124</v>
      </c>
      <c r="B23" s="38">
        <v>3</v>
      </c>
    </row>
    <row r="24" ht="12.75">
      <c r="A24" s="5"/>
    </row>
    <row r="25" spans="1:3" ht="15">
      <c r="A25" s="5" t="s">
        <v>102</v>
      </c>
      <c r="B25" s="55" t="s">
        <v>107</v>
      </c>
      <c r="C25" s="55"/>
    </row>
    <row r="26" spans="2:3" s="6" customFormat="1" ht="15">
      <c r="B26" s="6" t="s">
        <v>103</v>
      </c>
      <c r="C26" s="6" t="s">
        <v>104</v>
      </c>
    </row>
    <row r="27" spans="1:3" ht="12.75">
      <c r="A27" s="1" t="s">
        <v>0</v>
      </c>
      <c r="B27" s="17">
        <f>Res!B9</f>
        <v>7.31</v>
      </c>
      <c r="C27" s="31">
        <f>ROUND(IF(Activation,_5_8IfActivation,B27*CentralPct)+IF(AdjustMeter,0.01,0),2)</f>
        <v>7.29</v>
      </c>
    </row>
    <row r="28" spans="1:3" ht="12.75">
      <c r="A28" s="1" t="s">
        <v>1</v>
      </c>
      <c r="B28" s="17">
        <f>Res!B10</f>
        <v>10.97</v>
      </c>
      <c r="C28" s="31">
        <f>ROUND(B28*CentralPct,2)</f>
        <v>10.95</v>
      </c>
    </row>
    <row r="29" spans="1:3" ht="12.75">
      <c r="A29" s="1" t="s">
        <v>2</v>
      </c>
      <c r="B29" s="17">
        <f>Res!B11</f>
        <v>18.28</v>
      </c>
      <c r="C29" s="31">
        <f aca="true" t="shared" si="0" ref="C29:C35">ROUND(B29*CentralPct,2)</f>
        <v>18.24</v>
      </c>
    </row>
    <row r="30" spans="1:3" ht="12.75">
      <c r="A30" s="1" t="s">
        <v>3</v>
      </c>
      <c r="B30" s="17">
        <f>Res!B12</f>
        <v>36.55</v>
      </c>
      <c r="C30" s="31">
        <f t="shared" si="0"/>
        <v>36.47</v>
      </c>
    </row>
    <row r="31" spans="1:3" ht="12.75">
      <c r="A31" s="1" t="s">
        <v>4</v>
      </c>
      <c r="B31" s="17">
        <f>Res!B13</f>
        <v>58.48</v>
      </c>
      <c r="C31" s="31">
        <f t="shared" si="0"/>
        <v>58.36</v>
      </c>
    </row>
    <row r="32" spans="1:3" ht="12.75">
      <c r="A32" s="1" t="s">
        <v>5</v>
      </c>
      <c r="B32" s="17">
        <f>Res!B14</f>
        <v>109.65</v>
      </c>
      <c r="C32" s="31">
        <f t="shared" si="0"/>
        <v>109.42</v>
      </c>
    </row>
    <row r="33" spans="1:3" ht="12.75">
      <c r="A33" s="1" t="s">
        <v>6</v>
      </c>
      <c r="B33" s="17">
        <f>Res!B15</f>
        <v>182.75</v>
      </c>
      <c r="C33" s="31">
        <f t="shared" si="0"/>
        <v>182.37</v>
      </c>
    </row>
    <row r="34" spans="1:3" ht="12.75">
      <c r="A34" s="1" t="s">
        <v>7</v>
      </c>
      <c r="B34" s="17">
        <f>Res!B16</f>
        <v>365.5</v>
      </c>
      <c r="C34" s="31">
        <f t="shared" si="0"/>
        <v>364.75</v>
      </c>
    </row>
    <row r="35" spans="1:3" ht="12.75">
      <c r="A35" s="1" t="s">
        <v>8</v>
      </c>
      <c r="B35" s="17">
        <f>Res!B17</f>
        <v>584.8</v>
      </c>
      <c r="C35" s="31">
        <f t="shared" si="0"/>
        <v>583.59</v>
      </c>
    </row>
    <row r="36" spans="1:3" ht="12.75">
      <c r="A36" s="5" t="s">
        <v>116</v>
      </c>
      <c r="B36" s="7">
        <f>Res!$B$20</f>
        <v>1.67581</v>
      </c>
      <c r="C36" s="7">
        <f>ROUND(B36*CentralPct,4)+IF(AdjustUsage,0.0001*AdjustUsageMultiple,0)</f>
        <v>1.6727</v>
      </c>
    </row>
    <row r="37" spans="1:3" ht="12.75">
      <c r="A37" s="5" t="s">
        <v>117</v>
      </c>
      <c r="B37" s="7">
        <f>Comm!$B$20</f>
        <v>1.55174</v>
      </c>
      <c r="C37" s="7">
        <f>ROUND(B37*CentralPct,4)+IF(AdjustUsage,0.0001*AdjustUsageMultiple,0)</f>
        <v>1.5488</v>
      </c>
    </row>
    <row r="38" spans="1:3" ht="12.75">
      <c r="A38" s="5" t="s">
        <v>118</v>
      </c>
      <c r="B38" s="7">
        <f>Ind!$B$20</f>
        <v>1.26621</v>
      </c>
      <c r="C38" s="7">
        <f>ROUND(B38*CentralPct,4)+IF(AdjustUsage,0.0001*AdjustUsageMultiple,0)</f>
        <v>1.2639</v>
      </c>
    </row>
    <row r="39" spans="1:3" ht="12.75">
      <c r="A39" s="5" t="s">
        <v>119</v>
      </c>
      <c r="B39" s="7">
        <f>OPA!$B$20</f>
        <v>1.48647</v>
      </c>
      <c r="C39" s="7">
        <f>ROUND(B39*CentralPct,4)+IF(AdjustUsage,0.0001*AdjustUsageMultiple,0)</f>
        <v>1.4837</v>
      </c>
    </row>
    <row r="40" spans="1:3" ht="12.75">
      <c r="A40" s="5" t="s">
        <v>120</v>
      </c>
      <c r="B40" s="7">
        <f>Resale!$B$20</f>
        <v>1.48647</v>
      </c>
      <c r="C40" s="7">
        <f>ROUND(B40*CentralPct,4)+IF(AdjustUsage,0.0001*AdjustUsageMultiple,0)</f>
        <v>1.4837</v>
      </c>
    </row>
    <row r="42" spans="2:3" ht="15">
      <c r="B42" s="55" t="s">
        <v>56</v>
      </c>
      <c r="C42" s="55"/>
    </row>
    <row r="43" spans="2:3" ht="15">
      <c r="B43" s="6" t="s">
        <v>103</v>
      </c>
      <c r="C43" s="6" t="s">
        <v>104</v>
      </c>
    </row>
    <row r="44" spans="1:3" ht="12.75">
      <c r="A44" s="1" t="s">
        <v>0</v>
      </c>
      <c r="B44" s="31">
        <f>TriRes!B9</f>
        <v>19.4</v>
      </c>
      <c r="C44" s="31">
        <f>ROUND(B44*NorthPct,2)</f>
        <v>19.4</v>
      </c>
    </row>
    <row r="45" spans="1:3" ht="12.75">
      <c r="A45" s="1" t="s">
        <v>1</v>
      </c>
      <c r="B45" s="31">
        <f>TriRes!B10</f>
        <v>19.4</v>
      </c>
      <c r="C45" s="31">
        <f aca="true" t="shared" si="1" ref="C45:C51">ROUND(B45*NorthPct,2)</f>
        <v>19.4</v>
      </c>
    </row>
    <row r="46" spans="1:3" ht="12.75">
      <c r="A46" s="1" t="s">
        <v>2</v>
      </c>
      <c r="B46" s="31">
        <f>TriRes!B11</f>
        <v>19.4</v>
      </c>
      <c r="C46" s="31">
        <f t="shared" si="1"/>
        <v>19.4</v>
      </c>
    </row>
    <row r="47" spans="1:3" ht="12.75">
      <c r="A47" s="1" t="s">
        <v>3</v>
      </c>
      <c r="B47" s="31">
        <f>TriRes!B12</f>
        <v>19.4</v>
      </c>
      <c r="C47" s="31">
        <f t="shared" si="1"/>
        <v>19.4</v>
      </c>
    </row>
    <row r="48" spans="1:3" ht="12.75">
      <c r="A48" s="1" t="s">
        <v>4</v>
      </c>
      <c r="B48" s="31">
        <f>TriRes!B13</f>
        <v>19.4</v>
      </c>
      <c r="C48" s="31">
        <f t="shared" si="1"/>
        <v>19.4</v>
      </c>
    </row>
    <row r="49" spans="1:3" ht="12.75">
      <c r="A49" s="1" t="s">
        <v>5</v>
      </c>
      <c r="B49" s="31">
        <f>TriRes!B14</f>
        <v>19.4</v>
      </c>
      <c r="C49" s="31">
        <f t="shared" si="1"/>
        <v>19.4</v>
      </c>
    </row>
    <row r="50" spans="1:3" ht="12.75">
      <c r="A50" s="1" t="s">
        <v>6</v>
      </c>
      <c r="B50" s="31">
        <f>TriRes!B15</f>
        <v>19.4</v>
      </c>
      <c r="C50" s="31">
        <f t="shared" si="1"/>
        <v>19.4</v>
      </c>
    </row>
    <row r="51" spans="1:3" ht="12.75">
      <c r="A51" s="1" t="s">
        <v>7</v>
      </c>
      <c r="B51" s="31">
        <f>TriRes!B16</f>
        <v>19.4</v>
      </c>
      <c r="C51" s="31">
        <f t="shared" si="1"/>
        <v>19.4</v>
      </c>
    </row>
    <row r="52" spans="1:3" ht="12.75">
      <c r="A52" s="1" t="s">
        <v>71</v>
      </c>
      <c r="B52" s="7">
        <f>TriRes!B19</f>
        <v>0</v>
      </c>
      <c r="C52" s="7">
        <f>ROUND(B52*NorthPct,4)</f>
        <v>0</v>
      </c>
    </row>
    <row r="53" spans="1:3" ht="12.75">
      <c r="A53" s="1" t="s">
        <v>72</v>
      </c>
      <c r="B53" s="7">
        <f>TriRes!B20</f>
        <v>4.665</v>
      </c>
      <c r="C53" s="7">
        <f>ROUND(B53*NorthPct,4)</f>
        <v>4.665</v>
      </c>
    </row>
    <row r="54" spans="1:3" ht="12.75">
      <c r="A54" s="1" t="s">
        <v>73</v>
      </c>
      <c r="B54" s="7">
        <f>TriRes!B21</f>
        <v>4.575</v>
      </c>
      <c r="C54" s="7">
        <f>ROUND(B54*NorthPct,4)</f>
        <v>4.575</v>
      </c>
    </row>
    <row r="55" spans="1:3" ht="12.75">
      <c r="A55" s="1" t="s">
        <v>74</v>
      </c>
      <c r="B55" s="7">
        <f>TriRes!B22</f>
        <v>4.485</v>
      </c>
      <c r="C55" s="7">
        <f>ROUND(B55*NorthPct,4)</f>
        <v>4.485</v>
      </c>
    </row>
    <row r="56" spans="1:3" ht="12.75">
      <c r="A56" s="1" t="s">
        <v>75</v>
      </c>
      <c r="B56" s="7">
        <f>TriRes!B23</f>
        <v>4.305</v>
      </c>
      <c r="C56" s="7">
        <f>ROUND(B56*NorthPct,4)</f>
        <v>4.305</v>
      </c>
    </row>
    <row r="58" spans="2:3" ht="15">
      <c r="B58" s="55" t="s">
        <v>57</v>
      </c>
      <c r="C58" s="55"/>
    </row>
    <row r="59" spans="2:3" ht="15">
      <c r="B59" s="6" t="s">
        <v>103</v>
      </c>
      <c r="C59" s="6" t="s">
        <v>104</v>
      </c>
    </row>
    <row r="60" spans="1:3" ht="12.75">
      <c r="A60" s="1" t="s">
        <v>0</v>
      </c>
      <c r="B60" s="31">
        <f>ElkRes!B9</f>
        <v>20.95</v>
      </c>
      <c r="C60" s="31">
        <f>ROUND(B60*NorthPct,2)</f>
        <v>20.95</v>
      </c>
    </row>
    <row r="61" spans="1:3" ht="12.75">
      <c r="A61" s="1" t="s">
        <v>1</v>
      </c>
      <c r="B61" s="31">
        <f>ElkRes!B10</f>
        <v>20.95</v>
      </c>
      <c r="C61" s="31">
        <f>ROUND(B61*NorthPct,2)</f>
        <v>20.95</v>
      </c>
    </row>
    <row r="62" spans="1:3" ht="12.75">
      <c r="A62" s="1" t="s">
        <v>2</v>
      </c>
      <c r="B62" s="31">
        <f>ElkRes!B11</f>
        <v>20.95</v>
      </c>
      <c r="C62" s="31">
        <f>ROUND(B62*NorthPct,2)</f>
        <v>20.95</v>
      </c>
    </row>
    <row r="63" spans="1:3" ht="12.75">
      <c r="A63" s="1" t="s">
        <v>71</v>
      </c>
      <c r="B63" s="7">
        <f>ElkRes!B14</f>
        <v>0</v>
      </c>
      <c r="C63" s="7">
        <f>ROUND(B63*NorthPct,4)</f>
        <v>0</v>
      </c>
    </row>
    <row r="64" spans="1:3" ht="12.75">
      <c r="A64" s="1" t="s">
        <v>85</v>
      </c>
      <c r="B64" s="7">
        <f>ElkRes!B15</f>
        <v>1.7625</v>
      </c>
      <c r="C64" s="7">
        <f>ROUND(B64*NorthPct,4)</f>
        <v>1.7625</v>
      </c>
    </row>
    <row r="65" spans="1:3" ht="12.75">
      <c r="A65" s="1" t="s">
        <v>86</v>
      </c>
      <c r="B65" s="7">
        <f>ElkRes!B16</f>
        <v>1.275</v>
      </c>
      <c r="C65" s="7">
        <f>ROUND(B65*NorthPct,4)</f>
        <v>1.275</v>
      </c>
    </row>
  </sheetData>
  <mergeCells count="3">
    <mergeCell ref="B25:C25"/>
    <mergeCell ref="B42:C42"/>
    <mergeCell ref="B58:C58"/>
  </mergeCells>
  <dataValidations count="1">
    <dataValidation type="list" allowBlank="1" showInputMessage="1" showErrorMessage="1" sqref="B8:B9 B21:B22 B16">
      <formula1>$G$3:$G$4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31" bestFit="1" customWidth="1"/>
    <col min="2" max="4" width="9.140625" style="31" customWidth="1"/>
    <col min="5" max="5" width="1.57421875" style="31" customWidth="1"/>
    <col min="6" max="8" width="9.140625" style="31" customWidth="1"/>
    <col min="9" max="9" width="1.421875" style="31" customWidth="1"/>
    <col min="10" max="16384" width="9.140625" style="31" customWidth="1"/>
  </cols>
  <sheetData>
    <row r="1" spans="1:12" ht="12.75">
      <c r="A1" s="31" t="str">
        <f>Name1</f>
        <v>Kentucky-American Water Company</v>
      </c>
      <c r="L1" s="51" t="str">
        <f>CONCATENATE("Schedule SJR-",IF(Activation,2,1))</f>
        <v>Schedule SJR-2</v>
      </c>
    </row>
    <row r="2" spans="1:12" ht="12.75">
      <c r="A2" s="31" t="str">
        <f>Name2</f>
        <v>Case No. 2004-00103</v>
      </c>
      <c r="L2" s="36" t="s">
        <v>138</v>
      </c>
    </row>
    <row r="4" ht="12.75">
      <c r="A4" s="45" t="str">
        <f>CONCATENATE("Present, Company Proposed, and AG Proposed Rates - with ",IF(Activation,"Activation Fee","No Activation Fee"))</f>
        <v>Present, Company Proposed, and AG Proposed Rates - with Activation Fee</v>
      </c>
    </row>
    <row r="6" spans="2:12" ht="15">
      <c r="B6" s="56" t="s">
        <v>55</v>
      </c>
      <c r="C6" s="56"/>
      <c r="D6" s="56"/>
      <c r="F6" s="56" t="s">
        <v>130</v>
      </c>
      <c r="G6" s="56"/>
      <c r="H6" s="56"/>
      <c r="J6" s="56" t="s">
        <v>136</v>
      </c>
      <c r="K6" s="56"/>
      <c r="L6" s="56"/>
    </row>
    <row r="7" spans="2:12" s="47" customFormat="1" ht="45">
      <c r="B7" s="47" t="s">
        <v>103</v>
      </c>
      <c r="C7" s="48" t="s">
        <v>90</v>
      </c>
      <c r="D7" s="48" t="s">
        <v>91</v>
      </c>
      <c r="F7" s="47" t="s">
        <v>103</v>
      </c>
      <c r="G7" s="48" t="s">
        <v>90</v>
      </c>
      <c r="H7" s="48" t="s">
        <v>91</v>
      </c>
      <c r="J7" s="47" t="s">
        <v>103</v>
      </c>
      <c r="K7" s="48" t="s">
        <v>90</v>
      </c>
      <c r="L7" s="48" t="s">
        <v>91</v>
      </c>
    </row>
    <row r="8" ht="15">
      <c r="A8" s="46" t="s">
        <v>126</v>
      </c>
    </row>
    <row r="9" spans="1:12" ht="12.75">
      <c r="A9" s="1" t="s">
        <v>0</v>
      </c>
      <c r="B9" s="33">
        <f>'[1]Schedule M'!$S$9</f>
        <v>7.31</v>
      </c>
      <c r="C9" s="32">
        <f>'[1]Schedule M'!$I$138</f>
        <v>8.428624080499999</v>
      </c>
      <c r="D9" s="33">
        <f>Control!C27</f>
        <v>7.29</v>
      </c>
      <c r="F9" s="27">
        <f>'[1]Schedule M Tri Village'!$L$138</f>
        <v>19.4</v>
      </c>
      <c r="G9" s="49">
        <f>'[1]Schedule M Tri Village'!$I$138</f>
        <v>27.210206229999997</v>
      </c>
      <c r="H9" s="31">
        <f>Control!C44</f>
        <v>19.4</v>
      </c>
      <c r="J9" s="27">
        <f>'[1]Schedule M Elk Lake'!$L$138</f>
        <v>20.95</v>
      </c>
      <c r="K9" s="27">
        <f>'[1]Schedule M Elk Lake'!$I$138</f>
        <v>29.74062838</v>
      </c>
      <c r="L9" s="27">
        <f>Control!C60</f>
        <v>20.95</v>
      </c>
    </row>
    <row r="10" spans="1:12" ht="12.75">
      <c r="A10" s="1" t="s">
        <v>1</v>
      </c>
      <c r="B10" s="17">
        <f>'[1]Schedule M'!$S$11</f>
        <v>10.97</v>
      </c>
      <c r="C10" s="31">
        <f>'[1]Schedule M'!$I$140</f>
        <v>12.648701253499999</v>
      </c>
      <c r="D10" s="31">
        <f>Control!C28</f>
        <v>10.95</v>
      </c>
      <c r="F10" s="31">
        <f>F9</f>
        <v>19.4</v>
      </c>
      <c r="G10" s="31">
        <f aca="true" t="shared" si="0" ref="G10:G16">G9</f>
        <v>27.210206229999997</v>
      </c>
      <c r="H10" s="31">
        <f>Control!C45</f>
        <v>19.4</v>
      </c>
      <c r="J10" s="31">
        <f aca="true" t="shared" si="1" ref="J10:L11">J9</f>
        <v>20.95</v>
      </c>
      <c r="K10" s="31">
        <f t="shared" si="1"/>
        <v>29.74062838</v>
      </c>
      <c r="L10" s="31">
        <f t="shared" si="1"/>
        <v>20.95</v>
      </c>
    </row>
    <row r="11" spans="1:12" ht="12.75">
      <c r="A11" s="1" t="s">
        <v>2</v>
      </c>
      <c r="B11" s="17">
        <f>'[1]Schedule M'!$S$13</f>
        <v>18.28</v>
      </c>
      <c r="C11" s="31">
        <f>'[1]Schedule M'!$I$142</f>
        <v>21.077325333999998</v>
      </c>
      <c r="D11" s="31">
        <f>Control!C29</f>
        <v>18.24</v>
      </c>
      <c r="F11" s="31">
        <f aca="true" t="shared" si="2" ref="F11:F16">F10</f>
        <v>19.4</v>
      </c>
      <c r="G11" s="31">
        <f t="shared" si="0"/>
        <v>27.210206229999997</v>
      </c>
      <c r="H11" s="31">
        <f>Control!C46</f>
        <v>19.4</v>
      </c>
      <c r="J11" s="31">
        <f t="shared" si="1"/>
        <v>20.95</v>
      </c>
      <c r="K11" s="31">
        <f t="shared" si="1"/>
        <v>29.74062838</v>
      </c>
      <c r="L11" s="31">
        <f t="shared" si="1"/>
        <v>20.95</v>
      </c>
    </row>
    <row r="12" spans="1:8" ht="12.75">
      <c r="A12" s="1" t="s">
        <v>3</v>
      </c>
      <c r="B12" s="17">
        <f>'[1]Schedule M'!$S$15</f>
        <v>36.55</v>
      </c>
      <c r="C12" s="31">
        <f>'[1]Schedule M'!$I$144</f>
        <v>42.14312040249999</v>
      </c>
      <c r="D12" s="31">
        <f>Control!C30</f>
        <v>36.47</v>
      </c>
      <c r="F12" s="31">
        <f t="shared" si="2"/>
        <v>19.4</v>
      </c>
      <c r="G12" s="31">
        <f t="shared" si="0"/>
        <v>27.210206229999997</v>
      </c>
      <c r="H12" s="31">
        <f>Control!C47</f>
        <v>19.4</v>
      </c>
    </row>
    <row r="13" spans="1:8" ht="12.75">
      <c r="A13" s="1" t="s">
        <v>4</v>
      </c>
      <c r="B13" s="17">
        <f>'[1]Schedule M'!$S$17</f>
        <v>58.48</v>
      </c>
      <c r="C13" s="31">
        <f>'[1]Schedule M'!$I$146</f>
        <v>67.42899264399999</v>
      </c>
      <c r="D13" s="31">
        <f>Control!C31</f>
        <v>58.36</v>
      </c>
      <c r="F13" s="31">
        <f t="shared" si="2"/>
        <v>19.4</v>
      </c>
      <c r="G13" s="31">
        <f t="shared" si="0"/>
        <v>27.210206229999997</v>
      </c>
      <c r="H13" s="31">
        <f>Control!C48</f>
        <v>19.4</v>
      </c>
    </row>
    <row r="14" spans="1:8" ht="12.75">
      <c r="A14" s="1" t="s">
        <v>5</v>
      </c>
      <c r="B14" s="17">
        <f>'[1]Schedule M'!$S$19</f>
        <v>109.65</v>
      </c>
      <c r="C14" s="31">
        <f>'[1]Schedule M'!$I$148</f>
        <v>126.4293612075</v>
      </c>
      <c r="D14" s="31">
        <f>Control!C32</f>
        <v>109.42</v>
      </c>
      <c r="F14" s="31">
        <f t="shared" si="2"/>
        <v>19.4</v>
      </c>
      <c r="G14" s="31">
        <f t="shared" si="0"/>
        <v>27.210206229999997</v>
      </c>
      <c r="H14" s="31">
        <f>Control!C49</f>
        <v>19.4</v>
      </c>
    </row>
    <row r="15" spans="1:8" ht="12.75">
      <c r="A15" s="1" t="s">
        <v>6</v>
      </c>
      <c r="B15" s="17">
        <f>'[1]Schedule M'!$S$21</f>
        <v>182.75</v>
      </c>
      <c r="C15" s="31">
        <f>'[1]Schedule M'!$I$150</f>
        <v>210.71560201249997</v>
      </c>
      <c r="D15" s="31">
        <f>Control!C33</f>
        <v>182.37</v>
      </c>
      <c r="F15" s="31">
        <f t="shared" si="2"/>
        <v>19.4</v>
      </c>
      <c r="G15" s="31">
        <f t="shared" si="0"/>
        <v>27.210206229999997</v>
      </c>
      <c r="H15" s="31">
        <f>Control!C50</f>
        <v>19.4</v>
      </c>
    </row>
    <row r="16" spans="1:8" ht="12.75">
      <c r="A16" s="1" t="s">
        <v>7</v>
      </c>
      <c r="B16" s="17">
        <f>'[1]Schedule M'!$S$23</f>
        <v>365.5</v>
      </c>
      <c r="C16" s="31">
        <f>'[1]Schedule M'!$I$152</f>
        <v>421.43120402499994</v>
      </c>
      <c r="D16" s="31">
        <f>Control!C34</f>
        <v>364.75</v>
      </c>
      <c r="F16" s="31">
        <f t="shared" si="2"/>
        <v>19.4</v>
      </c>
      <c r="G16" s="31">
        <f t="shared" si="0"/>
        <v>27.210206229999997</v>
      </c>
      <c r="H16" s="31">
        <f>Control!C51</f>
        <v>19.4</v>
      </c>
    </row>
    <row r="17" spans="1:4" ht="12.75">
      <c r="A17" s="1" t="s">
        <v>8</v>
      </c>
      <c r="B17" s="17">
        <f>'[1]Schedule M'!$S$25</f>
        <v>584.8</v>
      </c>
      <c r="C17" s="31">
        <f>'[1]Schedule M'!$I$154</f>
        <v>674.2899264399998</v>
      </c>
      <c r="D17" s="31">
        <f>Control!C35</f>
        <v>583.59</v>
      </c>
    </row>
    <row r="18" ht="12.75">
      <c r="A18" s="1"/>
    </row>
    <row r="19" ht="15">
      <c r="A19" s="9" t="s">
        <v>127</v>
      </c>
    </row>
    <row r="20" spans="1:4" ht="12.75">
      <c r="A20" s="5" t="s">
        <v>27</v>
      </c>
      <c r="B20" s="7">
        <f>'[1]Schedule M'!$L$159</f>
        <v>1.67581</v>
      </c>
      <c r="C20" s="7">
        <f>'[1]Schedule M'!$I$159</f>
        <v>1.9322534227554997</v>
      </c>
      <c r="D20" s="7">
        <f>Control!C36</f>
        <v>1.6727</v>
      </c>
    </row>
    <row r="21" spans="1:4" ht="12.75">
      <c r="A21" s="5" t="s">
        <v>28</v>
      </c>
      <c r="B21" s="12">
        <f>'[1]Schedule M'!$L$220</f>
        <v>1.55174</v>
      </c>
      <c r="C21" s="12">
        <f>'[1]Schedule M'!$I$220</f>
        <v>1.7891974186969997</v>
      </c>
      <c r="D21" s="7">
        <f>Control!C37</f>
        <v>1.5488</v>
      </c>
    </row>
    <row r="22" spans="1:4" ht="12.75">
      <c r="A22" s="5" t="s">
        <v>29</v>
      </c>
      <c r="B22" s="12">
        <f>'[1]Schedule M'!$L$281</f>
        <v>1.26621</v>
      </c>
      <c r="C22" s="12">
        <f>'[1]Schedule M'!$I$281</f>
        <v>1.4599737478755</v>
      </c>
      <c r="D22" s="7">
        <f>Control!C38</f>
        <v>1.2639</v>
      </c>
    </row>
    <row r="23" spans="1:4" ht="12.75">
      <c r="A23" s="5" t="s">
        <v>30</v>
      </c>
      <c r="B23" s="12">
        <f>'[1]Schedule M'!$L$342</f>
        <v>1.48647</v>
      </c>
      <c r="C23" s="12">
        <f>'[1]Schedule M'!$I$342</f>
        <v>1.7139393757784998</v>
      </c>
      <c r="D23" s="7">
        <f>Control!C39</f>
        <v>1.4837</v>
      </c>
    </row>
    <row r="24" spans="1:4" ht="12.75">
      <c r="A24" s="5" t="s">
        <v>31</v>
      </c>
      <c r="B24" s="12">
        <f>'[1]Schedule M'!$L$403</f>
        <v>1.48647</v>
      </c>
      <c r="C24" s="12">
        <f>'[1]Schedule M'!$I$403</f>
        <v>1.7139393757784998</v>
      </c>
      <c r="D24" s="7">
        <f>Control!C40</f>
        <v>1.4837</v>
      </c>
    </row>
    <row r="25" spans="1:12" ht="12.75">
      <c r="A25" s="5" t="s">
        <v>131</v>
      </c>
      <c r="F25" s="27">
        <f>'[1]Schedule M Tri Village'!$L$160</f>
        <v>0</v>
      </c>
      <c r="G25" s="27">
        <f>'[1]Schedule M Tri Village'!$I$160</f>
        <v>0</v>
      </c>
      <c r="H25" s="27">
        <f>Control!C52</f>
        <v>0</v>
      </c>
      <c r="J25" s="27">
        <f>'[1]Schedule M Elk Lake'!$L$159</f>
        <v>0</v>
      </c>
      <c r="K25" s="34">
        <f>'[1]Schedule M Elk Lake'!$I$159</f>
        <v>0</v>
      </c>
      <c r="L25" s="34">
        <f>Control!C63</f>
        <v>0</v>
      </c>
    </row>
    <row r="26" spans="1:12" ht="12.75">
      <c r="A26" s="5" t="s">
        <v>132</v>
      </c>
      <c r="F26" s="12">
        <f>'[1]Schedule M Tri Village'!$L$161</f>
        <v>4.665</v>
      </c>
      <c r="G26" s="12">
        <f>'[1]Schedule M Tri Village'!$I$161</f>
        <v>6.54307</v>
      </c>
      <c r="H26" s="12">
        <f>Control!C53</f>
        <v>4.665</v>
      </c>
      <c r="J26" s="12">
        <f>'[1]Schedule M Elk Lake'!$L$160</f>
        <v>1.7625</v>
      </c>
      <c r="K26" s="12">
        <f>'[1]Schedule M Elk Lake'!$I$160</f>
        <v>2.502045705</v>
      </c>
      <c r="L26" s="12">
        <f>Control!C64</f>
        <v>1.7625</v>
      </c>
    </row>
    <row r="27" spans="1:12" ht="12.75">
      <c r="A27" s="5" t="s">
        <v>133</v>
      </c>
      <c r="F27" s="12">
        <f>'[1]Schedule M Tri Village'!$L$162</f>
        <v>4.575</v>
      </c>
      <c r="G27" s="12">
        <f>'[1]Schedule M Tri Village'!$I$162</f>
        <v>6.41684</v>
      </c>
      <c r="H27" s="12">
        <f>Control!C54</f>
        <v>4.575</v>
      </c>
      <c r="J27" s="12">
        <f>'[1]Schedule M Elk Lake'!$L$161</f>
        <v>1.275</v>
      </c>
      <c r="K27" s="12">
        <f>'[1]Schedule M Elk Lake'!$I$161</f>
        <v>1.8099905099999998</v>
      </c>
      <c r="L27" s="12">
        <f>Control!C65</f>
        <v>1.275</v>
      </c>
    </row>
    <row r="28" spans="1:8" ht="12.75">
      <c r="A28" s="5" t="s">
        <v>134</v>
      </c>
      <c r="F28" s="12">
        <f>'[1]Schedule M Tri Village'!$L$163</f>
        <v>4.485</v>
      </c>
      <c r="G28" s="12">
        <f>'[1]Schedule M Tri Village'!$I$163</f>
        <v>6.29061</v>
      </c>
      <c r="H28" s="12">
        <f>Control!C55</f>
        <v>4.485</v>
      </c>
    </row>
    <row r="29" spans="1:8" ht="12.75">
      <c r="A29" s="5" t="s">
        <v>135</v>
      </c>
      <c r="F29" s="12">
        <f>'[1]Schedule M Tri Village'!$L$164</f>
        <v>4.305</v>
      </c>
      <c r="G29" s="12">
        <f>'[1]Schedule M Tri Village'!$I$164</f>
        <v>6.03814</v>
      </c>
      <c r="H29" s="12">
        <f>Control!C56</f>
        <v>4.305</v>
      </c>
    </row>
    <row r="31" ht="15">
      <c r="A31" s="46" t="s">
        <v>128</v>
      </c>
    </row>
    <row r="32" ht="12.75">
      <c r="A32" s="2" t="s">
        <v>14</v>
      </c>
    </row>
    <row r="33" spans="1:4" ht="12.75">
      <c r="A33" s="3" t="s">
        <v>24</v>
      </c>
      <c r="B33" s="22">
        <f>'[1]Schedule M'!$L$504</f>
        <v>48</v>
      </c>
      <c r="C33" s="27">
        <f>'[1]Schedule M'!$I$504</f>
        <v>55.32</v>
      </c>
      <c r="D33" s="31">
        <f>ROUND(B33*CentralPct,2)</f>
        <v>47.9</v>
      </c>
    </row>
    <row r="34" spans="1:4" ht="12.75">
      <c r="A34" s="3" t="s">
        <v>16</v>
      </c>
      <c r="B34" s="21">
        <f>'[1]Schedule M'!$L$505</f>
        <v>192</v>
      </c>
      <c r="C34" s="26">
        <f>'[1]Schedule M'!$I$505</f>
        <v>221.4</v>
      </c>
      <c r="D34" s="31">
        <f aca="true" t="shared" si="3" ref="D34:D44">ROUND(B34*CentralPct,2)</f>
        <v>191.6</v>
      </c>
    </row>
    <row r="35" spans="1:4" ht="12.75">
      <c r="A35" s="3" t="s">
        <v>17</v>
      </c>
      <c r="B35" s="21">
        <f>'[1]Schedule M'!$L$506</f>
        <v>431.52</v>
      </c>
      <c r="C35" s="26">
        <f>'[1]Schedule M'!$I$506</f>
        <v>497.52</v>
      </c>
      <c r="D35" s="31">
        <f t="shared" si="3"/>
        <v>430.63</v>
      </c>
    </row>
    <row r="36" spans="1:4" ht="12.75">
      <c r="A36" s="3" t="s">
        <v>18</v>
      </c>
      <c r="B36" s="21">
        <f>'[1]Schedule M'!$L$507</f>
        <v>767.04</v>
      </c>
      <c r="C36" s="26">
        <f>'[1]Schedule M'!$I$507</f>
        <v>884.4</v>
      </c>
      <c r="D36" s="31">
        <f t="shared" si="3"/>
        <v>765.46</v>
      </c>
    </row>
    <row r="37" spans="1:4" ht="12.75">
      <c r="A37" s="3" t="s">
        <v>19</v>
      </c>
      <c r="B37" s="21">
        <f>'[1]Schedule M'!$L$508</f>
        <v>1198.56</v>
      </c>
      <c r="C37" s="26">
        <f>'[1]Schedule M'!$I$508</f>
        <v>1381.92</v>
      </c>
      <c r="D37" s="31">
        <f t="shared" si="3"/>
        <v>1196.09</v>
      </c>
    </row>
    <row r="38" spans="1:4" ht="12.75">
      <c r="A38" s="3" t="s">
        <v>20</v>
      </c>
      <c r="B38" s="21">
        <f>'[1]Schedule M'!$L$509</f>
        <v>1726.2</v>
      </c>
      <c r="C38" s="26">
        <f>'[1]Schedule M'!$I$509</f>
        <v>1990.32</v>
      </c>
      <c r="D38" s="31">
        <f t="shared" si="3"/>
        <v>1722.64</v>
      </c>
    </row>
    <row r="39" spans="1:4" ht="12.75">
      <c r="A39" s="3" t="s">
        <v>21</v>
      </c>
      <c r="B39" s="21">
        <f>'[1]Schedule M'!$L$510</f>
        <v>2349.84</v>
      </c>
      <c r="C39" s="26">
        <f>'[1]Schedule M'!$I$510</f>
        <v>2709.48</v>
      </c>
      <c r="D39" s="31">
        <f t="shared" si="3"/>
        <v>2344.99</v>
      </c>
    </row>
    <row r="40" spans="1:4" ht="12.75">
      <c r="A40" s="3" t="s">
        <v>22</v>
      </c>
      <c r="B40" s="21">
        <f>'[1]Schedule M'!$L$511</f>
        <v>3068.4</v>
      </c>
      <c r="C40" s="26">
        <f>'[1]Schedule M'!$I$511</f>
        <v>3537.96</v>
      </c>
      <c r="D40" s="31">
        <f t="shared" si="3"/>
        <v>3062.07</v>
      </c>
    </row>
    <row r="41" spans="1:4" ht="12.75">
      <c r="A41" s="3" t="s">
        <v>129</v>
      </c>
      <c r="B41" s="21">
        <f>'[1]Schedule M'!$L$512</f>
        <v>431.52</v>
      </c>
      <c r="C41" s="26">
        <f>'[1]Schedule M'!$I$512</f>
        <v>497.52</v>
      </c>
      <c r="D41" s="31">
        <f t="shared" si="3"/>
        <v>430.63</v>
      </c>
    </row>
    <row r="42" spans="1:3" ht="12.75">
      <c r="A42" s="11"/>
      <c r="B42" s="4"/>
      <c r="C42" s="11"/>
    </row>
    <row r="43" spans="1:3" ht="12.75">
      <c r="A43" s="2" t="s">
        <v>25</v>
      </c>
      <c r="B43" s="4"/>
      <c r="C43" s="11"/>
    </row>
    <row r="44" spans="1:4" ht="12.75">
      <c r="A44" s="3" t="s">
        <v>26</v>
      </c>
      <c r="B44" s="22">
        <f>'[1]Schedule M'!$L$565</f>
        <v>287.52</v>
      </c>
      <c r="C44" s="27">
        <f>'[1]Schedule M'!$I$565</f>
        <v>331.56</v>
      </c>
      <c r="D44" s="31">
        <f t="shared" si="3"/>
        <v>286.93</v>
      </c>
    </row>
  </sheetData>
  <mergeCells count="3">
    <mergeCell ref="B6:D6"/>
    <mergeCell ref="F6:H6"/>
    <mergeCell ref="J6:L6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1" sqref="A1"/>
    </sheetView>
  </sheetViews>
  <sheetFormatPr defaultColWidth="9.140625" defaultRowHeight="12.75"/>
  <cols>
    <col min="1" max="1" width="20.421875" style="1" bestFit="1" customWidth="1"/>
    <col min="2" max="2" width="12.28125" style="1" customWidth="1"/>
    <col min="3" max="3" width="11.421875" style="1" customWidth="1"/>
    <col min="4" max="4" width="12.28125" style="1" customWidth="1"/>
    <col min="5" max="5" width="12.8515625" style="1" bestFit="1" customWidth="1"/>
    <col min="6" max="6" width="12.28125" style="1" bestFit="1" customWidth="1"/>
    <col min="7" max="7" width="11.421875" style="1" bestFit="1" customWidth="1"/>
    <col min="8" max="8" width="11.28125" style="1" bestFit="1" customWidth="1"/>
    <col min="9" max="9" width="12.28125" style="1" bestFit="1" customWidth="1"/>
    <col min="10" max="10" width="11.421875" style="1" bestFit="1" customWidth="1"/>
    <col min="11" max="16384" width="9.140625" style="1" customWidth="1"/>
  </cols>
  <sheetData>
    <row r="1" spans="1:10" ht="12.75">
      <c r="A1" s="1" t="str">
        <f>Name1</f>
        <v>Kentucky-American Water Company</v>
      </c>
      <c r="J1" s="51" t="str">
        <f>CONCATENATE("Schedule SJR-",IF(Activation,2,1))</f>
        <v>Schedule SJR-2</v>
      </c>
    </row>
    <row r="2" spans="1:10" ht="12.75">
      <c r="A2" s="1" t="str">
        <f>Name2</f>
        <v>Case No. 2004-00103</v>
      </c>
      <c r="J2" s="36" t="s">
        <v>137</v>
      </c>
    </row>
    <row r="4" s="24" customFormat="1" ht="12.75">
      <c r="A4" s="24" t="str">
        <f>CONCATENATE("Proof of Revenue - Summary - with ",IF(Activation,"Activation Fee","No Activation Fee"))</f>
        <v>Proof of Revenue - Summary - with Activation Fee</v>
      </c>
    </row>
    <row r="5" ht="12.75">
      <c r="A5" s="5"/>
    </row>
    <row r="6" spans="2:10" ht="15">
      <c r="B6" s="55" t="s">
        <v>46</v>
      </c>
      <c r="C6" s="55"/>
      <c r="D6" s="55"/>
      <c r="E6" s="55" t="s">
        <v>50</v>
      </c>
      <c r="F6" s="55"/>
      <c r="G6" s="55"/>
      <c r="H6" s="55" t="s">
        <v>52</v>
      </c>
      <c r="I6" s="55"/>
      <c r="J6" s="55"/>
    </row>
    <row r="7" spans="2:10" s="6" customFormat="1" ht="30">
      <c r="B7" s="6" t="s">
        <v>38</v>
      </c>
      <c r="C7" s="18" t="s">
        <v>47</v>
      </c>
      <c r="D7" s="18" t="s">
        <v>48</v>
      </c>
      <c r="E7" s="18" t="s">
        <v>51</v>
      </c>
      <c r="F7" s="18" t="s">
        <v>11</v>
      </c>
      <c r="G7" s="6" t="s">
        <v>49</v>
      </c>
      <c r="H7" s="18" t="s">
        <v>51</v>
      </c>
      <c r="I7" s="18" t="s">
        <v>11</v>
      </c>
      <c r="J7" s="6" t="s">
        <v>49</v>
      </c>
    </row>
    <row r="8" spans="1:9" s="6" customFormat="1" ht="15">
      <c r="A8" s="23" t="s">
        <v>55</v>
      </c>
      <c r="C8" s="18"/>
      <c r="D8" s="18"/>
      <c r="E8" s="18"/>
      <c r="F8" s="18"/>
      <c r="H8" s="18"/>
      <c r="I8" s="18"/>
    </row>
    <row r="9" spans="1:10" ht="12.75">
      <c r="A9" s="5" t="s">
        <v>27</v>
      </c>
      <c r="B9" s="10">
        <f>Res!$D$22</f>
        <v>22240461</v>
      </c>
      <c r="C9" s="10">
        <f>D9-B9</f>
        <v>1246548</v>
      </c>
      <c r="D9" s="10">
        <f>Res!$G$22</f>
        <v>23487009</v>
      </c>
      <c r="E9" s="10">
        <f>F9-D9</f>
        <v>3594137</v>
      </c>
      <c r="F9" s="10">
        <f>Res!$I$22</f>
        <v>27081146</v>
      </c>
      <c r="G9" s="52">
        <f>E9/D9</f>
        <v>0.1530265944037404</v>
      </c>
      <c r="H9" s="10">
        <f>I9-D9</f>
        <v>-51337</v>
      </c>
      <c r="I9" s="10">
        <f>Res!$L$22</f>
        <v>23435672</v>
      </c>
      <c r="J9" s="52">
        <f>H9/D9</f>
        <v>-0.002185761499048261</v>
      </c>
    </row>
    <row r="10" spans="1:10" ht="12.75">
      <c r="A10" s="5" t="s">
        <v>28</v>
      </c>
      <c r="B10" s="1">
        <f>Comm!$D$22</f>
        <v>10515514</v>
      </c>
      <c r="C10" s="1">
        <f aca="true" t="shared" si="0" ref="C10:C16">D10-B10</f>
        <v>984885</v>
      </c>
      <c r="D10" s="1">
        <f>Comm!$G$22</f>
        <v>11500399</v>
      </c>
      <c r="E10" s="1">
        <f aca="true" t="shared" si="1" ref="E10:E16">F10-D10</f>
        <v>1759866</v>
      </c>
      <c r="F10" s="1">
        <f>Comm!$I$22</f>
        <v>13260265</v>
      </c>
      <c r="G10" s="52">
        <f aca="true" t="shared" si="2" ref="G10:G17">E10/D10</f>
        <v>0.15302651673215859</v>
      </c>
      <c r="H10" s="1">
        <f aca="true" t="shared" si="3" ref="H10:H16">I10-D10</f>
        <v>-22472</v>
      </c>
      <c r="I10" s="1">
        <f>Comm!$L$22</f>
        <v>11477927</v>
      </c>
      <c r="J10" s="52">
        <f aca="true" t="shared" si="4" ref="J10:J17">H10/D10</f>
        <v>-0.0019540191605526033</v>
      </c>
    </row>
    <row r="11" spans="1:10" ht="12.75">
      <c r="A11" s="5" t="s">
        <v>29</v>
      </c>
      <c r="B11" s="1">
        <f>Ind!$D$22</f>
        <v>1580199</v>
      </c>
      <c r="C11" s="1">
        <f t="shared" si="0"/>
        <v>0</v>
      </c>
      <c r="D11" s="1">
        <f>Ind!$G$22</f>
        <v>1580199</v>
      </c>
      <c r="E11" s="1">
        <f t="shared" si="1"/>
        <v>241813</v>
      </c>
      <c r="F11" s="1">
        <f>Ind!$I$22</f>
        <v>1822012</v>
      </c>
      <c r="G11" s="52">
        <f t="shared" si="2"/>
        <v>0.15302692888680478</v>
      </c>
      <c r="H11" s="1">
        <f t="shared" si="3"/>
        <v>-2897</v>
      </c>
      <c r="I11" s="1">
        <f>Ind!$L$22</f>
        <v>1577302</v>
      </c>
      <c r="J11" s="52">
        <f t="shared" si="4"/>
        <v>-0.0018333133991351722</v>
      </c>
    </row>
    <row r="12" spans="1:10" ht="12.75">
      <c r="A12" s="5" t="s">
        <v>30</v>
      </c>
      <c r="B12" s="1">
        <f>OPA!$D$22</f>
        <v>3121088</v>
      </c>
      <c r="C12" s="1">
        <f t="shared" si="0"/>
        <v>0</v>
      </c>
      <c r="D12" s="1">
        <f>OPA!$G$22</f>
        <v>3121088</v>
      </c>
      <c r="E12" s="1">
        <f t="shared" si="1"/>
        <v>477612</v>
      </c>
      <c r="F12" s="1">
        <f>OPA!$I$22</f>
        <v>3598700</v>
      </c>
      <c r="G12" s="52">
        <f t="shared" si="2"/>
        <v>0.15302740582771135</v>
      </c>
      <c r="H12" s="1">
        <f t="shared" si="3"/>
        <v>-5905</v>
      </c>
      <c r="I12" s="1">
        <f>OPA!$L$22</f>
        <v>3115183</v>
      </c>
      <c r="J12" s="52">
        <f t="shared" si="4"/>
        <v>-0.0018919684417741506</v>
      </c>
    </row>
    <row r="13" spans="1:10" ht="12.75">
      <c r="A13" s="5" t="s">
        <v>31</v>
      </c>
      <c r="B13" s="1">
        <f>Resale!$D$22</f>
        <v>771314</v>
      </c>
      <c r="C13" s="1">
        <f t="shared" si="0"/>
        <v>0</v>
      </c>
      <c r="D13" s="1">
        <f>Resale!$G$22</f>
        <v>771314</v>
      </c>
      <c r="E13" s="1">
        <f t="shared" si="1"/>
        <v>118031</v>
      </c>
      <c r="F13" s="1">
        <f>Resale!$I$22</f>
        <v>889345</v>
      </c>
      <c r="G13" s="52">
        <f t="shared" si="2"/>
        <v>0.15302587532444634</v>
      </c>
      <c r="H13" s="1">
        <f t="shared" si="3"/>
        <v>-1444</v>
      </c>
      <c r="I13" s="1">
        <f>Resale!$L$22</f>
        <v>769870</v>
      </c>
      <c r="J13" s="52">
        <f t="shared" si="4"/>
        <v>-0.0018721298978107489</v>
      </c>
    </row>
    <row r="14" spans="1:10" ht="12.75">
      <c r="A14" s="5" t="s">
        <v>14</v>
      </c>
      <c r="B14" s="1">
        <f>Fire!D19</f>
        <v>839000</v>
      </c>
      <c r="C14" s="1">
        <f t="shared" si="0"/>
        <v>28912</v>
      </c>
      <c r="D14" s="1">
        <f>Fire!G19</f>
        <v>867912</v>
      </c>
      <c r="E14" s="1">
        <f t="shared" si="1"/>
        <v>132764</v>
      </c>
      <c r="F14" s="1">
        <f>Fire!$I$19</f>
        <v>1000676</v>
      </c>
      <c r="G14" s="52">
        <f t="shared" si="2"/>
        <v>0.1529694254717068</v>
      </c>
      <c r="H14" s="1">
        <f t="shared" si="3"/>
        <v>-1791</v>
      </c>
      <c r="I14" s="1">
        <f>Fire!$L$19</f>
        <v>866121</v>
      </c>
      <c r="J14" s="52">
        <f t="shared" si="4"/>
        <v>-0.002063573265492354</v>
      </c>
    </row>
    <row r="15" spans="1:10" ht="12.75">
      <c r="A15" s="5" t="s">
        <v>25</v>
      </c>
      <c r="B15" s="1">
        <f>Fire!D22</f>
        <v>1802175</v>
      </c>
      <c r="C15" s="1">
        <f t="shared" si="0"/>
        <v>89132</v>
      </c>
      <c r="D15" s="1">
        <f>Fire!G22</f>
        <v>1891307</v>
      </c>
      <c r="E15" s="1">
        <f t="shared" si="1"/>
        <v>289695</v>
      </c>
      <c r="F15" s="1">
        <f>Fire!$I$22</f>
        <v>2181002</v>
      </c>
      <c r="G15" s="52">
        <f t="shared" si="2"/>
        <v>0.15317185417280219</v>
      </c>
      <c r="H15" s="1">
        <f t="shared" si="3"/>
        <v>-3881</v>
      </c>
      <c r="I15" s="1">
        <f>Fire!$L$22</f>
        <v>1887426</v>
      </c>
      <c r="J15" s="52">
        <f t="shared" si="4"/>
        <v>-0.002052020110960304</v>
      </c>
    </row>
    <row r="16" spans="1:10" ht="15">
      <c r="A16" s="5" t="s">
        <v>32</v>
      </c>
      <c r="B16" s="9">
        <f>Misc!B15</f>
        <v>1601604</v>
      </c>
      <c r="C16" s="9">
        <f t="shared" si="0"/>
        <v>0</v>
      </c>
      <c r="D16" s="9">
        <f>Misc!D15</f>
        <v>1601604</v>
      </c>
      <c r="E16" s="9">
        <f t="shared" si="1"/>
        <v>665280</v>
      </c>
      <c r="F16" s="9">
        <f>Misc!$E$15</f>
        <v>2266884</v>
      </c>
      <c r="G16" s="52">
        <f t="shared" si="2"/>
        <v>0.415383577963092</v>
      </c>
      <c r="H16" s="9">
        <f t="shared" si="3"/>
        <v>194340</v>
      </c>
      <c r="I16" s="9">
        <f>Misc!$F$15</f>
        <v>1795944</v>
      </c>
      <c r="J16" s="52">
        <f t="shared" si="4"/>
        <v>0.12134085579206845</v>
      </c>
    </row>
    <row r="17" spans="1:10" ht="12.75">
      <c r="A17" s="5" t="s">
        <v>65</v>
      </c>
      <c r="B17" s="10">
        <f>SUM(B9:B16)</f>
        <v>42471355</v>
      </c>
      <c r="C17" s="10">
        <f>SUM(C9:C16)</f>
        <v>2349477</v>
      </c>
      <c r="D17" s="10">
        <f>SUM(D9:D16)</f>
        <v>44820832</v>
      </c>
      <c r="E17" s="10">
        <f>SUM(E9:E16)</f>
        <v>7279198</v>
      </c>
      <c r="F17" s="10">
        <f>SUM(F9:F16)</f>
        <v>52100030</v>
      </c>
      <c r="G17" s="52">
        <f t="shared" si="2"/>
        <v>0.16240657915497864</v>
      </c>
      <c r="H17" s="10">
        <f>SUM(H9:H16)</f>
        <v>104613</v>
      </c>
      <c r="I17" s="10">
        <f>SUM(I9:I16)</f>
        <v>44925445</v>
      </c>
      <c r="J17" s="52">
        <f t="shared" si="4"/>
        <v>0.0023340262849203693</v>
      </c>
    </row>
    <row r="18" spans="7:10" ht="12.75">
      <c r="G18" s="53"/>
      <c r="J18" s="53"/>
    </row>
    <row r="19" spans="1:10" ht="12.75">
      <c r="A19" s="24" t="s">
        <v>56</v>
      </c>
      <c r="G19" s="53"/>
      <c r="J19" s="53"/>
    </row>
    <row r="20" spans="1:10" ht="12.75">
      <c r="A20" s="5" t="s">
        <v>27</v>
      </c>
      <c r="B20" s="10">
        <f>TriRes!D26</f>
        <v>782356</v>
      </c>
      <c r="C20" s="10">
        <f>D20-B20</f>
        <v>0</v>
      </c>
      <c r="D20" s="10">
        <f>TriRes!G26</f>
        <v>782356</v>
      </c>
      <c r="E20" s="10">
        <f>F20-D20</f>
        <v>314969</v>
      </c>
      <c r="F20" s="10">
        <f>TriRes!$I$26</f>
        <v>1097325</v>
      </c>
      <c r="G20" s="52">
        <f aca="true" t="shared" si="5" ref="G20:G25">E20/D20</f>
        <v>0.4025903808496388</v>
      </c>
      <c r="H20" s="10">
        <f>I20-D20</f>
        <v>0</v>
      </c>
      <c r="I20" s="10">
        <f>TriRes!$L$26</f>
        <v>782356</v>
      </c>
      <c r="J20" s="52">
        <f>H20/D20</f>
        <v>0</v>
      </c>
    </row>
    <row r="21" spans="1:10" ht="12.75">
      <c r="A21" s="5" t="s">
        <v>28</v>
      </c>
      <c r="B21" s="1">
        <f>TriComm!D26</f>
        <v>30012</v>
      </c>
      <c r="C21" s="1">
        <f>D21-B21</f>
        <v>0</v>
      </c>
      <c r="D21" s="1">
        <f>TriComm!G26</f>
        <v>30012</v>
      </c>
      <c r="E21" s="1">
        <f>F21-D21</f>
        <v>12082</v>
      </c>
      <c r="F21" s="1">
        <f>TriComm!$I$26</f>
        <v>42094</v>
      </c>
      <c r="G21" s="52">
        <f t="shared" si="5"/>
        <v>0.4025723044115687</v>
      </c>
      <c r="H21" s="1">
        <f>I21-D21</f>
        <v>0</v>
      </c>
      <c r="I21" s="1">
        <f>TriComm!$L$26</f>
        <v>30012</v>
      </c>
      <c r="J21" s="52">
        <f>H21/D21</f>
        <v>0</v>
      </c>
    </row>
    <row r="22" spans="1:10" ht="12.75">
      <c r="A22" s="5" t="s">
        <v>30</v>
      </c>
      <c r="B22" s="1">
        <f>TriOPA!D26</f>
        <v>8035</v>
      </c>
      <c r="C22" s="1">
        <f>D22-B22</f>
        <v>0</v>
      </c>
      <c r="D22" s="1">
        <f>TriOPA!G26</f>
        <v>8035</v>
      </c>
      <c r="E22" s="1">
        <f>F22-D22</f>
        <v>3234</v>
      </c>
      <c r="F22" s="1">
        <f>TriOPA!$I$26</f>
        <v>11269</v>
      </c>
      <c r="G22" s="52">
        <f t="shared" si="5"/>
        <v>0.40248911014312383</v>
      </c>
      <c r="H22" s="1">
        <f>I22-D22</f>
        <v>0</v>
      </c>
      <c r="I22" s="1">
        <f>TriOPA!$L$26</f>
        <v>8035</v>
      </c>
      <c r="J22" s="52">
        <f>H22/D22</f>
        <v>0</v>
      </c>
    </row>
    <row r="23" spans="1:10" ht="12.75">
      <c r="A23" s="5" t="s">
        <v>31</v>
      </c>
      <c r="B23" s="1">
        <f>TriResale!D26</f>
        <v>4656</v>
      </c>
      <c r="C23" s="1">
        <f>D23-B23</f>
        <v>0</v>
      </c>
      <c r="D23" s="1">
        <f>TriResale!G26</f>
        <v>4656</v>
      </c>
      <c r="E23" s="1">
        <f>F23-D23</f>
        <v>1874</v>
      </c>
      <c r="F23" s="1">
        <f>TriResale!$I$26</f>
        <v>6530</v>
      </c>
      <c r="G23" s="52">
        <f t="shared" si="5"/>
        <v>0.4024914089347079</v>
      </c>
      <c r="H23" s="1">
        <f>I23-D23</f>
        <v>0</v>
      </c>
      <c r="I23" s="1">
        <f>TriResale!$L$26</f>
        <v>4656</v>
      </c>
      <c r="J23" s="52">
        <f>H23/D23</f>
        <v>0</v>
      </c>
    </row>
    <row r="24" spans="1:10" ht="15">
      <c r="A24" s="5" t="s">
        <v>32</v>
      </c>
      <c r="B24" s="9">
        <f>TriMisc!B14</f>
        <v>0</v>
      </c>
      <c r="C24" s="9">
        <f>D24-B24</f>
        <v>0</v>
      </c>
      <c r="D24" s="9">
        <f>TriMisc!D14</f>
        <v>0</v>
      </c>
      <c r="E24" s="9">
        <f>F24-D24</f>
        <v>6480</v>
      </c>
      <c r="F24" s="9">
        <f>TriMisc!$E$14</f>
        <v>6480</v>
      </c>
      <c r="G24" s="52"/>
      <c r="H24" s="9">
        <f>I24-D24</f>
        <v>6480</v>
      </c>
      <c r="I24" s="9">
        <f>TriMisc!$F$14</f>
        <v>6480</v>
      </c>
      <c r="J24" s="52"/>
    </row>
    <row r="25" spans="1:10" ht="12.75">
      <c r="A25" s="5" t="s">
        <v>65</v>
      </c>
      <c r="B25" s="10">
        <f>SUM(B20:B24)</f>
        <v>825059</v>
      </c>
      <c r="C25" s="10">
        <f>SUM(C20:C24)</f>
        <v>0</v>
      </c>
      <c r="D25" s="10">
        <f>SUM(D20:D24)</f>
        <v>825059</v>
      </c>
      <c r="E25" s="10">
        <f>SUM(E20:E24)</f>
        <v>338639</v>
      </c>
      <c r="F25" s="10">
        <f>SUM(F20:F24)</f>
        <v>1163698</v>
      </c>
      <c r="G25" s="52">
        <f t="shared" si="5"/>
        <v>0.4104421623180888</v>
      </c>
      <c r="H25" s="10">
        <f>SUM(H20:H24)</f>
        <v>6480</v>
      </c>
      <c r="I25" s="10">
        <f>SUM(I20:I24)</f>
        <v>831539</v>
      </c>
      <c r="J25" s="52">
        <f>H25/D25</f>
        <v>0.007853983775705738</v>
      </c>
    </row>
    <row r="26" spans="7:10" ht="12.75">
      <c r="G26" s="53"/>
      <c r="J26" s="53"/>
    </row>
    <row r="27" spans="1:10" ht="12.75">
      <c r="A27" s="24" t="s">
        <v>57</v>
      </c>
      <c r="G27" s="53"/>
      <c r="J27" s="53"/>
    </row>
    <row r="28" spans="1:10" ht="12.75">
      <c r="A28" s="5" t="s">
        <v>27</v>
      </c>
      <c r="B28" s="10">
        <f>ElkRes!D19</f>
        <v>93248</v>
      </c>
      <c r="C28" s="10">
        <f>D28-B28</f>
        <v>0</v>
      </c>
      <c r="D28" s="10">
        <f>ElkRes!G19</f>
        <v>93248</v>
      </c>
      <c r="E28" s="10">
        <f>F28-D28</f>
        <v>39126</v>
      </c>
      <c r="F28" s="10">
        <f>ElkRes!$I$19</f>
        <v>132374</v>
      </c>
      <c r="G28" s="52">
        <f>E28/D28</f>
        <v>0.419590768702814</v>
      </c>
      <c r="H28" s="10">
        <f>I28-D28</f>
        <v>0</v>
      </c>
      <c r="I28" s="10">
        <f>ElkRes!$L$19</f>
        <v>93248</v>
      </c>
      <c r="J28" s="52">
        <f>H28/D28</f>
        <v>0</v>
      </c>
    </row>
    <row r="29" spans="1:10" ht="15">
      <c r="A29" s="5" t="s">
        <v>32</v>
      </c>
      <c r="B29" s="9">
        <f>ElkMisc!B14</f>
        <v>0</v>
      </c>
      <c r="C29" s="9">
        <f>D29-B29</f>
        <v>0</v>
      </c>
      <c r="D29" s="9">
        <f>ElkMisc!D14</f>
        <v>0</v>
      </c>
      <c r="E29" s="9">
        <f>F29-D29</f>
        <v>240</v>
      </c>
      <c r="F29" s="29">
        <f>ElkMisc!$E$14</f>
        <v>240</v>
      </c>
      <c r="G29" s="52"/>
      <c r="H29" s="9">
        <f>I29-D29</f>
        <v>240</v>
      </c>
      <c r="I29" s="29">
        <f>ElkMisc!$F$14</f>
        <v>240</v>
      </c>
      <c r="J29" s="52"/>
    </row>
    <row r="30" spans="1:10" ht="12.75">
      <c r="A30" s="5" t="s">
        <v>65</v>
      </c>
      <c r="B30" s="10">
        <f>SUM(B28:B29)</f>
        <v>93248</v>
      </c>
      <c r="C30" s="10">
        <f>SUM(C28:C29)</f>
        <v>0</v>
      </c>
      <c r="D30" s="10">
        <f>SUM(D28:D29)</f>
        <v>93248</v>
      </c>
      <c r="E30" s="10">
        <f>SUM(E28:E29)</f>
        <v>39366</v>
      </c>
      <c r="F30" s="10">
        <f>SUM(F28:F29)</f>
        <v>132614</v>
      </c>
      <c r="G30" s="52">
        <f>E30/D30</f>
        <v>0.42216455044612217</v>
      </c>
      <c r="H30" s="10">
        <f>SUM(H28:H29)</f>
        <v>240</v>
      </c>
      <c r="I30" s="10">
        <f>SUM(I28:I29)</f>
        <v>93488</v>
      </c>
      <c r="J30" s="52">
        <f>H30/D30</f>
        <v>0.0025737817433081674</v>
      </c>
    </row>
    <row r="31" spans="7:10" ht="12.75">
      <c r="G31" s="53"/>
      <c r="J31" s="53"/>
    </row>
    <row r="32" spans="1:10" ht="12.75">
      <c r="A32" s="5" t="s">
        <v>13</v>
      </c>
      <c r="B32" s="10">
        <f>B17+B25+B30</f>
        <v>43389662</v>
      </c>
      <c r="C32" s="10">
        <f aca="true" t="shared" si="6" ref="C32:H32">C17+C25+C30</f>
        <v>2349477</v>
      </c>
      <c r="D32" s="10">
        <f t="shared" si="6"/>
        <v>45739139</v>
      </c>
      <c r="E32" s="10">
        <f t="shared" si="6"/>
        <v>7657203</v>
      </c>
      <c r="F32" s="10">
        <f t="shared" si="6"/>
        <v>53396342</v>
      </c>
      <c r="G32" s="52">
        <f>E32/D32</f>
        <v>0.1674103003994019</v>
      </c>
      <c r="H32" s="10">
        <f t="shared" si="6"/>
        <v>111333</v>
      </c>
      <c r="I32" s="10">
        <f>I17+I25+I30</f>
        <v>45850472</v>
      </c>
      <c r="J32" s="52">
        <f>H32/D32</f>
        <v>0.0024340860460884497</v>
      </c>
    </row>
    <row r="33" spans="7:10" ht="12.75">
      <c r="G33" s="53"/>
      <c r="J33" s="53"/>
    </row>
    <row r="34" spans="7:10" ht="12.75">
      <c r="G34" s="53"/>
      <c r="J34" s="53"/>
    </row>
    <row r="35" spans="7:10" ht="12.75">
      <c r="G35" s="53"/>
      <c r="J35" s="53"/>
    </row>
    <row r="36" ht="12.75">
      <c r="J36" s="53"/>
    </row>
    <row r="37" ht="12.75">
      <c r="J37" s="53"/>
    </row>
    <row r="38" ht="12.75">
      <c r="J38" s="53"/>
    </row>
    <row r="39" ht="12.75">
      <c r="J39" s="53"/>
    </row>
  </sheetData>
  <mergeCells count="3">
    <mergeCell ref="B6:D6"/>
    <mergeCell ref="E6:G6"/>
    <mergeCell ref="H6:J6"/>
  </mergeCells>
  <printOptions/>
  <pageMargins left="0.75" right="0.75" top="1" bottom="1" header="0.5" footer="0.5"/>
  <pageSetup fitToHeight="1" fitToWidth="1" horizontalDpi="600" verticalDpi="600" orientation="landscape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" customWidth="1"/>
    <col min="2" max="2" width="9.7109375" style="7" bestFit="1" customWidth="1"/>
    <col min="3" max="3" width="12.8515625" style="1" bestFit="1" customWidth="1"/>
    <col min="4" max="4" width="13.421875" style="1" customWidth="1"/>
    <col min="5" max="6" width="12.8515625" style="1" customWidth="1"/>
    <col min="7" max="7" width="13.421875" style="1" customWidth="1"/>
    <col min="8" max="8" width="9.140625" style="1" customWidth="1"/>
    <col min="9" max="9" width="13.00390625" style="1" customWidth="1"/>
    <col min="10" max="10" width="11.421875" style="1" bestFit="1" customWidth="1"/>
    <col min="11" max="11" width="9.140625" style="1" customWidth="1"/>
    <col min="12" max="12" width="13.140625" style="1" customWidth="1"/>
    <col min="13" max="13" width="11.421875" style="1" bestFit="1" customWidth="1"/>
    <col min="14" max="16384" width="9.140625" style="1" customWidth="1"/>
  </cols>
  <sheetData>
    <row r="1" ht="12.75">
      <c r="A1" s="1" t="str">
        <f>Name1</f>
        <v>Kentucky-American Water Company</v>
      </c>
    </row>
    <row r="2" ht="12.75">
      <c r="A2" s="1" t="str">
        <f>Name2</f>
        <v>Case No. 2004-00103</v>
      </c>
    </row>
    <row r="4" spans="1:2" s="24" customFormat="1" ht="12.75">
      <c r="A4" s="24" t="s">
        <v>58</v>
      </c>
      <c r="B4" s="54"/>
    </row>
    <row r="5" ht="12.75">
      <c r="A5" s="5" t="s">
        <v>36</v>
      </c>
    </row>
    <row r="6" spans="1:2" ht="12.75">
      <c r="A6" s="5" t="s">
        <v>183</v>
      </c>
      <c r="B6" s="7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33">
        <f>Rates!B9</f>
        <v>7.31</v>
      </c>
      <c r="C9" s="4">
        <f>'[1]Schedule M'!$F$138</f>
        <v>1178307</v>
      </c>
      <c r="D9" s="10">
        <f>ROUND(B9*C9,0)</f>
        <v>8613424</v>
      </c>
      <c r="E9" s="4">
        <f>656*12</f>
        <v>7872</v>
      </c>
      <c r="F9" s="4">
        <f>C9+E9</f>
        <v>1186179</v>
      </c>
      <c r="G9" s="10">
        <f aca="true" t="shared" si="0" ref="G9:G17">ROUND(F9*B9,0)</f>
        <v>8670968</v>
      </c>
      <c r="H9" s="32">
        <f>Rates!C9</f>
        <v>8.428624080499999</v>
      </c>
      <c r="I9" s="10">
        <f>ROUND($F9*H9,0)</f>
        <v>9997857</v>
      </c>
      <c r="J9" s="25">
        <f>IF($G9&gt;0,I9/$G9-1,"")</f>
        <v>0.1530266286301598</v>
      </c>
      <c r="K9" s="33">
        <f>Rates!D9</f>
        <v>7.29</v>
      </c>
      <c r="L9" s="10">
        <f>ROUND($F9*K9,0)</f>
        <v>8647245</v>
      </c>
      <c r="M9" s="25">
        <f>IF($G9&gt;0,L9/$G9-1,"")</f>
        <v>-0.0027359113769074295</v>
      </c>
    </row>
    <row r="10" spans="1:13" ht="12.75">
      <c r="A10" s="3" t="s">
        <v>1</v>
      </c>
      <c r="B10" s="17">
        <f>Rates!B10</f>
        <v>10.97</v>
      </c>
      <c r="C10" s="4">
        <v>0</v>
      </c>
      <c r="D10" s="4">
        <f aca="true" t="shared" si="1" ref="D10:D17">ROUND(B10*C10,0)</f>
        <v>0</v>
      </c>
      <c r="E10" s="4"/>
      <c r="F10" s="4">
        <f aca="true" t="shared" si="2" ref="F10:F17">C10+E10</f>
        <v>0</v>
      </c>
      <c r="G10" s="1">
        <f t="shared" si="0"/>
        <v>0</v>
      </c>
      <c r="H10" s="31">
        <f>Rates!C10</f>
        <v>12.648701253499999</v>
      </c>
      <c r="I10" s="1">
        <f aca="true" t="shared" si="3" ref="I10:I17">ROUND($F10*H10,0)</f>
        <v>0</v>
      </c>
      <c r="J10" s="25">
        <f aca="true" t="shared" si="4" ref="J10:J18">IF($G10&gt;0,I10/$G10-1,"")</f>
      </c>
      <c r="K10" s="31">
        <f>Rates!D10</f>
        <v>10.95</v>
      </c>
      <c r="L10" s="1">
        <f aca="true" t="shared" si="5" ref="L10:L17">ROUND($F10*K10,0)</f>
        <v>0</v>
      </c>
      <c r="M10" s="25">
        <f aca="true" t="shared" si="6" ref="M10:M18">IF($G10&gt;0,L10/$G10-1,"")</f>
      </c>
    </row>
    <row r="11" spans="1:13" ht="12.75">
      <c r="A11" s="3" t="s">
        <v>2</v>
      </c>
      <c r="B11" s="17">
        <f>Rates!B11</f>
        <v>18.28</v>
      </c>
      <c r="C11" s="1">
        <f>'[1]Schedule M'!F142</f>
        <v>17721</v>
      </c>
      <c r="D11" s="4">
        <f t="shared" si="1"/>
        <v>323940</v>
      </c>
      <c r="F11" s="4">
        <f t="shared" si="2"/>
        <v>17721</v>
      </c>
      <c r="G11" s="1">
        <f t="shared" si="0"/>
        <v>323940</v>
      </c>
      <c r="H11" s="31">
        <f>Rates!C11</f>
        <v>21.077325333999998</v>
      </c>
      <c r="I11" s="1">
        <f t="shared" si="3"/>
        <v>373511</v>
      </c>
      <c r="J11" s="25">
        <f t="shared" si="4"/>
        <v>0.15302525158980052</v>
      </c>
      <c r="K11" s="31">
        <f>Rates!D11</f>
        <v>18.24</v>
      </c>
      <c r="L11" s="1">
        <f t="shared" si="5"/>
        <v>323231</v>
      </c>
      <c r="M11" s="25">
        <f t="shared" si="6"/>
        <v>-0.0021886769154781938</v>
      </c>
    </row>
    <row r="12" spans="1:13" ht="12.75">
      <c r="A12" s="3" t="s">
        <v>3</v>
      </c>
      <c r="B12" s="17">
        <f>Rates!B12</f>
        <v>36.55</v>
      </c>
      <c r="C12" s="1">
        <f>'[1]Schedule M'!F144</f>
        <v>131</v>
      </c>
      <c r="D12" s="4">
        <f t="shared" si="1"/>
        <v>4788</v>
      </c>
      <c r="F12" s="4">
        <f t="shared" si="2"/>
        <v>131</v>
      </c>
      <c r="G12" s="1">
        <f t="shared" si="0"/>
        <v>4788</v>
      </c>
      <c r="H12" s="31">
        <f>Rates!C12</f>
        <v>42.14312040249999</v>
      </c>
      <c r="I12" s="1">
        <f t="shared" si="3"/>
        <v>5521</v>
      </c>
      <c r="J12" s="25">
        <f t="shared" si="4"/>
        <v>0.15309106098579783</v>
      </c>
      <c r="K12" s="31">
        <f>Rates!D12</f>
        <v>36.47</v>
      </c>
      <c r="L12" s="1">
        <f t="shared" si="5"/>
        <v>4778</v>
      </c>
      <c r="M12" s="25">
        <f t="shared" si="6"/>
        <v>-0.002088554720133695</v>
      </c>
    </row>
    <row r="13" spans="1:13" ht="12.75">
      <c r="A13" s="3" t="s">
        <v>4</v>
      </c>
      <c r="B13" s="17">
        <f>Rates!B13</f>
        <v>58.48</v>
      </c>
      <c r="C13" s="1">
        <f>'[1]Schedule M'!F146</f>
        <v>778</v>
      </c>
      <c r="D13" s="4">
        <f t="shared" si="1"/>
        <v>45497</v>
      </c>
      <c r="F13" s="4">
        <f t="shared" si="2"/>
        <v>778</v>
      </c>
      <c r="G13" s="1">
        <f t="shared" si="0"/>
        <v>45497</v>
      </c>
      <c r="H13" s="31">
        <f>Rates!C13</f>
        <v>67.42899264399999</v>
      </c>
      <c r="I13" s="1">
        <f t="shared" si="3"/>
        <v>52460</v>
      </c>
      <c r="J13" s="25">
        <f t="shared" si="4"/>
        <v>0.15304305778402982</v>
      </c>
      <c r="K13" s="31">
        <f>Rates!D13</f>
        <v>58.36</v>
      </c>
      <c r="L13" s="1">
        <f t="shared" si="5"/>
        <v>45404</v>
      </c>
      <c r="M13" s="25">
        <f t="shared" si="6"/>
        <v>-0.002044090819174893</v>
      </c>
    </row>
    <row r="14" spans="1:13" ht="12.75">
      <c r="A14" s="3" t="s">
        <v>5</v>
      </c>
      <c r="B14" s="17">
        <f>Rates!B14</f>
        <v>109.65</v>
      </c>
      <c r="C14" s="4">
        <v>0</v>
      </c>
      <c r="D14" s="4">
        <f t="shared" si="1"/>
        <v>0</v>
      </c>
      <c r="E14" s="4"/>
      <c r="F14" s="4">
        <f t="shared" si="2"/>
        <v>0</v>
      </c>
      <c r="G14" s="1">
        <f t="shared" si="0"/>
        <v>0</v>
      </c>
      <c r="H14" s="31">
        <f>Rates!C14</f>
        <v>126.4293612075</v>
      </c>
      <c r="I14" s="1">
        <f t="shared" si="3"/>
        <v>0</v>
      </c>
      <c r="J14" s="25">
        <f t="shared" si="4"/>
      </c>
      <c r="K14" s="31">
        <f>Rates!D14</f>
        <v>109.42</v>
      </c>
      <c r="L14" s="1">
        <f t="shared" si="5"/>
        <v>0</v>
      </c>
      <c r="M14" s="25">
        <f t="shared" si="6"/>
      </c>
    </row>
    <row r="15" spans="1:13" ht="12.75">
      <c r="A15" s="3" t="s">
        <v>6</v>
      </c>
      <c r="B15" s="17">
        <f>Rates!B15</f>
        <v>182.75</v>
      </c>
      <c r="C15" s="4">
        <v>0</v>
      </c>
      <c r="D15" s="4">
        <f t="shared" si="1"/>
        <v>0</v>
      </c>
      <c r="E15" s="4"/>
      <c r="F15" s="4">
        <f t="shared" si="2"/>
        <v>0</v>
      </c>
      <c r="G15" s="1">
        <f t="shared" si="0"/>
        <v>0</v>
      </c>
      <c r="H15" s="31">
        <f>Rates!C15</f>
        <v>210.71560201249997</v>
      </c>
      <c r="I15" s="1">
        <f t="shared" si="3"/>
        <v>0</v>
      </c>
      <c r="J15" s="25">
        <f t="shared" si="4"/>
      </c>
      <c r="K15" s="31">
        <f>Rates!D15</f>
        <v>182.37</v>
      </c>
      <c r="L15" s="1">
        <f t="shared" si="5"/>
        <v>0</v>
      </c>
      <c r="M15" s="25">
        <f t="shared" si="6"/>
      </c>
    </row>
    <row r="16" spans="1:13" ht="12.75">
      <c r="A16" s="3" t="s">
        <v>7</v>
      </c>
      <c r="B16" s="17">
        <f>Rates!B16</f>
        <v>365.5</v>
      </c>
      <c r="C16" s="4">
        <v>0</v>
      </c>
      <c r="D16" s="4">
        <f t="shared" si="1"/>
        <v>0</v>
      </c>
      <c r="E16" s="4"/>
      <c r="F16" s="4">
        <f t="shared" si="2"/>
        <v>0</v>
      </c>
      <c r="G16" s="1">
        <f t="shared" si="0"/>
        <v>0</v>
      </c>
      <c r="H16" s="31">
        <f>Rates!C16</f>
        <v>421.43120402499994</v>
      </c>
      <c r="I16" s="1">
        <f t="shared" si="3"/>
        <v>0</v>
      </c>
      <c r="J16" s="25">
        <f t="shared" si="4"/>
      </c>
      <c r="K16" s="31">
        <f>Rates!D16</f>
        <v>364.75</v>
      </c>
      <c r="L16" s="1">
        <f t="shared" si="5"/>
        <v>0</v>
      </c>
      <c r="M16" s="25">
        <f t="shared" si="6"/>
      </c>
    </row>
    <row r="17" spans="1:13" ht="15">
      <c r="A17" s="3" t="s">
        <v>8</v>
      </c>
      <c r="B17" s="17">
        <f>Rates!B17</f>
        <v>584.8</v>
      </c>
      <c r="C17" s="4">
        <v>0</v>
      </c>
      <c r="D17" s="4">
        <f t="shared" si="1"/>
        <v>0</v>
      </c>
      <c r="E17" s="4"/>
      <c r="F17" s="4">
        <f t="shared" si="2"/>
        <v>0</v>
      </c>
      <c r="G17" s="9">
        <f t="shared" si="0"/>
        <v>0</v>
      </c>
      <c r="H17" s="31">
        <f>Rates!C17</f>
        <v>674.2899264399998</v>
      </c>
      <c r="I17" s="9">
        <f t="shared" si="3"/>
        <v>0</v>
      </c>
      <c r="J17" s="25">
        <f t="shared" si="4"/>
      </c>
      <c r="K17" s="31">
        <f>Rates!D17</f>
        <v>583.59</v>
      </c>
      <c r="L17" s="9">
        <f t="shared" si="5"/>
        <v>0</v>
      </c>
      <c r="M17" s="25">
        <f t="shared" si="6"/>
      </c>
    </row>
    <row r="18" spans="1:13" ht="12.75">
      <c r="A18" s="3" t="s">
        <v>12</v>
      </c>
      <c r="C18" s="4"/>
      <c r="D18" s="10">
        <f>SUM(D9:D17)</f>
        <v>8987649</v>
      </c>
      <c r="E18" s="4"/>
      <c r="F18" s="4"/>
      <c r="G18" s="10">
        <f>SUM(G9:G17)</f>
        <v>9045193</v>
      </c>
      <c r="I18" s="10">
        <f>SUM(I9:I17)</f>
        <v>10429349</v>
      </c>
      <c r="J18" s="25">
        <f t="shared" si="4"/>
        <v>0.1530266960583373</v>
      </c>
      <c r="L18" s="10">
        <f>SUM(L9:L17)</f>
        <v>9020658</v>
      </c>
      <c r="M18" s="25">
        <f t="shared" si="6"/>
        <v>-0.0027124904908054637</v>
      </c>
    </row>
    <row r="19" ht="12.75">
      <c r="A19" s="3"/>
    </row>
    <row r="20" spans="1:13" ht="12.75">
      <c r="A20" s="3" t="s">
        <v>9</v>
      </c>
      <c r="B20" s="7">
        <f>Rates!B20</f>
        <v>1.67581</v>
      </c>
      <c r="C20" s="4">
        <f>'[1]Schedule M'!$G$159</f>
        <v>7908302</v>
      </c>
      <c r="D20" s="10">
        <f>ROUND(B20*C20,0)</f>
        <v>13252812</v>
      </c>
      <c r="E20" s="4">
        <f>653594+55916</f>
        <v>709510</v>
      </c>
      <c r="F20" s="4">
        <f>C20+E20</f>
        <v>8617812</v>
      </c>
      <c r="G20" s="10">
        <f>ROUND(F20*B20,0)</f>
        <v>14441816</v>
      </c>
      <c r="H20" s="7">
        <f>Rates!C20</f>
        <v>1.9322534227554997</v>
      </c>
      <c r="I20" s="10">
        <f>ROUND($F20*H20,0)</f>
        <v>16651797</v>
      </c>
      <c r="J20" s="25">
        <f>IF($G20&gt;0,I20/$G20-1,"")</f>
        <v>0.1530265307354699</v>
      </c>
      <c r="K20" s="7">
        <f>Rates!D20</f>
        <v>1.6727</v>
      </c>
      <c r="L20" s="10">
        <f>ROUND($F20*K20,0)</f>
        <v>14415014</v>
      </c>
      <c r="M20" s="25">
        <f>IF($G20&gt;0,L20/$G20-1,"")</f>
        <v>-0.0018558607864828103</v>
      </c>
    </row>
    <row r="22" spans="1:13" ht="15">
      <c r="A22" s="5" t="s">
        <v>13</v>
      </c>
      <c r="D22" s="15">
        <f>D18+D20</f>
        <v>22240461</v>
      </c>
      <c r="E22" s="15"/>
      <c r="G22" s="15">
        <f>G18+G20</f>
        <v>23487009</v>
      </c>
      <c r="I22" s="15">
        <f>I18+I20</f>
        <v>27081146</v>
      </c>
      <c r="J22" s="25">
        <f>IF($G22&gt;0,I22/$G22-1,"")</f>
        <v>0.15302659440374033</v>
      </c>
      <c r="L22" s="15">
        <f>L18+L20</f>
        <v>23435672</v>
      </c>
      <c r="M22" s="25">
        <f>IF($G22&gt;0,L22/$G22-1,"")</f>
        <v>-0.0021857614990482555</v>
      </c>
    </row>
    <row r="23" spans="7:9" ht="12.75">
      <c r="G23" s="10"/>
      <c r="I23" s="10"/>
    </row>
    <row r="24" spans="7:9" ht="12.75">
      <c r="G24" s="10"/>
      <c r="I24" s="10"/>
    </row>
    <row r="25" ht="12.75">
      <c r="H25" s="7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0" r:id="rId1"/>
  <headerFooter alignWithMargins="0">
    <oddFooter>&amp;L&amp;F, 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3.28125" style="1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59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16">
        <f>Rates!B9</f>
        <v>7.31</v>
      </c>
      <c r="C9" s="4">
        <f>'[1]Schedule M'!$F$199</f>
        <v>54283</v>
      </c>
      <c r="D9" s="14">
        <f>ROUND(B9*C9,0)</f>
        <v>396809</v>
      </c>
      <c r="E9" s="4">
        <f>193*12</f>
        <v>2316</v>
      </c>
      <c r="F9" s="4">
        <f aca="true" t="shared" si="0" ref="F9:F17">C9+E9</f>
        <v>56599</v>
      </c>
      <c r="G9" s="14">
        <f aca="true" t="shared" si="1" ref="G9:G17">ROUND(F9*B9,0)</f>
        <v>413739</v>
      </c>
      <c r="H9" s="27">
        <f>Rates!C9</f>
        <v>8.428624080499999</v>
      </c>
      <c r="I9" s="14">
        <f>ROUND($F9*H9,0)</f>
        <v>477052</v>
      </c>
      <c r="J9" s="30">
        <f>IF($G9&gt;0,I9/$G9-1,"")</f>
        <v>0.15302642487171858</v>
      </c>
      <c r="K9" s="27">
        <f>Rates!D9</f>
        <v>7.29</v>
      </c>
      <c r="L9" s="14">
        <f>ROUND($F9*K9,0)</f>
        <v>412607</v>
      </c>
      <c r="M9" s="30">
        <f>IF($G9&gt;0,L9/$G9-1,"")</f>
        <v>-0.0027360244018571622</v>
      </c>
    </row>
    <row r="10" spans="1:13" ht="12.75">
      <c r="A10" s="3" t="s">
        <v>1</v>
      </c>
      <c r="B10" s="16">
        <f>Rates!B10</f>
        <v>10.97</v>
      </c>
      <c r="C10" s="4"/>
      <c r="D10" s="4">
        <f aca="true" t="shared" si="2" ref="D10:D17">ROUND(B10*C10,0)</f>
        <v>0</v>
      </c>
      <c r="E10" s="4"/>
      <c r="F10" s="4">
        <f t="shared" si="0"/>
        <v>0</v>
      </c>
      <c r="G10" s="11">
        <f t="shared" si="1"/>
        <v>0</v>
      </c>
      <c r="H10" s="26">
        <f>Rates!C10</f>
        <v>12.648701253499999</v>
      </c>
      <c r="I10" s="11">
        <f aca="true" t="shared" si="3" ref="I10:I17">ROUND($F10*H10,0)</f>
        <v>0</v>
      </c>
      <c r="J10" s="30">
        <f aca="true" t="shared" si="4" ref="J10:J18">IF($G10&gt;0,I10/$G10-1,"")</f>
      </c>
      <c r="K10" s="26">
        <f>Rates!D10</f>
        <v>10.95</v>
      </c>
      <c r="L10" s="11">
        <f aca="true" t="shared" si="5" ref="L10:L17">ROUND($F10*K10,0)</f>
        <v>0</v>
      </c>
      <c r="M10" s="30">
        <f aca="true" t="shared" si="6" ref="M10:M18">IF($G10&gt;0,L10/$G10-1,"")</f>
      </c>
    </row>
    <row r="11" spans="1:13" ht="12.75">
      <c r="A11" s="3" t="s">
        <v>2</v>
      </c>
      <c r="B11" s="16">
        <f>Rates!B11</f>
        <v>18.28</v>
      </c>
      <c r="C11" s="11">
        <f>'[1]Schedule M'!$F$203</f>
        <v>24156</v>
      </c>
      <c r="D11" s="4">
        <f t="shared" si="2"/>
        <v>441572</v>
      </c>
      <c r="F11" s="4">
        <f t="shared" si="0"/>
        <v>24156</v>
      </c>
      <c r="G11" s="11">
        <f t="shared" si="1"/>
        <v>441572</v>
      </c>
      <c r="H11" s="26">
        <f>Rates!C11</f>
        <v>21.077325333999998</v>
      </c>
      <c r="I11" s="11">
        <f t="shared" si="3"/>
        <v>509144</v>
      </c>
      <c r="J11" s="30">
        <f t="shared" si="4"/>
        <v>0.15302600708378256</v>
      </c>
      <c r="K11" s="26">
        <f>Rates!D11</f>
        <v>18.24</v>
      </c>
      <c r="L11" s="11">
        <f t="shared" si="5"/>
        <v>440605</v>
      </c>
      <c r="M11" s="30">
        <f t="shared" si="6"/>
        <v>-0.002189903345320765</v>
      </c>
    </row>
    <row r="12" spans="1:13" ht="12.75">
      <c r="A12" s="3" t="s">
        <v>3</v>
      </c>
      <c r="B12" s="16">
        <f>Rates!B12</f>
        <v>36.55</v>
      </c>
      <c r="C12" s="11">
        <f>'[1]Schedule M'!$F$205</f>
        <v>2052</v>
      </c>
      <c r="D12" s="4">
        <f t="shared" si="2"/>
        <v>75001</v>
      </c>
      <c r="F12" s="4">
        <f t="shared" si="0"/>
        <v>2052</v>
      </c>
      <c r="G12" s="11">
        <f t="shared" si="1"/>
        <v>75001</v>
      </c>
      <c r="H12" s="26">
        <f>Rates!C12</f>
        <v>42.14312040249999</v>
      </c>
      <c r="I12" s="11">
        <f t="shared" si="3"/>
        <v>86478</v>
      </c>
      <c r="J12" s="30">
        <f t="shared" si="4"/>
        <v>0.15302462633831548</v>
      </c>
      <c r="K12" s="26">
        <f>Rates!D12</f>
        <v>36.47</v>
      </c>
      <c r="L12" s="11">
        <f t="shared" si="5"/>
        <v>74836</v>
      </c>
      <c r="M12" s="30">
        <f t="shared" si="6"/>
        <v>-0.0021999706670577934</v>
      </c>
    </row>
    <row r="13" spans="1:13" ht="12.75">
      <c r="A13" s="3" t="s">
        <v>4</v>
      </c>
      <c r="B13" s="16">
        <f>Rates!B13</f>
        <v>58.48</v>
      </c>
      <c r="C13" s="11">
        <f>'[1]Schedule M'!$F$207</f>
        <v>18000</v>
      </c>
      <c r="D13" s="4">
        <f t="shared" si="2"/>
        <v>1052640</v>
      </c>
      <c r="F13" s="4">
        <f t="shared" si="0"/>
        <v>18000</v>
      </c>
      <c r="G13" s="11">
        <f t="shared" si="1"/>
        <v>1052640</v>
      </c>
      <c r="H13" s="26">
        <f>Rates!C13</f>
        <v>67.42899264399999</v>
      </c>
      <c r="I13" s="11">
        <f t="shared" si="3"/>
        <v>1213722</v>
      </c>
      <c r="J13" s="30">
        <f t="shared" si="4"/>
        <v>0.15302667578659368</v>
      </c>
      <c r="K13" s="26">
        <f>Rates!D13</f>
        <v>58.36</v>
      </c>
      <c r="L13" s="11">
        <f t="shared" si="5"/>
        <v>1050480</v>
      </c>
      <c r="M13" s="30">
        <f t="shared" si="6"/>
        <v>-0.0020519835841312783</v>
      </c>
    </row>
    <row r="14" spans="1:13" ht="12.75">
      <c r="A14" s="3" t="s">
        <v>5</v>
      </c>
      <c r="B14" s="16">
        <f>Rates!B14</f>
        <v>109.65</v>
      </c>
      <c r="C14" s="4">
        <f>'[1]Schedule M'!$F$209</f>
        <v>12</v>
      </c>
      <c r="D14" s="4">
        <f t="shared" si="2"/>
        <v>1316</v>
      </c>
      <c r="E14" s="4"/>
      <c r="F14" s="4">
        <f t="shared" si="0"/>
        <v>12</v>
      </c>
      <c r="G14" s="11">
        <f t="shared" si="1"/>
        <v>1316</v>
      </c>
      <c r="H14" s="26">
        <f>Rates!C14</f>
        <v>126.4293612075</v>
      </c>
      <c r="I14" s="11">
        <f t="shared" si="3"/>
        <v>1517</v>
      </c>
      <c r="J14" s="30">
        <f t="shared" si="4"/>
        <v>0.15273556231003038</v>
      </c>
      <c r="K14" s="26">
        <f>Rates!D14</f>
        <v>109.42</v>
      </c>
      <c r="L14" s="11">
        <f t="shared" si="5"/>
        <v>1313</v>
      </c>
      <c r="M14" s="30">
        <f t="shared" si="6"/>
        <v>-0.0022796352583586144</v>
      </c>
    </row>
    <row r="15" spans="1:13" ht="12.75">
      <c r="A15" s="3" t="s">
        <v>6</v>
      </c>
      <c r="B15" s="16">
        <f>Rates!B15</f>
        <v>182.75</v>
      </c>
      <c r="C15" s="4">
        <f>'[1]Schedule M'!$F$211</f>
        <v>300</v>
      </c>
      <c r="D15" s="4">
        <f t="shared" si="2"/>
        <v>54825</v>
      </c>
      <c r="E15" s="4"/>
      <c r="F15" s="4">
        <f t="shared" si="0"/>
        <v>300</v>
      </c>
      <c r="G15" s="11">
        <f t="shared" si="1"/>
        <v>54825</v>
      </c>
      <c r="H15" s="26">
        <f>Rates!C15</f>
        <v>210.71560201249997</v>
      </c>
      <c r="I15" s="11">
        <f t="shared" si="3"/>
        <v>63215</v>
      </c>
      <c r="J15" s="30">
        <f t="shared" si="4"/>
        <v>0.15303237574099415</v>
      </c>
      <c r="K15" s="26">
        <f>Rates!D15</f>
        <v>182.37</v>
      </c>
      <c r="L15" s="11">
        <f t="shared" si="5"/>
        <v>54711</v>
      </c>
      <c r="M15" s="30">
        <f t="shared" si="6"/>
        <v>-0.0020793433652530613</v>
      </c>
    </row>
    <row r="16" spans="1:13" ht="12.75">
      <c r="A16" s="3" t="s">
        <v>7</v>
      </c>
      <c r="B16" s="16">
        <f>Rates!B16</f>
        <v>365.5</v>
      </c>
      <c r="C16" s="4">
        <f>'[1]Schedule M'!$F$213</f>
        <v>48</v>
      </c>
      <c r="D16" s="4">
        <f t="shared" si="2"/>
        <v>17544</v>
      </c>
      <c r="E16" s="4"/>
      <c r="F16" s="4">
        <f t="shared" si="0"/>
        <v>48</v>
      </c>
      <c r="G16" s="11">
        <f t="shared" si="1"/>
        <v>17544</v>
      </c>
      <c r="H16" s="26">
        <f>Rates!C16</f>
        <v>421.43120402499994</v>
      </c>
      <c r="I16" s="11">
        <f t="shared" si="3"/>
        <v>20229</v>
      </c>
      <c r="J16" s="30">
        <f t="shared" si="4"/>
        <v>0.15304377564979488</v>
      </c>
      <c r="K16" s="26">
        <f>Rates!D16</f>
        <v>364.75</v>
      </c>
      <c r="L16" s="11">
        <f t="shared" si="5"/>
        <v>17508</v>
      </c>
      <c r="M16" s="30">
        <f t="shared" si="6"/>
        <v>-0.0020519835841312783</v>
      </c>
    </row>
    <row r="17" spans="1:13" ht="15">
      <c r="A17" s="3" t="s">
        <v>8</v>
      </c>
      <c r="B17" s="16">
        <f>Rates!B17</f>
        <v>584.8</v>
      </c>
      <c r="C17" s="4">
        <f>'[1]Schedule M'!$F$215</f>
        <v>24</v>
      </c>
      <c r="D17" s="4">
        <f t="shared" si="2"/>
        <v>14035</v>
      </c>
      <c r="E17" s="4"/>
      <c r="F17" s="4">
        <f t="shared" si="0"/>
        <v>24</v>
      </c>
      <c r="G17" s="9">
        <f t="shared" si="1"/>
        <v>14035</v>
      </c>
      <c r="H17" s="26">
        <f>Rates!C17</f>
        <v>674.2899264399998</v>
      </c>
      <c r="I17" s="9">
        <f t="shared" si="3"/>
        <v>16183</v>
      </c>
      <c r="J17" s="30">
        <f t="shared" si="4"/>
        <v>0.1530459565372284</v>
      </c>
      <c r="K17" s="26">
        <f>Rates!D17</f>
        <v>583.59</v>
      </c>
      <c r="L17" s="9">
        <f t="shared" si="5"/>
        <v>14006</v>
      </c>
      <c r="M17" s="30">
        <f t="shared" si="6"/>
        <v>-0.0020662629141432465</v>
      </c>
    </row>
    <row r="18" spans="1:13" ht="12.75">
      <c r="A18" s="3" t="s">
        <v>12</v>
      </c>
      <c r="C18" s="4"/>
      <c r="D18" s="14">
        <f>SUM(D9:D17)</f>
        <v>2053742</v>
      </c>
      <c r="E18" s="4"/>
      <c r="F18" s="4"/>
      <c r="G18" s="14">
        <f>SUM(G9:G17)</f>
        <v>2070672</v>
      </c>
      <c r="I18" s="14">
        <f>SUM(I9:I17)</f>
        <v>2387540</v>
      </c>
      <c r="J18" s="30">
        <f t="shared" si="4"/>
        <v>0.1530266502855111</v>
      </c>
      <c r="L18" s="14">
        <f>SUM(L9:L17)</f>
        <v>2066066</v>
      </c>
      <c r="M18" s="30">
        <f t="shared" si="6"/>
        <v>-0.0022243986493273304</v>
      </c>
    </row>
    <row r="19" ht="12.75">
      <c r="A19" s="3"/>
    </row>
    <row r="20" spans="1:13" ht="12.75">
      <c r="A20" s="3" t="s">
        <v>9</v>
      </c>
      <c r="B20" s="12">
        <f>Rates!B21</f>
        <v>1.55174</v>
      </c>
      <c r="C20" s="4">
        <f>'[1]Schedule M'!$G$220</f>
        <v>5453086</v>
      </c>
      <c r="D20" s="14">
        <f>ROUND(B20*C20,0)</f>
        <v>8461772</v>
      </c>
      <c r="E20" s="4">
        <f>485395+138392</f>
        <v>623787</v>
      </c>
      <c r="F20" s="4">
        <f>C20+E20</f>
        <v>6076873</v>
      </c>
      <c r="G20" s="14">
        <f>ROUND(F20*B20,0)</f>
        <v>9429727</v>
      </c>
      <c r="H20" s="12">
        <f>Rates!C21</f>
        <v>1.7891974186969997</v>
      </c>
      <c r="I20" s="14">
        <f>ROUND($F20*H20,0)</f>
        <v>10872725</v>
      </c>
      <c r="J20" s="30">
        <f>IF($G20&gt;0,I20/$G20-1,"")</f>
        <v>0.15302648740520275</v>
      </c>
      <c r="K20" s="12">
        <f>Rates!D21</f>
        <v>1.5488</v>
      </c>
      <c r="L20" s="14">
        <f>ROUND($F20*K20,0)</f>
        <v>9411861</v>
      </c>
      <c r="M20" s="30">
        <f>IF($G20&gt;0,L20/$G20-1,"")</f>
        <v>-0.00189464657884586</v>
      </c>
    </row>
    <row r="22" spans="1:13" ht="15">
      <c r="A22" s="13" t="s">
        <v>13</v>
      </c>
      <c r="D22" s="15">
        <f>D18+D20</f>
        <v>10515514</v>
      </c>
      <c r="E22" s="15"/>
      <c r="G22" s="15">
        <f>G18+G20</f>
        <v>11500399</v>
      </c>
      <c r="I22" s="15">
        <f>I18+I20</f>
        <v>13260265</v>
      </c>
      <c r="J22" s="30">
        <f>IF($G22&gt;0,I22/$G22-1,"")</f>
        <v>0.1530265167321585</v>
      </c>
      <c r="L22" s="15">
        <f>L18+L20</f>
        <v>11477927</v>
      </c>
      <c r="M22" s="30">
        <f>IF($G22&gt;0,L22/$G22-1,"")</f>
        <v>-0.0019540191605526003</v>
      </c>
    </row>
    <row r="23" spans="7:9" ht="12.75">
      <c r="G23" s="14"/>
      <c r="I23" s="14"/>
    </row>
    <row r="24" spans="7:9" ht="12.75">
      <c r="G24" s="14"/>
      <c r="I24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4" width="13.8515625" style="11" bestFit="1" customWidth="1"/>
    <col min="5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60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16">
        <f>Rates!B9</f>
        <v>7.31</v>
      </c>
      <c r="C9" s="19">
        <f>'[1]Schedule M'!$F$260</f>
        <v>12</v>
      </c>
      <c r="D9" s="14">
        <f>ROUND(B9*C9,0)</f>
        <v>88</v>
      </c>
      <c r="E9" s="4"/>
      <c r="F9" s="4">
        <f aca="true" t="shared" si="0" ref="F9:F17">C9+E9</f>
        <v>12</v>
      </c>
      <c r="G9" s="14">
        <f aca="true" t="shared" si="1" ref="G9:G17">ROUND(F9*B9,0)</f>
        <v>88</v>
      </c>
      <c r="H9" s="27">
        <f>Rates!C9</f>
        <v>8.428624080499999</v>
      </c>
      <c r="I9" s="14">
        <f>ROUND($F9*H9,0)</f>
        <v>101</v>
      </c>
      <c r="J9" s="30">
        <f>IF($G9&gt;0,I9/$G9-1,"")</f>
        <v>0.1477272727272727</v>
      </c>
      <c r="K9" s="27">
        <f>Rates!D9</f>
        <v>7.29</v>
      </c>
      <c r="L9" s="14">
        <f>ROUND($F9*K9,0)</f>
        <v>87</v>
      </c>
      <c r="M9" s="30">
        <f>IF($G9&gt;0,L9/$G9-1,"")</f>
        <v>-0.011363636363636354</v>
      </c>
    </row>
    <row r="10" spans="1:13" ht="12.75">
      <c r="A10" s="3" t="s">
        <v>1</v>
      </c>
      <c r="B10" s="16">
        <f>Rates!B10</f>
        <v>10.97</v>
      </c>
      <c r="C10" s="4"/>
      <c r="D10" s="19">
        <f aca="true" t="shared" si="2" ref="D10:D17">ROUND(B10*C10,0)</f>
        <v>0</v>
      </c>
      <c r="E10" s="4"/>
      <c r="F10" s="4">
        <f t="shared" si="0"/>
        <v>0</v>
      </c>
      <c r="G10" s="11">
        <f t="shared" si="1"/>
        <v>0</v>
      </c>
      <c r="H10" s="26">
        <f>Rates!C10</f>
        <v>12.648701253499999</v>
      </c>
      <c r="I10" s="11">
        <f aca="true" t="shared" si="3" ref="I10:I17">ROUND($F10*H10,0)</f>
        <v>0</v>
      </c>
      <c r="J10" s="30">
        <f aca="true" t="shared" si="4" ref="J10:J18">IF($G10&gt;0,I10/$G10-1,"")</f>
      </c>
      <c r="K10" s="26">
        <f>Rates!D10</f>
        <v>10.95</v>
      </c>
      <c r="L10" s="11">
        <f aca="true" t="shared" si="5" ref="L10:L17">ROUND($F10*K10,0)</f>
        <v>0</v>
      </c>
      <c r="M10" s="30">
        <f aca="true" t="shared" si="6" ref="M10:M18">IF($G10&gt;0,L10/$G10-1,"")</f>
      </c>
    </row>
    <row r="11" spans="1:13" ht="12.75">
      <c r="A11" s="3" t="s">
        <v>2</v>
      </c>
      <c r="B11" s="16">
        <f>Rates!B11</f>
        <v>18.28</v>
      </c>
      <c r="C11" s="19">
        <f>'[1]Schedule M'!$F$264</f>
        <v>12</v>
      </c>
      <c r="D11" s="19">
        <f t="shared" si="2"/>
        <v>219</v>
      </c>
      <c r="F11" s="4">
        <f t="shared" si="0"/>
        <v>12</v>
      </c>
      <c r="G11" s="11">
        <f t="shared" si="1"/>
        <v>219</v>
      </c>
      <c r="H11" s="26">
        <f>Rates!C11</f>
        <v>21.077325333999998</v>
      </c>
      <c r="I11" s="11">
        <f t="shared" si="3"/>
        <v>253</v>
      </c>
      <c r="J11" s="30">
        <f t="shared" si="4"/>
        <v>0.15525114155251152</v>
      </c>
      <c r="K11" s="26">
        <f>Rates!D11</f>
        <v>18.24</v>
      </c>
      <c r="L11" s="11">
        <f t="shared" si="5"/>
        <v>219</v>
      </c>
      <c r="M11" s="30">
        <f t="shared" si="6"/>
        <v>0</v>
      </c>
    </row>
    <row r="12" spans="1:13" ht="12.75">
      <c r="A12" s="3" t="s">
        <v>3</v>
      </c>
      <c r="B12" s="16">
        <f>Rates!B12</f>
        <v>36.55</v>
      </c>
      <c r="C12" s="19">
        <f>'[1]Schedule M'!$F$266</f>
        <v>12</v>
      </c>
      <c r="D12" s="19">
        <f t="shared" si="2"/>
        <v>439</v>
      </c>
      <c r="F12" s="4">
        <f t="shared" si="0"/>
        <v>12</v>
      </c>
      <c r="G12" s="11">
        <f t="shared" si="1"/>
        <v>439</v>
      </c>
      <c r="H12" s="26">
        <f>Rates!C12</f>
        <v>42.14312040249999</v>
      </c>
      <c r="I12" s="11">
        <f t="shared" si="3"/>
        <v>506</v>
      </c>
      <c r="J12" s="30">
        <f t="shared" si="4"/>
        <v>0.15261958997722092</v>
      </c>
      <c r="K12" s="26">
        <f>Rates!D12</f>
        <v>36.47</v>
      </c>
      <c r="L12" s="11">
        <f t="shared" si="5"/>
        <v>438</v>
      </c>
      <c r="M12" s="30">
        <f t="shared" si="6"/>
        <v>-0.002277904328018221</v>
      </c>
    </row>
    <row r="13" spans="1:13" ht="12.75">
      <c r="A13" s="3" t="s">
        <v>4</v>
      </c>
      <c r="B13" s="16">
        <f>Rates!B13</f>
        <v>58.48</v>
      </c>
      <c r="C13" s="19">
        <f>'[1]Schedule M'!$F$268</f>
        <v>252</v>
      </c>
      <c r="D13" s="19">
        <f t="shared" si="2"/>
        <v>14737</v>
      </c>
      <c r="F13" s="4">
        <f t="shared" si="0"/>
        <v>252</v>
      </c>
      <c r="G13" s="11">
        <f t="shared" si="1"/>
        <v>14737</v>
      </c>
      <c r="H13" s="26">
        <f>Rates!C13</f>
        <v>67.42899264399999</v>
      </c>
      <c r="I13" s="11">
        <f t="shared" si="3"/>
        <v>16992</v>
      </c>
      <c r="J13" s="30">
        <f t="shared" si="4"/>
        <v>0.15301621768338203</v>
      </c>
      <c r="K13" s="26">
        <f>Rates!D13</f>
        <v>58.36</v>
      </c>
      <c r="L13" s="11">
        <f t="shared" si="5"/>
        <v>14707</v>
      </c>
      <c r="M13" s="30">
        <f t="shared" si="6"/>
        <v>-0.0020356924747234606</v>
      </c>
    </row>
    <row r="14" spans="1:13" ht="12.75">
      <c r="A14" s="3" t="s">
        <v>5</v>
      </c>
      <c r="B14" s="16">
        <f>Rates!B14</f>
        <v>109.65</v>
      </c>
      <c r="C14" s="4"/>
      <c r="D14" s="19">
        <f t="shared" si="2"/>
        <v>0</v>
      </c>
      <c r="E14" s="4"/>
      <c r="F14" s="4">
        <f t="shared" si="0"/>
        <v>0</v>
      </c>
      <c r="G14" s="11">
        <f t="shared" si="1"/>
        <v>0</v>
      </c>
      <c r="H14" s="26">
        <f>Rates!C14</f>
        <v>126.4293612075</v>
      </c>
      <c r="I14" s="11">
        <f t="shared" si="3"/>
        <v>0</v>
      </c>
      <c r="J14" s="30">
        <f t="shared" si="4"/>
      </c>
      <c r="K14" s="26">
        <f>Rates!D14</f>
        <v>109.42</v>
      </c>
      <c r="L14" s="11">
        <f t="shared" si="5"/>
        <v>0</v>
      </c>
      <c r="M14" s="30">
        <f t="shared" si="6"/>
      </c>
    </row>
    <row r="15" spans="1:13" ht="12.75">
      <c r="A15" s="3" t="s">
        <v>6</v>
      </c>
      <c r="B15" s="16">
        <f>Rates!B15</f>
        <v>182.75</v>
      </c>
      <c r="C15" s="19">
        <f>'[1]Schedule M'!$F$272</f>
        <v>168</v>
      </c>
      <c r="D15" s="19">
        <f t="shared" si="2"/>
        <v>30702</v>
      </c>
      <c r="E15" s="4"/>
      <c r="F15" s="4">
        <f t="shared" si="0"/>
        <v>168</v>
      </c>
      <c r="G15" s="11">
        <f t="shared" si="1"/>
        <v>30702</v>
      </c>
      <c r="H15" s="26">
        <f>Rates!C15</f>
        <v>210.71560201249997</v>
      </c>
      <c r="I15" s="11">
        <f t="shared" si="3"/>
        <v>35400</v>
      </c>
      <c r="J15" s="30">
        <f t="shared" si="4"/>
        <v>0.1530193472737933</v>
      </c>
      <c r="K15" s="26">
        <f>Rates!D15</f>
        <v>182.37</v>
      </c>
      <c r="L15" s="11">
        <f t="shared" si="5"/>
        <v>30638</v>
      </c>
      <c r="M15" s="30">
        <f t="shared" si="6"/>
        <v>-0.0020845547521334273</v>
      </c>
    </row>
    <row r="16" spans="1:13" ht="12.75">
      <c r="A16" s="3" t="s">
        <v>7</v>
      </c>
      <c r="B16" s="16">
        <f>Rates!B16</f>
        <v>365.5</v>
      </c>
      <c r="C16" s="19">
        <f>'[1]Schedule M'!$F$274</f>
        <v>36</v>
      </c>
      <c r="D16" s="19">
        <f t="shared" si="2"/>
        <v>13158</v>
      </c>
      <c r="E16" s="4"/>
      <c r="F16" s="4">
        <f t="shared" si="0"/>
        <v>36</v>
      </c>
      <c r="G16" s="11">
        <f t="shared" si="1"/>
        <v>13158</v>
      </c>
      <c r="H16" s="26">
        <f>Rates!C16</f>
        <v>421.43120402499994</v>
      </c>
      <c r="I16" s="11">
        <f t="shared" si="3"/>
        <v>15172</v>
      </c>
      <c r="J16" s="30">
        <f t="shared" si="4"/>
        <v>0.153062775497796</v>
      </c>
      <c r="K16" s="26">
        <f>Rates!D16</f>
        <v>364.75</v>
      </c>
      <c r="L16" s="11">
        <f t="shared" si="5"/>
        <v>13131</v>
      </c>
      <c r="M16" s="30">
        <f t="shared" si="6"/>
        <v>-0.0020519835841312783</v>
      </c>
    </row>
    <row r="17" spans="1:13" ht="15">
      <c r="A17" s="3" t="s">
        <v>8</v>
      </c>
      <c r="B17" s="16">
        <f>Rates!B17</f>
        <v>584.8</v>
      </c>
      <c r="C17" s="4"/>
      <c r="D17" s="19">
        <f t="shared" si="2"/>
        <v>0</v>
      </c>
      <c r="E17" s="4"/>
      <c r="F17" s="4">
        <f t="shared" si="0"/>
        <v>0</v>
      </c>
      <c r="G17" s="9">
        <f t="shared" si="1"/>
        <v>0</v>
      </c>
      <c r="H17" s="26">
        <f>Rates!C17</f>
        <v>674.2899264399998</v>
      </c>
      <c r="I17" s="9">
        <f t="shared" si="3"/>
        <v>0</v>
      </c>
      <c r="J17" s="30">
        <f t="shared" si="4"/>
      </c>
      <c r="K17" s="26">
        <f>Rates!D17</f>
        <v>583.59</v>
      </c>
      <c r="L17" s="9">
        <f t="shared" si="5"/>
        <v>0</v>
      </c>
      <c r="M17" s="30">
        <f t="shared" si="6"/>
      </c>
    </row>
    <row r="18" spans="1:13" ht="12.75">
      <c r="A18" s="3" t="s">
        <v>12</v>
      </c>
      <c r="C18" s="4"/>
      <c r="D18" s="14">
        <f>SUM(D9:D17)</f>
        <v>59343</v>
      </c>
      <c r="E18" s="4"/>
      <c r="F18" s="4"/>
      <c r="G18" s="14">
        <f>SUM(G9:G17)</f>
        <v>59343</v>
      </c>
      <c r="I18" s="14">
        <f>SUM(I9:I17)</f>
        <v>68424</v>
      </c>
      <c r="J18" s="30">
        <f t="shared" si="4"/>
        <v>0.15302563065567965</v>
      </c>
      <c r="L18" s="14">
        <f>SUM(L9:L17)</f>
        <v>59220</v>
      </c>
      <c r="M18" s="30">
        <f t="shared" si="6"/>
        <v>-0.0020726960214346724</v>
      </c>
    </row>
    <row r="19" ht="12.75">
      <c r="A19" s="3"/>
    </row>
    <row r="20" spans="1:13" ht="12.75">
      <c r="A20" s="3" t="s">
        <v>9</v>
      </c>
      <c r="B20" s="12">
        <f>Rates!B22</f>
        <v>1.26621</v>
      </c>
      <c r="C20" s="4">
        <f>'[1]Schedule M'!$G$281</f>
        <v>1201109</v>
      </c>
      <c r="D20" s="14">
        <f>ROUND(B20*C20,0)</f>
        <v>1520856</v>
      </c>
      <c r="E20" s="4"/>
      <c r="F20" s="4">
        <f>C20+E20</f>
        <v>1201109</v>
      </c>
      <c r="G20" s="14">
        <f>ROUND(F20*B20,0)</f>
        <v>1520856</v>
      </c>
      <c r="H20" s="12">
        <f>Rates!C22</f>
        <v>1.4599737478755</v>
      </c>
      <c r="I20" s="14">
        <f>ROUND($F20*H20,0)</f>
        <v>1753588</v>
      </c>
      <c r="J20" s="30">
        <f>IF($G20&gt;0,I20/$G20-1,"")</f>
        <v>0.1530269795430994</v>
      </c>
      <c r="K20" s="12">
        <f>Rates!D22</f>
        <v>1.2639</v>
      </c>
      <c r="L20" s="14">
        <f>ROUND($F20*K20,0)</f>
        <v>1518082</v>
      </c>
      <c r="M20" s="30">
        <f>IF($G20&gt;0,L20/$G20-1,"")</f>
        <v>-0.001823972815309327</v>
      </c>
    </row>
    <row r="22" spans="1:13" ht="15">
      <c r="A22" s="13" t="s">
        <v>13</v>
      </c>
      <c r="D22" s="15">
        <f>D18+D20</f>
        <v>1580199</v>
      </c>
      <c r="E22" s="15"/>
      <c r="G22" s="15">
        <f>G18+G20</f>
        <v>1580199</v>
      </c>
      <c r="I22" s="15">
        <f>I18+I20</f>
        <v>1822012</v>
      </c>
      <c r="J22" s="30">
        <f>IF($G22&gt;0,I22/$G22-1,"")</f>
        <v>0.1530269288868047</v>
      </c>
      <c r="L22" s="15">
        <f>L18+L20</f>
        <v>1577302</v>
      </c>
      <c r="M22" s="30">
        <f>IF($G22&gt;0,L22/$G22-1,"")</f>
        <v>-0.0018333133991351724</v>
      </c>
    </row>
    <row r="23" spans="7:9" ht="12.75">
      <c r="G23" s="14"/>
      <c r="I23" s="14"/>
    </row>
    <row r="24" spans="7:9" ht="12.75">
      <c r="G24" s="14"/>
      <c r="I24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61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16">
        <f>Rates!B9</f>
        <v>7.31</v>
      </c>
      <c r="C9" s="11">
        <f>'[1]Schedule M'!$F$321</f>
        <v>1524</v>
      </c>
      <c r="D9" s="14">
        <f>ROUND(B9*C9,0)</f>
        <v>11140</v>
      </c>
      <c r="E9" s="4"/>
      <c r="F9" s="4">
        <f aca="true" t="shared" si="0" ref="F9:F17">C9+E9</f>
        <v>1524</v>
      </c>
      <c r="G9" s="14">
        <f aca="true" t="shared" si="1" ref="G9:G17">ROUND(F9*B9,0)</f>
        <v>11140</v>
      </c>
      <c r="H9" s="27">
        <f>Rates!C9</f>
        <v>8.428624080499999</v>
      </c>
      <c r="I9" s="14">
        <f>ROUND($F9*H9,0)</f>
        <v>12845</v>
      </c>
      <c r="J9" s="30">
        <f>IF($G9&gt;0,I9/$G9-1,"")</f>
        <v>0.15305206463195686</v>
      </c>
      <c r="K9" s="27">
        <f>Rates!D9</f>
        <v>7.29</v>
      </c>
      <c r="L9" s="14">
        <f>ROUND($F9*K9,0)</f>
        <v>11110</v>
      </c>
      <c r="M9" s="30">
        <f>IF($G9&gt;0,L9/$G9-1,"")</f>
        <v>-0.0026929982046678402</v>
      </c>
    </row>
    <row r="10" spans="1:13" ht="12.75">
      <c r="A10" s="3" t="s">
        <v>1</v>
      </c>
      <c r="B10" s="16">
        <f>Rates!B10</f>
        <v>10.97</v>
      </c>
      <c r="C10" s="4"/>
      <c r="D10" s="11">
        <f aca="true" t="shared" si="2" ref="D10:D17">ROUND(B10*C10,0)</f>
        <v>0</v>
      </c>
      <c r="E10" s="4"/>
      <c r="F10" s="4">
        <f t="shared" si="0"/>
        <v>0</v>
      </c>
      <c r="G10" s="11">
        <f t="shared" si="1"/>
        <v>0</v>
      </c>
      <c r="H10" s="26">
        <f>Rates!C10</f>
        <v>12.648701253499999</v>
      </c>
      <c r="I10" s="11">
        <f aca="true" t="shared" si="3" ref="I10:I17">ROUND($F10*H10,0)</f>
        <v>0</v>
      </c>
      <c r="J10" s="30">
        <f aca="true" t="shared" si="4" ref="J10:J18">IF($G10&gt;0,I10/$G10-1,"")</f>
      </c>
      <c r="K10" s="26">
        <f>Rates!D10</f>
        <v>10.95</v>
      </c>
      <c r="L10" s="11">
        <f aca="true" t="shared" si="5" ref="L10:L17">ROUND($F10*K10,0)</f>
        <v>0</v>
      </c>
      <c r="M10" s="30">
        <f aca="true" t="shared" si="6" ref="M10:M18">IF($G10&gt;0,L10/$G10-1,"")</f>
      </c>
    </row>
    <row r="11" spans="1:13" ht="12.75">
      <c r="A11" s="3" t="s">
        <v>2</v>
      </c>
      <c r="B11" s="16">
        <f>Rates!B11</f>
        <v>18.28</v>
      </c>
      <c r="C11" s="11">
        <f>'[1]Schedule M'!$F$325</f>
        <v>2016</v>
      </c>
      <c r="D11" s="11">
        <f t="shared" si="2"/>
        <v>36852</v>
      </c>
      <c r="F11" s="4">
        <f t="shared" si="0"/>
        <v>2016</v>
      </c>
      <c r="G11" s="11">
        <f t="shared" si="1"/>
        <v>36852</v>
      </c>
      <c r="H11" s="26">
        <f>Rates!C11</f>
        <v>21.077325333999998</v>
      </c>
      <c r="I11" s="11">
        <f t="shared" si="3"/>
        <v>42492</v>
      </c>
      <c r="J11" s="30">
        <f t="shared" si="4"/>
        <v>0.15304461087593624</v>
      </c>
      <c r="K11" s="26">
        <f>Rates!D11</f>
        <v>18.24</v>
      </c>
      <c r="L11" s="11">
        <f t="shared" si="5"/>
        <v>36772</v>
      </c>
      <c r="M11" s="30">
        <f t="shared" si="6"/>
        <v>-0.0021708455443395502</v>
      </c>
    </row>
    <row r="12" spans="1:13" ht="12.75">
      <c r="A12" s="3" t="s">
        <v>3</v>
      </c>
      <c r="B12" s="16">
        <f>Rates!B12</f>
        <v>36.55</v>
      </c>
      <c r="C12" s="11">
        <f>'[1]Schedule M'!$F$327</f>
        <v>360</v>
      </c>
      <c r="D12" s="11">
        <f t="shared" si="2"/>
        <v>13158</v>
      </c>
      <c r="F12" s="4">
        <f t="shared" si="0"/>
        <v>360</v>
      </c>
      <c r="G12" s="11">
        <f t="shared" si="1"/>
        <v>13158</v>
      </c>
      <c r="H12" s="26">
        <f>Rates!C12</f>
        <v>42.14312040249999</v>
      </c>
      <c r="I12" s="11">
        <f t="shared" si="3"/>
        <v>15172</v>
      </c>
      <c r="J12" s="30">
        <f t="shared" si="4"/>
        <v>0.153062775497796</v>
      </c>
      <c r="K12" s="26">
        <f>Rates!D12</f>
        <v>36.47</v>
      </c>
      <c r="L12" s="11">
        <f t="shared" si="5"/>
        <v>13129</v>
      </c>
      <c r="M12" s="30">
        <f t="shared" si="6"/>
        <v>-0.002203982368141011</v>
      </c>
    </row>
    <row r="13" spans="1:13" ht="12.75">
      <c r="A13" s="3" t="s">
        <v>4</v>
      </c>
      <c r="B13" s="16">
        <f>Rates!B13</f>
        <v>58.48</v>
      </c>
      <c r="C13" s="11">
        <f>'[1]Schedule M'!$F$329</f>
        <v>3936</v>
      </c>
      <c r="D13" s="11">
        <f t="shared" si="2"/>
        <v>230177</v>
      </c>
      <c r="F13" s="4">
        <f t="shared" si="0"/>
        <v>3936</v>
      </c>
      <c r="G13" s="11">
        <f t="shared" si="1"/>
        <v>230177</v>
      </c>
      <c r="H13" s="26">
        <f>Rates!C13</f>
        <v>67.42899264399999</v>
      </c>
      <c r="I13" s="11">
        <f t="shared" si="3"/>
        <v>265401</v>
      </c>
      <c r="J13" s="30">
        <f t="shared" si="4"/>
        <v>0.1530300594759686</v>
      </c>
      <c r="K13" s="26">
        <f>Rates!D13</f>
        <v>58.36</v>
      </c>
      <c r="L13" s="11">
        <f t="shared" si="5"/>
        <v>229705</v>
      </c>
      <c r="M13" s="30">
        <f t="shared" si="6"/>
        <v>-0.0020505958458055806</v>
      </c>
    </row>
    <row r="14" spans="1:13" ht="12.75">
      <c r="A14" s="3" t="s">
        <v>5</v>
      </c>
      <c r="B14" s="16">
        <f>Rates!B14</f>
        <v>109.65</v>
      </c>
      <c r="C14" s="4"/>
      <c r="D14" s="11">
        <f t="shared" si="2"/>
        <v>0</v>
      </c>
      <c r="E14" s="4"/>
      <c r="F14" s="4">
        <f t="shared" si="0"/>
        <v>0</v>
      </c>
      <c r="G14" s="11">
        <f t="shared" si="1"/>
        <v>0</v>
      </c>
      <c r="H14" s="26">
        <f>Rates!C14</f>
        <v>126.4293612075</v>
      </c>
      <c r="I14" s="11">
        <f t="shared" si="3"/>
        <v>0</v>
      </c>
      <c r="J14" s="30">
        <f t="shared" si="4"/>
      </c>
      <c r="K14" s="26">
        <f>Rates!D14</f>
        <v>109.42</v>
      </c>
      <c r="L14" s="11">
        <f t="shared" si="5"/>
        <v>0</v>
      </c>
      <c r="M14" s="30">
        <f t="shared" si="6"/>
      </c>
    </row>
    <row r="15" spans="1:13" ht="12.75">
      <c r="A15" s="3" t="s">
        <v>6</v>
      </c>
      <c r="B15" s="16">
        <f>Rates!B15</f>
        <v>182.75</v>
      </c>
      <c r="C15" s="11">
        <f>'[1]Schedule M'!$F$333</f>
        <v>348</v>
      </c>
      <c r="D15" s="11">
        <f t="shared" si="2"/>
        <v>63597</v>
      </c>
      <c r="E15" s="4"/>
      <c r="F15" s="4">
        <f t="shared" si="0"/>
        <v>348</v>
      </c>
      <c r="G15" s="11">
        <f t="shared" si="1"/>
        <v>63597</v>
      </c>
      <c r="H15" s="26">
        <f>Rates!C15</f>
        <v>210.71560201249997</v>
      </c>
      <c r="I15" s="11">
        <f t="shared" si="3"/>
        <v>73329</v>
      </c>
      <c r="J15" s="30">
        <f t="shared" si="4"/>
        <v>0.15302608613613855</v>
      </c>
      <c r="K15" s="26">
        <f>Rates!D15</f>
        <v>182.37</v>
      </c>
      <c r="L15" s="11">
        <f t="shared" si="5"/>
        <v>63465</v>
      </c>
      <c r="M15" s="30">
        <f t="shared" si="6"/>
        <v>-0.0020755696023397885</v>
      </c>
    </row>
    <row r="16" spans="1:13" ht="12.75">
      <c r="A16" s="3" t="s">
        <v>7</v>
      </c>
      <c r="B16" s="16">
        <f>Rates!B16</f>
        <v>365.5</v>
      </c>
      <c r="C16" s="11">
        <f>'[1]Schedule M'!$F$335</f>
        <v>108</v>
      </c>
      <c r="D16" s="11">
        <f t="shared" si="2"/>
        <v>39474</v>
      </c>
      <c r="E16" s="4"/>
      <c r="F16" s="4">
        <f t="shared" si="0"/>
        <v>108</v>
      </c>
      <c r="G16" s="11">
        <f t="shared" si="1"/>
        <v>39474</v>
      </c>
      <c r="H16" s="26">
        <f>Rates!C16</f>
        <v>421.43120402499994</v>
      </c>
      <c r="I16" s="11">
        <f t="shared" si="3"/>
        <v>45515</v>
      </c>
      <c r="J16" s="30">
        <f t="shared" si="4"/>
        <v>0.15303744236712769</v>
      </c>
      <c r="K16" s="26">
        <f>Rates!D16</f>
        <v>364.75</v>
      </c>
      <c r="L16" s="11">
        <f t="shared" si="5"/>
        <v>39393</v>
      </c>
      <c r="M16" s="30">
        <f t="shared" si="6"/>
        <v>-0.0020519835841312783</v>
      </c>
    </row>
    <row r="17" spans="1:13" ht="15">
      <c r="A17" s="3" t="s">
        <v>8</v>
      </c>
      <c r="B17" s="16">
        <f>Rates!B17</f>
        <v>584.8</v>
      </c>
      <c r="C17" s="4"/>
      <c r="D17" s="11">
        <f t="shared" si="2"/>
        <v>0</v>
      </c>
      <c r="E17" s="4"/>
      <c r="F17" s="4">
        <f t="shared" si="0"/>
        <v>0</v>
      </c>
      <c r="G17" s="9">
        <f t="shared" si="1"/>
        <v>0</v>
      </c>
      <c r="H17" s="26">
        <f>Rates!C17</f>
        <v>674.2899264399998</v>
      </c>
      <c r="I17" s="9">
        <f t="shared" si="3"/>
        <v>0</v>
      </c>
      <c r="J17" s="30">
        <f t="shared" si="4"/>
      </c>
      <c r="K17" s="26">
        <f>Rates!D17</f>
        <v>583.59</v>
      </c>
      <c r="L17" s="9">
        <f t="shared" si="5"/>
        <v>0</v>
      </c>
      <c r="M17" s="30">
        <f t="shared" si="6"/>
      </c>
    </row>
    <row r="18" spans="1:13" ht="12.75">
      <c r="A18" s="3" t="s">
        <v>12</v>
      </c>
      <c r="C18" s="4"/>
      <c r="D18" s="14">
        <f>SUM(D9:D17)</f>
        <v>394398</v>
      </c>
      <c r="E18" s="4"/>
      <c r="F18" s="4"/>
      <c r="G18" s="14">
        <f>SUM(G9:G17)</f>
        <v>394398</v>
      </c>
      <c r="I18" s="14">
        <f>SUM(I9:I17)</f>
        <v>454754</v>
      </c>
      <c r="J18" s="30">
        <f t="shared" si="4"/>
        <v>0.15303323039163486</v>
      </c>
      <c r="L18" s="14">
        <f>SUM(L9:L17)</f>
        <v>393574</v>
      </c>
      <c r="M18" s="30">
        <f t="shared" si="6"/>
        <v>-0.002089260087525746</v>
      </c>
    </row>
    <row r="19" ht="12.75">
      <c r="A19" s="3"/>
    </row>
    <row r="20" spans="1:13" ht="12.75">
      <c r="A20" s="3" t="s">
        <v>9</v>
      </c>
      <c r="B20" s="12">
        <f>Rates!B23</f>
        <v>1.48647</v>
      </c>
      <c r="C20" s="4">
        <f>'[1]Schedule M'!$G$342</f>
        <v>1834339</v>
      </c>
      <c r="D20" s="14">
        <f>ROUND(B20*C20,0)</f>
        <v>2726690</v>
      </c>
      <c r="E20" s="4"/>
      <c r="F20" s="4">
        <f>C20+E20</f>
        <v>1834339</v>
      </c>
      <c r="G20" s="14">
        <f>ROUND(F20*B20,0)</f>
        <v>2726690</v>
      </c>
      <c r="H20" s="12">
        <f>Rates!C23</f>
        <v>1.7139393757784998</v>
      </c>
      <c r="I20" s="14">
        <f>ROUND($F20*H20,0)</f>
        <v>3143946</v>
      </c>
      <c r="J20" s="30">
        <f>IF($G20&gt;0,I20/$G20-1,"")</f>
        <v>0.15302656334236753</v>
      </c>
      <c r="K20" s="12">
        <f>Rates!D23</f>
        <v>1.4837</v>
      </c>
      <c r="L20" s="14">
        <f>ROUND($F20*K20,0)</f>
        <v>2721609</v>
      </c>
      <c r="M20" s="30">
        <f>IF($G20&gt;0,L20/$G20-1,"")</f>
        <v>-0.001863431486527567</v>
      </c>
    </row>
    <row r="22" spans="1:13" ht="15">
      <c r="A22" s="13" t="s">
        <v>13</v>
      </c>
      <c r="D22" s="15">
        <f>D18+D20</f>
        <v>3121088</v>
      </c>
      <c r="E22" s="15"/>
      <c r="G22" s="15">
        <f>G18+G20</f>
        <v>3121088</v>
      </c>
      <c r="I22" s="15">
        <f>I18+I20</f>
        <v>3598700</v>
      </c>
      <c r="J22" s="30">
        <f>IF($G22&gt;0,I22/$G22-1,"")</f>
        <v>0.15302740582771146</v>
      </c>
      <c r="L22" s="15">
        <f>L18+L20</f>
        <v>3115183</v>
      </c>
      <c r="M22" s="30">
        <f>IF($G22&gt;0,L22/$G22-1,"")</f>
        <v>-0.0018919684417741944</v>
      </c>
    </row>
    <row r="23" spans="7:9" ht="12.75">
      <c r="G23" s="14"/>
      <c r="I23" s="14"/>
    </row>
    <row r="24" spans="7:9" ht="12.75">
      <c r="G24" s="14"/>
      <c r="I24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11" customWidth="1"/>
    <col min="2" max="2" width="9.7109375" style="12" bestFit="1" customWidth="1"/>
    <col min="3" max="3" width="12.8515625" style="11" bestFit="1" customWidth="1"/>
    <col min="4" max="6" width="12.8515625" style="11" customWidth="1"/>
    <col min="7" max="7" width="13.421875" style="11" customWidth="1"/>
    <col min="8" max="8" width="9.140625" style="11" customWidth="1"/>
    <col min="9" max="9" width="12.28125" style="11" bestFit="1" customWidth="1"/>
    <col min="10" max="10" width="11.421875" style="11" bestFit="1" customWidth="1"/>
    <col min="11" max="11" width="9.140625" style="11" customWidth="1"/>
    <col min="12" max="12" width="13.140625" style="11" customWidth="1"/>
    <col min="13" max="13" width="11.421875" style="11" bestFit="1" customWidth="1"/>
    <col min="14" max="16384" width="9.140625" style="11" customWidth="1"/>
  </cols>
  <sheetData>
    <row r="1" ht="12.75">
      <c r="A1" s="11" t="str">
        <f>Name1</f>
        <v>Kentucky-American Water Company</v>
      </c>
    </row>
    <row r="2" ht="12.75">
      <c r="A2" s="11" t="str">
        <f>Name2</f>
        <v>Case No. 2004-00103</v>
      </c>
    </row>
    <row r="4" spans="1:2" s="24" customFormat="1" ht="12.75">
      <c r="A4" s="24" t="s">
        <v>62</v>
      </c>
      <c r="B4" s="54"/>
    </row>
    <row r="5" ht="12.75">
      <c r="A5" s="13" t="s">
        <v>36</v>
      </c>
    </row>
    <row r="6" spans="1:2" ht="12.75">
      <c r="A6" s="11" t="s">
        <v>183</v>
      </c>
      <c r="B6" s="12" t="b">
        <f>Activation</f>
        <v>1</v>
      </c>
    </row>
    <row r="7" spans="8:13" ht="15">
      <c r="H7" s="55" t="s">
        <v>88</v>
      </c>
      <c r="I7" s="55"/>
      <c r="J7" s="55"/>
      <c r="K7" s="55" t="s">
        <v>89</v>
      </c>
      <c r="L7" s="55"/>
      <c r="M7" s="55"/>
    </row>
    <row r="8" spans="2:13" s="6" customFormat="1" ht="30">
      <c r="B8" s="8" t="s">
        <v>10</v>
      </c>
      <c r="C8" s="18" t="s">
        <v>34</v>
      </c>
      <c r="D8" s="18" t="s">
        <v>53</v>
      </c>
      <c r="E8" s="18" t="s">
        <v>33</v>
      </c>
      <c r="F8" s="18" t="s">
        <v>35</v>
      </c>
      <c r="G8" s="18" t="s">
        <v>54</v>
      </c>
      <c r="H8" s="6" t="s">
        <v>10</v>
      </c>
      <c r="I8" s="18" t="s">
        <v>11</v>
      </c>
      <c r="J8" s="6" t="s">
        <v>49</v>
      </c>
      <c r="K8" s="6" t="s">
        <v>10</v>
      </c>
      <c r="L8" s="6" t="s">
        <v>11</v>
      </c>
      <c r="M8" s="6" t="s">
        <v>49</v>
      </c>
    </row>
    <row r="9" spans="1:13" ht="12.75">
      <c r="A9" s="3" t="s">
        <v>0</v>
      </c>
      <c r="B9" s="16">
        <f>Rates!B9</f>
        <v>7.31</v>
      </c>
      <c r="D9" s="14">
        <f>ROUND(B9*C9,0)</f>
        <v>0</v>
      </c>
      <c r="E9" s="4"/>
      <c r="F9" s="4">
        <f aca="true" t="shared" si="0" ref="F9:F17">C9+E9</f>
        <v>0</v>
      </c>
      <c r="G9" s="14">
        <f aca="true" t="shared" si="1" ref="G9:G17">ROUND(F9*B9,0)</f>
        <v>0</v>
      </c>
      <c r="H9" s="27">
        <f>Rates!C9</f>
        <v>8.428624080499999</v>
      </c>
      <c r="I9" s="14">
        <f>ROUND($F9*H9,0)</f>
        <v>0</v>
      </c>
      <c r="J9" s="30">
        <f>IF($G9&gt;0,I9/$G9-1,"")</f>
      </c>
      <c r="K9" s="27">
        <f>Rates!D9</f>
        <v>7.29</v>
      </c>
      <c r="L9" s="14">
        <f>ROUND($F9*K9,0)</f>
        <v>0</v>
      </c>
      <c r="M9" s="30">
        <f>IF($G9&gt;0,L9/$G9-1,"")</f>
      </c>
    </row>
    <row r="10" spans="1:13" ht="12.75">
      <c r="A10" s="3" t="s">
        <v>1</v>
      </c>
      <c r="B10" s="16">
        <f>Rates!B10</f>
        <v>10.97</v>
      </c>
      <c r="C10" s="4"/>
      <c r="D10" s="11">
        <f aca="true" t="shared" si="2" ref="D10:D17">ROUND(B10*C10,0)</f>
        <v>0</v>
      </c>
      <c r="E10" s="4"/>
      <c r="F10" s="4">
        <f t="shared" si="0"/>
        <v>0</v>
      </c>
      <c r="G10" s="11">
        <f t="shared" si="1"/>
        <v>0</v>
      </c>
      <c r="H10" s="26">
        <f>Rates!C10</f>
        <v>12.648701253499999</v>
      </c>
      <c r="I10" s="11">
        <f aca="true" t="shared" si="3" ref="I10:I17">ROUND($F10*H10,0)</f>
        <v>0</v>
      </c>
      <c r="J10" s="30">
        <f aca="true" t="shared" si="4" ref="J10:J18">IF($G10&gt;0,I10/$G10-1,"")</f>
      </c>
      <c r="K10" s="26">
        <f>Rates!D10</f>
        <v>10.95</v>
      </c>
      <c r="L10" s="11">
        <f aca="true" t="shared" si="5" ref="L10:L17">ROUND($F10*K10,0)</f>
        <v>0</v>
      </c>
      <c r="M10" s="30">
        <f aca="true" t="shared" si="6" ref="M10:M18">IF($G10&gt;0,L10/$G10-1,"")</f>
      </c>
    </row>
    <row r="11" spans="1:13" ht="12.75">
      <c r="A11" s="3" t="s">
        <v>2</v>
      </c>
      <c r="B11" s="16">
        <f>Rates!B11</f>
        <v>18.28</v>
      </c>
      <c r="D11" s="11">
        <f t="shared" si="2"/>
        <v>0</v>
      </c>
      <c r="F11" s="4">
        <f t="shared" si="0"/>
        <v>0</v>
      </c>
      <c r="G11" s="11">
        <f t="shared" si="1"/>
        <v>0</v>
      </c>
      <c r="H11" s="26">
        <f>Rates!C11</f>
        <v>21.077325333999998</v>
      </c>
      <c r="I11" s="11">
        <f t="shared" si="3"/>
        <v>0</v>
      </c>
      <c r="J11" s="30">
        <f t="shared" si="4"/>
      </c>
      <c r="K11" s="26">
        <f>Rates!D11</f>
        <v>18.24</v>
      </c>
      <c r="L11" s="11">
        <f t="shared" si="5"/>
        <v>0</v>
      </c>
      <c r="M11" s="30">
        <f t="shared" si="6"/>
      </c>
    </row>
    <row r="12" spans="1:13" ht="12.75">
      <c r="A12" s="3" t="s">
        <v>3</v>
      </c>
      <c r="B12" s="16">
        <f>Rates!B12</f>
        <v>36.55</v>
      </c>
      <c r="D12" s="11">
        <f t="shared" si="2"/>
        <v>0</v>
      </c>
      <c r="F12" s="4">
        <f t="shared" si="0"/>
        <v>0</v>
      </c>
      <c r="G12" s="11">
        <f t="shared" si="1"/>
        <v>0</v>
      </c>
      <c r="H12" s="26">
        <f>Rates!C12</f>
        <v>42.14312040249999</v>
      </c>
      <c r="I12" s="11">
        <f t="shared" si="3"/>
        <v>0</v>
      </c>
      <c r="J12" s="30">
        <f t="shared" si="4"/>
      </c>
      <c r="K12" s="26">
        <f>Rates!D12</f>
        <v>36.47</v>
      </c>
      <c r="L12" s="11">
        <f t="shared" si="5"/>
        <v>0</v>
      </c>
      <c r="M12" s="30">
        <f t="shared" si="6"/>
      </c>
    </row>
    <row r="13" spans="1:13" ht="12.75">
      <c r="A13" s="3" t="s">
        <v>4</v>
      </c>
      <c r="B13" s="16">
        <f>Rates!B13</f>
        <v>58.48</v>
      </c>
      <c r="C13" s="11">
        <f>'[1]Schedule M'!$F$390</f>
        <v>120</v>
      </c>
      <c r="D13" s="11">
        <f t="shared" si="2"/>
        <v>7018</v>
      </c>
      <c r="F13" s="4">
        <f t="shared" si="0"/>
        <v>120</v>
      </c>
      <c r="G13" s="11">
        <f t="shared" si="1"/>
        <v>7018</v>
      </c>
      <c r="H13" s="26">
        <f>Rates!C13</f>
        <v>67.42899264399999</v>
      </c>
      <c r="I13" s="11">
        <f t="shared" si="3"/>
        <v>8091</v>
      </c>
      <c r="J13" s="30">
        <f t="shared" si="4"/>
        <v>0.15289256198347112</v>
      </c>
      <c r="K13" s="26">
        <f>Rates!D13</f>
        <v>58.36</v>
      </c>
      <c r="L13" s="11">
        <f t="shared" si="5"/>
        <v>7003</v>
      </c>
      <c r="M13" s="30">
        <f t="shared" si="6"/>
        <v>-0.002137361071530397</v>
      </c>
    </row>
    <row r="14" spans="1:13" ht="12.75">
      <c r="A14" s="3" t="s">
        <v>5</v>
      </c>
      <c r="B14" s="16">
        <f>Rates!B14</f>
        <v>109.65</v>
      </c>
      <c r="C14" s="4"/>
      <c r="D14" s="11">
        <f t="shared" si="2"/>
        <v>0</v>
      </c>
      <c r="E14" s="4"/>
      <c r="F14" s="4">
        <f t="shared" si="0"/>
        <v>0</v>
      </c>
      <c r="G14" s="11">
        <f t="shared" si="1"/>
        <v>0</v>
      </c>
      <c r="H14" s="26">
        <f>Rates!C14</f>
        <v>126.4293612075</v>
      </c>
      <c r="I14" s="11">
        <f t="shared" si="3"/>
        <v>0</v>
      </c>
      <c r="J14" s="30">
        <f t="shared" si="4"/>
      </c>
      <c r="K14" s="26">
        <f>Rates!D14</f>
        <v>109.42</v>
      </c>
      <c r="L14" s="11">
        <f t="shared" si="5"/>
        <v>0</v>
      </c>
      <c r="M14" s="30">
        <f t="shared" si="6"/>
      </c>
    </row>
    <row r="15" spans="1:13" ht="12.75">
      <c r="A15" s="3" t="s">
        <v>6</v>
      </c>
      <c r="B15" s="16">
        <f>Rates!B15</f>
        <v>182.75</v>
      </c>
      <c r="C15" s="11">
        <f>'[1]Schedule M'!$F$394</f>
        <v>96</v>
      </c>
      <c r="D15" s="11">
        <f t="shared" si="2"/>
        <v>17544</v>
      </c>
      <c r="E15" s="4"/>
      <c r="F15" s="4">
        <f t="shared" si="0"/>
        <v>96</v>
      </c>
      <c r="G15" s="11">
        <f t="shared" si="1"/>
        <v>17544</v>
      </c>
      <c r="H15" s="26">
        <f>Rates!C15</f>
        <v>210.71560201249997</v>
      </c>
      <c r="I15" s="11">
        <f t="shared" si="3"/>
        <v>20229</v>
      </c>
      <c r="J15" s="30">
        <f t="shared" si="4"/>
        <v>0.15304377564979488</v>
      </c>
      <c r="K15" s="26">
        <f>Rates!D15</f>
        <v>182.37</v>
      </c>
      <c r="L15" s="11">
        <f t="shared" si="5"/>
        <v>17508</v>
      </c>
      <c r="M15" s="30">
        <f t="shared" si="6"/>
        <v>-0.0020519835841312783</v>
      </c>
    </row>
    <row r="16" spans="1:13" ht="12.75">
      <c r="A16" s="3" t="s">
        <v>7</v>
      </c>
      <c r="B16" s="16">
        <f>Rates!B16</f>
        <v>365.5</v>
      </c>
      <c r="C16" s="11">
        <f>'[1]Schedule M'!$F$396</f>
        <v>24</v>
      </c>
      <c r="D16" s="11">
        <f t="shared" si="2"/>
        <v>8772</v>
      </c>
      <c r="E16" s="4"/>
      <c r="F16" s="4">
        <f t="shared" si="0"/>
        <v>24</v>
      </c>
      <c r="G16" s="11">
        <f t="shared" si="1"/>
        <v>8772</v>
      </c>
      <c r="H16" s="26">
        <f>Rates!C16</f>
        <v>421.43120402499994</v>
      </c>
      <c r="I16" s="11">
        <f t="shared" si="3"/>
        <v>10114</v>
      </c>
      <c r="J16" s="30">
        <f t="shared" si="4"/>
        <v>0.15298677610579126</v>
      </c>
      <c r="K16" s="26">
        <f>Rates!D16</f>
        <v>364.75</v>
      </c>
      <c r="L16" s="11">
        <f t="shared" si="5"/>
        <v>8754</v>
      </c>
      <c r="M16" s="30">
        <f t="shared" si="6"/>
        <v>-0.0020519835841312783</v>
      </c>
    </row>
    <row r="17" spans="1:13" ht="15">
      <c r="A17" s="3" t="s">
        <v>8</v>
      </c>
      <c r="B17" s="16">
        <f>Rates!B17</f>
        <v>584.8</v>
      </c>
      <c r="C17" s="4"/>
      <c r="D17" s="11">
        <f t="shared" si="2"/>
        <v>0</v>
      </c>
      <c r="E17" s="4"/>
      <c r="F17" s="4">
        <f t="shared" si="0"/>
        <v>0</v>
      </c>
      <c r="G17" s="9">
        <f t="shared" si="1"/>
        <v>0</v>
      </c>
      <c r="H17" s="26">
        <f>Rates!C17</f>
        <v>674.2899264399998</v>
      </c>
      <c r="I17" s="9">
        <f t="shared" si="3"/>
        <v>0</v>
      </c>
      <c r="J17" s="30">
        <f t="shared" si="4"/>
      </c>
      <c r="K17" s="26">
        <f>Rates!D17</f>
        <v>583.59</v>
      </c>
      <c r="L17" s="9">
        <f t="shared" si="5"/>
        <v>0</v>
      </c>
      <c r="M17" s="30">
        <f t="shared" si="6"/>
      </c>
    </row>
    <row r="18" spans="1:13" ht="12.75">
      <c r="A18" s="3" t="s">
        <v>12</v>
      </c>
      <c r="C18" s="4"/>
      <c r="D18" s="14">
        <f>SUM(D9:D17)</f>
        <v>33334</v>
      </c>
      <c r="E18" s="4"/>
      <c r="F18" s="4"/>
      <c r="G18" s="14">
        <f>SUM(G9:G17)</f>
        <v>33334</v>
      </c>
      <c r="I18" s="14">
        <f>SUM(I9:I17)</f>
        <v>38434</v>
      </c>
      <c r="J18" s="30">
        <f t="shared" si="4"/>
        <v>0.1529969400611988</v>
      </c>
      <c r="L18" s="14">
        <f>SUM(L9:L17)</f>
        <v>33265</v>
      </c>
      <c r="M18" s="30">
        <f t="shared" si="6"/>
        <v>-0.002069958600828037</v>
      </c>
    </row>
    <row r="19" ht="12.75">
      <c r="A19" s="3"/>
    </row>
    <row r="20" spans="1:13" ht="12.75">
      <c r="A20" s="3" t="s">
        <v>9</v>
      </c>
      <c r="B20" s="12">
        <f>Rates!B24</f>
        <v>1.48647</v>
      </c>
      <c r="C20" s="4">
        <f>'[1]Schedule M'!$G$403</f>
        <v>496465</v>
      </c>
      <c r="D20" s="14">
        <f>ROUND(B20*C20,0)</f>
        <v>737980</v>
      </c>
      <c r="E20" s="4"/>
      <c r="F20" s="4">
        <f>C20+E20</f>
        <v>496465</v>
      </c>
      <c r="G20" s="14">
        <f>ROUND(F20*B20,0)</f>
        <v>737980</v>
      </c>
      <c r="H20" s="12">
        <f>Rates!C24</f>
        <v>1.7139393757784998</v>
      </c>
      <c r="I20" s="14">
        <f>ROUND($F20*H20,0)</f>
        <v>850911</v>
      </c>
      <c r="J20" s="30">
        <f>IF($G20&gt;0,I20/$G20-1,"")</f>
        <v>0.15302718230846368</v>
      </c>
      <c r="K20" s="12">
        <f>Rates!D24</f>
        <v>1.4837</v>
      </c>
      <c r="L20" s="14">
        <f>ROUND($F20*K20,0)</f>
        <v>736605</v>
      </c>
      <c r="M20" s="30">
        <f>IF($G20&gt;0,L20/$G20-1,"")</f>
        <v>-0.0018631941245019767</v>
      </c>
    </row>
    <row r="22" spans="1:13" ht="15">
      <c r="A22" s="13" t="s">
        <v>13</v>
      </c>
      <c r="D22" s="15">
        <f>D18+D20</f>
        <v>771314</v>
      </c>
      <c r="E22" s="15"/>
      <c r="G22" s="15">
        <f>G18+G20</f>
        <v>771314</v>
      </c>
      <c r="I22" s="15">
        <f>I18+I20</f>
        <v>889345</v>
      </c>
      <c r="J22" s="30">
        <f>IF($G22&gt;0,I22/$G22-1,"")</f>
        <v>0.15302587532444623</v>
      </c>
      <c r="L22" s="15">
        <f>L18+L20</f>
        <v>769870</v>
      </c>
      <c r="M22" s="30">
        <f>IF($G22&gt;0,L22/$G22-1,"")</f>
        <v>-0.0018721298978107148</v>
      </c>
    </row>
    <row r="23" spans="7:9" ht="12.75">
      <c r="G23" s="14"/>
      <c r="I23" s="14"/>
    </row>
    <row r="24" spans="7:9" ht="12.75">
      <c r="G24" s="14"/>
      <c r="I24" s="14"/>
    </row>
  </sheetData>
  <mergeCells count="2">
    <mergeCell ref="H7:J7"/>
    <mergeCell ref="K7:M7"/>
  </mergeCells>
  <printOptions/>
  <pageMargins left="0.75" right="0.75" top="1" bottom="1" header="0.5" footer="0.5"/>
  <pageSetup fitToHeight="1" fitToWidth="1" horizontalDpi="300" verticalDpi="300" orientation="landscape" scale="71" r:id="rId1"/>
  <headerFooter alignWithMargins="0">
    <oddFooter>&amp;L&amp;F,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Utility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J. Rubin</dc:creator>
  <cp:keywords/>
  <dc:description/>
  <cp:lastModifiedBy>Scott J. Rubin</cp:lastModifiedBy>
  <cp:lastPrinted>2004-08-24T17:45:58Z</cp:lastPrinted>
  <dcterms:created xsi:type="dcterms:W3CDTF">2000-07-13T15:51:00Z</dcterms:created>
  <dcterms:modified xsi:type="dcterms:W3CDTF">2004-08-24T17:46:40Z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