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Summary Cost of Equity Studies" sheetId="1" r:id="rId1"/>
    <sheet name="Schedule A Water DCF" sheetId="2" r:id="rId2"/>
    <sheet name="Schedule B LDC DCF" sheetId="3" r:id="rId3"/>
    <sheet name="Schedule D" sheetId="4" r:id="rId4"/>
    <sheet name="Schedule E" sheetId="5" r:id="rId5"/>
    <sheet name="SCHEDULE F Cap Struct Proxy Cos" sheetId="6" r:id="rId6"/>
  </sheets>
  <definedNames>
    <definedName name="_xlnm.Print_Area" localSheetId="1">'Schedule A Water DCF'!$A$1:$AB$17</definedName>
    <definedName name="_xlnm.Print_Area" localSheetId="0">'Summary Cost of Equity Studies'!$A$1:$E$42</definedName>
  </definedNames>
  <calcPr fullCalcOnLoad="1"/>
</workbook>
</file>

<file path=xl/sharedStrings.xml><?xml version="1.0" encoding="utf-8"?>
<sst xmlns="http://schemas.openxmlformats.org/spreadsheetml/2006/main" count="222" uniqueCount="133">
  <si>
    <t>Company</t>
  </si>
  <si>
    <t>DIV1</t>
  </si>
  <si>
    <t>DIV2</t>
  </si>
  <si>
    <t>DIV3</t>
  </si>
  <si>
    <t>DIV4</t>
  </si>
  <si>
    <t>d1</t>
  </si>
  <si>
    <t>d2</t>
  </si>
  <si>
    <t>d3</t>
  </si>
  <si>
    <t>3-Mo. Ave. Price</t>
  </si>
  <si>
    <t>Dividend</t>
  </si>
  <si>
    <t>January 2004 I/B/E/S</t>
  </si>
  <si>
    <t>Shares Outstanding</t>
  </si>
  <si>
    <t>Market Value</t>
  </si>
  <si>
    <t>1+g</t>
  </si>
  <si>
    <t>1+k</t>
  </si>
  <si>
    <t>Value LineSafety Rank</t>
  </si>
  <si>
    <t>Preferred Equity</t>
  </si>
  <si>
    <t>Long-Term Debt</t>
  </si>
  <si>
    <t>Total Capital</t>
  </si>
  <si>
    <t>% Equity</t>
  </si>
  <si>
    <t>No. Estimates</t>
  </si>
  <si>
    <t>AGL Resources</t>
  </si>
  <si>
    <t>Atmos Energy</t>
  </si>
  <si>
    <t>Energen Corp.</t>
  </si>
  <si>
    <t>Equitable Resources</t>
  </si>
  <si>
    <t>KeySpan Corp.</t>
  </si>
  <si>
    <t>New Jersey Resources</t>
  </si>
  <si>
    <t>NICOR Inc.</t>
  </si>
  <si>
    <t>Northwest Nat. Gas</t>
  </si>
  <si>
    <t>Peoples Energy</t>
  </si>
  <si>
    <t>Southwest Gas</t>
  </si>
  <si>
    <t>UGI Corp.</t>
  </si>
  <si>
    <t>UGI</t>
  </si>
  <si>
    <t>WGL Holdings Inc.</t>
  </si>
  <si>
    <t>Market Weighted Average</t>
  </si>
  <si>
    <t>Company Name</t>
  </si>
  <si>
    <t>Ticker</t>
  </si>
  <si>
    <t>Amer. States Water</t>
  </si>
  <si>
    <t>AWR</t>
  </si>
  <si>
    <t>Aqua America</t>
  </si>
  <si>
    <t>WTR</t>
  </si>
  <si>
    <t>California Water</t>
  </si>
  <si>
    <t>CWT</t>
  </si>
  <si>
    <t>ATG</t>
  </si>
  <si>
    <t>ATO</t>
  </si>
  <si>
    <t>EGN</t>
  </si>
  <si>
    <t>KSE</t>
  </si>
  <si>
    <t>NJR</t>
  </si>
  <si>
    <t>GAS</t>
  </si>
  <si>
    <t>NWN</t>
  </si>
  <si>
    <t>PGL</t>
  </si>
  <si>
    <t>SWX</t>
  </si>
  <si>
    <t>WGL</t>
  </si>
  <si>
    <t>EQT</t>
  </si>
  <si>
    <t>Middlesex Water</t>
  </si>
  <si>
    <t>Southwest Water</t>
  </si>
  <si>
    <t>York Water Company</t>
  </si>
  <si>
    <t xml:space="preserve"> Ex Post Risk Premium</t>
  </si>
  <si>
    <t>Moody's</t>
  </si>
  <si>
    <t>A-rated</t>
  </si>
  <si>
    <t>Pub Utility</t>
  </si>
  <si>
    <t>Average</t>
  </si>
  <si>
    <t>Risk Premium Utility Stock Index</t>
  </si>
  <si>
    <t>Risk Premium SP500</t>
  </si>
  <si>
    <t>3-month average A-bond yield</t>
  </si>
  <si>
    <t>Risk Premium Range</t>
  </si>
  <si>
    <t>flotation</t>
  </si>
  <si>
    <t>Ex Post Risk Premium Cost of Equity</t>
  </si>
  <si>
    <t>Ex Ante Risk Premium Cost of Equity</t>
  </si>
  <si>
    <t>7.871 – 0.41912 x 6.16 = 5.29</t>
  </si>
  <si>
    <t>intercept coefficient/(1-serial correlation coefficient =</t>
  </si>
  <si>
    <t>A bond coefficient * current A bond yield =</t>
  </si>
  <si>
    <t>Sum of above = ex ante risk premium</t>
  </si>
  <si>
    <t xml:space="preserve">current A bond yield = </t>
  </si>
  <si>
    <t xml:space="preserve">Ex Ante Risk Premium Cost of Equity = A bond yield plus risk premium = </t>
  </si>
  <si>
    <t>NA</t>
  </si>
  <si>
    <t>Cost of Equity</t>
  </si>
  <si>
    <t>Total</t>
  </si>
  <si>
    <t>Short-Term Debt</t>
  </si>
  <si>
    <t>% Short-Term Debt</t>
  </si>
  <si>
    <t>% Long-Term Debt</t>
  </si>
  <si>
    <t>% Preferred Equity</t>
  </si>
  <si>
    <t>Ave IBES &amp; Value Line</t>
  </si>
  <si>
    <t>Value Line Forecasted EPS Growth</t>
  </si>
  <si>
    <t>11/1/2003 High</t>
  </si>
  <si>
    <t>11/1/2003 Low</t>
  </si>
  <si>
    <t>12/1/2003 High</t>
  </si>
  <si>
    <t>12/1/2003 Low</t>
  </si>
  <si>
    <t>1/1/2004 High</t>
  </si>
  <si>
    <t>1/1/2004 Low</t>
  </si>
  <si>
    <t>d4</t>
  </si>
  <si>
    <t>KENTUCKY-AMERICAN WATER COMPANY</t>
  </si>
  <si>
    <t>EXHIBIT__(JVW-1)</t>
  </si>
  <si>
    <t>SCHEDULE A</t>
  </si>
  <si>
    <t>SUMMARY OF DISCOUNTED CASH FLOW ANALYSIS</t>
  </si>
  <si>
    <t>FOR PROXY WATER COMPANY COMPANIES</t>
  </si>
  <si>
    <t>SCHEDULE B</t>
  </si>
  <si>
    <t>FOR NATURAL GAS DISTRIBUTION COMPANIES</t>
  </si>
  <si>
    <t>Value Line Safety Rank</t>
  </si>
  <si>
    <t>Market-Weighted Average/Composite</t>
  </si>
  <si>
    <t>SCHEDULE F</t>
  </si>
  <si>
    <t>AVERAGE CAPITAL STRUCTURE OF PROXY WATER COMPANY GROUP</t>
  </si>
  <si>
    <t>AVERAGE CAPITAL STRUCTURE OF PROXY LDC GROUP</t>
  </si>
  <si>
    <t>Equity</t>
  </si>
  <si>
    <t>Utility</t>
  </si>
  <si>
    <t>Stock</t>
  </si>
  <si>
    <t>Bond</t>
  </si>
  <si>
    <t xml:space="preserve">Stock </t>
  </si>
  <si>
    <t>Rate of</t>
  </si>
  <si>
    <t>Year</t>
  </si>
  <si>
    <t>Price</t>
  </si>
  <si>
    <t>Yield</t>
  </si>
  <si>
    <t>Return</t>
  </si>
  <si>
    <t>Stocks</t>
  </si>
  <si>
    <t>Bonds</t>
  </si>
  <si>
    <t>Risk Premium</t>
  </si>
  <si>
    <t>Return 1937--2003</t>
  </si>
  <si>
    <t>COMPARATIVE RETURNS ON S&amp;P 500 STOCK INDEX</t>
  </si>
  <si>
    <t>AND MOODY’S A-RATED BONDS 1937 – 2003</t>
  </si>
  <si>
    <t>S&amp;P 500</t>
  </si>
  <si>
    <t>SCHEDULE D</t>
  </si>
  <si>
    <t>COMPARATIVE RETURNS ON S&amp;P UTILITIES STOCK INDEX</t>
  </si>
  <si>
    <t>AND MOODY’S A‑RATED BONDS 1937—2003</t>
  </si>
  <si>
    <t>S&amp;P Utilities Index discontinued December 2001.</t>
  </si>
  <si>
    <t>Return for 2002 based on new electric utilities index.</t>
  </si>
  <si>
    <t>S&amp;P Replaced Utilities stock index in December 2001 with separate indices for electric and natural gas utilities.</t>
  </si>
  <si>
    <t>Returns for 2002 and following based on electric utilities index.</t>
  </si>
  <si>
    <t>SCHEDULE E</t>
  </si>
  <si>
    <t>Summary of Results</t>
  </si>
  <si>
    <t>Water Proxy Group DCF Cost of Equity</t>
  </si>
  <si>
    <t>LDC Proxy Group DCF Cost of Equity</t>
  </si>
  <si>
    <t>Ex Ante LDC Risk Premium Cost of Equity</t>
  </si>
  <si>
    <t>Average Cost of Equity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</si>
</sst>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_(* #,##0.000_);_(* \(#,##0.000\);_(* &quot;-&quot;??_);_(@_)"/>
    <numFmt numFmtId="167" formatCode="_(* #,##0.0_);_(* \(#,##0.0\);_(* &quot;-&quot;??_);_(@_)"/>
    <numFmt numFmtId="168" formatCode="0.00000"/>
    <numFmt numFmtId="169" formatCode="0.000"/>
    <numFmt numFmtId="170" formatCode="0.0%"/>
    <numFmt numFmtId="171" formatCode="0.0000"/>
    <numFmt numFmtId="172" formatCode="#,##0.0"/>
    <numFmt numFmtId="173" formatCode="_(* #,##0_);_(* \(#,##0\);_(* &quot;-&quot;??_);_(@_)"/>
    <numFmt numFmtId="174" formatCode="0.0"/>
    <numFmt numFmtId="175" formatCode="mmmm\-yy"/>
    <numFmt numFmtId="176" formatCode="[$-409]mmmm\-yy;@"/>
    <numFmt numFmtId="177" formatCode="0.0000_);[Red]\(0.0000\)"/>
    <numFmt numFmtId="178" formatCode="0.000%"/>
    <numFmt numFmtId="179" formatCode="_(* #,##0.000_);_(* \(#,##0.000\);_(* &quot;-&quot;???_);_(@_)"/>
    <numFmt numFmtId="180" formatCode="0.0000%"/>
    <numFmt numFmtId="181" formatCode="0.0000000000000000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167" fontId="1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1" fillId="0" borderId="0" xfId="21" applyNumberFormat="1" applyFont="1" applyAlignment="1">
      <alignment/>
    </xf>
    <xf numFmtId="170" fontId="1" fillId="0" borderId="0" xfId="21" applyNumberFormat="1" applyFont="1" applyAlignment="1">
      <alignment/>
    </xf>
    <xf numFmtId="43" fontId="1" fillId="0" borderId="0" xfId="15" applyFont="1" applyAlignment="1">
      <alignment horizontal="left" indent="1"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21" applyNumberFormat="1" applyFont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3" fontId="1" fillId="0" borderId="0" xfId="15" applyFont="1" applyAlignment="1">
      <alignment/>
    </xf>
    <xf numFmtId="4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left"/>
    </xf>
    <xf numFmtId="167" fontId="1" fillId="0" borderId="0" xfId="15" applyNumberFormat="1" applyFont="1" applyAlignment="1">
      <alignment horizontal="left" indent="1"/>
    </xf>
    <xf numFmtId="170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72" fontId="1" fillId="0" borderId="0" xfId="15" applyNumberFormat="1" applyFont="1" applyAlignment="1">
      <alignment horizontal="right"/>
    </xf>
    <xf numFmtId="10" fontId="1" fillId="0" borderId="0" xfId="21" applyNumberFormat="1" applyFont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86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170" fontId="1" fillId="0" borderId="0" xfId="0" applyNumberFormat="1" applyFont="1" applyFill="1" applyAlignment="1">
      <alignment/>
    </xf>
    <xf numFmtId="10" fontId="1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0" fontId="1" fillId="0" borderId="0" xfId="21" applyNumberFormat="1" applyFont="1" applyAlignment="1">
      <alignment/>
    </xf>
    <xf numFmtId="17" fontId="1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7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5" fontId="1" fillId="0" borderId="0" xfId="0" applyNumberFormat="1" applyFont="1" applyAlignment="1">
      <alignment horizontal="left"/>
    </xf>
    <xf numFmtId="2" fontId="11" fillId="0" borderId="0" xfId="0" applyNumberFormat="1" applyFont="1" applyAlignment="1">
      <alignment/>
    </xf>
    <xf numFmtId="176" fontId="1" fillId="0" borderId="0" xfId="0" applyNumberFormat="1" applyFont="1" applyFill="1" applyAlignment="1">
      <alignment horizontal="left"/>
    </xf>
    <xf numFmtId="10" fontId="12" fillId="0" borderId="0" xfId="21" applyNumberFormat="1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70" fontId="1" fillId="0" borderId="0" xfId="0" applyNumberFormat="1" applyFont="1" applyAlignment="1">
      <alignment horizontal="right"/>
    </xf>
    <xf numFmtId="10" fontId="5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 horizontal="center"/>
    </xf>
    <xf numFmtId="16" fontId="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0" fontId="1" fillId="0" borderId="0" xfId="21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7" fontId="1" fillId="0" borderId="0" xfId="0" applyNumberFormat="1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0" fontId="1" fillId="0" borderId="0" xfId="21" applyNumberFormat="1" applyFont="1" applyFill="1" applyAlignment="1">
      <alignment/>
    </xf>
    <xf numFmtId="10" fontId="13" fillId="0" borderId="0" xfId="21" applyNumberFormat="1" applyFont="1" applyFill="1" applyAlignment="1">
      <alignment/>
    </xf>
    <xf numFmtId="178" fontId="1" fillId="0" borderId="0" xfId="0" applyNumberFormat="1" applyFont="1" applyAlignment="1">
      <alignment/>
    </xf>
    <xf numFmtId="173" fontId="1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2" customWidth="1"/>
    <col min="2" max="2" width="9.28125" style="2" bestFit="1" customWidth="1"/>
    <col min="3" max="3" width="12.7109375" style="2" customWidth="1"/>
    <col min="4" max="4" width="11.00390625" style="2" bestFit="1" customWidth="1"/>
    <col min="5" max="5" width="7.28125" style="2" customWidth="1"/>
    <col min="6" max="6" width="3.7109375" style="2" customWidth="1"/>
    <col min="7" max="8" width="7.28125" style="2" customWidth="1"/>
    <col min="9" max="9" width="9.140625" style="2" customWidth="1"/>
    <col min="10" max="10" width="6.28125" style="2" customWidth="1"/>
    <col min="11" max="16384" width="9.140625" style="2" customWidth="1"/>
  </cols>
  <sheetData>
    <row r="1" spans="1:5" ht="11.25">
      <c r="A1" s="64">
        <v>37987</v>
      </c>
      <c r="B1" s="54"/>
      <c r="C1" s="65"/>
      <c r="D1" s="54"/>
      <c r="E1" s="66"/>
    </row>
    <row r="2" spans="1:5" ht="11.25">
      <c r="A2" s="1" t="s">
        <v>91</v>
      </c>
      <c r="B2" s="54"/>
      <c r="C2" s="65"/>
      <c r="D2" s="54"/>
      <c r="E2" s="67"/>
    </row>
    <row r="3" spans="1:5" ht="11.25">
      <c r="A3" s="68"/>
      <c r="B3" s="54"/>
      <c r="C3" s="65"/>
      <c r="D3" s="54"/>
      <c r="E3" s="54"/>
    </row>
    <row r="4" spans="1:8" ht="11.25">
      <c r="A4" s="54"/>
      <c r="B4" s="54"/>
      <c r="C4" s="54"/>
      <c r="D4" s="69"/>
      <c r="E4" s="54"/>
      <c r="G4" s="70"/>
      <c r="H4" s="23"/>
    </row>
    <row r="5" spans="1:8" ht="11.25">
      <c r="A5" s="54" t="s">
        <v>57</v>
      </c>
      <c r="B5" s="69" t="s">
        <v>58</v>
      </c>
      <c r="C5" s="54"/>
      <c r="D5" s="69"/>
      <c r="E5" s="54"/>
      <c r="G5" s="33"/>
      <c r="H5" s="23"/>
    </row>
    <row r="6" spans="1:8" ht="11.25">
      <c r="A6" s="54"/>
      <c r="B6" s="69" t="s">
        <v>59</v>
      </c>
      <c r="C6" s="54"/>
      <c r="D6" s="69"/>
      <c r="E6" s="54"/>
      <c r="F6" s="71"/>
      <c r="G6" s="33"/>
      <c r="H6" s="23"/>
    </row>
    <row r="7" spans="1:8" ht="11.25">
      <c r="A7" s="54"/>
      <c r="B7" s="69" t="s">
        <v>60</v>
      </c>
      <c r="C7" s="54"/>
      <c r="D7" s="54"/>
      <c r="E7" s="54"/>
      <c r="F7" s="19"/>
      <c r="G7" s="33"/>
      <c r="H7" s="23"/>
    </row>
    <row r="8" spans="1:7" ht="11.25">
      <c r="A8" s="72">
        <v>37926</v>
      </c>
      <c r="B8" s="73">
        <v>0.0636</v>
      </c>
      <c r="C8" s="74"/>
      <c r="D8" s="54"/>
      <c r="E8" s="54"/>
      <c r="F8" s="23"/>
      <c r="G8" s="33"/>
    </row>
    <row r="9" spans="1:7" ht="11.25">
      <c r="A9" s="72">
        <v>37956</v>
      </c>
      <c r="B9" s="73">
        <v>0.0627</v>
      </c>
      <c r="C9" s="75"/>
      <c r="D9" s="55"/>
      <c r="E9" s="54"/>
      <c r="F9" s="23"/>
      <c r="G9" s="76"/>
    </row>
    <row r="10" spans="1:7" ht="11.25">
      <c r="A10" s="72">
        <v>37987</v>
      </c>
      <c r="B10" s="73">
        <v>0.0616</v>
      </c>
      <c r="C10" s="75"/>
      <c r="D10" s="55"/>
      <c r="E10" s="54"/>
      <c r="F10" s="23"/>
      <c r="G10" s="76"/>
    </row>
    <row r="11" spans="1:9" ht="11.25">
      <c r="A11" s="64"/>
      <c r="B11" s="54"/>
      <c r="C11" s="54"/>
      <c r="D11" s="77"/>
      <c r="E11" s="54"/>
      <c r="H11" s="19"/>
      <c r="I11" s="23"/>
    </row>
    <row r="12" spans="1:9" ht="11.25">
      <c r="A12" s="54" t="s">
        <v>61</v>
      </c>
      <c r="B12" s="78">
        <f>AVERAGE(B8:B10)</f>
        <v>0.06263333333333333</v>
      </c>
      <c r="C12" s="54"/>
      <c r="D12" s="77"/>
      <c r="E12" s="54"/>
      <c r="G12" s="19"/>
      <c r="H12" s="19"/>
      <c r="I12" s="23"/>
    </row>
    <row r="13" spans="1:9" ht="11.25">
      <c r="A13" s="54"/>
      <c r="B13" s="55"/>
      <c r="C13" s="55"/>
      <c r="D13" s="55"/>
      <c r="E13" s="54"/>
      <c r="G13" s="19"/>
      <c r="H13" s="19"/>
      <c r="I13" s="23"/>
    </row>
    <row r="14" spans="1:5" ht="11.25">
      <c r="A14" s="54"/>
      <c r="B14" s="55"/>
      <c r="C14" s="55"/>
      <c r="D14" s="68"/>
      <c r="E14" s="54"/>
    </row>
    <row r="15" spans="1:5" ht="11.25">
      <c r="A15" s="54" t="s">
        <v>62</v>
      </c>
      <c r="B15" s="55">
        <v>0.04614893873183014</v>
      </c>
      <c r="C15" s="56">
        <v>0.0461</v>
      </c>
      <c r="D15" s="55"/>
      <c r="E15" s="55"/>
    </row>
    <row r="16" spans="1:5" ht="11.25">
      <c r="A16" s="54" t="s">
        <v>63</v>
      </c>
      <c r="B16" s="55">
        <v>0.052245217214247186</v>
      </c>
      <c r="C16" s="56">
        <v>0.0522</v>
      </c>
      <c r="D16" s="55"/>
      <c r="E16" s="55"/>
    </row>
    <row r="17" spans="1:7" ht="11.25">
      <c r="A17" s="79" t="s">
        <v>64</v>
      </c>
      <c r="B17" s="55">
        <f>B12</f>
        <v>0.06263333333333333</v>
      </c>
      <c r="C17" s="56">
        <f>B17</f>
        <v>0.06263333333333333</v>
      </c>
      <c r="D17" s="55"/>
      <c r="E17" s="55"/>
      <c r="G17" s="23"/>
    </row>
    <row r="18" spans="1:7" ht="11.25">
      <c r="A18" s="54" t="s">
        <v>65</v>
      </c>
      <c r="B18" s="55">
        <f>B15+B17</f>
        <v>0.10878227206516347</v>
      </c>
      <c r="C18" s="56">
        <f>SUM(C15+C17)</f>
        <v>0.10873333333333333</v>
      </c>
      <c r="D18" s="55"/>
      <c r="E18" s="55"/>
      <c r="F18" s="19"/>
      <c r="G18" s="23"/>
    </row>
    <row r="19" spans="1:6" ht="11.25">
      <c r="A19" s="54"/>
      <c r="B19" s="55">
        <f>B16+B17</f>
        <v>0.11487855054758052</v>
      </c>
      <c r="C19" s="56">
        <f>SUM(C17+C16)</f>
        <v>0.11483333333333334</v>
      </c>
      <c r="D19" s="55"/>
      <c r="E19" s="55"/>
      <c r="F19" s="19"/>
    </row>
    <row r="20" spans="1:6" ht="11.25">
      <c r="A20" s="54" t="s">
        <v>61</v>
      </c>
      <c r="B20" s="55">
        <f>AVERAGE(B18:B19)</f>
        <v>0.111830411306372</v>
      </c>
      <c r="C20" s="56">
        <f>AVERAGE(C18:C19)</f>
        <v>0.11178333333333335</v>
      </c>
      <c r="D20" s="55"/>
      <c r="E20" s="55"/>
      <c r="F20" s="19"/>
    </row>
    <row r="21" spans="1:8" ht="11.25">
      <c r="A21" s="54" t="s">
        <v>66</v>
      </c>
      <c r="B21" s="55">
        <v>0.0025</v>
      </c>
      <c r="C21" s="56">
        <v>0.0025</v>
      </c>
      <c r="D21" s="55"/>
      <c r="E21" s="55"/>
      <c r="F21" s="19"/>
      <c r="G21" s="19"/>
      <c r="H21" s="19"/>
    </row>
    <row r="22" spans="1:5" ht="11.25">
      <c r="A22" s="54" t="s">
        <v>67</v>
      </c>
      <c r="B22" s="55">
        <f>B20+B21</f>
        <v>0.114330411306372</v>
      </c>
      <c r="C22" s="56">
        <f>SUM(C20:C21)</f>
        <v>0.11428333333333335</v>
      </c>
      <c r="D22" s="55"/>
      <c r="E22" s="55"/>
    </row>
    <row r="23" spans="1:5" ht="11.25">
      <c r="A23" s="54"/>
      <c r="B23" s="55"/>
      <c r="C23" s="56"/>
      <c r="D23" s="56"/>
      <c r="E23" s="54"/>
    </row>
    <row r="24" spans="1:10" ht="11.25">
      <c r="A24" s="54"/>
      <c r="B24" s="54"/>
      <c r="C24" s="56"/>
      <c r="D24" s="54"/>
      <c r="E24" s="54"/>
      <c r="F24" s="19"/>
      <c r="J24" s="19"/>
    </row>
    <row r="25" spans="1:5" ht="11.25">
      <c r="A25" s="54"/>
      <c r="B25" s="54"/>
      <c r="C25" s="54"/>
      <c r="D25" s="54"/>
      <c r="E25" s="54"/>
    </row>
    <row r="26" spans="1:5" ht="11.25">
      <c r="A26" s="54" t="s">
        <v>68</v>
      </c>
      <c r="B26" s="54"/>
      <c r="C26" s="54"/>
      <c r="D26" s="54"/>
      <c r="E26" s="54"/>
    </row>
    <row r="27" spans="1:5" ht="11.25">
      <c r="A27" s="54" t="s">
        <v>69</v>
      </c>
      <c r="B27" s="54"/>
      <c r="C27" s="54"/>
      <c r="D27" s="54"/>
      <c r="E27" s="54"/>
    </row>
    <row r="28" spans="1:5" ht="11.25">
      <c r="A28" s="80" t="s">
        <v>70</v>
      </c>
      <c r="B28" s="55"/>
      <c r="C28" s="54"/>
      <c r="D28" s="54"/>
      <c r="E28" s="81">
        <v>0.07870922511282927</v>
      </c>
    </row>
    <row r="29" spans="1:5" ht="11.25">
      <c r="A29" s="82" t="s">
        <v>71</v>
      </c>
      <c r="B29" s="83"/>
      <c r="C29" s="54"/>
      <c r="D29" s="55"/>
      <c r="E29" s="81">
        <v>-0.025817792</v>
      </c>
    </row>
    <row r="30" spans="1:5" ht="11.25">
      <c r="A30" s="55" t="s">
        <v>72</v>
      </c>
      <c r="B30" s="83"/>
      <c r="C30" s="83"/>
      <c r="D30" s="82"/>
      <c r="E30" s="81">
        <v>0.05289143311282927</v>
      </c>
    </row>
    <row r="31" spans="1:5" ht="11.25">
      <c r="A31" s="55" t="s">
        <v>73</v>
      </c>
      <c r="B31" s="54"/>
      <c r="C31" s="82"/>
      <c r="D31" s="55"/>
      <c r="E31" s="81">
        <v>0.0616</v>
      </c>
    </row>
    <row r="32" spans="1:5" ht="11.25">
      <c r="A32" s="82" t="s">
        <v>74</v>
      </c>
      <c r="B32" s="54"/>
      <c r="C32" s="82"/>
      <c r="D32" s="82"/>
      <c r="E32" s="81">
        <v>0.11449143311282928</v>
      </c>
    </row>
    <row r="33" spans="1:5" ht="11.25">
      <c r="A33" s="82"/>
      <c r="B33" s="54"/>
      <c r="C33" s="82"/>
      <c r="D33" s="82"/>
      <c r="E33" s="81"/>
    </row>
    <row r="34" spans="1:5" ht="11.25">
      <c r="A34" s="82"/>
      <c r="B34" s="54"/>
      <c r="C34" s="82"/>
      <c r="D34" s="82"/>
      <c r="E34" s="54"/>
    </row>
    <row r="35" spans="1:5" ht="11.25">
      <c r="A35" s="84">
        <v>37987</v>
      </c>
      <c r="B35" s="54"/>
      <c r="C35" s="54"/>
      <c r="D35" s="54"/>
      <c r="E35" s="83"/>
    </row>
    <row r="36" spans="1:5" ht="11.25">
      <c r="A36" s="54" t="s">
        <v>128</v>
      </c>
      <c r="B36" s="78"/>
      <c r="C36" s="85"/>
      <c r="D36" s="86"/>
      <c r="E36" s="66"/>
    </row>
    <row r="37" spans="1:5" ht="11.25">
      <c r="A37" s="54"/>
      <c r="B37" s="69"/>
      <c r="C37" s="69"/>
      <c r="D37" s="87"/>
      <c r="E37" s="54"/>
    </row>
    <row r="38" spans="1:10" ht="11.25">
      <c r="A38" s="54" t="s">
        <v>129</v>
      </c>
      <c r="B38" s="56">
        <f>'Schedule A Water DCF'!W16</f>
        <v>0.10656650392610989</v>
      </c>
      <c r="C38" s="81"/>
      <c r="D38" s="81"/>
      <c r="E38" s="81"/>
      <c r="J38" s="19"/>
    </row>
    <row r="39" spans="1:10" ht="11.25">
      <c r="A39" s="54" t="s">
        <v>130</v>
      </c>
      <c r="B39" s="56">
        <f>'Schedule B LDC DCF'!U25</f>
        <v>0.10669038413275297</v>
      </c>
      <c r="C39" s="88">
        <f>AVERAGE(B38:B39)</f>
        <v>0.10662844402943143</v>
      </c>
      <c r="D39" s="81"/>
      <c r="E39" s="81"/>
      <c r="G39" s="23"/>
      <c r="J39" s="19"/>
    </row>
    <row r="40" spans="1:10" ht="11.25">
      <c r="A40" s="54" t="s">
        <v>67</v>
      </c>
      <c r="B40" s="56">
        <f>B22</f>
        <v>0.114330411306372</v>
      </c>
      <c r="C40" s="88">
        <f>B40</f>
        <v>0.114330411306372</v>
      </c>
      <c r="D40" s="81"/>
      <c r="E40" s="81"/>
      <c r="G40" s="23"/>
      <c r="J40" s="19"/>
    </row>
    <row r="41" spans="1:10" ht="11.25">
      <c r="A41" s="54" t="s">
        <v>131</v>
      </c>
      <c r="B41" s="56">
        <f>E32</f>
        <v>0.11449143311282928</v>
      </c>
      <c r="C41" s="88">
        <f>B41</f>
        <v>0.11449143311282928</v>
      </c>
      <c r="D41" s="81"/>
      <c r="E41" s="89"/>
      <c r="F41" s="19"/>
      <c r="G41" s="23"/>
      <c r="J41" s="19"/>
    </row>
    <row r="42" spans="1:10" ht="11.25">
      <c r="A42" s="54" t="s">
        <v>132</v>
      </c>
      <c r="B42" s="55"/>
      <c r="C42" s="88">
        <f>AVERAGE(C39:C41)</f>
        <v>0.1118167628162109</v>
      </c>
      <c r="D42" s="81"/>
      <c r="E42" s="81"/>
      <c r="F42" s="19"/>
      <c r="G42" s="20"/>
      <c r="H42" s="19"/>
      <c r="J42" s="19"/>
    </row>
    <row r="44" ht="11.25">
      <c r="C44" s="33"/>
    </row>
    <row r="45" ht="11.25">
      <c r="C45" s="33"/>
    </row>
    <row r="46" ht="11.25">
      <c r="C46" s="33"/>
    </row>
    <row r="47" ht="11.25">
      <c r="C47" s="23"/>
    </row>
    <row r="48" ht="11.25">
      <c r="C48" s="90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15.8515625" style="2" customWidth="1"/>
    <col min="2" max="5" width="7.8515625" style="2" customWidth="1"/>
    <col min="6" max="7" width="7.00390625" style="2" customWidth="1"/>
    <col min="8" max="11" width="6.57421875" style="2" customWidth="1"/>
    <col min="12" max="15" width="5.28125" style="2" customWidth="1"/>
    <col min="16" max="16" width="8.57421875" style="2" customWidth="1"/>
    <col min="17" max="17" width="6.8515625" style="2" customWidth="1"/>
    <col min="18" max="18" width="9.421875" style="2" customWidth="1"/>
    <col min="19" max="19" width="6.57421875" style="2" customWidth="1"/>
    <col min="20" max="20" width="8.8515625" style="2" customWidth="1"/>
    <col min="21" max="21" width="8.421875" style="2" customWidth="1"/>
    <col min="22" max="22" width="5.57421875" style="2" customWidth="1"/>
    <col min="23" max="23" width="6.00390625" style="2" customWidth="1"/>
    <col min="24" max="24" width="5.7109375" style="2" customWidth="1"/>
    <col min="25" max="25" width="4.00390625" style="2" customWidth="1"/>
    <col min="26" max="26" width="2.7109375" style="2" customWidth="1"/>
    <col min="27" max="27" width="8.28125" style="2" customWidth="1"/>
    <col min="28" max="28" width="2.7109375" style="2" customWidth="1"/>
    <col min="29" max="16384" width="9.140625" style="2" customWidth="1"/>
  </cols>
  <sheetData>
    <row r="1" ht="11.25">
      <c r="A1" s="1" t="s">
        <v>91</v>
      </c>
    </row>
    <row r="2" ht="11.25">
      <c r="A2" s="1" t="s">
        <v>92</v>
      </c>
    </row>
    <row r="3" ht="11.25">
      <c r="A3" s="1" t="s">
        <v>93</v>
      </c>
    </row>
    <row r="4" ht="11.25">
      <c r="A4" s="1" t="s">
        <v>94</v>
      </c>
    </row>
    <row r="5" ht="11.25">
      <c r="A5" s="1" t="s">
        <v>95</v>
      </c>
    </row>
    <row r="7" spans="1:27" s="3" customFormat="1" ht="33.75">
      <c r="A7" s="3" t="s">
        <v>0</v>
      </c>
      <c r="B7" s="4" t="s">
        <v>84</v>
      </c>
      <c r="C7" s="4" t="s">
        <v>85</v>
      </c>
      <c r="D7" s="4" t="s">
        <v>86</v>
      </c>
      <c r="E7" s="4" t="s">
        <v>87</v>
      </c>
      <c r="F7" s="4" t="s">
        <v>88</v>
      </c>
      <c r="G7" s="4" t="s">
        <v>89</v>
      </c>
      <c r="H7" s="3" t="s">
        <v>1</v>
      </c>
      <c r="I7" s="3" t="s">
        <v>2</v>
      </c>
      <c r="J7" s="3" t="s">
        <v>3</v>
      </c>
      <c r="K7" s="3" t="s">
        <v>4</v>
      </c>
      <c r="L7" s="3" t="s">
        <v>5</v>
      </c>
      <c r="M7" s="3" t="s">
        <v>6</v>
      </c>
      <c r="N7" s="3" t="s">
        <v>7</v>
      </c>
      <c r="O7" s="3" t="s">
        <v>90</v>
      </c>
      <c r="P7" s="5" t="s">
        <v>8</v>
      </c>
      <c r="Q7" s="5" t="s">
        <v>9</v>
      </c>
      <c r="R7" s="5" t="s">
        <v>83</v>
      </c>
      <c r="S7" s="6" t="s">
        <v>10</v>
      </c>
      <c r="T7" s="5" t="s">
        <v>82</v>
      </c>
      <c r="U7" s="7" t="s">
        <v>11</v>
      </c>
      <c r="V7" s="8" t="s">
        <v>12</v>
      </c>
      <c r="W7" s="7" t="s">
        <v>76</v>
      </c>
      <c r="X7" s="3" t="s">
        <v>13</v>
      </c>
      <c r="Y7" s="3" t="s">
        <v>14</v>
      </c>
      <c r="AA7" s="3" t="s">
        <v>98</v>
      </c>
    </row>
    <row r="9" spans="1:27" ht="11.25">
      <c r="A9" s="2" t="s">
        <v>37</v>
      </c>
      <c r="B9" s="10">
        <v>25.58</v>
      </c>
      <c r="C9" s="10">
        <v>23.9</v>
      </c>
      <c r="D9" s="10">
        <v>25.43</v>
      </c>
      <c r="E9" s="10">
        <v>23.92</v>
      </c>
      <c r="F9" s="10">
        <v>26.8</v>
      </c>
      <c r="G9" s="10">
        <v>24.92</v>
      </c>
      <c r="H9" s="11">
        <f aca="true" t="shared" si="0" ref="H9:K14">(L9)*($X9)</f>
        <v>0.23094499999999998</v>
      </c>
      <c r="I9" s="11">
        <f t="shared" si="0"/>
        <v>0.23094499999999998</v>
      </c>
      <c r="J9" s="11">
        <f t="shared" si="0"/>
        <v>0.23094499999999998</v>
      </c>
      <c r="K9" s="11">
        <f t="shared" si="0"/>
        <v>0.23094499999999998</v>
      </c>
      <c r="L9" s="12">
        <v>0.221</v>
      </c>
      <c r="M9" s="12">
        <v>0.221</v>
      </c>
      <c r="N9" s="12">
        <v>0.221</v>
      </c>
      <c r="O9" s="12">
        <v>0.221</v>
      </c>
      <c r="P9" s="12">
        <f aca="true" t="shared" si="1" ref="P9:P14">AVERAGE(B9:G9)</f>
        <v>25.09166666666667</v>
      </c>
      <c r="Q9" s="11">
        <f aca="true" t="shared" si="2" ref="Q9:Q14">(H9*(Y9)^0.75)+(I9*(Y9)^0.5)+(J9*(Y9)^0.25)+K9</f>
        <v>0.9527142918985578</v>
      </c>
      <c r="R9" s="13">
        <v>0.06</v>
      </c>
      <c r="S9" s="14">
        <v>0.03</v>
      </c>
      <c r="T9" s="15">
        <f aca="true" t="shared" si="3" ref="T9:T14">AVERAGE(R9:S9)</f>
        <v>0.045</v>
      </c>
      <c r="U9" s="16">
        <v>15.202152</v>
      </c>
      <c r="V9" s="17">
        <f aca="true" t="shared" si="4" ref="V9:V14">P9*U9</f>
        <v>381.44733060000004</v>
      </c>
      <c r="W9" s="15">
        <f aca="true" t="shared" si="5" ref="W9:W14">Q9/(P9*0.95)+T9</f>
        <v>0.08496773760346342</v>
      </c>
      <c r="X9" s="18">
        <f aca="true" t="shared" si="6" ref="X9:X14">T9+1</f>
        <v>1.045</v>
      </c>
      <c r="Y9" s="19">
        <f aca="true" t="shared" si="7" ref="Y9:Y14">1+W9</f>
        <v>1.0849677376034634</v>
      </c>
      <c r="Z9" s="19"/>
      <c r="AA9" s="2">
        <v>3</v>
      </c>
    </row>
    <row r="10" spans="1:27" ht="11.25">
      <c r="A10" s="2" t="s">
        <v>39</v>
      </c>
      <c r="B10" s="10">
        <v>21.81</v>
      </c>
      <c r="C10" s="10">
        <v>18.71</v>
      </c>
      <c r="D10" s="10">
        <v>22.4</v>
      </c>
      <c r="E10" s="10">
        <v>20.6</v>
      </c>
      <c r="F10" s="10">
        <v>22.85</v>
      </c>
      <c r="G10" s="10">
        <v>21.7</v>
      </c>
      <c r="H10" s="11">
        <f t="shared" si="0"/>
        <v>0.12264</v>
      </c>
      <c r="I10" s="11">
        <f t="shared" si="0"/>
        <v>0.12264</v>
      </c>
      <c r="J10" s="11">
        <f t="shared" si="0"/>
        <v>0.1314</v>
      </c>
      <c r="K10" s="11">
        <f t="shared" si="0"/>
        <v>0.1314</v>
      </c>
      <c r="L10" s="12">
        <v>0.112</v>
      </c>
      <c r="M10" s="12">
        <v>0.112</v>
      </c>
      <c r="N10" s="12">
        <v>0.12</v>
      </c>
      <c r="O10" s="12">
        <v>0.12</v>
      </c>
      <c r="P10" s="12">
        <f t="shared" si="1"/>
        <v>21.345</v>
      </c>
      <c r="Q10" s="11">
        <f t="shared" si="2"/>
        <v>0.5300884410241548</v>
      </c>
      <c r="R10" s="13">
        <v>0.1</v>
      </c>
      <c r="S10" s="14">
        <v>0.09</v>
      </c>
      <c r="T10" s="15">
        <f t="shared" si="3"/>
        <v>0.095</v>
      </c>
      <c r="U10" s="21">
        <v>92.429126</v>
      </c>
      <c r="V10" s="17">
        <f t="shared" si="4"/>
        <v>1972.8996944699998</v>
      </c>
      <c r="W10" s="15">
        <f t="shared" si="5"/>
        <v>0.12114138358664817</v>
      </c>
      <c r="X10" s="18">
        <f t="shared" si="6"/>
        <v>1.095</v>
      </c>
      <c r="Y10" s="19">
        <f t="shared" si="7"/>
        <v>1.1211413835866482</v>
      </c>
      <c r="Z10" s="19"/>
      <c r="AA10" s="2">
        <v>3</v>
      </c>
    </row>
    <row r="11" spans="1:27" ht="11.25">
      <c r="A11" s="2" t="s">
        <v>41</v>
      </c>
      <c r="B11" s="10">
        <v>27.63</v>
      </c>
      <c r="C11" s="10">
        <v>25.53</v>
      </c>
      <c r="D11" s="10">
        <v>28</v>
      </c>
      <c r="E11" s="10">
        <v>26.02</v>
      </c>
      <c r="F11" s="10">
        <v>29.65</v>
      </c>
      <c r="G11" s="10">
        <v>27.22</v>
      </c>
      <c r="H11" s="11">
        <f t="shared" si="0"/>
        <v>0.299265</v>
      </c>
      <c r="I11" s="11">
        <f t="shared" si="0"/>
        <v>0.299265</v>
      </c>
      <c r="J11" s="11">
        <f t="shared" si="0"/>
        <v>0.299265</v>
      </c>
      <c r="K11" s="11">
        <f t="shared" si="0"/>
        <v>0.30139499999999997</v>
      </c>
      <c r="L11" s="2">
        <v>0.281</v>
      </c>
      <c r="M11" s="2">
        <v>0.281</v>
      </c>
      <c r="N11" s="2">
        <v>0.281</v>
      </c>
      <c r="O11" s="2">
        <v>0.283</v>
      </c>
      <c r="P11" s="12">
        <f t="shared" si="1"/>
        <v>27.341666666666665</v>
      </c>
      <c r="Q11" s="11">
        <f t="shared" si="2"/>
        <v>1.248817958684433</v>
      </c>
      <c r="R11" s="13">
        <v>0.09</v>
      </c>
      <c r="S11" s="14">
        <v>0.04</v>
      </c>
      <c r="T11" s="15">
        <f t="shared" si="3"/>
        <v>0.065</v>
      </c>
      <c r="U11" s="21">
        <v>16.932046</v>
      </c>
      <c r="V11" s="17">
        <f t="shared" si="4"/>
        <v>462.95035771666664</v>
      </c>
      <c r="W11" s="15">
        <f t="shared" si="5"/>
        <v>0.11307845972573573</v>
      </c>
      <c r="X11" s="18">
        <f t="shared" si="6"/>
        <v>1.065</v>
      </c>
      <c r="Y11" s="19">
        <f t="shared" si="7"/>
        <v>1.1130784597257357</v>
      </c>
      <c r="Z11" s="19"/>
      <c r="AA11" s="2">
        <v>2</v>
      </c>
    </row>
    <row r="12" spans="1:27" ht="11.25">
      <c r="A12" s="2" t="s">
        <v>54</v>
      </c>
      <c r="B12" s="10">
        <v>20.77</v>
      </c>
      <c r="C12" s="10">
        <v>18.55</v>
      </c>
      <c r="D12" s="10">
        <v>21.12</v>
      </c>
      <c r="E12" s="10">
        <v>18.95</v>
      </c>
      <c r="F12" s="10">
        <v>21.1</v>
      </c>
      <c r="G12" s="10">
        <v>19.91</v>
      </c>
      <c r="H12" s="11">
        <f t="shared" si="0"/>
        <v>0.17227</v>
      </c>
      <c r="I12" s="11">
        <f t="shared" si="0"/>
        <v>0.17227</v>
      </c>
      <c r="J12" s="11">
        <f t="shared" si="0"/>
        <v>0.17655</v>
      </c>
      <c r="K12" s="11">
        <f t="shared" si="0"/>
        <v>0.17655</v>
      </c>
      <c r="L12" s="2">
        <v>0.161</v>
      </c>
      <c r="M12" s="2">
        <v>0.161</v>
      </c>
      <c r="N12" s="2">
        <v>0.165</v>
      </c>
      <c r="O12" s="2">
        <v>0.165</v>
      </c>
      <c r="P12" s="12">
        <f t="shared" si="1"/>
        <v>20.066666666666666</v>
      </c>
      <c r="Q12" s="11">
        <f t="shared" si="2"/>
        <v>0.7250713995448117</v>
      </c>
      <c r="S12" s="14">
        <v>0.07</v>
      </c>
      <c r="T12" s="15">
        <f t="shared" si="3"/>
        <v>0.07</v>
      </c>
      <c r="U12" s="21">
        <v>10.523511</v>
      </c>
      <c r="V12" s="17">
        <f t="shared" si="4"/>
        <v>211.17178739999997</v>
      </c>
      <c r="W12" s="15">
        <f t="shared" si="5"/>
        <v>0.10803486970859302</v>
      </c>
      <c r="X12" s="18">
        <f t="shared" si="6"/>
        <v>1.07</v>
      </c>
      <c r="Y12" s="19">
        <f t="shared" si="7"/>
        <v>1.108034869708593</v>
      </c>
      <c r="Z12" s="19"/>
      <c r="AA12" s="2">
        <v>2</v>
      </c>
    </row>
    <row r="13" spans="1:27" ht="11.25">
      <c r="A13" s="2" t="s">
        <v>55</v>
      </c>
      <c r="B13" s="10">
        <v>12.03</v>
      </c>
      <c r="C13" s="10">
        <v>10.68</v>
      </c>
      <c r="D13" s="10">
        <v>12.37</v>
      </c>
      <c r="E13" s="10">
        <v>11.36</v>
      </c>
      <c r="F13" s="10">
        <v>15</v>
      </c>
      <c r="G13" s="10">
        <v>11.88</v>
      </c>
      <c r="H13" s="11">
        <f t="shared" si="0"/>
        <v>0.04796</v>
      </c>
      <c r="I13" s="11">
        <f t="shared" si="0"/>
        <v>0.04796</v>
      </c>
      <c r="J13" s="11">
        <f t="shared" si="0"/>
        <v>0.04796</v>
      </c>
      <c r="K13" s="11">
        <f t="shared" si="0"/>
        <v>0.051230000000000005</v>
      </c>
      <c r="L13" s="2">
        <v>0.044</v>
      </c>
      <c r="M13" s="2">
        <v>0.044</v>
      </c>
      <c r="N13" s="2">
        <v>0.044</v>
      </c>
      <c r="O13" s="2">
        <v>0.047</v>
      </c>
      <c r="P13" s="12">
        <f t="shared" si="1"/>
        <v>12.219999999999999</v>
      </c>
      <c r="Q13" s="11">
        <f t="shared" si="2"/>
        <v>0.20267621409478392</v>
      </c>
      <c r="S13" s="14">
        <v>0.09</v>
      </c>
      <c r="T13" s="15">
        <f t="shared" si="3"/>
        <v>0.09</v>
      </c>
      <c r="U13" s="21">
        <v>14.644967</v>
      </c>
      <c r="V13" s="17">
        <f t="shared" si="4"/>
        <v>178.96149673999997</v>
      </c>
      <c r="W13" s="15">
        <f t="shared" si="5"/>
        <v>0.10745854200144576</v>
      </c>
      <c r="X13" s="18">
        <f t="shared" si="6"/>
        <v>1.09</v>
      </c>
      <c r="Y13" s="19">
        <f t="shared" si="7"/>
        <v>1.1074585420014458</v>
      </c>
      <c r="Z13" s="19"/>
      <c r="AA13" s="2">
        <v>3</v>
      </c>
    </row>
    <row r="14" spans="1:27" ht="11.25">
      <c r="A14" s="2" t="s">
        <v>56</v>
      </c>
      <c r="B14" s="10">
        <v>18.5</v>
      </c>
      <c r="C14" s="10">
        <v>17.95</v>
      </c>
      <c r="D14" s="10">
        <v>18.65</v>
      </c>
      <c r="E14" s="10">
        <v>18</v>
      </c>
      <c r="F14" s="10">
        <v>20</v>
      </c>
      <c r="G14" s="10">
        <v>18</v>
      </c>
      <c r="H14" s="11">
        <f t="shared" si="0"/>
        <v>0.14445000000000002</v>
      </c>
      <c r="I14" s="11">
        <f t="shared" si="0"/>
        <v>0.14445000000000002</v>
      </c>
      <c r="J14" s="11">
        <f t="shared" si="0"/>
        <v>0.14445000000000002</v>
      </c>
      <c r="K14" s="11">
        <f t="shared" si="0"/>
        <v>0.15515</v>
      </c>
      <c r="L14" s="2">
        <v>0.135</v>
      </c>
      <c r="M14" s="2">
        <v>0.135</v>
      </c>
      <c r="N14" s="2">
        <v>0.135</v>
      </c>
      <c r="O14" s="2">
        <v>0.145</v>
      </c>
      <c r="P14" s="12">
        <f t="shared" si="1"/>
        <v>18.516666666666666</v>
      </c>
      <c r="Q14" s="11">
        <f t="shared" si="2"/>
        <v>0.610719095764744</v>
      </c>
      <c r="S14" s="14">
        <v>0.07</v>
      </c>
      <c r="T14" s="15">
        <f t="shared" si="3"/>
        <v>0.07</v>
      </c>
      <c r="U14" s="21">
        <v>6.405843</v>
      </c>
      <c r="V14" s="17">
        <f t="shared" si="4"/>
        <v>118.61485954999999</v>
      </c>
      <c r="W14" s="15">
        <f t="shared" si="5"/>
        <v>0.10471803093077328</v>
      </c>
      <c r="X14" s="18">
        <f t="shared" si="6"/>
        <v>1.07</v>
      </c>
      <c r="Y14" s="19">
        <f t="shared" si="7"/>
        <v>1.1047180309307734</v>
      </c>
      <c r="Z14" s="19"/>
      <c r="AA14" s="2" t="s">
        <v>75</v>
      </c>
    </row>
    <row r="15" spans="2:23" ht="11.25">
      <c r="B15" s="22"/>
      <c r="W15" s="15"/>
    </row>
    <row r="16" spans="1:28" ht="11.25">
      <c r="A16" s="2" t="s">
        <v>61</v>
      </c>
      <c r="R16" s="13"/>
      <c r="S16" s="13"/>
      <c r="T16" s="15"/>
      <c r="W16" s="15">
        <f>AVERAGE(W9:W14)</f>
        <v>0.10656650392610989</v>
      </c>
      <c r="AA16" s="91">
        <f>AVERAGE(AA9:AA13)</f>
        <v>2.6</v>
      </c>
      <c r="AB16" s="9"/>
    </row>
    <row r="17" spans="1:28" ht="11.25">
      <c r="A17" s="2" t="s">
        <v>99</v>
      </c>
      <c r="W17" s="15">
        <f>SUMPRODUCT($V9:$V14,W9:W14)/SUM($V9:$V14)</f>
        <v>0.11371648352800709</v>
      </c>
      <c r="AA17" s="91">
        <f>SUMPRODUCT($V9:$V13,AA9:AA13)/SUM($V9:$V13)</f>
        <v>2.7898248738256894</v>
      </c>
      <c r="AB17" s="9"/>
    </row>
  </sheetData>
  <printOptions/>
  <pageMargins left="0" right="0" top="0" bottom="0" header="0" footer="0"/>
  <pageSetup fitToWidth="2" horizontalDpi="1200" verticalDpi="1200" orientation="landscape" scale="76" r:id="rId1"/>
  <colBreaks count="1" manualBreakCount="1">
    <brk id="25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27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2" customWidth="1"/>
    <col min="2" max="5" width="7.8515625" style="2" bestFit="1" customWidth="1"/>
    <col min="6" max="7" width="7.00390625" style="2" bestFit="1" customWidth="1"/>
    <col min="8" max="11" width="6.57421875" style="2" bestFit="1" customWidth="1"/>
    <col min="12" max="14" width="5.57421875" style="2" customWidth="1"/>
    <col min="15" max="15" width="5.57421875" style="2" bestFit="1" customWidth="1"/>
    <col min="16" max="16" width="6.57421875" style="2" bestFit="1" customWidth="1"/>
    <col min="17" max="17" width="7.8515625" style="2" customWidth="1"/>
    <col min="18" max="18" width="7.421875" style="2" bestFit="1" customWidth="1"/>
    <col min="19" max="19" width="9.28125" style="2" bestFit="1" customWidth="1"/>
    <col min="20" max="20" width="5.57421875" style="2" bestFit="1" customWidth="1"/>
    <col min="21" max="21" width="6.00390625" style="2" bestFit="1" customWidth="1"/>
    <col min="22" max="22" width="5.7109375" style="2" bestFit="1" customWidth="1"/>
    <col min="23" max="23" width="4.00390625" style="2" bestFit="1" customWidth="1"/>
    <col min="24" max="34" width="9.7109375" style="2" customWidth="1"/>
    <col min="35" max="35" width="2.7109375" style="2" customWidth="1"/>
    <col min="36" max="36" width="7.7109375" style="2" customWidth="1"/>
    <col min="37" max="37" width="7.57421875" style="2" bestFit="1" customWidth="1"/>
    <col min="38" max="16384" width="9.140625" style="2" customWidth="1"/>
  </cols>
  <sheetData>
    <row r="1" ht="11.25">
      <c r="A1" s="1" t="s">
        <v>91</v>
      </c>
    </row>
    <row r="2" ht="11.25">
      <c r="A2" s="1" t="s">
        <v>92</v>
      </c>
    </row>
    <row r="3" ht="11.25">
      <c r="A3" s="1" t="s">
        <v>96</v>
      </c>
    </row>
    <row r="4" spans="1:3" ht="11.25">
      <c r="A4" s="1" t="s">
        <v>94</v>
      </c>
      <c r="C4" s="24"/>
    </row>
    <row r="5" spans="1:3" ht="11.25">
      <c r="A5" s="1" t="s">
        <v>97</v>
      </c>
      <c r="C5" s="24"/>
    </row>
    <row r="6" spans="3:6" ht="11.25">
      <c r="C6" s="24"/>
      <c r="E6" s="21"/>
      <c r="F6" s="21"/>
    </row>
    <row r="7" spans="3:6" ht="11.25">
      <c r="C7" s="25"/>
      <c r="D7" s="25"/>
      <c r="E7" s="21"/>
      <c r="F7" s="21"/>
    </row>
    <row r="8" spans="24:34" ht="11.2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23" ht="11.25">
      <c r="A9" s="27"/>
      <c r="C9" s="24"/>
      <c r="D9" s="24"/>
      <c r="E9" s="24"/>
      <c r="F9" s="24"/>
      <c r="G9" s="24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  <c r="S9" s="30"/>
      <c r="T9" s="30"/>
      <c r="U9" s="31"/>
      <c r="V9" s="28"/>
      <c r="W9" s="28"/>
    </row>
    <row r="10" spans="1:37" s="3" customFormat="1" ht="33.75">
      <c r="A10" s="3" t="s">
        <v>0</v>
      </c>
      <c r="B10" s="4" t="s">
        <v>84</v>
      </c>
      <c r="C10" s="4" t="s">
        <v>85</v>
      </c>
      <c r="D10" s="4" t="s">
        <v>86</v>
      </c>
      <c r="E10" s="4" t="s">
        <v>87</v>
      </c>
      <c r="F10" s="4" t="s">
        <v>88</v>
      </c>
      <c r="G10" s="4" t="s">
        <v>89</v>
      </c>
      <c r="H10" s="3" t="s">
        <v>1</v>
      </c>
      <c r="I10" s="3" t="s">
        <v>2</v>
      </c>
      <c r="J10" s="3" t="s">
        <v>3</v>
      </c>
      <c r="K10" s="3" t="s">
        <v>4</v>
      </c>
      <c r="L10" s="3" t="s">
        <v>5</v>
      </c>
      <c r="M10" s="3" t="s">
        <v>6</v>
      </c>
      <c r="N10" s="3" t="s">
        <v>7</v>
      </c>
      <c r="O10" s="3" t="s">
        <v>90</v>
      </c>
      <c r="P10" s="5" t="s">
        <v>8</v>
      </c>
      <c r="Q10" s="5" t="s">
        <v>9</v>
      </c>
      <c r="R10" s="6" t="s">
        <v>10</v>
      </c>
      <c r="S10" s="7" t="s">
        <v>11</v>
      </c>
      <c r="T10" s="8" t="s">
        <v>12</v>
      </c>
      <c r="U10" s="7" t="s">
        <v>76</v>
      </c>
      <c r="V10" s="3" t="s">
        <v>13</v>
      </c>
      <c r="W10" s="3" t="s">
        <v>14</v>
      </c>
      <c r="X10" s="5" t="s">
        <v>15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J10" s="6" t="s">
        <v>10</v>
      </c>
      <c r="AK10" s="3" t="s">
        <v>20</v>
      </c>
    </row>
    <row r="12" spans="1:37" ht="11.25">
      <c r="A12" s="2" t="s">
        <v>21</v>
      </c>
      <c r="B12" s="24">
        <v>28.72</v>
      </c>
      <c r="C12" s="24">
        <v>27.5</v>
      </c>
      <c r="D12" s="24">
        <v>29.35</v>
      </c>
      <c r="E12" s="24">
        <v>28.25</v>
      </c>
      <c r="F12" s="24">
        <v>30.63</v>
      </c>
      <c r="G12" s="24">
        <v>28.6</v>
      </c>
      <c r="H12" s="11">
        <f aca="true" t="shared" si="0" ref="H12:H23">(L12)*($V12)</f>
        <v>0.282717</v>
      </c>
      <c r="I12" s="11">
        <f aca="true" t="shared" si="1" ref="I12:I23">(M12)*($V12)</f>
        <v>0.293188</v>
      </c>
      <c r="J12" s="11">
        <f aca="true" t="shared" si="2" ref="J12:J23">(N12)*($V12)</f>
        <v>0.293188</v>
      </c>
      <c r="K12" s="11">
        <f aca="true" t="shared" si="3" ref="K12:K23">(O12)*($V12)</f>
        <v>0.293188</v>
      </c>
      <c r="L12" s="12">
        <v>0.27</v>
      </c>
      <c r="M12" s="12">
        <v>0.28</v>
      </c>
      <c r="N12" s="12">
        <v>0.28</v>
      </c>
      <c r="O12" s="12">
        <v>0.28</v>
      </c>
      <c r="P12" s="12">
        <f>AVERAGE(B12:G12)</f>
        <v>28.841666666666665</v>
      </c>
      <c r="Q12" s="11">
        <f aca="true" t="shared" si="4" ref="Q12:Q23">(H12*(W12)^0.75)+(I12*(W12)^0.5)+(J12*(W12)^0.25)+K12</f>
        <v>1.20083783470022</v>
      </c>
      <c r="R12" s="20">
        <v>0.0471</v>
      </c>
      <c r="S12" s="32">
        <v>64.266</v>
      </c>
      <c r="T12" s="17">
        <f>S12*P12</f>
        <v>1853.53855</v>
      </c>
      <c r="U12" s="33">
        <f>Q12/(P12*0.95)+R12</f>
        <v>0.09092686481364572</v>
      </c>
      <c r="V12" s="18">
        <f>R12+1</f>
        <v>1.0471</v>
      </c>
      <c r="W12" s="19">
        <f>1+U12</f>
        <v>1.0909268648136456</v>
      </c>
      <c r="X12" s="2">
        <v>2</v>
      </c>
      <c r="AJ12" s="20">
        <v>0.0471</v>
      </c>
      <c r="AK12" s="2">
        <v>7</v>
      </c>
    </row>
    <row r="13" spans="1:37" ht="11.25">
      <c r="A13" s="2" t="s">
        <v>22</v>
      </c>
      <c r="B13" s="24">
        <v>24.89</v>
      </c>
      <c r="C13" s="24">
        <v>24.27</v>
      </c>
      <c r="D13" s="24">
        <v>25</v>
      </c>
      <c r="E13" s="24">
        <v>23.92</v>
      </c>
      <c r="F13" s="24">
        <v>25.96</v>
      </c>
      <c r="G13" s="24">
        <v>24.3</v>
      </c>
      <c r="H13" s="11">
        <f t="shared" si="0"/>
        <v>0.31700999999999996</v>
      </c>
      <c r="I13" s="11">
        <f t="shared" si="1"/>
        <v>0.31700999999999996</v>
      </c>
      <c r="J13" s="11">
        <f t="shared" si="2"/>
        <v>0.31700999999999996</v>
      </c>
      <c r="K13" s="11">
        <f t="shared" si="3"/>
        <v>0.3222935</v>
      </c>
      <c r="L13" s="12">
        <v>0.3</v>
      </c>
      <c r="M13" s="12">
        <v>0.3</v>
      </c>
      <c r="N13" s="12">
        <v>0.3</v>
      </c>
      <c r="O13" s="12">
        <v>0.305</v>
      </c>
      <c r="P13" s="12">
        <f aca="true" t="shared" si="5" ref="P13:P23">AVERAGE(B13:G13)</f>
        <v>24.723333333333333</v>
      </c>
      <c r="Q13" s="11">
        <f t="shared" si="4"/>
        <v>1.3259282051059915</v>
      </c>
      <c r="R13" s="20">
        <v>0.0567</v>
      </c>
      <c r="S13" s="32">
        <v>51.534</v>
      </c>
      <c r="T13" s="17">
        <f aca="true" t="shared" si="6" ref="T13:T23">S13*P13</f>
        <v>1274.09226</v>
      </c>
      <c r="U13" s="33">
        <f aca="true" t="shared" si="7" ref="U13:U23">Q13/(P13*0.95)+R13</f>
        <v>0.11315330592334785</v>
      </c>
      <c r="V13" s="18">
        <f aca="true" t="shared" si="8" ref="V13:V23">R13+1</f>
        <v>1.0567</v>
      </c>
      <c r="W13" s="19">
        <f aca="true" t="shared" si="9" ref="W13:W23">1+U13</f>
        <v>1.1131533059233478</v>
      </c>
      <c r="X13" s="2">
        <v>3</v>
      </c>
      <c r="AJ13" s="20">
        <v>0.0567</v>
      </c>
      <c r="AK13" s="2">
        <v>6</v>
      </c>
    </row>
    <row r="14" spans="1:37" ht="11.25">
      <c r="A14" s="2" t="s">
        <v>23</v>
      </c>
      <c r="B14" s="24">
        <v>39.04</v>
      </c>
      <c r="C14" s="24">
        <v>36.62</v>
      </c>
      <c r="D14" s="24">
        <v>42</v>
      </c>
      <c r="E14" s="24">
        <v>38.55</v>
      </c>
      <c r="F14" s="24">
        <v>44.72</v>
      </c>
      <c r="G14" s="24">
        <v>40.72</v>
      </c>
      <c r="H14" s="11">
        <f t="shared" si="0"/>
        <v>0.1926</v>
      </c>
      <c r="I14" s="11">
        <f t="shared" si="1"/>
        <v>0.1926</v>
      </c>
      <c r="J14" s="11">
        <f t="shared" si="2"/>
        <v>0.19795000000000001</v>
      </c>
      <c r="K14" s="11">
        <f t="shared" si="3"/>
        <v>0.19795000000000001</v>
      </c>
      <c r="L14" s="12">
        <v>0.18</v>
      </c>
      <c r="M14" s="12">
        <v>0.18</v>
      </c>
      <c r="N14" s="12">
        <v>0.185</v>
      </c>
      <c r="O14" s="12">
        <v>0.185</v>
      </c>
      <c r="P14" s="12">
        <f t="shared" si="5"/>
        <v>40.275</v>
      </c>
      <c r="Q14" s="11">
        <f t="shared" si="4"/>
        <v>0.8070568269979326</v>
      </c>
      <c r="R14" s="20">
        <v>0.07</v>
      </c>
      <c r="S14" s="32">
        <v>36.144</v>
      </c>
      <c r="T14" s="17">
        <f t="shared" si="6"/>
        <v>1455.6996</v>
      </c>
      <c r="U14" s="33">
        <f t="shared" si="7"/>
        <v>0.09109332097090223</v>
      </c>
      <c r="V14" s="18">
        <f t="shared" si="8"/>
        <v>1.07</v>
      </c>
      <c r="W14" s="19">
        <f t="shared" si="9"/>
        <v>1.0910933209709022</v>
      </c>
      <c r="X14" s="2">
        <v>2</v>
      </c>
      <c r="AJ14" s="20">
        <v>0.07</v>
      </c>
      <c r="AK14" s="2">
        <v>3</v>
      </c>
    </row>
    <row r="15" spans="1:38" s="39" customFormat="1" ht="11.25">
      <c r="A15" s="2" t="s">
        <v>24</v>
      </c>
      <c r="B15" s="24">
        <v>41.6</v>
      </c>
      <c r="C15" s="24">
        <v>39.95</v>
      </c>
      <c r="D15" s="24">
        <v>43.42</v>
      </c>
      <c r="E15" s="24">
        <v>41.34</v>
      </c>
      <c r="F15" s="24">
        <v>44.92</v>
      </c>
      <c r="G15" s="24">
        <v>42.34</v>
      </c>
      <c r="H15" s="35">
        <f t="shared" si="0"/>
        <v>0.186575</v>
      </c>
      <c r="I15" s="35">
        <f t="shared" si="1"/>
        <v>0.2195</v>
      </c>
      <c r="J15" s="35">
        <f t="shared" si="2"/>
        <v>0.32925</v>
      </c>
      <c r="K15" s="35">
        <f t="shared" si="3"/>
        <v>0.32925</v>
      </c>
      <c r="L15" s="36">
        <v>0.17</v>
      </c>
      <c r="M15" s="36">
        <v>0.2</v>
      </c>
      <c r="N15" s="36">
        <v>0.3</v>
      </c>
      <c r="O15" s="36">
        <v>0.3</v>
      </c>
      <c r="P15" s="12">
        <f t="shared" si="5"/>
        <v>42.26166666666667</v>
      </c>
      <c r="Q15" s="11">
        <f t="shared" si="4"/>
        <v>1.1049673934963846</v>
      </c>
      <c r="R15" s="20">
        <v>0.0975</v>
      </c>
      <c r="S15" s="37">
        <v>62.253</v>
      </c>
      <c r="T15" s="17">
        <f t="shared" si="6"/>
        <v>2630.915535</v>
      </c>
      <c r="U15" s="33">
        <f t="shared" si="7"/>
        <v>0.12502195225227253</v>
      </c>
      <c r="V15" s="18">
        <f t="shared" si="8"/>
        <v>1.0975</v>
      </c>
      <c r="W15" s="19">
        <f t="shared" si="9"/>
        <v>1.1250219522522724</v>
      </c>
      <c r="X15" s="2">
        <v>2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38"/>
      <c r="AJ15" s="20">
        <v>0.0975</v>
      </c>
      <c r="AK15" s="2">
        <v>8</v>
      </c>
      <c r="AL15" s="34"/>
    </row>
    <row r="16" spans="1:37" ht="11.25">
      <c r="A16" s="2" t="s">
        <v>25</v>
      </c>
      <c r="B16" s="24">
        <v>35.45</v>
      </c>
      <c r="C16" s="24">
        <v>33.64</v>
      </c>
      <c r="D16" s="24">
        <v>37.09</v>
      </c>
      <c r="E16" s="24">
        <v>34.86</v>
      </c>
      <c r="F16" s="24">
        <v>37.26</v>
      </c>
      <c r="G16" s="24">
        <v>35.72</v>
      </c>
      <c r="H16" s="11">
        <f t="shared" si="0"/>
        <v>0.471077</v>
      </c>
      <c r="I16" s="11">
        <f t="shared" si="1"/>
        <v>0.471077</v>
      </c>
      <c r="J16" s="11">
        <f t="shared" si="2"/>
        <v>0.471077</v>
      </c>
      <c r="K16" s="11">
        <f t="shared" si="3"/>
        <v>0.471077</v>
      </c>
      <c r="L16" s="12">
        <v>0.445</v>
      </c>
      <c r="M16" s="12">
        <v>0.445</v>
      </c>
      <c r="N16" s="12">
        <v>0.445</v>
      </c>
      <c r="O16" s="12">
        <v>0.445</v>
      </c>
      <c r="P16" s="12">
        <f t="shared" si="5"/>
        <v>35.67</v>
      </c>
      <c r="Q16" s="11">
        <f t="shared" si="4"/>
        <v>1.9647942853375187</v>
      </c>
      <c r="R16" s="20">
        <v>0.058600000000000006</v>
      </c>
      <c r="S16" s="32">
        <v>159.06</v>
      </c>
      <c r="T16" s="17">
        <f t="shared" si="6"/>
        <v>5673.6702000000005</v>
      </c>
      <c r="U16" s="33">
        <f t="shared" si="7"/>
        <v>0.1165816235178469</v>
      </c>
      <c r="V16" s="18">
        <f t="shared" si="8"/>
        <v>1.0586</v>
      </c>
      <c r="W16" s="19">
        <f t="shared" si="9"/>
        <v>1.116581623517847</v>
      </c>
      <c r="X16" s="2">
        <v>2</v>
      </c>
      <c r="AJ16" s="20">
        <v>0.058600000000000006</v>
      </c>
      <c r="AK16" s="2">
        <v>7</v>
      </c>
    </row>
    <row r="17" spans="1:37" ht="11.25">
      <c r="A17" s="2" t="s">
        <v>26</v>
      </c>
      <c r="B17" s="24">
        <v>39.25</v>
      </c>
      <c r="C17" s="24">
        <v>36.45</v>
      </c>
      <c r="D17" s="24">
        <v>39.54</v>
      </c>
      <c r="E17" s="24">
        <v>37.55</v>
      </c>
      <c r="F17" s="24">
        <v>39.49</v>
      </c>
      <c r="G17" s="24">
        <v>37.75</v>
      </c>
      <c r="H17" s="11">
        <f t="shared" si="0"/>
        <v>0.3286</v>
      </c>
      <c r="I17" s="11">
        <f t="shared" si="1"/>
        <v>0.3286</v>
      </c>
      <c r="J17" s="11">
        <f t="shared" si="2"/>
        <v>0.34450000000000003</v>
      </c>
      <c r="K17" s="11">
        <f t="shared" si="3"/>
        <v>0.34450000000000003</v>
      </c>
      <c r="L17" s="12">
        <v>0.31</v>
      </c>
      <c r="M17" s="12">
        <v>0.31</v>
      </c>
      <c r="N17" s="12">
        <v>0.325</v>
      </c>
      <c r="O17" s="12">
        <v>0.325</v>
      </c>
      <c r="P17" s="12">
        <f t="shared" si="5"/>
        <v>38.33833333333334</v>
      </c>
      <c r="Q17" s="11">
        <f t="shared" si="4"/>
        <v>1.394071466712028</v>
      </c>
      <c r="R17" s="20">
        <v>0.06</v>
      </c>
      <c r="S17" s="32">
        <v>27.233</v>
      </c>
      <c r="T17" s="17">
        <f t="shared" si="6"/>
        <v>1044.0678316666667</v>
      </c>
      <c r="U17" s="33">
        <f t="shared" si="7"/>
        <v>0.0982761461332145</v>
      </c>
      <c r="V17" s="18">
        <f t="shared" si="8"/>
        <v>1.06</v>
      </c>
      <c r="W17" s="19">
        <f t="shared" si="9"/>
        <v>1.0982761461332144</v>
      </c>
      <c r="X17" s="2">
        <v>2</v>
      </c>
      <c r="AJ17" s="20">
        <v>0.06</v>
      </c>
      <c r="AK17" s="2">
        <v>4</v>
      </c>
    </row>
    <row r="18" spans="1:37" ht="11.25">
      <c r="A18" s="2" t="s">
        <v>27</v>
      </c>
      <c r="B18" s="24">
        <v>34.45</v>
      </c>
      <c r="C18" s="24">
        <v>32.03</v>
      </c>
      <c r="D18" s="24">
        <v>34.65</v>
      </c>
      <c r="E18" s="24">
        <v>32.86</v>
      </c>
      <c r="F18" s="24">
        <v>34.24</v>
      </c>
      <c r="G18" s="24">
        <v>32.49</v>
      </c>
      <c r="H18" s="11">
        <f t="shared" si="0"/>
        <v>0.4828095</v>
      </c>
      <c r="I18" s="11">
        <f t="shared" si="1"/>
        <v>0.4828095</v>
      </c>
      <c r="J18" s="11">
        <f t="shared" si="2"/>
        <v>0.4828095</v>
      </c>
      <c r="K18" s="11">
        <f t="shared" si="3"/>
        <v>0.4828095</v>
      </c>
      <c r="L18" s="12">
        <v>0.465</v>
      </c>
      <c r="M18" s="12">
        <v>0.465</v>
      </c>
      <c r="N18" s="12">
        <v>0.465</v>
      </c>
      <c r="O18" s="12">
        <v>0.465</v>
      </c>
      <c r="P18" s="12">
        <f t="shared" si="5"/>
        <v>33.45333333333334</v>
      </c>
      <c r="Q18" s="11">
        <f t="shared" si="4"/>
        <v>2.003147517904631</v>
      </c>
      <c r="R18" s="20">
        <v>0.0383</v>
      </c>
      <c r="S18" s="32">
        <v>44.034</v>
      </c>
      <c r="T18" s="17">
        <f t="shared" si="6"/>
        <v>1473.0840800000003</v>
      </c>
      <c r="U18" s="33">
        <f t="shared" si="7"/>
        <v>0.10133038066868633</v>
      </c>
      <c r="V18" s="18">
        <f t="shared" si="8"/>
        <v>1.0383</v>
      </c>
      <c r="W18" s="19">
        <f t="shared" si="9"/>
        <v>1.1013303806686863</v>
      </c>
      <c r="X18" s="2">
        <v>2</v>
      </c>
      <c r="AJ18" s="20">
        <v>0.0383</v>
      </c>
      <c r="AK18" s="2">
        <v>6</v>
      </c>
    </row>
    <row r="19" spans="1:37" ht="11.25">
      <c r="A19" s="2" t="s">
        <v>28</v>
      </c>
      <c r="B19" s="24">
        <v>30.85</v>
      </c>
      <c r="C19" s="24">
        <v>28.91</v>
      </c>
      <c r="D19" s="24">
        <v>31.3</v>
      </c>
      <c r="E19" s="24">
        <v>29.5</v>
      </c>
      <c r="F19" s="24">
        <v>31.97</v>
      </c>
      <c r="G19" s="24">
        <v>29.95</v>
      </c>
      <c r="H19" s="11">
        <f t="shared" si="0"/>
        <v>0.3281355</v>
      </c>
      <c r="I19" s="11">
        <f t="shared" si="1"/>
        <v>0.3281355</v>
      </c>
      <c r="J19" s="11">
        <f t="shared" si="2"/>
        <v>0.33855250000000003</v>
      </c>
      <c r="K19" s="11">
        <f t="shared" si="3"/>
        <v>0.33855250000000003</v>
      </c>
      <c r="L19" s="12">
        <v>0.315</v>
      </c>
      <c r="M19" s="12">
        <v>0.315</v>
      </c>
      <c r="N19" s="12">
        <v>0.325</v>
      </c>
      <c r="O19" s="12">
        <v>0.325</v>
      </c>
      <c r="P19" s="12">
        <f t="shared" si="5"/>
        <v>30.41333333333333</v>
      </c>
      <c r="Q19" s="11">
        <f t="shared" si="4"/>
        <v>1.3767966390521202</v>
      </c>
      <c r="R19" s="20">
        <v>0.0417</v>
      </c>
      <c r="S19" s="32">
        <v>25.859</v>
      </c>
      <c r="T19" s="17">
        <f t="shared" si="6"/>
        <v>786.4583866666667</v>
      </c>
      <c r="U19" s="33">
        <f t="shared" si="7"/>
        <v>0.08935211376769608</v>
      </c>
      <c r="V19" s="18">
        <f t="shared" si="8"/>
        <v>1.0417</v>
      </c>
      <c r="W19" s="19">
        <f t="shared" si="9"/>
        <v>1.089352113767696</v>
      </c>
      <c r="X19" s="2">
        <v>2</v>
      </c>
      <c r="AJ19" s="20">
        <v>0.0417</v>
      </c>
      <c r="AK19" s="2">
        <v>3</v>
      </c>
    </row>
    <row r="20" spans="1:38" s="39" customFormat="1" ht="11.25">
      <c r="A20" s="39" t="s">
        <v>29</v>
      </c>
      <c r="B20" s="24">
        <v>40.9</v>
      </c>
      <c r="C20" s="24">
        <v>38.82</v>
      </c>
      <c r="D20" s="24">
        <v>42.64</v>
      </c>
      <c r="E20" s="24">
        <v>40.06</v>
      </c>
      <c r="F20" s="24">
        <v>43.26</v>
      </c>
      <c r="G20" s="24">
        <v>41.37</v>
      </c>
      <c r="H20" s="35">
        <f t="shared" si="0"/>
        <v>0.5565000000000001</v>
      </c>
      <c r="I20" s="35">
        <f t="shared" si="1"/>
        <v>0.5565000000000001</v>
      </c>
      <c r="J20" s="35">
        <f t="shared" si="2"/>
        <v>0.5565000000000001</v>
      </c>
      <c r="K20" s="35">
        <f t="shared" si="3"/>
        <v>0.5565000000000001</v>
      </c>
      <c r="L20" s="36">
        <v>0.53</v>
      </c>
      <c r="M20" s="36">
        <v>0.53</v>
      </c>
      <c r="N20" s="36">
        <v>0.53</v>
      </c>
      <c r="O20" s="36">
        <v>0.53</v>
      </c>
      <c r="P20" s="12">
        <f t="shared" si="5"/>
        <v>41.175000000000004</v>
      </c>
      <c r="Q20" s="11">
        <f t="shared" si="4"/>
        <v>2.3151765787917937</v>
      </c>
      <c r="R20" s="20">
        <v>0.05</v>
      </c>
      <c r="S20" s="37">
        <v>36.69</v>
      </c>
      <c r="T20" s="17">
        <f t="shared" si="6"/>
        <v>1510.71075</v>
      </c>
      <c r="U20" s="33">
        <f t="shared" si="7"/>
        <v>0.10918707899637092</v>
      </c>
      <c r="V20" s="18">
        <f t="shared" si="8"/>
        <v>1.05</v>
      </c>
      <c r="W20" s="19">
        <f t="shared" si="9"/>
        <v>1.109187078996371</v>
      </c>
      <c r="X20" s="39">
        <v>1</v>
      </c>
      <c r="AI20" s="38"/>
      <c r="AJ20" s="20">
        <v>0.05</v>
      </c>
      <c r="AK20" s="2">
        <v>4</v>
      </c>
      <c r="AL20" s="34"/>
    </row>
    <row r="21" spans="1:37" ht="11.25">
      <c r="A21" s="2" t="s">
        <v>30</v>
      </c>
      <c r="B21" s="24">
        <v>23.15</v>
      </c>
      <c r="C21" s="24">
        <v>22.01</v>
      </c>
      <c r="D21" s="24">
        <v>23.18</v>
      </c>
      <c r="E21" s="24">
        <v>22.05</v>
      </c>
      <c r="F21" s="24">
        <v>24.05</v>
      </c>
      <c r="G21" s="24">
        <v>22.39</v>
      </c>
      <c r="H21" s="11">
        <f t="shared" si="0"/>
        <v>0.21592649999999997</v>
      </c>
      <c r="I21" s="11">
        <f t="shared" si="1"/>
        <v>0.21592649999999997</v>
      </c>
      <c r="J21" s="11">
        <f t="shared" si="2"/>
        <v>0.21592649999999997</v>
      </c>
      <c r="K21" s="11">
        <f t="shared" si="3"/>
        <v>0.21592649999999997</v>
      </c>
      <c r="L21" s="12">
        <v>0.205</v>
      </c>
      <c r="M21" s="12">
        <v>0.205</v>
      </c>
      <c r="N21" s="12">
        <v>0.205</v>
      </c>
      <c r="O21" s="12">
        <v>0.205</v>
      </c>
      <c r="P21" s="12">
        <f t="shared" si="5"/>
        <v>22.804999999999996</v>
      </c>
      <c r="Q21" s="11">
        <f t="shared" si="4"/>
        <v>0.8937546788496726</v>
      </c>
      <c r="R21" s="20">
        <v>0.0533</v>
      </c>
      <c r="S21" s="32">
        <v>34.036</v>
      </c>
      <c r="T21" s="17">
        <f t="shared" si="6"/>
        <v>776.1909799999999</v>
      </c>
      <c r="U21" s="33">
        <f t="shared" si="7"/>
        <v>0.09455386532730231</v>
      </c>
      <c r="V21" s="18">
        <f t="shared" si="8"/>
        <v>1.0533</v>
      </c>
      <c r="W21" s="19">
        <f t="shared" si="9"/>
        <v>1.0945538653273024</v>
      </c>
      <c r="X21" s="2">
        <v>3</v>
      </c>
      <c r="AJ21" s="20">
        <v>0.0533</v>
      </c>
      <c r="AK21" s="2">
        <v>3</v>
      </c>
    </row>
    <row r="22" spans="1:37" ht="11.25">
      <c r="A22" s="2" t="s">
        <v>31</v>
      </c>
      <c r="B22" s="24">
        <v>32.69</v>
      </c>
      <c r="C22" s="24">
        <v>30.57</v>
      </c>
      <c r="D22" s="24">
        <v>34.2</v>
      </c>
      <c r="E22" s="24">
        <v>32.1</v>
      </c>
      <c r="F22" s="24">
        <v>34.35</v>
      </c>
      <c r="G22" s="24">
        <v>31.4</v>
      </c>
      <c r="H22" s="11">
        <f t="shared" si="0"/>
        <v>0.30304049999999993</v>
      </c>
      <c r="I22" s="11">
        <f t="shared" si="1"/>
        <v>0.30304049999999993</v>
      </c>
      <c r="J22" s="11">
        <f t="shared" si="2"/>
        <v>0.30304049999999993</v>
      </c>
      <c r="K22" s="11">
        <f t="shared" si="3"/>
        <v>0.30304049999999993</v>
      </c>
      <c r="L22" s="12">
        <v>0.285</v>
      </c>
      <c r="M22" s="12">
        <v>0.285</v>
      </c>
      <c r="N22" s="12">
        <v>0.285</v>
      </c>
      <c r="O22" s="12">
        <v>0.285</v>
      </c>
      <c r="P22" s="12">
        <f t="shared" si="5"/>
        <v>32.55166666666667</v>
      </c>
      <c r="Q22" s="11">
        <f t="shared" si="4"/>
        <v>1.2584599255594218</v>
      </c>
      <c r="R22" s="20">
        <v>0.0633</v>
      </c>
      <c r="S22" s="32">
        <v>42.809</v>
      </c>
      <c r="T22" s="17">
        <f t="shared" si="6"/>
        <v>1393.5042983333333</v>
      </c>
      <c r="U22" s="33">
        <f t="shared" si="7"/>
        <v>0.10399514080641856</v>
      </c>
      <c r="V22" s="18">
        <f t="shared" si="8"/>
        <v>1.0633</v>
      </c>
      <c r="W22" s="19">
        <f t="shared" si="9"/>
        <v>1.1039951408064186</v>
      </c>
      <c r="X22" s="2">
        <v>3</v>
      </c>
      <c r="AJ22" s="20">
        <v>0.0633</v>
      </c>
      <c r="AK22" s="2">
        <v>3</v>
      </c>
    </row>
    <row r="23" spans="1:37" ht="11.25">
      <c r="A23" s="2" t="s">
        <v>33</v>
      </c>
      <c r="B23" s="24">
        <v>28.16</v>
      </c>
      <c r="C23" s="24">
        <v>26.2</v>
      </c>
      <c r="D23" s="24">
        <v>28.55</v>
      </c>
      <c r="E23" s="24">
        <v>26.63</v>
      </c>
      <c r="F23" s="24">
        <v>28.7</v>
      </c>
      <c r="G23" s="24">
        <v>27.15</v>
      </c>
      <c r="H23" s="11">
        <f t="shared" si="0"/>
        <v>0.332352</v>
      </c>
      <c r="I23" s="11">
        <f t="shared" si="1"/>
        <v>0.332352</v>
      </c>
      <c r="J23" s="11">
        <f t="shared" si="2"/>
        <v>0.332352</v>
      </c>
      <c r="K23" s="11">
        <f t="shared" si="3"/>
        <v>0.332352</v>
      </c>
      <c r="L23" s="12">
        <v>0.32</v>
      </c>
      <c r="M23" s="12">
        <v>0.32</v>
      </c>
      <c r="N23" s="12">
        <v>0.32</v>
      </c>
      <c r="O23" s="12">
        <v>0.32</v>
      </c>
      <c r="P23" s="12">
        <f t="shared" si="5"/>
        <v>27.564999999999998</v>
      </c>
      <c r="Q23" s="11">
        <f t="shared" si="4"/>
        <v>1.373984023043495</v>
      </c>
      <c r="R23" s="20">
        <v>0.038599999999999995</v>
      </c>
      <c r="S23" s="32">
        <v>48.626</v>
      </c>
      <c r="T23" s="17">
        <f t="shared" si="6"/>
        <v>1340.3756899999998</v>
      </c>
      <c r="U23" s="33">
        <f t="shared" si="7"/>
        <v>0.09106867301377586</v>
      </c>
      <c r="V23" s="18">
        <f t="shared" si="8"/>
        <v>1.0386</v>
      </c>
      <c r="W23" s="19">
        <f t="shared" si="9"/>
        <v>1.0910686730137757</v>
      </c>
      <c r="X23" s="2">
        <v>1</v>
      </c>
      <c r="AJ23" s="20">
        <v>0.038599999999999995</v>
      </c>
      <c r="AK23" s="2">
        <v>7</v>
      </c>
    </row>
    <row r="24" spans="2:22" ht="11.25">
      <c r="B24" s="24"/>
      <c r="C24" s="24"/>
      <c r="D24" s="24"/>
      <c r="E24" s="21"/>
      <c r="F24" s="24"/>
      <c r="G24" s="21"/>
      <c r="H24" s="11"/>
      <c r="I24" s="11"/>
      <c r="J24" s="11"/>
      <c r="K24" s="11"/>
      <c r="L24" s="12"/>
      <c r="M24" s="12"/>
      <c r="N24" s="12"/>
      <c r="O24" s="12"/>
      <c r="P24" s="12"/>
      <c r="Q24" s="11"/>
      <c r="R24" s="23"/>
      <c r="S24" s="40"/>
      <c r="T24" s="17"/>
      <c r="U24" s="33"/>
      <c r="V24" s="18"/>
    </row>
    <row r="25" spans="1:34" ht="11.25">
      <c r="A25" s="2" t="s">
        <v>34</v>
      </c>
      <c r="B25" s="24"/>
      <c r="C25" s="24"/>
      <c r="R25" s="33"/>
      <c r="S25" s="22"/>
      <c r="U25" s="33">
        <f>SUMPRODUCT($T12:$T23,U12:U23)/SUM($T12:$T23)</f>
        <v>0.10669038413275297</v>
      </c>
      <c r="X25" s="91">
        <f>SUMPRODUCT($T12:$T23,X12:X23)/SUM($T12:$T23)</f>
        <v>2.0279413769504075</v>
      </c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2:21" ht="11.25">
      <c r="B26" s="22"/>
      <c r="U26" s="33"/>
    </row>
    <row r="27" spans="2:7" ht="11.25">
      <c r="B27" s="24"/>
      <c r="C27" s="24"/>
      <c r="D27" s="24"/>
      <c r="E27" s="24"/>
      <c r="F27" s="24"/>
      <c r="G27" s="24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2" bestFit="1" customWidth="1"/>
    <col min="2" max="16384" width="9.140625" style="2" customWidth="1"/>
  </cols>
  <sheetData>
    <row r="1" ht="11.25">
      <c r="A1" s="1" t="s">
        <v>91</v>
      </c>
    </row>
    <row r="2" ht="11.25">
      <c r="A2" s="1" t="s">
        <v>92</v>
      </c>
    </row>
    <row r="3" ht="11.25">
      <c r="A3" s="1" t="s">
        <v>120</v>
      </c>
    </row>
    <row r="4" ht="11.25">
      <c r="A4" s="1" t="s">
        <v>117</v>
      </c>
    </row>
    <row r="5" ht="11.25">
      <c r="A5" s="1" t="s">
        <v>118</v>
      </c>
    </row>
    <row r="7" spans="1:6" ht="11.25">
      <c r="A7" s="41"/>
      <c r="B7" s="42" t="s">
        <v>119</v>
      </c>
      <c r="C7" s="43" t="s">
        <v>105</v>
      </c>
      <c r="D7" s="42"/>
      <c r="E7" s="42" t="s">
        <v>59</v>
      </c>
      <c r="F7" s="48"/>
    </row>
    <row r="8" spans="1:6" ht="11.25">
      <c r="A8" s="41"/>
      <c r="B8" s="42" t="s">
        <v>107</v>
      </c>
      <c r="C8" s="43" t="s">
        <v>9</v>
      </c>
      <c r="D8" s="42" t="s">
        <v>105</v>
      </c>
      <c r="E8" s="42" t="s">
        <v>106</v>
      </c>
      <c r="F8" s="57" t="s">
        <v>106</v>
      </c>
    </row>
    <row r="9" spans="1:6" ht="11.25">
      <c r="A9" s="44" t="s">
        <v>109</v>
      </c>
      <c r="B9" s="45" t="s">
        <v>110</v>
      </c>
      <c r="C9" s="46" t="s">
        <v>111</v>
      </c>
      <c r="D9" s="45" t="s">
        <v>112</v>
      </c>
      <c r="E9" s="45" t="s">
        <v>110</v>
      </c>
      <c r="F9" s="58" t="s">
        <v>112</v>
      </c>
    </row>
    <row r="10" spans="1:6" ht="11.25">
      <c r="A10" s="59"/>
      <c r="B10" s="41"/>
      <c r="C10" s="51"/>
      <c r="D10" s="41"/>
      <c r="E10" s="41"/>
      <c r="F10" s="48"/>
    </row>
    <row r="11" spans="1:6" ht="11.25">
      <c r="A11" s="60">
        <v>2003</v>
      </c>
      <c r="B11" s="61">
        <v>895.84</v>
      </c>
      <c r="C11" s="51">
        <v>0.018</v>
      </c>
      <c r="D11" s="41"/>
      <c r="E11" s="47">
        <v>62.256083099221534</v>
      </c>
      <c r="F11" s="48"/>
    </row>
    <row r="12" spans="1:6" ht="11.25">
      <c r="A12" s="60">
        <v>2002</v>
      </c>
      <c r="B12" s="61">
        <v>1140.21</v>
      </c>
      <c r="C12" s="51">
        <v>0.0138</v>
      </c>
      <c r="D12" s="48">
        <f aca="true" t="shared" si="0" ref="D12:D75">(((B11)-(B12))/B12)+C12</f>
        <v>-0.20052016909165854</v>
      </c>
      <c r="E12" s="47">
        <v>57.4387267990784</v>
      </c>
      <c r="F12" s="48">
        <f>SUM(E11-E12+4)/E12</f>
        <v>0.1535089092588418</v>
      </c>
    </row>
    <row r="13" spans="1:6" ht="11.25">
      <c r="A13" s="60">
        <v>2001</v>
      </c>
      <c r="B13" s="61">
        <v>1335.63</v>
      </c>
      <c r="C13" s="51">
        <v>0.0116</v>
      </c>
      <c r="D13" s="48">
        <f t="shared" si="0"/>
        <v>-0.134712975899014</v>
      </c>
      <c r="E13" s="47">
        <v>56.40035635814768</v>
      </c>
      <c r="F13" s="48">
        <f aca="true" t="shared" si="1" ref="F13:F76">SUM(E12-E13+4)/E13</f>
        <v>0.0893322447988907</v>
      </c>
    </row>
    <row r="14" spans="1:6" ht="11.25">
      <c r="A14" s="60">
        <v>2000</v>
      </c>
      <c r="B14" s="61">
        <v>1425.59</v>
      </c>
      <c r="C14" s="41">
        <v>0.0118</v>
      </c>
      <c r="D14" s="48">
        <f t="shared" si="0"/>
        <v>-0.05130369741650812</v>
      </c>
      <c r="E14" s="47">
        <v>52.6024328472235</v>
      </c>
      <c r="F14" s="48">
        <f t="shared" si="1"/>
        <v>0.14824263990930187</v>
      </c>
    </row>
    <row r="15" spans="1:6" ht="11.25">
      <c r="A15" s="60">
        <v>1999</v>
      </c>
      <c r="B15" s="61">
        <v>1248.77</v>
      </c>
      <c r="C15" s="51">
        <v>0.013</v>
      </c>
      <c r="D15" s="48">
        <f t="shared" si="0"/>
        <v>0.15459532980452761</v>
      </c>
      <c r="E15" s="47">
        <v>63.033807243322705</v>
      </c>
      <c r="F15" s="48">
        <f t="shared" si="1"/>
        <v>-0.10203055594076457</v>
      </c>
    </row>
    <row r="16" spans="1:6" ht="11.25">
      <c r="A16" s="41">
        <v>1998</v>
      </c>
      <c r="B16" s="41">
        <v>963.35</v>
      </c>
      <c r="C16" s="41">
        <v>0.0162</v>
      </c>
      <c r="D16" s="48">
        <f t="shared" si="0"/>
        <v>0.3124786110966938</v>
      </c>
      <c r="E16" s="52">
        <v>62.42760121293054</v>
      </c>
      <c r="F16" s="48">
        <f t="shared" si="1"/>
        <v>0.07378476732881559</v>
      </c>
    </row>
    <row r="17" spans="1:6" ht="11.25">
      <c r="A17" s="41">
        <v>1997</v>
      </c>
      <c r="B17" s="50">
        <v>766.22</v>
      </c>
      <c r="C17" s="51">
        <v>0.0195</v>
      </c>
      <c r="D17" s="48">
        <f t="shared" si="0"/>
        <v>0.276775978178591</v>
      </c>
      <c r="E17" s="52">
        <v>56.620296792312125</v>
      </c>
      <c r="F17" s="48">
        <f t="shared" si="1"/>
        <v>0.17321181583686163</v>
      </c>
    </row>
    <row r="18" spans="1:6" ht="11.25">
      <c r="A18" s="41">
        <v>1996</v>
      </c>
      <c r="B18" s="50">
        <v>614.42</v>
      </c>
      <c r="C18" s="51">
        <v>0.023100000000000002</v>
      </c>
      <c r="D18" s="48">
        <f t="shared" si="0"/>
        <v>0.27016227010839505</v>
      </c>
      <c r="E18" s="52">
        <v>60.9103045373343</v>
      </c>
      <c r="F18" s="48">
        <f t="shared" si="1"/>
        <v>-0.0047612263183549825</v>
      </c>
    </row>
    <row r="19" spans="1:6" ht="11.25">
      <c r="A19" s="41">
        <v>1995</v>
      </c>
      <c r="B19" s="50">
        <v>465.25</v>
      </c>
      <c r="C19" s="51">
        <v>0.0287</v>
      </c>
      <c r="D19" s="48">
        <f t="shared" si="0"/>
        <v>0.3493233207952713</v>
      </c>
      <c r="E19" s="52">
        <v>50.21812929141987</v>
      </c>
      <c r="F19" s="48">
        <f t="shared" si="1"/>
        <v>0.29256715559145074</v>
      </c>
    </row>
    <row r="20" spans="1:6" ht="11.25">
      <c r="A20" s="41">
        <v>1994</v>
      </c>
      <c r="B20" s="50">
        <v>472.99</v>
      </c>
      <c r="C20" s="51">
        <v>0.0269</v>
      </c>
      <c r="D20" s="48">
        <f t="shared" si="0"/>
        <v>0.010536017674792262</v>
      </c>
      <c r="E20" s="52">
        <v>60.011605655945054</v>
      </c>
      <c r="F20" s="48">
        <f t="shared" si="1"/>
        <v>-0.0965392660503036</v>
      </c>
    </row>
    <row r="21" spans="1:6" ht="11.25">
      <c r="A21" s="41">
        <v>1993</v>
      </c>
      <c r="B21" s="50">
        <v>435.23</v>
      </c>
      <c r="C21" s="51">
        <v>0.028800000000000003</v>
      </c>
      <c r="D21" s="48">
        <f t="shared" si="0"/>
        <v>0.1155587252716954</v>
      </c>
      <c r="E21" s="52">
        <v>53.128375348905</v>
      </c>
      <c r="F21" s="48">
        <f t="shared" si="1"/>
        <v>0.20484779057457775</v>
      </c>
    </row>
    <row r="22" spans="1:6" ht="11.25">
      <c r="A22" s="41">
        <v>1992</v>
      </c>
      <c r="B22" s="50">
        <v>416.08</v>
      </c>
      <c r="C22" s="51">
        <v>0.029</v>
      </c>
      <c r="D22" s="48">
        <f t="shared" si="0"/>
        <v>0.07502480292251498</v>
      </c>
      <c r="E22" s="52">
        <v>49.5614481717093</v>
      </c>
      <c r="F22" s="48">
        <f t="shared" si="1"/>
        <v>0.15267768510273394</v>
      </c>
    </row>
    <row r="23" spans="1:6" ht="11.25">
      <c r="A23" s="41">
        <v>1991</v>
      </c>
      <c r="B23" s="50">
        <v>325.49</v>
      </c>
      <c r="C23" s="51">
        <v>0.0382</v>
      </c>
      <c r="D23" s="48">
        <f t="shared" si="0"/>
        <v>0.31651884236074834</v>
      </c>
      <c r="E23" s="52">
        <v>44.84243972046885</v>
      </c>
      <c r="F23" s="48">
        <f t="shared" si="1"/>
        <v>0.19443653167828323</v>
      </c>
    </row>
    <row r="24" spans="1:6" ht="11.25">
      <c r="A24" s="41">
        <v>1990</v>
      </c>
      <c r="B24" s="50">
        <v>339.97</v>
      </c>
      <c r="C24" s="51">
        <v>0.0341</v>
      </c>
      <c r="D24" s="48">
        <f t="shared" si="0"/>
        <v>-0.00849199341118339</v>
      </c>
      <c r="E24" s="52">
        <v>45.599864541354115</v>
      </c>
      <c r="F24" s="48">
        <f t="shared" si="1"/>
        <v>0.07110931604136839</v>
      </c>
    </row>
    <row r="25" spans="1:6" ht="11.25">
      <c r="A25" s="41">
        <v>1989</v>
      </c>
      <c r="B25" s="50">
        <v>285.41</v>
      </c>
      <c r="C25" s="51">
        <v>0.0364</v>
      </c>
      <c r="D25" s="48">
        <f t="shared" si="0"/>
        <v>0.22756358922252196</v>
      </c>
      <c r="E25" s="52">
        <v>43.06467064605262</v>
      </c>
      <c r="F25" s="48">
        <f t="shared" si="1"/>
        <v>0.15175302161286872</v>
      </c>
    </row>
    <row r="26" spans="1:6" ht="11.25">
      <c r="A26" s="41">
        <v>1988</v>
      </c>
      <c r="B26" s="50">
        <v>250.48</v>
      </c>
      <c r="C26" s="51">
        <v>0.0366</v>
      </c>
      <c r="D26" s="48">
        <f t="shared" si="0"/>
        <v>0.1760522516767807</v>
      </c>
      <c r="E26" s="52">
        <v>40.10322647647999</v>
      </c>
      <c r="F26" s="48">
        <f t="shared" si="1"/>
        <v>0.1735881319587945</v>
      </c>
    </row>
    <row r="27" spans="1:6" ht="11.25">
      <c r="A27" s="41">
        <v>1987</v>
      </c>
      <c r="B27" s="50">
        <v>264.51</v>
      </c>
      <c r="C27" s="51">
        <v>0.0317</v>
      </c>
      <c r="D27" s="48">
        <f t="shared" si="0"/>
        <v>-0.021341472912177244</v>
      </c>
      <c r="E27" s="52">
        <v>48.919084183517285</v>
      </c>
      <c r="F27" s="48">
        <f t="shared" si="1"/>
        <v>-0.09844537745168874</v>
      </c>
    </row>
    <row r="28" spans="1:6" ht="11.25">
      <c r="A28" s="41">
        <v>1986</v>
      </c>
      <c r="B28" s="50">
        <v>208.19</v>
      </c>
      <c r="C28" s="51">
        <v>0.039</v>
      </c>
      <c r="D28" s="48">
        <f t="shared" si="0"/>
        <v>0.309522119218022</v>
      </c>
      <c r="E28" s="52">
        <v>39.98095011521439</v>
      </c>
      <c r="F28" s="48">
        <f t="shared" si="1"/>
        <v>0.3236074688324979</v>
      </c>
    </row>
    <row r="29" spans="1:6" ht="11.25">
      <c r="A29" s="41">
        <v>1985</v>
      </c>
      <c r="B29" s="50">
        <v>171.61</v>
      </c>
      <c r="C29" s="51">
        <v>0.0451</v>
      </c>
      <c r="D29" s="48">
        <f t="shared" si="0"/>
        <v>0.25825774139036173</v>
      </c>
      <c r="E29" s="52">
        <v>32.56690400983966</v>
      </c>
      <c r="F29" s="48">
        <f t="shared" si="1"/>
        <v>0.3504799259372683</v>
      </c>
    </row>
    <row r="30" spans="1:6" ht="11.25">
      <c r="A30" s="41">
        <v>1984</v>
      </c>
      <c r="B30" s="50">
        <v>166.39</v>
      </c>
      <c r="C30" s="51">
        <v>0.0427</v>
      </c>
      <c r="D30" s="48">
        <f t="shared" si="0"/>
        <v>0.07407207764889734</v>
      </c>
      <c r="E30" s="52">
        <v>31.489787671250426</v>
      </c>
      <c r="F30" s="48">
        <f t="shared" si="1"/>
        <v>0.16123056756030607</v>
      </c>
    </row>
    <row r="31" spans="1:6" ht="11.25">
      <c r="A31" s="41">
        <v>1983</v>
      </c>
      <c r="B31" s="50">
        <v>144.27</v>
      </c>
      <c r="C31" s="51">
        <v>0.0479</v>
      </c>
      <c r="D31" s="48">
        <f t="shared" si="0"/>
        <v>0.2012236293061619</v>
      </c>
      <c r="E31" s="52">
        <v>29.414973850512478</v>
      </c>
      <c r="F31" s="48">
        <f t="shared" si="1"/>
        <v>0.20652113619445253</v>
      </c>
    </row>
    <row r="32" spans="1:6" ht="11.25">
      <c r="A32" s="41">
        <v>1982</v>
      </c>
      <c r="B32" s="50">
        <v>117.28</v>
      </c>
      <c r="C32" s="51">
        <v>0.0595</v>
      </c>
      <c r="D32" s="48">
        <f t="shared" si="0"/>
        <v>0.28963301500682137</v>
      </c>
      <c r="E32" s="52">
        <v>24.48406952166129</v>
      </c>
      <c r="F32" s="48">
        <f t="shared" si="1"/>
        <v>0.36476388538882115</v>
      </c>
    </row>
    <row r="33" spans="1:6" ht="11.25">
      <c r="A33" s="41">
        <v>1981</v>
      </c>
      <c r="B33" s="50">
        <v>132.97</v>
      </c>
      <c r="C33" s="51">
        <v>0.048</v>
      </c>
      <c r="D33" s="48">
        <f t="shared" si="0"/>
        <v>-0.06999654057306158</v>
      </c>
      <c r="E33" s="52">
        <v>29.36935861795142</v>
      </c>
      <c r="F33" s="48">
        <f t="shared" si="1"/>
        <v>-0.030143290080193137</v>
      </c>
    </row>
    <row r="34" spans="1:6" ht="11.25">
      <c r="A34" s="41">
        <v>1980</v>
      </c>
      <c r="B34" s="50">
        <v>110.87</v>
      </c>
      <c r="C34" s="51">
        <v>0.0541</v>
      </c>
      <c r="D34" s="48">
        <f t="shared" si="0"/>
        <v>0.25343255163705236</v>
      </c>
      <c r="E34" s="52">
        <v>34.69274080531126</v>
      </c>
      <c r="F34" s="48">
        <f t="shared" si="1"/>
        <v>-0.038145795248245074</v>
      </c>
    </row>
    <row r="35" spans="1:6" ht="11.25">
      <c r="A35" s="41">
        <v>1979</v>
      </c>
      <c r="B35" s="50">
        <v>99.71</v>
      </c>
      <c r="C35" s="51">
        <v>0.0533</v>
      </c>
      <c r="D35" s="48">
        <f t="shared" si="0"/>
        <v>0.16522458128572873</v>
      </c>
      <c r="E35" s="52">
        <v>43.91387010169759</v>
      </c>
      <c r="F35" s="48">
        <f t="shared" si="1"/>
        <v>-0.11889476569236597</v>
      </c>
    </row>
    <row r="36" spans="1:6" ht="11.25">
      <c r="A36" s="41">
        <v>1978</v>
      </c>
      <c r="B36" s="50">
        <v>90.25</v>
      </c>
      <c r="C36" s="51">
        <v>0.0532</v>
      </c>
      <c r="D36" s="48">
        <f t="shared" si="0"/>
        <v>0.15801994459833787</v>
      </c>
      <c r="E36" s="52">
        <v>49.09287649373885</v>
      </c>
      <c r="F36" s="48">
        <f t="shared" si="1"/>
        <v>-0.024015834398940263</v>
      </c>
    </row>
    <row r="37" spans="1:6" ht="11.25">
      <c r="A37" s="41">
        <v>1977</v>
      </c>
      <c r="B37" s="50">
        <v>103.8</v>
      </c>
      <c r="C37" s="51">
        <v>0.0399</v>
      </c>
      <c r="D37" s="48">
        <f t="shared" si="0"/>
        <v>-0.09063949903660884</v>
      </c>
      <c r="E37" s="52">
        <v>50.951300061671255</v>
      </c>
      <c r="F37" s="48">
        <f t="shared" si="1"/>
        <v>0.04203183097340871</v>
      </c>
    </row>
    <row r="38" spans="1:6" ht="11.25">
      <c r="A38" s="41">
        <v>1976</v>
      </c>
      <c r="B38" s="50">
        <v>96.86</v>
      </c>
      <c r="C38" s="51">
        <v>0.038</v>
      </c>
      <c r="D38" s="48">
        <f t="shared" si="0"/>
        <v>0.10964980384059464</v>
      </c>
      <c r="E38" s="52">
        <v>43.91387010169759</v>
      </c>
      <c r="F38" s="48">
        <f t="shared" si="1"/>
        <v>0.25134268363076906</v>
      </c>
    </row>
    <row r="39" spans="1:6" ht="11.25">
      <c r="A39" s="41">
        <v>1975</v>
      </c>
      <c r="B39" s="50">
        <v>72.56</v>
      </c>
      <c r="C39" s="51">
        <v>0.0507</v>
      </c>
      <c r="D39" s="48">
        <f t="shared" si="0"/>
        <v>0.3855952590959206</v>
      </c>
      <c r="E39" s="52">
        <v>41.755753115077155</v>
      </c>
      <c r="F39" s="48">
        <f t="shared" si="1"/>
        <v>0.14747948551302417</v>
      </c>
    </row>
    <row r="40" spans="1:6" ht="11.25">
      <c r="A40" s="41">
        <v>1974</v>
      </c>
      <c r="B40" s="50">
        <v>96.11</v>
      </c>
      <c r="C40" s="51">
        <v>0.0364</v>
      </c>
      <c r="D40" s="48">
        <f t="shared" si="0"/>
        <v>-0.2086317344709187</v>
      </c>
      <c r="E40" s="52">
        <v>52.537294702219654</v>
      </c>
      <c r="F40" s="48">
        <f t="shared" si="1"/>
        <v>-0.12908052509327217</v>
      </c>
    </row>
    <row r="41" spans="1:6" ht="11.25">
      <c r="A41" s="41">
        <v>1973</v>
      </c>
      <c r="B41" s="50">
        <v>118.4</v>
      </c>
      <c r="C41" s="51">
        <v>0.0269</v>
      </c>
      <c r="D41" s="48">
        <f t="shared" si="0"/>
        <v>-0.16136013513513517</v>
      </c>
      <c r="E41" s="52">
        <v>58.508250524830295</v>
      </c>
      <c r="F41" s="48">
        <f t="shared" si="1"/>
        <v>-0.033686801518260874</v>
      </c>
    </row>
    <row r="42" spans="1:6" ht="11.25">
      <c r="A42" s="41">
        <v>1972</v>
      </c>
      <c r="B42" s="50">
        <v>103.3</v>
      </c>
      <c r="C42" s="51">
        <v>0.0296</v>
      </c>
      <c r="D42" s="48">
        <f t="shared" si="0"/>
        <v>0.17577618586640859</v>
      </c>
      <c r="E42" s="52">
        <v>56.47351593239872</v>
      </c>
      <c r="F42" s="48">
        <f t="shared" si="1"/>
        <v>0.10685955164639331</v>
      </c>
    </row>
    <row r="43" spans="1:6" ht="11.25">
      <c r="A43" s="41">
        <v>1971</v>
      </c>
      <c r="B43" s="50">
        <v>93.49</v>
      </c>
      <c r="C43" s="51">
        <v>0.0332</v>
      </c>
      <c r="D43" s="48">
        <f t="shared" si="0"/>
        <v>0.13813100866402828</v>
      </c>
      <c r="E43" s="52">
        <v>53.93369874824125</v>
      </c>
      <c r="F43" s="48">
        <f t="shared" si="1"/>
        <v>0.12125660460790724</v>
      </c>
    </row>
    <row r="44" spans="1:6" ht="11.25">
      <c r="A44" s="41">
        <v>1970</v>
      </c>
      <c r="B44" s="50">
        <v>90.31</v>
      </c>
      <c r="C44" s="51">
        <v>0.0356</v>
      </c>
      <c r="D44" s="48">
        <f t="shared" si="0"/>
        <v>0.07081204739231528</v>
      </c>
      <c r="E44" s="52">
        <v>50.46054862985039</v>
      </c>
      <c r="F44" s="48">
        <f t="shared" si="1"/>
        <v>0.14809886775527537</v>
      </c>
    </row>
    <row r="45" spans="1:6" ht="11.25">
      <c r="A45" s="41">
        <v>1969</v>
      </c>
      <c r="B45" s="50">
        <v>102</v>
      </c>
      <c r="C45" s="51">
        <v>0.0306</v>
      </c>
      <c r="D45" s="48">
        <f t="shared" si="0"/>
        <v>-0.08400784313725487</v>
      </c>
      <c r="E45" s="52">
        <v>62.42760121293054</v>
      </c>
      <c r="F45" s="48">
        <f t="shared" si="1"/>
        <v>-0.1276206746420675</v>
      </c>
    </row>
    <row r="46" spans="1:6" ht="11.25">
      <c r="A46" s="41">
        <v>1968</v>
      </c>
      <c r="B46" s="50">
        <v>95.04</v>
      </c>
      <c r="C46" s="51">
        <v>0.0313</v>
      </c>
      <c r="D46" s="48">
        <f t="shared" si="0"/>
        <v>0.10453232323232317</v>
      </c>
      <c r="E46" s="52">
        <v>66.96805495674093</v>
      </c>
      <c r="F46" s="48">
        <f t="shared" si="1"/>
        <v>-0.008070321650516852</v>
      </c>
    </row>
    <row r="47" spans="1:6" ht="11.25">
      <c r="A47" s="41">
        <v>1967</v>
      </c>
      <c r="B47" s="50">
        <v>84.45</v>
      </c>
      <c r="C47" s="51">
        <v>0.0351</v>
      </c>
      <c r="D47" s="48">
        <f t="shared" si="0"/>
        <v>0.16049964476021317</v>
      </c>
      <c r="E47" s="52">
        <v>78.68666567209644</v>
      </c>
      <c r="F47" s="48">
        <f t="shared" si="1"/>
        <v>-0.09809299516541407</v>
      </c>
    </row>
    <row r="48" spans="1:6" ht="11.25">
      <c r="A48" s="41">
        <v>1966</v>
      </c>
      <c r="B48" s="50">
        <v>93.32</v>
      </c>
      <c r="C48" s="51">
        <v>0.0302</v>
      </c>
      <c r="D48" s="48">
        <f t="shared" si="0"/>
        <v>-0.06484929275610792</v>
      </c>
      <c r="E48" s="52">
        <v>86.56606686126186</v>
      </c>
      <c r="F48" s="48">
        <f t="shared" si="1"/>
        <v>-0.0448143404202813</v>
      </c>
    </row>
    <row r="49" spans="1:6" ht="11.25">
      <c r="A49" s="41">
        <v>1965</v>
      </c>
      <c r="B49" s="50">
        <v>86.12</v>
      </c>
      <c r="C49" s="51">
        <v>0.0299</v>
      </c>
      <c r="D49" s="48">
        <f t="shared" si="0"/>
        <v>0.11350427310729201</v>
      </c>
      <c r="E49" s="52">
        <v>91.39727744590006</v>
      </c>
      <c r="F49" s="48">
        <f t="shared" si="1"/>
        <v>-0.009094478608842702</v>
      </c>
    </row>
    <row r="50" spans="1:6" ht="11.25">
      <c r="A50" s="41">
        <v>1964</v>
      </c>
      <c r="B50" s="50">
        <v>76.45</v>
      </c>
      <c r="C50" s="51">
        <v>0.0305</v>
      </c>
      <c r="D50" s="48">
        <f t="shared" si="0"/>
        <v>0.15698790058862003</v>
      </c>
      <c r="E50" s="52">
        <v>92.00904574162887</v>
      </c>
      <c r="F50" s="48">
        <f t="shared" si="1"/>
        <v>0.03682498472797669</v>
      </c>
    </row>
    <row r="51" spans="1:6" ht="11.25">
      <c r="A51" s="41">
        <v>1963</v>
      </c>
      <c r="B51" s="50">
        <v>65.06</v>
      </c>
      <c r="C51" s="51">
        <v>0.0331</v>
      </c>
      <c r="D51" s="48">
        <f t="shared" si="0"/>
        <v>0.20816916692284046</v>
      </c>
      <c r="E51" s="52">
        <v>93.56429569865587</v>
      </c>
      <c r="F51" s="48">
        <f t="shared" si="1"/>
        <v>0.026129091494974183</v>
      </c>
    </row>
    <row r="52" spans="1:6" ht="11.25">
      <c r="A52" s="41">
        <v>1962</v>
      </c>
      <c r="B52" s="50">
        <v>69.07</v>
      </c>
      <c r="C52" s="51">
        <v>0.0297</v>
      </c>
      <c r="D52" s="48">
        <f t="shared" si="0"/>
        <v>-0.028357043578977722</v>
      </c>
      <c r="E52" s="52">
        <v>89.59656610550245</v>
      </c>
      <c r="F52" s="48">
        <f t="shared" si="1"/>
        <v>0.0889289616721605</v>
      </c>
    </row>
    <row r="53" spans="1:6" ht="11.25">
      <c r="A53" s="41">
        <v>1961</v>
      </c>
      <c r="B53" s="50">
        <v>59.72</v>
      </c>
      <c r="C53" s="51">
        <v>0.0328</v>
      </c>
      <c r="D53" s="48">
        <f t="shared" si="0"/>
        <v>0.18936396517079696</v>
      </c>
      <c r="E53" s="52">
        <v>89.74467037376492</v>
      </c>
      <c r="F53" s="48">
        <f t="shared" si="1"/>
        <v>0.042920607047697776</v>
      </c>
    </row>
    <row r="54" spans="1:6" ht="11.25">
      <c r="A54" s="41">
        <v>1960</v>
      </c>
      <c r="B54" s="50">
        <v>58.03</v>
      </c>
      <c r="C54" s="51">
        <v>0.0327</v>
      </c>
      <c r="D54" s="48">
        <f t="shared" si="0"/>
        <v>0.06182286748233668</v>
      </c>
      <c r="E54" s="52">
        <v>84.3557842857882</v>
      </c>
      <c r="F54" s="48">
        <f t="shared" si="1"/>
        <v>0.11130103486641997</v>
      </c>
    </row>
    <row r="55" spans="1:6" ht="11.25">
      <c r="A55" s="41">
        <v>1959</v>
      </c>
      <c r="B55" s="50">
        <v>55.62</v>
      </c>
      <c r="C55" s="51">
        <v>0.0324</v>
      </c>
      <c r="D55" s="48">
        <f t="shared" si="0"/>
        <v>0.07572973750449485</v>
      </c>
      <c r="E55" s="52">
        <v>91.54967257823718</v>
      </c>
      <c r="F55" s="48">
        <f t="shared" si="1"/>
        <v>-0.034886943912546695</v>
      </c>
    </row>
    <row r="56" spans="1:6" ht="11.25">
      <c r="A56" s="41">
        <v>1958</v>
      </c>
      <c r="B56" s="50">
        <v>41.12</v>
      </c>
      <c r="C56" s="51">
        <v>0.0448</v>
      </c>
      <c r="D56" s="48">
        <f t="shared" si="0"/>
        <v>0.3974264591439689</v>
      </c>
      <c r="E56" s="52">
        <v>101.22079687805675</v>
      </c>
      <c r="F56" s="48">
        <f t="shared" si="1"/>
        <v>-0.056027263909527544</v>
      </c>
    </row>
    <row r="57" spans="1:6" ht="11.25">
      <c r="A57" s="41">
        <v>1957</v>
      </c>
      <c r="B57" s="50">
        <v>45.43</v>
      </c>
      <c r="C57" s="51">
        <v>0.0431</v>
      </c>
      <c r="D57" s="48">
        <f t="shared" si="0"/>
        <v>-0.051771230464450854</v>
      </c>
      <c r="E57" s="52">
        <v>100.69505304377618</v>
      </c>
      <c r="F57" s="48">
        <f t="shared" si="1"/>
        <v>0.044945046429570264</v>
      </c>
    </row>
    <row r="58" spans="1:6" ht="11.25">
      <c r="A58" s="41">
        <v>1956</v>
      </c>
      <c r="B58" s="50">
        <v>44.15</v>
      </c>
      <c r="C58" s="51">
        <v>0.0424</v>
      </c>
      <c r="D58" s="48">
        <f t="shared" si="0"/>
        <v>0.07139207248018123</v>
      </c>
      <c r="E58" s="52">
        <v>112.99807945432754</v>
      </c>
      <c r="F58" s="48">
        <f t="shared" si="1"/>
        <v>-0.07347935868155474</v>
      </c>
    </row>
    <row r="59" spans="1:6" ht="11.25">
      <c r="A59" s="41">
        <v>1955</v>
      </c>
      <c r="B59" s="50">
        <v>35.6</v>
      </c>
      <c r="C59" s="51">
        <v>0.0438</v>
      </c>
      <c r="D59" s="48">
        <f t="shared" si="0"/>
        <v>0.2839685393258426</v>
      </c>
      <c r="E59" s="52">
        <v>116.76936481141405</v>
      </c>
      <c r="F59" s="48">
        <f t="shared" si="1"/>
        <v>0.0019586870518895835</v>
      </c>
    </row>
    <row r="60" spans="1:6" ht="11.25">
      <c r="A60" s="41">
        <v>1954</v>
      </c>
      <c r="B60" s="50">
        <v>25.46</v>
      </c>
      <c r="C60" s="51">
        <v>0.0569</v>
      </c>
      <c r="D60" s="48">
        <f t="shared" si="0"/>
        <v>0.4551717989002357</v>
      </c>
      <c r="E60" s="52">
        <v>112.79347577083298</v>
      </c>
      <c r="F60" s="48">
        <f t="shared" si="1"/>
        <v>0.07071232609930382</v>
      </c>
    </row>
    <row r="61" spans="1:6" ht="11.25">
      <c r="A61" s="41">
        <v>1953</v>
      </c>
      <c r="B61" s="50">
        <v>26.18</v>
      </c>
      <c r="C61" s="51">
        <v>0.0545</v>
      </c>
      <c r="D61" s="48">
        <f t="shared" si="0"/>
        <v>0.026998090145149013</v>
      </c>
      <c r="E61" s="52">
        <v>114.23643805742827</v>
      </c>
      <c r="F61" s="48">
        <f t="shared" si="1"/>
        <v>0.022383731118430457</v>
      </c>
    </row>
    <row r="62" spans="1:6" ht="11.25">
      <c r="A62" s="41">
        <v>1952</v>
      </c>
      <c r="B62" s="50">
        <v>24.19</v>
      </c>
      <c r="C62" s="51">
        <v>0.0582</v>
      </c>
      <c r="D62" s="48">
        <f t="shared" si="0"/>
        <v>0.14046539892517562</v>
      </c>
      <c r="E62" s="52">
        <v>113.40881486859843</v>
      </c>
      <c r="F62" s="48">
        <f t="shared" si="1"/>
        <v>0.04256832411504689</v>
      </c>
    </row>
    <row r="63" spans="1:6" ht="11.25">
      <c r="A63" s="41">
        <v>1951</v>
      </c>
      <c r="B63" s="50">
        <v>21.21</v>
      </c>
      <c r="C63" s="51">
        <v>0.0634</v>
      </c>
      <c r="D63" s="48">
        <f t="shared" si="0"/>
        <v>0.20389976426214051</v>
      </c>
      <c r="E63" s="52">
        <v>123.4447624338745</v>
      </c>
      <c r="F63" s="48">
        <f t="shared" si="1"/>
        <v>-0.04889593893065608</v>
      </c>
    </row>
    <row r="64" spans="1:6" ht="11.25">
      <c r="A64" s="41">
        <v>1950</v>
      </c>
      <c r="B64" s="50">
        <v>16.88</v>
      </c>
      <c r="C64" s="51">
        <v>0.0665</v>
      </c>
      <c r="D64" s="48">
        <f t="shared" si="0"/>
        <v>0.32301658767772523</v>
      </c>
      <c r="E64" s="52">
        <v>125.0762004579111</v>
      </c>
      <c r="F64" s="48">
        <f t="shared" si="1"/>
        <v>0.018936951772535158</v>
      </c>
    </row>
    <row r="65" spans="1:6" ht="11.25">
      <c r="A65" s="41">
        <v>1949</v>
      </c>
      <c r="B65" s="50">
        <v>15.36</v>
      </c>
      <c r="C65" s="51">
        <v>0.062</v>
      </c>
      <c r="D65" s="48">
        <f t="shared" si="0"/>
        <v>0.16095833333333331</v>
      </c>
      <c r="E65" s="52">
        <v>119.82205973658691</v>
      </c>
      <c r="F65" s="48">
        <f t="shared" si="1"/>
        <v>0.0772323622350359</v>
      </c>
    </row>
    <row r="66" spans="1:6" ht="11.25">
      <c r="A66" s="41">
        <v>1948</v>
      </c>
      <c r="B66" s="50">
        <v>14.83</v>
      </c>
      <c r="C66" s="51">
        <v>0.0571</v>
      </c>
      <c r="D66" s="48">
        <f t="shared" si="0"/>
        <v>0.09283836817262302</v>
      </c>
      <c r="E66" s="52">
        <v>118.50064686850043</v>
      </c>
      <c r="F66" s="48">
        <f t="shared" si="1"/>
        <v>0.04490619257118173</v>
      </c>
    </row>
    <row r="67" spans="1:6" ht="11.25">
      <c r="A67" s="41">
        <v>1947</v>
      </c>
      <c r="B67" s="50">
        <v>15.21</v>
      </c>
      <c r="C67" s="51">
        <v>0.0449</v>
      </c>
      <c r="D67" s="48">
        <f t="shared" si="0"/>
        <v>0.019916436554898047</v>
      </c>
      <c r="E67" s="52">
        <v>126.02148750581925</v>
      </c>
      <c r="F67" s="48">
        <f t="shared" si="1"/>
        <v>-0.02793841516238448</v>
      </c>
    </row>
    <row r="68" spans="1:6" ht="11.25">
      <c r="A68" s="41">
        <v>1946</v>
      </c>
      <c r="B68" s="50">
        <v>18.02</v>
      </c>
      <c r="C68" s="51">
        <v>0.0356</v>
      </c>
      <c r="D68" s="48">
        <f t="shared" si="0"/>
        <v>-0.1203378468368479</v>
      </c>
      <c r="E68" s="52">
        <v>126.73675769138804</v>
      </c>
      <c r="F68" s="48">
        <f t="shared" si="1"/>
        <v>0.025917735898134144</v>
      </c>
    </row>
    <row r="69" spans="1:6" ht="11.25">
      <c r="A69" s="41">
        <v>1945</v>
      </c>
      <c r="B69" s="50">
        <v>13.49</v>
      </c>
      <c r="C69" s="51">
        <v>0.046</v>
      </c>
      <c r="D69" s="48">
        <f t="shared" si="0"/>
        <v>0.38180429948109706</v>
      </c>
      <c r="E69" s="52">
        <v>119.82205973658691</v>
      </c>
      <c r="F69" s="48">
        <f t="shared" si="1"/>
        <v>0.09109088909667935</v>
      </c>
    </row>
    <row r="70" spans="1:6" ht="11.25">
      <c r="A70" s="41">
        <v>1944</v>
      </c>
      <c r="B70" s="50">
        <v>11.85</v>
      </c>
      <c r="C70" s="51">
        <v>0.0495</v>
      </c>
      <c r="D70" s="48">
        <f t="shared" si="0"/>
        <v>0.18789662447257388</v>
      </c>
      <c r="E70" s="52">
        <v>119.82205973658691</v>
      </c>
      <c r="F70" s="48">
        <f t="shared" si="1"/>
        <v>0.03338283458649831</v>
      </c>
    </row>
    <row r="71" spans="1:6" ht="11.25">
      <c r="A71" s="41">
        <v>1943</v>
      </c>
      <c r="B71" s="50">
        <v>10.09</v>
      </c>
      <c r="C71" s="51">
        <v>0.0554</v>
      </c>
      <c r="D71" s="48">
        <f t="shared" si="0"/>
        <v>0.22983012884043605</v>
      </c>
      <c r="E71" s="52">
        <v>118.50064686850043</v>
      </c>
      <c r="F71" s="48">
        <f t="shared" si="1"/>
        <v>0.04490619257118173</v>
      </c>
    </row>
    <row r="72" spans="1:6" ht="11.25">
      <c r="A72" s="41">
        <v>1942</v>
      </c>
      <c r="B72" s="50">
        <v>8.93</v>
      </c>
      <c r="C72" s="51">
        <v>0.0788</v>
      </c>
      <c r="D72" s="48">
        <f t="shared" si="0"/>
        <v>0.20869921612541997</v>
      </c>
      <c r="E72" s="52">
        <v>117.63067513199601</v>
      </c>
      <c r="F72" s="48">
        <f t="shared" si="1"/>
        <v>0.04140052525448576</v>
      </c>
    </row>
    <row r="73" spans="1:6" ht="11.25">
      <c r="A73" s="41">
        <v>1941</v>
      </c>
      <c r="B73" s="50">
        <v>10.55</v>
      </c>
      <c r="C73" s="51">
        <v>0.0638</v>
      </c>
      <c r="D73" s="48">
        <f t="shared" si="0"/>
        <v>-0.08975450236966834</v>
      </c>
      <c r="E73" s="52">
        <v>116.34192732126922</v>
      </c>
      <c r="F73" s="48">
        <f t="shared" si="1"/>
        <v>0.045458657360233704</v>
      </c>
    </row>
    <row r="74" spans="1:6" ht="11.25">
      <c r="A74" s="41">
        <v>1940</v>
      </c>
      <c r="B74" s="50">
        <v>12.3</v>
      </c>
      <c r="C74" s="51">
        <v>0.0458</v>
      </c>
      <c r="D74" s="48">
        <f t="shared" si="0"/>
        <v>-0.09647642276422763</v>
      </c>
      <c r="E74" s="52">
        <v>112.38578932609771</v>
      </c>
      <c r="F74" s="48">
        <f t="shared" si="1"/>
        <v>0.07079309619907594</v>
      </c>
    </row>
    <row r="75" spans="1:6" ht="11.25">
      <c r="A75" s="41">
        <v>1939</v>
      </c>
      <c r="B75" s="50">
        <v>12.5</v>
      </c>
      <c r="C75" s="51">
        <v>0.0349</v>
      </c>
      <c r="D75" s="48">
        <f t="shared" si="0"/>
        <v>0.018900000000000056</v>
      </c>
      <c r="E75" s="52">
        <v>105.7549401055668</v>
      </c>
      <c r="F75" s="48">
        <f t="shared" si="1"/>
        <v>0.10052342907025401</v>
      </c>
    </row>
    <row r="76" spans="1:6" ht="11.25">
      <c r="A76" s="41">
        <v>1938</v>
      </c>
      <c r="B76" s="50">
        <v>11.31</v>
      </c>
      <c r="C76" s="51">
        <v>0.0784</v>
      </c>
      <c r="D76" s="48">
        <f>(((B75)-(B76))/B76)+C76</f>
        <v>0.1836166224580017</v>
      </c>
      <c r="E76" s="52">
        <v>99.82728942926717</v>
      </c>
      <c r="F76" s="48">
        <f t="shared" si="1"/>
        <v>0.09944826442807397</v>
      </c>
    </row>
    <row r="77" spans="1:6" ht="11.25">
      <c r="A77" s="41">
        <v>1937</v>
      </c>
      <c r="B77" s="50">
        <v>17.59</v>
      </c>
      <c r="C77" s="51">
        <v>0.0434</v>
      </c>
      <c r="D77" s="48">
        <f>(((B76)-(B77))/B77)+C77</f>
        <v>-0.31362103467879476</v>
      </c>
      <c r="E77" s="52">
        <v>103.18173544479107</v>
      </c>
      <c r="F77" s="48">
        <f>SUM(E76-E77+4)/E77</f>
        <v>0.006256475350925922</v>
      </c>
    </row>
    <row r="78" spans="1:6" ht="11.25">
      <c r="A78" s="41"/>
      <c r="B78" s="41"/>
      <c r="C78" s="51"/>
      <c r="D78" s="41"/>
      <c r="E78" s="41"/>
      <c r="F78" s="48"/>
    </row>
    <row r="79" spans="1:6" ht="11.25">
      <c r="A79" s="41"/>
      <c r="B79" s="41"/>
      <c r="C79" s="62"/>
      <c r="D79" s="63"/>
      <c r="E79" s="41"/>
      <c r="F79" s="48"/>
    </row>
    <row r="80" spans="1:6" ht="11.25">
      <c r="A80" s="41" t="s">
        <v>116</v>
      </c>
      <c r="B80" s="41" t="s">
        <v>113</v>
      </c>
      <c r="C80" s="48">
        <f>AVERAGE(D12:D77)</f>
        <v>0.11416931649391371</v>
      </c>
      <c r="D80" s="63"/>
      <c r="E80" s="41"/>
      <c r="F80" s="48"/>
    </row>
    <row r="81" spans="1:6" ht="11.25">
      <c r="A81" s="41"/>
      <c r="B81" s="41" t="s">
        <v>114</v>
      </c>
      <c r="C81" s="48">
        <f>AVERAGE(F12:F77)</f>
        <v>0.06192415530112877</v>
      </c>
      <c r="D81" s="63"/>
      <c r="E81" s="41"/>
      <c r="F81" s="48"/>
    </row>
    <row r="82" spans="1:6" ht="11.25">
      <c r="A82" s="41" t="s">
        <v>115</v>
      </c>
      <c r="B82" s="41"/>
      <c r="C82" s="48">
        <f>C80-C81</f>
        <v>0.05224516119278494</v>
      </c>
      <c r="D82" s="63"/>
      <c r="E82" s="41"/>
      <c r="F82" s="4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A1" sqref="A1"/>
    </sheetView>
  </sheetViews>
  <sheetFormatPr defaultColWidth="9.140625" defaultRowHeight="12.75"/>
  <cols>
    <col min="1" max="1" width="16.28125" style="2" bestFit="1" customWidth="1"/>
    <col min="2" max="16384" width="9.140625" style="2" customWidth="1"/>
  </cols>
  <sheetData>
    <row r="1" ht="11.25">
      <c r="A1" s="1" t="s">
        <v>91</v>
      </c>
    </row>
    <row r="2" ht="11.25">
      <c r="A2" s="1" t="s">
        <v>92</v>
      </c>
    </row>
    <row r="3" ht="11.25">
      <c r="A3" s="1" t="s">
        <v>127</v>
      </c>
    </row>
    <row r="4" ht="11.25">
      <c r="A4" s="1" t="s">
        <v>121</v>
      </c>
    </row>
    <row r="5" ht="11.25">
      <c r="A5" s="1" t="s">
        <v>122</v>
      </c>
    </row>
    <row r="6" ht="11.25">
      <c r="A6" s="28"/>
    </row>
    <row r="7" spans="1:6" ht="11.25">
      <c r="A7" s="41"/>
      <c r="B7" s="42" t="s">
        <v>104</v>
      </c>
      <c r="C7" s="43" t="s">
        <v>105</v>
      </c>
      <c r="D7" s="42"/>
      <c r="E7" s="42" t="s">
        <v>59</v>
      </c>
      <c r="F7" s="42" t="s">
        <v>106</v>
      </c>
    </row>
    <row r="8" spans="1:6" ht="11.25">
      <c r="A8" s="41"/>
      <c r="B8" s="42" t="s">
        <v>107</v>
      </c>
      <c r="C8" s="43" t="s">
        <v>9</v>
      </c>
      <c r="D8" s="42" t="s">
        <v>105</v>
      </c>
      <c r="E8" s="42" t="s">
        <v>106</v>
      </c>
      <c r="F8" s="42" t="s">
        <v>108</v>
      </c>
    </row>
    <row r="9" spans="1:6" ht="11.25">
      <c r="A9" s="44" t="s">
        <v>109</v>
      </c>
      <c r="B9" s="45" t="s">
        <v>110</v>
      </c>
      <c r="C9" s="46" t="s">
        <v>111</v>
      </c>
      <c r="D9" s="45" t="s">
        <v>112</v>
      </c>
      <c r="E9" s="45" t="s">
        <v>110</v>
      </c>
      <c r="F9" s="45" t="s">
        <v>112</v>
      </c>
    </row>
    <row r="10" spans="1:6" ht="11.25">
      <c r="A10" s="44"/>
      <c r="B10" s="45"/>
      <c r="C10" s="46"/>
      <c r="D10" s="45"/>
      <c r="E10" s="45"/>
      <c r="F10" s="45"/>
    </row>
    <row r="11" spans="1:6" ht="11.25">
      <c r="A11" s="41">
        <v>2003</v>
      </c>
      <c r="B11" s="2">
        <v>160.67</v>
      </c>
      <c r="C11" s="46"/>
      <c r="D11" s="45"/>
      <c r="E11" s="47">
        <v>62.256083099221534</v>
      </c>
      <c r="F11" s="48"/>
    </row>
    <row r="12" spans="1:6" ht="11.25">
      <c r="A12" s="41">
        <v>2002</v>
      </c>
      <c r="B12" s="2">
        <v>142.14</v>
      </c>
      <c r="C12" s="18">
        <v>0.04752458058339349</v>
      </c>
      <c r="D12" s="48">
        <f>(((B11)-(B12))/B12)+C12</f>
        <v>0.17788901001916105</v>
      </c>
      <c r="E12" s="47">
        <v>57.4387267990784</v>
      </c>
      <c r="F12" s="48">
        <f>SUM(E11-E12+4)/E12</f>
        <v>0.1535089092588418</v>
      </c>
    </row>
    <row r="13" spans="1:6" ht="11.25">
      <c r="A13" s="41"/>
      <c r="B13" s="41"/>
      <c r="C13" s="41"/>
      <c r="D13" s="41"/>
      <c r="E13" s="47"/>
      <c r="F13" s="41"/>
    </row>
    <row r="14" spans="1:6" ht="11.25">
      <c r="A14" s="41">
        <v>2002</v>
      </c>
      <c r="B14" s="41">
        <v>243.79</v>
      </c>
      <c r="C14" s="41">
        <v>0.0362</v>
      </c>
      <c r="D14" s="49"/>
      <c r="E14" s="47">
        <v>57.4387267990784</v>
      </c>
      <c r="F14" s="48"/>
    </row>
    <row r="15" spans="1:6" ht="11.25">
      <c r="A15" s="41">
        <v>2001</v>
      </c>
      <c r="B15" s="50">
        <v>307.7</v>
      </c>
      <c r="C15" s="41">
        <v>0.0287</v>
      </c>
      <c r="D15" s="48">
        <f aca="true" t="shared" si="0" ref="D15:D78">(((B14)-(B15))/B15)+C15</f>
        <v>-0.17900230744231393</v>
      </c>
      <c r="E15" s="47">
        <v>56.40035635814768</v>
      </c>
      <c r="F15" s="48">
        <f>SUM(E14-E15+4)/E15</f>
        <v>0.0893322447988907</v>
      </c>
    </row>
    <row r="16" spans="1:6" ht="11.25">
      <c r="A16" s="41">
        <v>2000</v>
      </c>
      <c r="B16" s="50">
        <v>239.17</v>
      </c>
      <c r="C16" s="41">
        <v>0.0413</v>
      </c>
      <c r="D16" s="48">
        <f t="shared" si="0"/>
        <v>0.32783259188025254</v>
      </c>
      <c r="E16" s="47">
        <v>52.6024328472235</v>
      </c>
      <c r="F16" s="48">
        <f aca="true" t="shared" si="1" ref="F16:F79">SUM(E15-E16+4)/E16</f>
        <v>0.14824263990930187</v>
      </c>
    </row>
    <row r="17" spans="1:6" ht="11.25">
      <c r="A17" s="41">
        <v>1999</v>
      </c>
      <c r="B17" s="41">
        <v>253.52</v>
      </c>
      <c r="C17" s="41">
        <v>0.0394</v>
      </c>
      <c r="D17" s="48">
        <f t="shared" si="0"/>
        <v>-0.01720302934679719</v>
      </c>
      <c r="E17" s="47">
        <v>63.033807243322705</v>
      </c>
      <c r="F17" s="48">
        <f t="shared" si="1"/>
        <v>-0.10203055594076457</v>
      </c>
    </row>
    <row r="18" spans="1:6" ht="11.25">
      <c r="A18" s="41">
        <v>1998</v>
      </c>
      <c r="B18" s="41">
        <v>228.61</v>
      </c>
      <c r="C18" s="51">
        <v>0.0457</v>
      </c>
      <c r="D18" s="48">
        <f t="shared" si="0"/>
        <v>0.15466286251695024</v>
      </c>
      <c r="E18" s="52">
        <v>62.42760121293054</v>
      </c>
      <c r="F18" s="48">
        <f t="shared" si="1"/>
        <v>0.07378476732881559</v>
      </c>
    </row>
    <row r="19" spans="1:6" ht="11.25">
      <c r="A19" s="41">
        <v>1997</v>
      </c>
      <c r="B19" s="50">
        <v>201.14</v>
      </c>
      <c r="C19" s="51">
        <v>0.0492</v>
      </c>
      <c r="D19" s="48">
        <f t="shared" si="0"/>
        <v>0.18577154220940653</v>
      </c>
      <c r="E19" s="52">
        <v>56.620296792312125</v>
      </c>
      <c r="F19" s="48">
        <f t="shared" si="1"/>
        <v>0.17321181583686163</v>
      </c>
    </row>
    <row r="20" spans="1:6" ht="11.25">
      <c r="A20" s="41">
        <v>1996</v>
      </c>
      <c r="B20" s="50">
        <v>202.57</v>
      </c>
      <c r="C20" s="51">
        <v>0.0454</v>
      </c>
      <c r="D20" s="48">
        <f t="shared" si="0"/>
        <v>0.03834071185269287</v>
      </c>
      <c r="E20" s="47">
        <v>60.9103045373343</v>
      </c>
      <c r="F20" s="48">
        <f t="shared" si="1"/>
        <v>-0.0047612263183549825</v>
      </c>
    </row>
    <row r="21" spans="1:6" ht="11.25">
      <c r="A21" s="41">
        <v>1995</v>
      </c>
      <c r="B21" s="50">
        <v>153.87</v>
      </c>
      <c r="C21" s="51">
        <v>0.0584</v>
      </c>
      <c r="D21" s="48">
        <f t="shared" si="0"/>
        <v>0.37490094235393506</v>
      </c>
      <c r="E21" s="47">
        <v>50.21812929141987</v>
      </c>
      <c r="F21" s="48">
        <f t="shared" si="1"/>
        <v>0.29256715559145074</v>
      </c>
    </row>
    <row r="22" spans="1:6" ht="11.25">
      <c r="A22" s="41">
        <v>1994</v>
      </c>
      <c r="B22" s="50">
        <v>168.7</v>
      </c>
      <c r="C22" s="51">
        <v>0.049600000000000005</v>
      </c>
      <c r="D22" s="48">
        <f t="shared" si="0"/>
        <v>-0.03830752815649072</v>
      </c>
      <c r="E22" s="47">
        <v>60.011605655945054</v>
      </c>
      <c r="F22" s="48">
        <f t="shared" si="1"/>
        <v>-0.0965392660503036</v>
      </c>
    </row>
    <row r="23" spans="1:6" ht="11.25">
      <c r="A23" s="41">
        <v>1993</v>
      </c>
      <c r="B23" s="50">
        <v>159.79</v>
      </c>
      <c r="C23" s="51">
        <v>0.0537</v>
      </c>
      <c r="D23" s="48">
        <f t="shared" si="0"/>
        <v>0.10946068590024405</v>
      </c>
      <c r="E23" s="47">
        <v>53.128375348905</v>
      </c>
      <c r="F23" s="48">
        <f t="shared" si="1"/>
        <v>0.20484779057457775</v>
      </c>
    </row>
    <row r="24" spans="1:6" ht="11.25">
      <c r="A24" s="41">
        <v>1992</v>
      </c>
      <c r="B24" s="50">
        <v>149.7</v>
      </c>
      <c r="C24" s="51">
        <v>0.0572</v>
      </c>
      <c r="D24" s="48">
        <f t="shared" si="0"/>
        <v>0.12460146960587845</v>
      </c>
      <c r="E24" s="47">
        <v>49.5614481717093</v>
      </c>
      <c r="F24" s="48">
        <f t="shared" si="1"/>
        <v>0.15267768510273394</v>
      </c>
    </row>
    <row r="25" spans="1:6" ht="11.25">
      <c r="A25" s="41">
        <v>1991</v>
      </c>
      <c r="B25" s="50">
        <v>138.38</v>
      </c>
      <c r="C25" s="51">
        <v>0.0607</v>
      </c>
      <c r="D25" s="48">
        <f t="shared" si="0"/>
        <v>0.14250372886255233</v>
      </c>
      <c r="E25" s="47">
        <v>44.84243972046885</v>
      </c>
      <c r="F25" s="48">
        <f t="shared" si="1"/>
        <v>0.19443653167828323</v>
      </c>
    </row>
    <row r="26" spans="1:6" ht="11.25">
      <c r="A26" s="41">
        <v>1990</v>
      </c>
      <c r="B26" s="50">
        <v>146.04</v>
      </c>
      <c r="C26" s="51">
        <v>0.0558</v>
      </c>
      <c r="D26" s="48">
        <f t="shared" si="0"/>
        <v>0.00334861681731035</v>
      </c>
      <c r="E26" s="47">
        <v>45.599864541354115</v>
      </c>
      <c r="F26" s="48">
        <f t="shared" si="1"/>
        <v>0.07110931604136839</v>
      </c>
    </row>
    <row r="27" spans="1:6" ht="11.25">
      <c r="A27" s="41">
        <v>1989</v>
      </c>
      <c r="B27" s="50">
        <v>114.37</v>
      </c>
      <c r="C27" s="51">
        <v>0.0699</v>
      </c>
      <c r="D27" s="48">
        <f t="shared" si="0"/>
        <v>0.34680828014339415</v>
      </c>
      <c r="E27" s="47">
        <v>43.06467064605262</v>
      </c>
      <c r="F27" s="48">
        <f t="shared" si="1"/>
        <v>0.15175302161286872</v>
      </c>
    </row>
    <row r="28" spans="1:6" ht="11.25">
      <c r="A28" s="41">
        <v>1988</v>
      </c>
      <c r="B28" s="50">
        <v>106.13</v>
      </c>
      <c r="C28" s="51">
        <v>0.0704</v>
      </c>
      <c r="D28" s="48">
        <f t="shared" si="0"/>
        <v>0.14804062941675314</v>
      </c>
      <c r="E28" s="47">
        <v>40.10322647647999</v>
      </c>
      <c r="F28" s="48">
        <f t="shared" si="1"/>
        <v>0.1735881319587945</v>
      </c>
    </row>
    <row r="29" spans="1:6" ht="11.25">
      <c r="A29" s="41">
        <v>1987</v>
      </c>
      <c r="B29" s="50">
        <v>120.09</v>
      </c>
      <c r="C29" s="51">
        <v>0.0588</v>
      </c>
      <c r="D29" s="48">
        <f t="shared" si="0"/>
        <v>-0.05744614872179205</v>
      </c>
      <c r="E29" s="47">
        <v>48.919084183517285</v>
      </c>
      <c r="F29" s="48">
        <f t="shared" si="1"/>
        <v>-0.09844537745168874</v>
      </c>
    </row>
    <row r="30" spans="1:6" ht="11.25">
      <c r="A30" s="41">
        <v>1986</v>
      </c>
      <c r="B30" s="50">
        <v>92.06</v>
      </c>
      <c r="C30" s="51">
        <v>0.0742</v>
      </c>
      <c r="D30" s="48">
        <f t="shared" si="0"/>
        <v>0.3786753421681512</v>
      </c>
      <c r="E30" s="47">
        <v>39.98095011521439</v>
      </c>
      <c r="F30" s="48">
        <f t="shared" si="1"/>
        <v>0.3236074688324979</v>
      </c>
    </row>
    <row r="31" spans="1:6" ht="11.25">
      <c r="A31" s="41">
        <v>1985</v>
      </c>
      <c r="B31" s="50">
        <v>75.83</v>
      </c>
      <c r="C31" s="51">
        <v>0.086</v>
      </c>
      <c r="D31" s="48">
        <f t="shared" si="0"/>
        <v>0.30003138599498885</v>
      </c>
      <c r="E31" s="47">
        <v>32.56690400983966</v>
      </c>
      <c r="F31" s="48">
        <f t="shared" si="1"/>
        <v>0.3504799259372683</v>
      </c>
    </row>
    <row r="32" spans="1:6" ht="11.25">
      <c r="A32" s="41">
        <v>1984</v>
      </c>
      <c r="B32" s="50">
        <v>68.5</v>
      </c>
      <c r="C32" s="51">
        <v>0.0925</v>
      </c>
      <c r="D32" s="48">
        <f t="shared" si="0"/>
        <v>0.19950729927007296</v>
      </c>
      <c r="E32" s="47">
        <v>31.489787671250426</v>
      </c>
      <c r="F32" s="48">
        <f t="shared" si="1"/>
        <v>0.16123056756030607</v>
      </c>
    </row>
    <row r="33" spans="1:6" ht="11.25">
      <c r="A33" s="41">
        <v>1983</v>
      </c>
      <c r="B33" s="50">
        <v>61.89</v>
      </c>
      <c r="C33" s="51">
        <v>0.0948</v>
      </c>
      <c r="D33" s="48">
        <f t="shared" si="0"/>
        <v>0.20160239133947325</v>
      </c>
      <c r="E33" s="47">
        <v>29.414973850512478</v>
      </c>
      <c r="F33" s="48">
        <f t="shared" si="1"/>
        <v>0.20652113619445253</v>
      </c>
    </row>
    <row r="34" spans="1:6" ht="11.25">
      <c r="A34" s="41">
        <v>1982</v>
      </c>
      <c r="B34" s="50">
        <v>51.81</v>
      </c>
      <c r="C34" s="51">
        <v>0.1074</v>
      </c>
      <c r="D34" s="48">
        <f t="shared" si="0"/>
        <v>0.3019570353213665</v>
      </c>
      <c r="E34" s="47">
        <v>24.48406952166129</v>
      </c>
      <c r="F34" s="48">
        <f t="shared" si="1"/>
        <v>0.36476388538882115</v>
      </c>
    </row>
    <row r="35" spans="1:6" ht="11.25">
      <c r="A35" s="41">
        <v>1981</v>
      </c>
      <c r="B35" s="50">
        <v>52.01</v>
      </c>
      <c r="C35" s="51">
        <v>0.0978</v>
      </c>
      <c r="D35" s="48">
        <f t="shared" si="0"/>
        <v>0.09395458565660458</v>
      </c>
      <c r="E35" s="47">
        <v>29.36935861795142</v>
      </c>
      <c r="F35" s="48">
        <f t="shared" si="1"/>
        <v>-0.030143290080193137</v>
      </c>
    </row>
    <row r="36" spans="1:6" ht="11.25">
      <c r="A36" s="41">
        <v>1980</v>
      </c>
      <c r="B36" s="50">
        <v>50.26</v>
      </c>
      <c r="C36" s="51">
        <v>0.0953</v>
      </c>
      <c r="D36" s="48">
        <f t="shared" si="0"/>
        <v>0.13011894150417827</v>
      </c>
      <c r="E36" s="47">
        <v>34.69274080531126</v>
      </c>
      <c r="F36" s="48">
        <f t="shared" si="1"/>
        <v>-0.038145795248245074</v>
      </c>
    </row>
    <row r="37" spans="1:6" ht="11.25">
      <c r="A37" s="41">
        <v>1979</v>
      </c>
      <c r="B37" s="50">
        <v>50.33</v>
      </c>
      <c r="C37" s="51">
        <v>0.0893</v>
      </c>
      <c r="D37" s="48">
        <f t="shared" si="0"/>
        <v>0.08790917941585535</v>
      </c>
      <c r="E37" s="47">
        <v>43.91387010169759</v>
      </c>
      <c r="F37" s="48">
        <f t="shared" si="1"/>
        <v>-0.11889476569236597</v>
      </c>
    </row>
    <row r="38" spans="1:6" ht="11.25">
      <c r="A38" s="41">
        <v>1978</v>
      </c>
      <c r="B38" s="50">
        <v>52.4</v>
      </c>
      <c r="C38" s="51">
        <v>0.0791</v>
      </c>
      <c r="D38" s="48">
        <f t="shared" si="0"/>
        <v>0.03959618320610687</v>
      </c>
      <c r="E38" s="47">
        <v>49.09287649373885</v>
      </c>
      <c r="F38" s="48">
        <f t="shared" si="1"/>
        <v>-0.024015834398940263</v>
      </c>
    </row>
    <row r="39" spans="1:6" ht="11.25">
      <c r="A39" s="41">
        <v>1977</v>
      </c>
      <c r="B39" s="50">
        <v>54.01</v>
      </c>
      <c r="C39" s="51">
        <v>0.0714</v>
      </c>
      <c r="D39" s="48">
        <f t="shared" si="0"/>
        <v>0.041590705424921326</v>
      </c>
      <c r="E39" s="47">
        <v>50.951300061671255</v>
      </c>
      <c r="F39" s="48">
        <f t="shared" si="1"/>
        <v>0.04203183097340871</v>
      </c>
    </row>
    <row r="40" spans="1:6" ht="11.25">
      <c r="A40" s="41">
        <v>1976</v>
      </c>
      <c r="B40" s="50">
        <v>46.99</v>
      </c>
      <c r="C40" s="51">
        <v>0.0776</v>
      </c>
      <c r="D40" s="48">
        <f t="shared" si="0"/>
        <v>0.22699348797616506</v>
      </c>
      <c r="E40" s="47">
        <v>43.91387010169759</v>
      </c>
      <c r="F40" s="48">
        <f t="shared" si="1"/>
        <v>0.25134268363076906</v>
      </c>
    </row>
    <row r="41" spans="1:6" ht="11.25">
      <c r="A41" s="41">
        <v>1975</v>
      </c>
      <c r="B41" s="50">
        <v>38.19</v>
      </c>
      <c r="C41" s="51">
        <v>0.092</v>
      </c>
      <c r="D41" s="48">
        <f t="shared" si="0"/>
        <v>0.3224268133019116</v>
      </c>
      <c r="E41" s="47">
        <v>41.755753115077155</v>
      </c>
      <c r="F41" s="48">
        <f t="shared" si="1"/>
        <v>0.14747948551302417</v>
      </c>
    </row>
    <row r="42" spans="1:6" ht="11.25">
      <c r="A42" s="41">
        <v>1974</v>
      </c>
      <c r="B42" s="50">
        <v>48.6</v>
      </c>
      <c r="C42" s="51">
        <v>0.0713</v>
      </c>
      <c r="D42" s="48">
        <f t="shared" si="0"/>
        <v>-0.1428975308641976</v>
      </c>
      <c r="E42" s="47">
        <v>52.537294702219654</v>
      </c>
      <c r="F42" s="48">
        <f t="shared" si="1"/>
        <v>-0.12908052509327217</v>
      </c>
    </row>
    <row r="43" spans="1:6" ht="11.25">
      <c r="A43" s="41">
        <v>1973</v>
      </c>
      <c r="B43" s="50">
        <v>60.01</v>
      </c>
      <c r="C43" s="51">
        <v>0.0556</v>
      </c>
      <c r="D43" s="48">
        <f t="shared" si="0"/>
        <v>-0.13453497750374932</v>
      </c>
      <c r="E43" s="47">
        <v>58.508250524830295</v>
      </c>
      <c r="F43" s="48">
        <f t="shared" si="1"/>
        <v>-0.033686801518260874</v>
      </c>
    </row>
    <row r="44" spans="1:6" ht="11.25">
      <c r="A44" s="41">
        <v>1972</v>
      </c>
      <c r="B44" s="50">
        <v>60.19</v>
      </c>
      <c r="C44" s="51">
        <v>0.0542</v>
      </c>
      <c r="D44" s="48">
        <f t="shared" si="0"/>
        <v>0.05120947001162984</v>
      </c>
      <c r="E44" s="47">
        <v>56.47351593239872</v>
      </c>
      <c r="F44" s="48">
        <f t="shared" si="1"/>
        <v>0.10685955164639331</v>
      </c>
    </row>
    <row r="45" spans="1:6" ht="11.25">
      <c r="A45" s="41">
        <v>1971</v>
      </c>
      <c r="B45" s="50">
        <v>63.43</v>
      </c>
      <c r="C45" s="51">
        <v>0.0504</v>
      </c>
      <c r="D45" s="48">
        <f t="shared" si="0"/>
        <v>-0.0006799306321930015</v>
      </c>
      <c r="E45" s="47">
        <v>53.93369874824125</v>
      </c>
      <c r="F45" s="48">
        <f t="shared" si="1"/>
        <v>0.12125660460790724</v>
      </c>
    </row>
    <row r="46" spans="1:6" ht="11.25">
      <c r="A46" s="41">
        <v>1970</v>
      </c>
      <c r="B46" s="50">
        <v>55.72</v>
      </c>
      <c r="C46" s="51">
        <v>0.0561</v>
      </c>
      <c r="D46" s="48">
        <f t="shared" si="0"/>
        <v>0.19447042354630295</v>
      </c>
      <c r="E46" s="47">
        <v>50.46054862985039</v>
      </c>
      <c r="F46" s="48">
        <f t="shared" si="1"/>
        <v>0.14809886775527537</v>
      </c>
    </row>
    <row r="47" spans="1:6" ht="11.25">
      <c r="A47" s="41">
        <v>1969</v>
      </c>
      <c r="B47" s="50">
        <v>68.65</v>
      </c>
      <c r="C47" s="51">
        <v>0.0445</v>
      </c>
      <c r="D47" s="48">
        <f t="shared" si="0"/>
        <v>-0.1438466860888566</v>
      </c>
      <c r="E47" s="47">
        <v>62.42760121293054</v>
      </c>
      <c r="F47" s="48">
        <f t="shared" si="1"/>
        <v>-0.1276206746420675</v>
      </c>
    </row>
    <row r="48" spans="1:6" ht="11.25">
      <c r="A48" s="41">
        <v>1968</v>
      </c>
      <c r="B48" s="50">
        <v>68.02</v>
      </c>
      <c r="C48" s="51">
        <v>0.0435</v>
      </c>
      <c r="D48" s="48">
        <f t="shared" si="0"/>
        <v>0.052761981770067766</v>
      </c>
      <c r="E48" s="47">
        <v>66.96805495674093</v>
      </c>
      <c r="F48" s="48">
        <f t="shared" si="1"/>
        <v>-0.008070321650516852</v>
      </c>
    </row>
    <row r="49" spans="1:6" ht="11.25">
      <c r="A49" s="41">
        <v>1967</v>
      </c>
      <c r="B49" s="50">
        <v>70.63</v>
      </c>
      <c r="C49" s="51">
        <v>0.0392</v>
      </c>
      <c r="D49" s="48">
        <f t="shared" si="0"/>
        <v>0.002246863938836191</v>
      </c>
      <c r="E49" s="47">
        <v>78.68666567209644</v>
      </c>
      <c r="F49" s="48">
        <f t="shared" si="1"/>
        <v>-0.09809299516541407</v>
      </c>
    </row>
    <row r="50" spans="1:6" ht="11.25">
      <c r="A50" s="41">
        <v>1966</v>
      </c>
      <c r="B50" s="50">
        <v>74.5</v>
      </c>
      <c r="C50" s="51">
        <v>0.0347</v>
      </c>
      <c r="D50" s="48">
        <f t="shared" si="0"/>
        <v>-0.017246308724832272</v>
      </c>
      <c r="E50" s="47">
        <v>86.56606686126186</v>
      </c>
      <c r="F50" s="48">
        <f t="shared" si="1"/>
        <v>-0.0448143404202813</v>
      </c>
    </row>
    <row r="51" spans="1:6" ht="11.25">
      <c r="A51" s="41">
        <v>1965</v>
      </c>
      <c r="B51" s="50">
        <v>75.87</v>
      </c>
      <c r="C51" s="51">
        <v>0.0315</v>
      </c>
      <c r="D51" s="48">
        <f t="shared" si="0"/>
        <v>0.013442796889416048</v>
      </c>
      <c r="E51" s="47">
        <v>91.39727744590006</v>
      </c>
      <c r="F51" s="48">
        <f t="shared" si="1"/>
        <v>-0.009094478608842702</v>
      </c>
    </row>
    <row r="52" spans="1:6" ht="11.25">
      <c r="A52" s="41">
        <v>1964</v>
      </c>
      <c r="B52" s="50">
        <v>67.26</v>
      </c>
      <c r="C52" s="51">
        <v>0.0331</v>
      </c>
      <c r="D52" s="48">
        <f t="shared" si="0"/>
        <v>0.16111070472792147</v>
      </c>
      <c r="E52" s="47">
        <v>92.00904574162887</v>
      </c>
      <c r="F52" s="48">
        <f t="shared" si="1"/>
        <v>0.03682498472797669</v>
      </c>
    </row>
    <row r="53" spans="1:6" ht="11.25">
      <c r="A53" s="41">
        <v>1963</v>
      </c>
      <c r="B53" s="50">
        <v>63.35</v>
      </c>
      <c r="C53" s="51">
        <v>0.033</v>
      </c>
      <c r="D53" s="48">
        <f t="shared" si="0"/>
        <v>0.09472059984214687</v>
      </c>
      <c r="E53" s="47">
        <v>93.56429569865587</v>
      </c>
      <c r="F53" s="48">
        <f t="shared" si="1"/>
        <v>0.026129091494974183</v>
      </c>
    </row>
    <row r="54" spans="1:6" ht="11.25">
      <c r="A54" s="41">
        <v>1962</v>
      </c>
      <c r="B54" s="50">
        <v>62.69</v>
      </c>
      <c r="C54" s="51">
        <v>0.032</v>
      </c>
      <c r="D54" s="48">
        <f t="shared" si="0"/>
        <v>0.04252799489551769</v>
      </c>
      <c r="E54" s="47">
        <v>89.59656610550245</v>
      </c>
      <c r="F54" s="48">
        <f t="shared" si="1"/>
        <v>0.0889289616721605</v>
      </c>
    </row>
    <row r="55" spans="1:6" ht="11.25">
      <c r="A55" s="41">
        <v>1961</v>
      </c>
      <c r="B55" s="50">
        <v>52.73</v>
      </c>
      <c r="C55" s="51">
        <v>0.0358</v>
      </c>
      <c r="D55" s="48">
        <f t="shared" si="0"/>
        <v>0.224686781718187</v>
      </c>
      <c r="E55" s="47">
        <v>89.74467037376492</v>
      </c>
      <c r="F55" s="48">
        <f t="shared" si="1"/>
        <v>0.042920607047697776</v>
      </c>
    </row>
    <row r="56" spans="1:6" ht="11.25">
      <c r="A56" s="41">
        <v>1960</v>
      </c>
      <c r="B56" s="50">
        <v>44.5</v>
      </c>
      <c r="C56" s="51">
        <v>0.0403</v>
      </c>
      <c r="D56" s="48">
        <f t="shared" si="0"/>
        <v>0.22524382022471903</v>
      </c>
      <c r="E56" s="47">
        <v>84.3557842857882</v>
      </c>
      <c r="F56" s="48">
        <f t="shared" si="1"/>
        <v>0.11130103486641997</v>
      </c>
    </row>
    <row r="57" spans="1:6" ht="11.25">
      <c r="A57" s="41">
        <v>1959</v>
      </c>
      <c r="B57" s="50">
        <v>43.96</v>
      </c>
      <c r="C57" s="51">
        <v>0.0377</v>
      </c>
      <c r="D57" s="48">
        <f t="shared" si="0"/>
        <v>0.04998389444949952</v>
      </c>
      <c r="E57" s="47">
        <v>91.54967257823718</v>
      </c>
      <c r="F57" s="48">
        <f t="shared" si="1"/>
        <v>-0.034886943912546695</v>
      </c>
    </row>
    <row r="58" spans="1:6" ht="11.25">
      <c r="A58" s="41">
        <v>1958</v>
      </c>
      <c r="B58" s="50">
        <v>33.3</v>
      </c>
      <c r="C58" s="51">
        <v>0.0487</v>
      </c>
      <c r="D58" s="48">
        <f t="shared" si="0"/>
        <v>0.3688201201201203</v>
      </c>
      <c r="E58" s="47">
        <v>101.22079687805675</v>
      </c>
      <c r="F58" s="48">
        <f t="shared" si="1"/>
        <v>-0.056027263909527544</v>
      </c>
    </row>
    <row r="59" spans="1:6" ht="11.25">
      <c r="A59" s="41">
        <v>1957</v>
      </c>
      <c r="B59" s="50">
        <v>32.32</v>
      </c>
      <c r="C59" s="51">
        <v>0.0487</v>
      </c>
      <c r="D59" s="48">
        <f t="shared" si="0"/>
        <v>0.07902178217821773</v>
      </c>
      <c r="E59" s="47">
        <v>100.69505304377618</v>
      </c>
      <c r="F59" s="48">
        <f t="shared" si="1"/>
        <v>0.044945046429570264</v>
      </c>
    </row>
    <row r="60" spans="1:6" ht="11.25">
      <c r="A60" s="41">
        <v>1956</v>
      </c>
      <c r="B60" s="50">
        <v>31.55</v>
      </c>
      <c r="C60" s="51">
        <v>0.0472</v>
      </c>
      <c r="D60" s="48">
        <f t="shared" si="0"/>
        <v>0.07160570522979397</v>
      </c>
      <c r="E60" s="47">
        <v>112.99807945432754</v>
      </c>
      <c r="F60" s="48">
        <f t="shared" si="1"/>
        <v>-0.07347935868155474</v>
      </c>
    </row>
    <row r="61" spans="1:6" ht="11.25">
      <c r="A61" s="41">
        <v>1955</v>
      </c>
      <c r="B61" s="50">
        <v>29.89</v>
      </c>
      <c r="C61" s="51">
        <v>0.0461</v>
      </c>
      <c r="D61" s="48">
        <f t="shared" si="0"/>
        <v>0.10163696888591503</v>
      </c>
      <c r="E61" s="47">
        <v>116.76936481141405</v>
      </c>
      <c r="F61" s="48">
        <f t="shared" si="1"/>
        <v>0.0019586870518895835</v>
      </c>
    </row>
    <row r="62" spans="1:6" ht="11.25">
      <c r="A62" s="41">
        <v>1954</v>
      </c>
      <c r="B62" s="50">
        <v>25.51</v>
      </c>
      <c r="C62" s="51">
        <v>0.052</v>
      </c>
      <c r="D62" s="48">
        <f t="shared" si="0"/>
        <v>0.22369737357898858</v>
      </c>
      <c r="E62" s="47">
        <v>112.79347577083298</v>
      </c>
      <c r="F62" s="48">
        <f t="shared" si="1"/>
        <v>0.07071232609930382</v>
      </c>
    </row>
    <row r="63" spans="1:6" ht="11.25">
      <c r="A63" s="41">
        <v>1953</v>
      </c>
      <c r="B63" s="50">
        <v>24.41</v>
      </c>
      <c r="C63" s="51">
        <v>0.0511</v>
      </c>
      <c r="D63" s="48">
        <f t="shared" si="0"/>
        <v>0.09616349856616146</v>
      </c>
      <c r="E63" s="47">
        <v>114.23643805742827</v>
      </c>
      <c r="F63" s="48">
        <f t="shared" si="1"/>
        <v>0.022383731118430457</v>
      </c>
    </row>
    <row r="64" spans="1:6" ht="11.25">
      <c r="A64" s="41">
        <v>1952</v>
      </c>
      <c r="B64" s="50">
        <v>22.22</v>
      </c>
      <c r="C64" s="51">
        <v>0.055</v>
      </c>
      <c r="D64" s="48">
        <f t="shared" si="0"/>
        <v>0.15355985598559863</v>
      </c>
      <c r="E64" s="47">
        <v>113.40881486859843</v>
      </c>
      <c r="F64" s="48">
        <f t="shared" si="1"/>
        <v>0.04256832411504689</v>
      </c>
    </row>
    <row r="65" spans="1:6" ht="11.25">
      <c r="A65" s="41">
        <v>1951</v>
      </c>
      <c r="B65" s="50">
        <v>20.01</v>
      </c>
      <c r="C65" s="51">
        <v>0.0606</v>
      </c>
      <c r="D65" s="48">
        <f t="shared" si="0"/>
        <v>0.17104477761119424</v>
      </c>
      <c r="E65" s="47">
        <v>123.4447624338745</v>
      </c>
      <c r="F65" s="48">
        <f t="shared" si="1"/>
        <v>-0.04889593893065608</v>
      </c>
    </row>
    <row r="66" spans="1:6" ht="11.25">
      <c r="A66" s="41">
        <v>1950</v>
      </c>
      <c r="B66" s="50">
        <v>20.2</v>
      </c>
      <c r="C66" s="51">
        <v>0.0554</v>
      </c>
      <c r="D66" s="48">
        <f t="shared" si="0"/>
        <v>0.0459940594059407</v>
      </c>
      <c r="E66" s="47">
        <v>125.0762004579111</v>
      </c>
      <c r="F66" s="48">
        <f t="shared" si="1"/>
        <v>0.018936951772535158</v>
      </c>
    </row>
    <row r="67" spans="1:6" ht="11.25">
      <c r="A67" s="41">
        <v>1949</v>
      </c>
      <c r="B67" s="50">
        <v>16.54</v>
      </c>
      <c r="C67" s="51">
        <v>0.057</v>
      </c>
      <c r="D67" s="48">
        <f t="shared" si="0"/>
        <v>0.2782817412333737</v>
      </c>
      <c r="E67" s="47">
        <v>119.82205973658691</v>
      </c>
      <c r="F67" s="48">
        <f t="shared" si="1"/>
        <v>0.0772323622350359</v>
      </c>
    </row>
    <row r="68" spans="1:6" ht="11.25">
      <c r="A68" s="41">
        <v>1948</v>
      </c>
      <c r="B68" s="50">
        <v>16.53</v>
      </c>
      <c r="C68" s="51">
        <v>0.0535</v>
      </c>
      <c r="D68" s="48">
        <f t="shared" si="0"/>
        <v>0.05410496067755584</v>
      </c>
      <c r="E68" s="47">
        <v>118.50064686850043</v>
      </c>
      <c r="F68" s="48">
        <f t="shared" si="1"/>
        <v>0.04490619257118173</v>
      </c>
    </row>
    <row r="69" spans="1:6" ht="11.25">
      <c r="A69" s="41">
        <v>1947</v>
      </c>
      <c r="B69" s="50">
        <v>19.21</v>
      </c>
      <c r="C69" s="51">
        <v>0.0354</v>
      </c>
      <c r="D69" s="48">
        <f t="shared" si="0"/>
        <v>-0.10411067152524724</v>
      </c>
      <c r="E69" s="47">
        <v>126.02148750581925</v>
      </c>
      <c r="F69" s="48">
        <f t="shared" si="1"/>
        <v>-0.02793841516238448</v>
      </c>
    </row>
    <row r="70" spans="1:6" ht="11.25">
      <c r="A70" s="41">
        <v>1946</v>
      </c>
      <c r="B70" s="50">
        <v>21.34</v>
      </c>
      <c r="C70" s="51">
        <v>0.0298</v>
      </c>
      <c r="D70" s="48">
        <f t="shared" si="0"/>
        <v>-0.07001255857544514</v>
      </c>
      <c r="E70" s="47">
        <v>126.73675769138804</v>
      </c>
      <c r="F70" s="48">
        <f t="shared" si="1"/>
        <v>0.025917735898134144</v>
      </c>
    </row>
    <row r="71" spans="1:6" ht="11.25">
      <c r="A71" s="41">
        <v>1945</v>
      </c>
      <c r="B71" s="50">
        <v>13.91</v>
      </c>
      <c r="C71" s="51">
        <v>0.0448</v>
      </c>
      <c r="D71" s="48">
        <f t="shared" si="0"/>
        <v>0.5789480948957584</v>
      </c>
      <c r="E71" s="47">
        <v>119.82205973658691</v>
      </c>
      <c r="F71" s="48">
        <f t="shared" si="1"/>
        <v>0.09109088909667935</v>
      </c>
    </row>
    <row r="72" spans="1:6" ht="11.25">
      <c r="A72" s="41">
        <v>1944</v>
      </c>
      <c r="B72" s="50">
        <v>12.1</v>
      </c>
      <c r="C72" s="51">
        <v>0.0569</v>
      </c>
      <c r="D72" s="48">
        <f t="shared" si="0"/>
        <v>0.20648677685950417</v>
      </c>
      <c r="E72" s="47">
        <v>119.82205973658691</v>
      </c>
      <c r="F72" s="48">
        <f t="shared" si="1"/>
        <v>0.03338283458649831</v>
      </c>
    </row>
    <row r="73" spans="1:6" ht="11.25">
      <c r="A73" s="41">
        <v>1943</v>
      </c>
      <c r="B73" s="50">
        <v>9.22</v>
      </c>
      <c r="C73" s="51">
        <v>0.0621</v>
      </c>
      <c r="D73" s="48">
        <f t="shared" si="0"/>
        <v>0.3744644251626897</v>
      </c>
      <c r="E73" s="47">
        <v>118.50064686850043</v>
      </c>
      <c r="F73" s="48">
        <f t="shared" si="1"/>
        <v>0.04490619257118173</v>
      </c>
    </row>
    <row r="74" spans="1:6" ht="11.25">
      <c r="A74" s="41">
        <v>1942</v>
      </c>
      <c r="B74" s="50">
        <v>8.54</v>
      </c>
      <c r="C74" s="51">
        <v>0.094</v>
      </c>
      <c r="D74" s="48">
        <f t="shared" si="0"/>
        <v>0.173625292740047</v>
      </c>
      <c r="E74" s="47">
        <v>117.63067513199601</v>
      </c>
      <c r="F74" s="48">
        <f t="shared" si="1"/>
        <v>0.04140052525448576</v>
      </c>
    </row>
    <row r="75" spans="1:6" ht="11.25">
      <c r="A75" s="41">
        <v>1941</v>
      </c>
      <c r="B75" s="50">
        <v>13.25</v>
      </c>
      <c r="C75" s="51">
        <v>0.0717</v>
      </c>
      <c r="D75" s="48">
        <f t="shared" si="0"/>
        <v>-0.2837716981132076</v>
      </c>
      <c r="E75" s="47">
        <v>116.34192732126922</v>
      </c>
      <c r="F75" s="48">
        <f t="shared" si="1"/>
        <v>0.045458657360233704</v>
      </c>
    </row>
    <row r="76" spans="1:6" ht="11.25">
      <c r="A76" s="41">
        <v>1940</v>
      </c>
      <c r="B76" s="50">
        <v>16.97</v>
      </c>
      <c r="C76" s="51">
        <v>0.054</v>
      </c>
      <c r="D76" s="48">
        <f t="shared" si="0"/>
        <v>-0.1652103712433706</v>
      </c>
      <c r="E76" s="47">
        <v>112.38578932609771</v>
      </c>
      <c r="F76" s="48">
        <f t="shared" si="1"/>
        <v>0.07079309619907594</v>
      </c>
    </row>
    <row r="77" spans="1:6" ht="11.25">
      <c r="A77" s="41">
        <v>1939</v>
      </c>
      <c r="B77" s="50">
        <v>16.05</v>
      </c>
      <c r="C77" s="51">
        <v>0.0553</v>
      </c>
      <c r="D77" s="48">
        <f t="shared" si="0"/>
        <v>0.11262087227414319</v>
      </c>
      <c r="E77" s="47">
        <v>105.7549401055668</v>
      </c>
      <c r="F77" s="48">
        <f t="shared" si="1"/>
        <v>0.10052342907025401</v>
      </c>
    </row>
    <row r="78" spans="1:6" ht="11.25">
      <c r="A78" s="41">
        <v>1938</v>
      </c>
      <c r="B78" s="50">
        <v>14.3</v>
      </c>
      <c r="C78" s="51">
        <v>0.073</v>
      </c>
      <c r="D78" s="48">
        <f t="shared" si="0"/>
        <v>0.19537762237762235</v>
      </c>
      <c r="E78" s="47">
        <v>99.82728942926717</v>
      </c>
      <c r="F78" s="48">
        <f t="shared" si="1"/>
        <v>0.09944826442807397</v>
      </c>
    </row>
    <row r="79" spans="1:6" ht="11.25">
      <c r="A79" s="41">
        <v>1937</v>
      </c>
      <c r="B79" s="50">
        <v>24.34</v>
      </c>
      <c r="C79" s="51">
        <v>0.0432</v>
      </c>
      <c r="D79" s="48">
        <f>(((B78)-(B79))/B79)+C79</f>
        <v>-0.36928972884141326</v>
      </c>
      <c r="E79" s="47">
        <v>103.18173544479107</v>
      </c>
      <c r="F79" s="48">
        <f t="shared" si="1"/>
        <v>0.006256475350925922</v>
      </c>
    </row>
    <row r="80" spans="1:6" ht="11.25">
      <c r="A80" s="41"/>
      <c r="B80" s="41"/>
      <c r="C80" s="41"/>
      <c r="D80" s="41"/>
      <c r="E80" s="41"/>
      <c r="F80" s="48"/>
    </row>
    <row r="81" spans="1:6" ht="11.25">
      <c r="A81" s="41"/>
      <c r="B81" s="41"/>
      <c r="C81" s="48"/>
      <c r="D81" s="53"/>
      <c r="E81" s="41"/>
      <c r="F81" s="48"/>
    </row>
    <row r="82" spans="1:6" ht="11.25">
      <c r="A82" s="41" t="s">
        <v>116</v>
      </c>
      <c r="B82" s="41" t="s">
        <v>113</v>
      </c>
      <c r="C82" s="48">
        <f>AVERAGE(D12:D79)</f>
        <v>0.10807309403295892</v>
      </c>
      <c r="D82" s="53"/>
      <c r="E82" s="48"/>
      <c r="F82" s="48"/>
    </row>
    <row r="83" spans="1:6" ht="11.25">
      <c r="A83" s="41"/>
      <c r="B83" s="41" t="s">
        <v>114</v>
      </c>
      <c r="C83" s="48">
        <f>AVERAGE(F12:F$80)</f>
        <v>0.06192415530112877</v>
      </c>
      <c r="D83" s="53"/>
      <c r="E83" s="48"/>
      <c r="F83" s="48"/>
    </row>
    <row r="84" spans="1:6" ht="11.25">
      <c r="A84" s="54" t="s">
        <v>115</v>
      </c>
      <c r="B84" s="54"/>
      <c r="C84" s="55">
        <f>C82-C83</f>
        <v>0.04614893873183015</v>
      </c>
      <c r="D84" s="56"/>
      <c r="E84" s="55"/>
      <c r="F84" s="55"/>
    </row>
    <row r="85" spans="1:6" ht="11.25">
      <c r="A85" s="54"/>
      <c r="B85" s="54"/>
      <c r="C85" s="55"/>
      <c r="D85" s="56"/>
      <c r="E85" s="55"/>
      <c r="F85" s="55"/>
    </row>
    <row r="86" spans="1:6" ht="11.25">
      <c r="A86" s="54"/>
      <c r="B86" s="54"/>
      <c r="C86" s="55"/>
      <c r="D86" s="56"/>
      <c r="E86" s="55"/>
      <c r="F86" s="55"/>
    </row>
    <row r="87" spans="1:6" ht="11.25">
      <c r="A87" s="54"/>
      <c r="B87" s="54"/>
      <c r="C87" s="55"/>
      <c r="D87" s="56"/>
      <c r="E87" s="55"/>
      <c r="F87" s="55"/>
    </row>
    <row r="88" spans="1:6" ht="11.25">
      <c r="A88" s="54"/>
      <c r="B88" s="54"/>
      <c r="C88" s="55"/>
      <c r="D88" s="56"/>
      <c r="E88" s="55"/>
      <c r="F88" s="55"/>
    </row>
    <row r="89" spans="1:6" ht="11.25">
      <c r="A89" s="41"/>
      <c r="B89" s="41"/>
      <c r="C89" s="48"/>
      <c r="D89" s="48"/>
      <c r="E89" s="48"/>
      <c r="F89" s="48"/>
    </row>
    <row r="91" ht="11.25">
      <c r="A91" s="2" t="s">
        <v>123</v>
      </c>
    </row>
    <row r="92" ht="11.25">
      <c r="A92" s="2" t="s">
        <v>124</v>
      </c>
    </row>
    <row r="93" ht="11.25">
      <c r="A93" s="2" t="s">
        <v>125</v>
      </c>
    </row>
    <row r="94" ht="11.25">
      <c r="A94" s="2" t="s">
        <v>126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bestFit="1" customWidth="1"/>
    <col min="2" max="2" width="19.140625" style="2" bestFit="1" customWidth="1"/>
    <col min="3" max="3" width="6.00390625" style="2" hidden="1" customWidth="1"/>
    <col min="4" max="4" width="6.28125" style="2" bestFit="1" customWidth="1"/>
    <col min="5" max="5" width="7.140625" style="2" bestFit="1" customWidth="1"/>
    <col min="6" max="6" width="8.7109375" style="2" bestFit="1" customWidth="1"/>
    <col min="7" max="7" width="7.28125" style="2" bestFit="1" customWidth="1"/>
    <col min="8" max="10" width="7.00390625" style="2" customWidth="1"/>
    <col min="11" max="11" width="7.7109375" style="2" customWidth="1"/>
    <col min="12" max="12" width="8.28125" style="2" customWidth="1"/>
    <col min="13" max="13" width="2.7109375" style="2" customWidth="1"/>
    <col min="14" max="16384" width="9.140625" style="2" customWidth="1"/>
  </cols>
  <sheetData>
    <row r="1" ht="11.25">
      <c r="B1" s="1" t="s">
        <v>91</v>
      </c>
    </row>
    <row r="2" ht="11.25">
      <c r="B2" s="1" t="s">
        <v>92</v>
      </c>
    </row>
    <row r="3" ht="11.25">
      <c r="B3" s="1" t="s">
        <v>100</v>
      </c>
    </row>
    <row r="6" ht="11.25">
      <c r="B6" s="1"/>
    </row>
    <row r="7" ht="11.25">
      <c r="B7" s="1" t="s">
        <v>101</v>
      </c>
    </row>
    <row r="9" spans="2:12" s="3" customFormat="1" ht="33.75">
      <c r="B9" s="3" t="s">
        <v>35</v>
      </c>
      <c r="C9" s="3" t="s">
        <v>36</v>
      </c>
      <c r="D9" s="3" t="s">
        <v>78</v>
      </c>
      <c r="E9" s="3" t="s">
        <v>17</v>
      </c>
      <c r="F9" s="3" t="s">
        <v>16</v>
      </c>
      <c r="G9" s="3" t="s">
        <v>103</v>
      </c>
      <c r="H9" s="3" t="s">
        <v>18</v>
      </c>
      <c r="I9" s="3" t="s">
        <v>79</v>
      </c>
      <c r="J9" s="3" t="s">
        <v>80</v>
      </c>
      <c r="L9" s="3" t="s">
        <v>19</v>
      </c>
    </row>
    <row r="10" spans="1:13" ht="11.25">
      <c r="A10" s="2">
        <v>1</v>
      </c>
      <c r="B10" s="2" t="s">
        <v>37</v>
      </c>
      <c r="C10" s="2" t="s">
        <v>38</v>
      </c>
      <c r="D10" s="34">
        <v>48.3</v>
      </c>
      <c r="E10" s="34">
        <v>231.1</v>
      </c>
      <c r="F10" s="34">
        <v>0</v>
      </c>
      <c r="G10" s="34">
        <v>383.9</v>
      </c>
      <c r="H10" s="34">
        <f aca="true" t="shared" si="0" ref="H10:H15">SUM(D10:G10)</f>
        <v>663.3</v>
      </c>
      <c r="I10" s="20">
        <f aca="true" t="shared" si="1" ref="I10:L12">D10/$H10</f>
        <v>0.07281772953414745</v>
      </c>
      <c r="J10" s="20">
        <f t="shared" si="1"/>
        <v>0.3484094678124529</v>
      </c>
      <c r="K10" s="20">
        <f t="shared" si="1"/>
        <v>0</v>
      </c>
      <c r="L10" s="20">
        <f t="shared" si="1"/>
        <v>0.5787728026533997</v>
      </c>
      <c r="M10" s="17"/>
    </row>
    <row r="11" spans="1:13" ht="11.25">
      <c r="A11" s="2">
        <v>2</v>
      </c>
      <c r="B11" s="2" t="s">
        <v>39</v>
      </c>
      <c r="C11" s="2" t="s">
        <v>40</v>
      </c>
      <c r="D11" s="34">
        <v>149.4</v>
      </c>
      <c r="E11" s="34">
        <v>582.9</v>
      </c>
      <c r="F11" s="34">
        <v>0.2</v>
      </c>
      <c r="G11" s="34">
        <v>2009.6</v>
      </c>
      <c r="H11" s="34">
        <f t="shared" si="0"/>
        <v>2742.1</v>
      </c>
      <c r="I11" s="20">
        <f t="shared" si="1"/>
        <v>0.05448378979614165</v>
      </c>
      <c r="J11" s="20">
        <f t="shared" si="1"/>
        <v>0.2125743043652675</v>
      </c>
      <c r="K11" s="20">
        <f t="shared" si="1"/>
        <v>7.293680026257248E-05</v>
      </c>
      <c r="L11" s="20">
        <f t="shared" si="1"/>
        <v>0.7328689690383283</v>
      </c>
      <c r="M11" s="17"/>
    </row>
    <row r="12" spans="1:13" ht="11.25">
      <c r="A12" s="2">
        <v>3</v>
      </c>
      <c r="B12" s="2" t="s">
        <v>41</v>
      </c>
      <c r="C12" s="2" t="s">
        <v>42</v>
      </c>
      <c r="D12" s="34">
        <v>24.8</v>
      </c>
      <c r="E12" s="34">
        <v>250.4</v>
      </c>
      <c r="F12" s="34">
        <v>3.5</v>
      </c>
      <c r="G12" s="34">
        <v>461.4</v>
      </c>
      <c r="H12" s="34">
        <f t="shared" si="0"/>
        <v>740.0999999999999</v>
      </c>
      <c r="I12" s="20">
        <f t="shared" si="1"/>
        <v>0.03350898527226051</v>
      </c>
      <c r="J12" s="20">
        <f t="shared" si="1"/>
        <v>0.3383326577489529</v>
      </c>
      <c r="K12" s="20">
        <f t="shared" si="1"/>
        <v>0.004729090663423862</v>
      </c>
      <c r="L12" s="20">
        <f t="shared" si="1"/>
        <v>0.6234292663153629</v>
      </c>
      <c r="M12" s="20"/>
    </row>
    <row r="13" spans="1:13" ht="11.25">
      <c r="A13" s="2">
        <v>4</v>
      </c>
      <c r="B13" s="2" t="s">
        <v>54</v>
      </c>
      <c r="D13" s="34">
        <f>111-97.5</f>
        <v>13.5</v>
      </c>
      <c r="E13" s="34">
        <v>97.5</v>
      </c>
      <c r="F13" s="34">
        <v>4.1</v>
      </c>
      <c r="G13" s="34">
        <v>211.17178739999997</v>
      </c>
      <c r="H13" s="34">
        <f t="shared" si="0"/>
        <v>326.2717874</v>
      </c>
      <c r="I13" s="20">
        <f aca="true" t="shared" si="2" ref="I13:L15">D13/$H13</f>
        <v>0.04137654716510742</v>
      </c>
      <c r="J13" s="20">
        <f t="shared" si="2"/>
        <v>0.2988306184146647</v>
      </c>
      <c r="K13" s="20">
        <f t="shared" si="2"/>
        <v>0.012566210620514103</v>
      </c>
      <c r="L13" s="20">
        <f t="shared" si="2"/>
        <v>0.6472266237997137</v>
      </c>
      <c r="M13" s="20"/>
    </row>
    <row r="14" spans="1:13" ht="11.25">
      <c r="A14" s="2">
        <v>5</v>
      </c>
      <c r="B14" s="2" t="s">
        <v>55</v>
      </c>
      <c r="D14" s="34">
        <f>78-75.4</f>
        <v>2.5999999999999943</v>
      </c>
      <c r="E14" s="34">
        <v>75.4</v>
      </c>
      <c r="F14" s="34">
        <v>0.5</v>
      </c>
      <c r="G14" s="34">
        <v>178.96149674</v>
      </c>
      <c r="H14" s="34">
        <f t="shared" si="0"/>
        <v>257.46149674000003</v>
      </c>
      <c r="I14" s="20">
        <f t="shared" si="2"/>
        <v>0.010098597393868293</v>
      </c>
      <c r="J14" s="20">
        <f t="shared" si="2"/>
        <v>0.29285932442218116</v>
      </c>
      <c r="K14" s="20">
        <f t="shared" si="2"/>
        <v>0.0019420379603592914</v>
      </c>
      <c r="L14" s="20">
        <f t="shared" si="2"/>
        <v>0.6951000402235912</v>
      </c>
      <c r="M14" s="20"/>
    </row>
    <row r="15" spans="1:13" ht="11.25">
      <c r="A15" s="2">
        <v>6</v>
      </c>
      <c r="B15" s="2" t="s">
        <v>56</v>
      </c>
      <c r="D15" s="34">
        <f>37.1-32.6</f>
        <v>4.5</v>
      </c>
      <c r="E15" s="34">
        <v>32.6</v>
      </c>
      <c r="F15" s="34">
        <v>0</v>
      </c>
      <c r="G15" s="34">
        <v>118.61485954999999</v>
      </c>
      <c r="H15" s="34">
        <f t="shared" si="0"/>
        <v>155.71485955</v>
      </c>
      <c r="I15" s="20">
        <f t="shared" si="2"/>
        <v>0.028898976070777953</v>
      </c>
      <c r="J15" s="20">
        <f t="shared" si="2"/>
        <v>0.2093570266460803</v>
      </c>
      <c r="K15" s="20">
        <f t="shared" si="2"/>
        <v>0</v>
      </c>
      <c r="L15" s="20">
        <f t="shared" si="2"/>
        <v>0.7617439972831417</v>
      </c>
      <c r="M15" s="20"/>
    </row>
    <row r="16" spans="1:12" ht="11.25">
      <c r="A16" s="2">
        <v>7</v>
      </c>
      <c r="B16" s="2" t="s">
        <v>61</v>
      </c>
      <c r="D16" s="34">
        <f>SUM(D10:D15)</f>
        <v>243.1</v>
      </c>
      <c r="E16" s="34">
        <f>SUM(E10:E15)</f>
        <v>1269.9</v>
      </c>
      <c r="F16" s="34">
        <f>SUM(F10:F15)</f>
        <v>8.3</v>
      </c>
      <c r="G16" s="34">
        <v>3363.64814369</v>
      </c>
      <c r="H16" s="34">
        <f>SUM(H10:H15)</f>
        <v>4884.9481436900005</v>
      </c>
      <c r="I16" s="20">
        <f>D16/$H16</f>
        <v>0.04976511374312496</v>
      </c>
      <c r="J16" s="20">
        <f>E16/$H16</f>
        <v>0.25996181794485557</v>
      </c>
      <c r="K16" s="20">
        <f>F16/$H16</f>
        <v>0.0016990968493127815</v>
      </c>
      <c r="L16" s="20">
        <f>G16/$H16</f>
        <v>0.6885739714627066</v>
      </c>
    </row>
    <row r="17" spans="4:12" ht="11.25">
      <c r="D17" s="34"/>
      <c r="E17" s="34"/>
      <c r="F17" s="34"/>
      <c r="G17" s="34"/>
      <c r="H17" s="34"/>
      <c r="I17" s="20"/>
      <c r="J17" s="20"/>
      <c r="K17" s="20"/>
      <c r="L17" s="20"/>
    </row>
    <row r="18" spans="4:12" ht="11.25">
      <c r="D18" s="34"/>
      <c r="E18" s="34"/>
      <c r="F18" s="34"/>
      <c r="G18" s="34"/>
      <c r="H18" s="34"/>
      <c r="I18" s="20"/>
      <c r="J18" s="20"/>
      <c r="K18" s="20"/>
      <c r="L18" s="20"/>
    </row>
    <row r="19" spans="4:12" ht="11.25">
      <c r="D19" s="34"/>
      <c r="E19" s="34"/>
      <c r="F19" s="34"/>
      <c r="G19" s="34"/>
      <c r="H19" s="34"/>
      <c r="I19" s="20"/>
      <c r="J19" s="20"/>
      <c r="K19" s="20"/>
      <c r="L19" s="20"/>
    </row>
    <row r="20" ht="11.25">
      <c r="B20" s="1" t="s">
        <v>102</v>
      </c>
    </row>
    <row r="22" spans="2:12" ht="33.75">
      <c r="B22" s="3" t="s">
        <v>35</v>
      </c>
      <c r="C22" s="3" t="s">
        <v>36</v>
      </c>
      <c r="D22" s="3" t="s">
        <v>78</v>
      </c>
      <c r="E22" s="3" t="s">
        <v>17</v>
      </c>
      <c r="F22" s="3" t="s">
        <v>16</v>
      </c>
      <c r="G22" s="3" t="s">
        <v>103</v>
      </c>
      <c r="H22" s="3" t="s">
        <v>18</v>
      </c>
      <c r="I22" s="3" t="s">
        <v>79</v>
      </c>
      <c r="J22" s="3" t="s">
        <v>80</v>
      </c>
      <c r="K22" s="3" t="s">
        <v>81</v>
      </c>
      <c r="L22" s="3" t="s">
        <v>19</v>
      </c>
    </row>
    <row r="23" spans="1:12" ht="11.25">
      <c r="A23" s="2">
        <v>1</v>
      </c>
      <c r="B23" s="2" t="s">
        <v>21</v>
      </c>
      <c r="C23" s="2" t="s">
        <v>43</v>
      </c>
      <c r="D23" s="17">
        <v>418.6</v>
      </c>
      <c r="E23" s="17">
        <v>994.2</v>
      </c>
      <c r="F23" s="17">
        <v>0</v>
      </c>
      <c r="G23" s="17">
        <v>1835.8</v>
      </c>
      <c r="H23" s="17">
        <f>SUM(D23:G23)</f>
        <v>3248.6000000000004</v>
      </c>
      <c r="I23" s="20">
        <f aca="true" t="shared" si="3" ref="I23:I35">D23/$H23</f>
        <v>0.12885550698762543</v>
      </c>
      <c r="J23" s="20">
        <f aca="true" t="shared" si="4" ref="J23:J35">E23/$H23</f>
        <v>0.3060395247183402</v>
      </c>
      <c r="K23" s="20">
        <f aca="true" t="shared" si="5" ref="K23:K35">F23/$H23</f>
        <v>0</v>
      </c>
      <c r="L23" s="20">
        <f aca="true" t="shared" si="6" ref="L23:L35">G23/$H23</f>
        <v>0.5651049682940342</v>
      </c>
    </row>
    <row r="24" spans="1:12" ht="11.25">
      <c r="A24" s="2">
        <v>2</v>
      </c>
      <c r="B24" s="2" t="s">
        <v>22</v>
      </c>
      <c r="C24" s="2" t="s">
        <v>44</v>
      </c>
      <c r="D24" s="17">
        <v>127.9</v>
      </c>
      <c r="E24" s="17">
        <v>863.9</v>
      </c>
      <c r="F24" s="17">
        <v>0</v>
      </c>
      <c r="G24" s="17">
        <v>1273.6</v>
      </c>
      <c r="H24" s="17">
        <f aca="true" t="shared" si="7" ref="H24:H34">SUM(D24:G24)</f>
        <v>2265.3999999999996</v>
      </c>
      <c r="I24" s="20">
        <f t="shared" si="3"/>
        <v>0.05645802065860335</v>
      </c>
      <c r="J24" s="20">
        <f t="shared" si="4"/>
        <v>0.38134545775580475</v>
      </c>
      <c r="K24" s="20">
        <f t="shared" si="5"/>
        <v>0</v>
      </c>
      <c r="L24" s="20">
        <f t="shared" si="6"/>
        <v>0.562196521585592</v>
      </c>
    </row>
    <row r="25" spans="1:12" ht="11.25">
      <c r="A25" s="2">
        <v>3</v>
      </c>
      <c r="B25" s="2" t="s">
        <v>25</v>
      </c>
      <c r="C25" s="2" t="s">
        <v>46</v>
      </c>
      <c r="D25" s="17">
        <v>927.1</v>
      </c>
      <c r="E25" s="17">
        <v>5224.1</v>
      </c>
      <c r="F25" s="17">
        <v>83.8</v>
      </c>
      <c r="G25" s="17">
        <v>5824.8</v>
      </c>
      <c r="H25" s="17">
        <f t="shared" si="7"/>
        <v>12059.800000000001</v>
      </c>
      <c r="I25" s="20">
        <f t="shared" si="3"/>
        <v>0.07687523839532993</v>
      </c>
      <c r="J25" s="20">
        <f t="shared" si="4"/>
        <v>0.4331829715252326</v>
      </c>
      <c r="K25" s="20">
        <f t="shared" si="5"/>
        <v>0.006948705617008573</v>
      </c>
      <c r="L25" s="20">
        <f t="shared" si="6"/>
        <v>0.4829930844624289</v>
      </c>
    </row>
    <row r="26" spans="1:12" ht="11.25">
      <c r="A26" s="2">
        <v>4</v>
      </c>
      <c r="B26" s="2" t="s">
        <v>23</v>
      </c>
      <c r="C26" s="2" t="s">
        <v>45</v>
      </c>
      <c r="D26" s="17">
        <v>136</v>
      </c>
      <c r="E26" s="17">
        <v>513</v>
      </c>
      <c r="F26" s="17">
        <v>0</v>
      </c>
      <c r="G26" s="17">
        <v>1512.6</v>
      </c>
      <c r="H26" s="17">
        <f t="shared" si="7"/>
        <v>2161.6</v>
      </c>
      <c r="I26" s="20">
        <f t="shared" si="3"/>
        <v>0.06291635825314582</v>
      </c>
      <c r="J26" s="20">
        <f t="shared" si="4"/>
        <v>0.2373242042931162</v>
      </c>
      <c r="K26" s="20">
        <f t="shared" si="5"/>
        <v>0</v>
      </c>
      <c r="L26" s="20">
        <f t="shared" si="6"/>
        <v>0.6997594374537379</v>
      </c>
    </row>
    <row r="27" spans="1:12" ht="11.25">
      <c r="A27" s="2">
        <v>5</v>
      </c>
      <c r="B27" s="2" t="s">
        <v>24</v>
      </c>
      <c r="C27" s="2" t="s">
        <v>53</v>
      </c>
      <c r="D27" s="17">
        <v>146.3</v>
      </c>
      <c r="E27" s="17">
        <v>572</v>
      </c>
      <c r="F27" s="17">
        <v>0</v>
      </c>
      <c r="G27" s="17">
        <v>2713.8</v>
      </c>
      <c r="H27" s="17">
        <f t="shared" si="7"/>
        <v>3432.1000000000004</v>
      </c>
      <c r="I27" s="20">
        <f t="shared" si="3"/>
        <v>0.04262696308382623</v>
      </c>
      <c r="J27" s="20">
        <f t="shared" si="4"/>
        <v>0.16666181055330553</v>
      </c>
      <c r="K27" s="20">
        <f t="shared" si="5"/>
        <v>0</v>
      </c>
      <c r="L27" s="20">
        <f t="shared" si="6"/>
        <v>0.7907112263628682</v>
      </c>
    </row>
    <row r="28" spans="1:12" ht="11.25">
      <c r="A28" s="2">
        <v>6</v>
      </c>
      <c r="B28" s="2" t="s">
        <v>26</v>
      </c>
      <c r="C28" s="2" t="s">
        <v>47</v>
      </c>
      <c r="D28" s="17">
        <v>86.8</v>
      </c>
      <c r="E28" s="17">
        <v>370.6</v>
      </c>
      <c r="F28" s="17">
        <v>0.3</v>
      </c>
      <c r="G28" s="17">
        <v>1025.3</v>
      </c>
      <c r="H28" s="17">
        <f t="shared" si="7"/>
        <v>1483</v>
      </c>
      <c r="I28" s="20">
        <f t="shared" si="3"/>
        <v>0.05853000674308833</v>
      </c>
      <c r="J28" s="20">
        <f t="shared" si="4"/>
        <v>0.24989885367498316</v>
      </c>
      <c r="K28" s="20">
        <f t="shared" si="5"/>
        <v>0.00020229265003371543</v>
      </c>
      <c r="L28" s="20">
        <f t="shared" si="6"/>
        <v>0.6913688469318948</v>
      </c>
    </row>
    <row r="29" spans="1:12" ht="11.25">
      <c r="A29" s="2">
        <v>7</v>
      </c>
      <c r="B29" s="2" t="s">
        <v>27</v>
      </c>
      <c r="C29" s="2" t="s">
        <v>48</v>
      </c>
      <c r="D29" s="17">
        <v>415</v>
      </c>
      <c r="E29" s="17">
        <v>396.2</v>
      </c>
      <c r="F29" s="17">
        <v>4.3</v>
      </c>
      <c r="G29" s="17">
        <v>1459.7</v>
      </c>
      <c r="H29" s="17">
        <f t="shared" si="7"/>
        <v>2275.2</v>
      </c>
      <c r="I29" s="20">
        <f t="shared" si="3"/>
        <v>0.182401547116737</v>
      </c>
      <c r="J29" s="20">
        <f t="shared" si="4"/>
        <v>0.17413853727144868</v>
      </c>
      <c r="K29" s="20">
        <f t="shared" si="5"/>
        <v>0.001889943741209564</v>
      </c>
      <c r="L29" s="20">
        <f t="shared" si="6"/>
        <v>0.6415699718706048</v>
      </c>
    </row>
    <row r="30" spans="1:12" ht="11.25">
      <c r="A30" s="2">
        <v>8</v>
      </c>
      <c r="B30" s="2" t="s">
        <v>28</v>
      </c>
      <c r="C30" s="2" t="s">
        <v>49</v>
      </c>
      <c r="D30" s="17">
        <v>89.8</v>
      </c>
      <c r="E30" s="17">
        <v>445.9</v>
      </c>
      <c r="F30" s="17">
        <v>8.3</v>
      </c>
      <c r="G30" s="17">
        <v>778.3</v>
      </c>
      <c r="H30" s="17">
        <f t="shared" si="7"/>
        <v>1322.2999999999997</v>
      </c>
      <c r="I30" s="20">
        <f t="shared" si="3"/>
        <v>0.06791197156469789</v>
      </c>
      <c r="J30" s="20">
        <f t="shared" si="4"/>
        <v>0.3372154579142404</v>
      </c>
      <c r="K30" s="20">
        <f t="shared" si="5"/>
        <v>0.006276941692505485</v>
      </c>
      <c r="L30" s="20">
        <f t="shared" si="6"/>
        <v>0.5885956288285564</v>
      </c>
    </row>
    <row r="31" spans="1:12" ht="11.25">
      <c r="A31" s="2">
        <v>9</v>
      </c>
      <c r="B31" s="2" t="s">
        <v>29</v>
      </c>
      <c r="C31" s="2" t="s">
        <v>50</v>
      </c>
      <c r="D31" s="17">
        <v>377.9</v>
      </c>
      <c r="E31" s="17">
        <v>554</v>
      </c>
      <c r="F31" s="17">
        <v>0</v>
      </c>
      <c r="G31" s="17">
        <v>1570.9</v>
      </c>
      <c r="H31" s="17">
        <f t="shared" si="7"/>
        <v>2502.8</v>
      </c>
      <c r="I31" s="20">
        <f t="shared" si="3"/>
        <v>0.15099089020297266</v>
      </c>
      <c r="J31" s="20">
        <f t="shared" si="4"/>
        <v>0.22135208566405623</v>
      </c>
      <c r="K31" s="20">
        <f t="shared" si="5"/>
        <v>0</v>
      </c>
      <c r="L31" s="20">
        <f t="shared" si="6"/>
        <v>0.6276570241329711</v>
      </c>
    </row>
    <row r="32" spans="1:12" ht="11.25">
      <c r="A32" s="2">
        <v>10</v>
      </c>
      <c r="B32" s="2" t="s">
        <v>30</v>
      </c>
      <c r="C32" s="2" t="s">
        <v>51</v>
      </c>
      <c r="D32" s="17">
        <v>61.7</v>
      </c>
      <c r="E32" s="17">
        <v>1092.1</v>
      </c>
      <c r="F32" s="17">
        <v>60</v>
      </c>
      <c r="G32" s="17">
        <v>782.7</v>
      </c>
      <c r="H32" s="17">
        <f t="shared" si="7"/>
        <v>1996.5</v>
      </c>
      <c r="I32" s="20">
        <f t="shared" si="3"/>
        <v>0.030904082143751566</v>
      </c>
      <c r="J32" s="20">
        <f t="shared" si="4"/>
        <v>0.547007262709742</v>
      </c>
      <c r="K32" s="20">
        <f t="shared" si="5"/>
        <v>0.03005259203606311</v>
      </c>
      <c r="L32" s="20">
        <f t="shared" si="6"/>
        <v>0.3920360631104433</v>
      </c>
    </row>
    <row r="33" spans="1:12" ht="11.25">
      <c r="A33" s="2">
        <v>11</v>
      </c>
      <c r="B33" s="2" t="s">
        <v>31</v>
      </c>
      <c r="C33" s="2" t="s">
        <v>32</v>
      </c>
      <c r="D33" s="17">
        <v>204.5</v>
      </c>
      <c r="E33" s="17">
        <v>1127</v>
      </c>
      <c r="F33" s="17">
        <v>20</v>
      </c>
      <c r="G33" s="17">
        <v>1361.5</v>
      </c>
      <c r="H33" s="17">
        <f t="shared" si="7"/>
        <v>2713</v>
      </c>
      <c r="I33" s="20">
        <f t="shared" si="3"/>
        <v>0.07537781054183561</v>
      </c>
      <c r="J33" s="20">
        <f t="shared" si="4"/>
        <v>0.41540729819388134</v>
      </c>
      <c r="K33" s="20">
        <f t="shared" si="5"/>
        <v>0.007371913011426466</v>
      </c>
      <c r="L33" s="20">
        <f t="shared" si="6"/>
        <v>0.5018429782528566</v>
      </c>
    </row>
    <row r="34" spans="1:12" ht="11.25">
      <c r="A34" s="2">
        <v>12</v>
      </c>
      <c r="B34" s="2" t="s">
        <v>33</v>
      </c>
      <c r="C34" s="2" t="s">
        <v>52</v>
      </c>
      <c r="D34" s="17">
        <v>178.9</v>
      </c>
      <c r="E34" s="17">
        <v>636.7</v>
      </c>
      <c r="F34" s="17">
        <v>28.2</v>
      </c>
      <c r="G34" s="17">
        <v>1375.4</v>
      </c>
      <c r="H34" s="17">
        <f t="shared" si="7"/>
        <v>2219.2000000000003</v>
      </c>
      <c r="I34" s="20">
        <f t="shared" si="3"/>
        <v>0.08061463590483056</v>
      </c>
      <c r="J34" s="20">
        <f t="shared" si="4"/>
        <v>0.28690519105984136</v>
      </c>
      <c r="K34" s="20">
        <f t="shared" si="5"/>
        <v>0.012707281903388606</v>
      </c>
      <c r="L34" s="20">
        <f t="shared" si="6"/>
        <v>0.6197728911319395</v>
      </c>
    </row>
    <row r="35" spans="1:12" ht="11.25">
      <c r="A35" s="2">
        <v>13</v>
      </c>
      <c r="B35" s="2" t="s">
        <v>77</v>
      </c>
      <c r="D35" s="17">
        <f>SUM(D23:D34)</f>
        <v>3170.5</v>
      </c>
      <c r="E35" s="17">
        <f>SUM(E23:E34)</f>
        <v>12789.700000000003</v>
      </c>
      <c r="F35" s="17">
        <f>SUM(F23:F34)</f>
        <v>204.89999999999998</v>
      </c>
      <c r="G35" s="17">
        <f>SUM(G23:G34)</f>
        <v>21514.400000000005</v>
      </c>
      <c r="H35" s="17">
        <f>SUM(H23:H34)</f>
        <v>37679.5</v>
      </c>
      <c r="I35" s="20">
        <f t="shared" si="3"/>
        <v>0.0841438978755026</v>
      </c>
      <c r="J35" s="20">
        <f t="shared" si="4"/>
        <v>0.33943390968563814</v>
      </c>
      <c r="K35" s="20">
        <f t="shared" si="5"/>
        <v>0.00543797024907443</v>
      </c>
      <c r="L35" s="20">
        <f t="shared" si="6"/>
        <v>0.5709842221897851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FUQUA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VANDERWEIDE</dc:creator>
  <cp:keywords/>
  <dc:description/>
  <cp:lastModifiedBy>Robert A. Shiltz</cp:lastModifiedBy>
  <cp:lastPrinted>2004-05-22T15:55:41Z</cp:lastPrinted>
  <dcterms:created xsi:type="dcterms:W3CDTF">2004-03-10T13:34:06Z</dcterms:created>
  <dcterms:modified xsi:type="dcterms:W3CDTF">2004-07-28T15:46:55Z</dcterms:modified>
  <cp:category/>
  <cp:version/>
  <cp:contentType/>
  <cp:contentStatus/>
</cp:coreProperties>
</file>