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1055" windowHeight="6300" tabRatio="831" activeTab="0"/>
  </bookViews>
  <sheets>
    <sheet name="TY BA" sheetId="1" r:id="rId1"/>
    <sheet name="Normalized BA" sheetId="2" r:id="rId2"/>
    <sheet name="Prod and Sold" sheetId="3" r:id="rId3"/>
    <sheet name="Plant" sheetId="4" r:id="rId4"/>
    <sheet name="Depreciation" sheetId="5" r:id="rId5"/>
    <sheet name="Miles" sheetId="6" r:id="rId6"/>
    <sheet name="Factors" sheetId="7" r:id="rId7"/>
    <sheet name="Expenses" sheetId="8" r:id="rId8"/>
    <sheet name="whse rate" sheetId="9" r:id="rId9"/>
    <sheet name="retail" sheetId="10" r:id="rId10"/>
    <sheet name="2000 min" sheetId="11" r:id="rId11"/>
    <sheet name="verify" sheetId="12" r:id="rId12"/>
    <sheet name="impact" sheetId="13" r:id="rId13"/>
  </sheets>
  <definedNames>
    <definedName name="_xlnm.Print_Area" localSheetId="10">'2000 min'!$A$1:$G$17</definedName>
    <definedName name="_xlnm.Print_Area" localSheetId="4">'Depreciation'!$A$1:$E$22</definedName>
    <definedName name="_xlnm.Print_Area" localSheetId="7">'Expenses'!$A$1:$E$34</definedName>
    <definedName name="_xlnm.Print_Area" localSheetId="6">'Factors'!$A$1:$E$18</definedName>
    <definedName name="_xlnm.Print_Area" localSheetId="12">'impact'!$A$1:$E$23</definedName>
    <definedName name="_xlnm.Print_Area" localSheetId="5">'Miles'!$A$1:$K$62</definedName>
    <definedName name="_xlnm.Print_Area" localSheetId="1">'Normalized BA'!$A$1:$H$26</definedName>
    <definedName name="_xlnm.Print_Area" localSheetId="3">'Plant'!$A$1:$E$29</definedName>
    <definedName name="_xlnm.Print_Area" localSheetId="2">'Prod and Sold'!$A$1:$C$9</definedName>
    <definedName name="_xlnm.Print_Area" localSheetId="9">'retail'!$A$1:$E$20</definedName>
    <definedName name="_xlnm.Print_Area" localSheetId="0">'TY BA'!$A$1:$H$25</definedName>
    <definedName name="_xlnm.Print_Area" localSheetId="11">'verify'!$A$1:$E$13</definedName>
    <definedName name="_xlnm.Print_Area" localSheetId="8">'whse rate'!$A$1:$E$23</definedName>
  </definedNames>
  <calcPr fullCalcOnLoad="1"/>
</workbook>
</file>

<file path=xl/sharedStrings.xml><?xml version="1.0" encoding="utf-8"?>
<sst xmlns="http://schemas.openxmlformats.org/spreadsheetml/2006/main" count="342" uniqueCount="197">
  <si>
    <t>OHIO COUNTY WATER DISTRICT</t>
  </si>
  <si>
    <t>Expense</t>
  </si>
  <si>
    <t>Total</t>
  </si>
  <si>
    <t>Pumping and Treatment</t>
  </si>
  <si>
    <t>Transmission and Distribution</t>
  </si>
  <si>
    <t>Customer</t>
  </si>
  <si>
    <t xml:space="preserve">Salaries and Wages </t>
  </si>
  <si>
    <t>Employee Pension and Benefits</t>
  </si>
  <si>
    <t>Payroll Taxes</t>
  </si>
  <si>
    <t>Purchased Power</t>
  </si>
  <si>
    <t>Chemicals</t>
  </si>
  <si>
    <t>Materials and Supplies</t>
  </si>
  <si>
    <t>Contractual Services Other</t>
  </si>
  <si>
    <t>Rents</t>
  </si>
  <si>
    <t>Transportation Expense</t>
  </si>
  <si>
    <t>Bad Debts</t>
  </si>
  <si>
    <t>Interest Expense - Deposits</t>
  </si>
  <si>
    <t>Miscellaneous</t>
  </si>
  <si>
    <t>Subtotal Less Commodity</t>
  </si>
  <si>
    <t>Percentage</t>
  </si>
  <si>
    <t>Administrative and General</t>
  </si>
  <si>
    <t>Pensions and  Benefits</t>
  </si>
  <si>
    <t>Insurance</t>
  </si>
  <si>
    <t>Contractual Services Eng., Acct., Legal</t>
  </si>
  <si>
    <t>Amortization</t>
  </si>
  <si>
    <t>Subtotal</t>
  </si>
  <si>
    <t>Depreciation</t>
  </si>
  <si>
    <t>Debt Service plus Coverage at 1.2</t>
  </si>
  <si>
    <t>Total  Expenses</t>
  </si>
  <si>
    <t xml:space="preserve">Total </t>
  </si>
  <si>
    <t>Allocation Factor</t>
  </si>
  <si>
    <t>Amount to Wholesale</t>
  </si>
  <si>
    <t>Rate to Wholesale</t>
  </si>
  <si>
    <t>Commodity</t>
  </si>
  <si>
    <t>Purchased Power*</t>
  </si>
  <si>
    <t>Operation and Maintenance</t>
  </si>
  <si>
    <t>Debt Service</t>
  </si>
  <si>
    <t>Pumping and Treatment*</t>
  </si>
  <si>
    <t>Transmission and Distribution*</t>
  </si>
  <si>
    <t>Total Expenses</t>
  </si>
  <si>
    <t xml:space="preserve">Demand </t>
  </si>
  <si>
    <t>General Water Cost to Retail</t>
  </si>
  <si>
    <t>Less:</t>
  </si>
  <si>
    <t xml:space="preserve"> Forfeited Discounts</t>
  </si>
  <si>
    <t>Misc. Service Revenues</t>
  </si>
  <si>
    <t>Other Water Revenues</t>
  </si>
  <si>
    <t>Leak Adjustment Revenue</t>
  </si>
  <si>
    <t>Revenue Required from Retail Rates</t>
  </si>
  <si>
    <t>SUMMARY</t>
  </si>
  <si>
    <t>Revenue From Retail Rates</t>
  </si>
  <si>
    <t>Other Revenue</t>
  </si>
  <si>
    <t>Wholesale Revenue</t>
  </si>
  <si>
    <t>First 2,000</t>
  </si>
  <si>
    <t>Next 18,000</t>
  </si>
  <si>
    <t>Next 30,000</t>
  </si>
  <si>
    <t>Next 50,000</t>
  </si>
  <si>
    <t>Over 100,000</t>
  </si>
  <si>
    <t>Actual  Water Sales</t>
  </si>
  <si>
    <t>Thousand Gallons</t>
  </si>
  <si>
    <t>Weighted Sales for  Demand</t>
  </si>
  <si>
    <t>Allocation of Costs</t>
  </si>
  <si>
    <t>Demand</t>
  </si>
  <si>
    <t>Number of Bills</t>
  </si>
  <si>
    <t>Proposed Rates</t>
  </si>
  <si>
    <t>Bills</t>
  </si>
  <si>
    <t>Gallons</t>
  </si>
  <si>
    <t>Rate</t>
  </si>
  <si>
    <t>Revenue</t>
  </si>
  <si>
    <t>First    2,000</t>
  </si>
  <si>
    <t>Next  18,000</t>
  </si>
  <si>
    <t>Next  30,000</t>
  </si>
  <si>
    <t>Next  50,000</t>
  </si>
  <si>
    <t xml:space="preserve">Wholesale </t>
  </si>
  <si>
    <t>Leaks</t>
  </si>
  <si>
    <t>Total Revenue</t>
  </si>
  <si>
    <t>Usage</t>
  </si>
  <si>
    <t>Current Cost</t>
  </si>
  <si>
    <t xml:space="preserve">Increase </t>
  </si>
  <si>
    <t>COMPARISON OF WHOLESALE AND LEAK ADJUSTMENT RATE</t>
  </si>
  <si>
    <t>Per 1,000 Gallons</t>
  </si>
  <si>
    <t>Current Rate</t>
  </si>
  <si>
    <t>Revised Rate</t>
  </si>
  <si>
    <t xml:space="preserve">ALLOCATION OF EXPENSES </t>
  </si>
  <si>
    <t>TEST YEAR BILLING ANALYSIS</t>
  </si>
  <si>
    <t>USAGE TABLE</t>
  </si>
  <si>
    <t>REVENUE TABLE</t>
  </si>
  <si>
    <t>Leak Adjustments</t>
  </si>
  <si>
    <t>Wholesale Sales</t>
  </si>
  <si>
    <t>Beaver Dam</t>
  </si>
  <si>
    <t>Fordsville</t>
  </si>
  <si>
    <t>North McLean</t>
  </si>
  <si>
    <t>Total Wholesale</t>
  </si>
  <si>
    <t>Total Test Year Revenue</t>
  </si>
  <si>
    <t xml:space="preserve">NORMALIZED TEST YEAR BILLING ANALYSIS  </t>
  </si>
  <si>
    <t>Total Normalized Revenue</t>
  </si>
  <si>
    <t>Note:  Added 65 new customers at an average usage of 4,983 gallons per month</t>
  </si>
  <si>
    <t>TOTAL WATER PRODUCED AND SOLD</t>
  </si>
  <si>
    <t>Total Water Produced</t>
  </si>
  <si>
    <t>Sales to Retail</t>
  </si>
  <si>
    <t>Sales to Wholesale</t>
  </si>
  <si>
    <t>Plant Use, Backwash, Flushing</t>
  </si>
  <si>
    <t>Total Accounted for Water</t>
  </si>
  <si>
    <t>Line Loss</t>
  </si>
  <si>
    <t>ALLOCATION OF PLANT VALUE</t>
  </si>
  <si>
    <t>Transmission and  Distribution</t>
  </si>
  <si>
    <t>Land and Land Rights</t>
  </si>
  <si>
    <t>Structures and Improvements</t>
  </si>
  <si>
    <t>Collecting and Impounding Res.</t>
  </si>
  <si>
    <t>Lakes, Rivers, and Other</t>
  </si>
  <si>
    <t>Pumping Equipment</t>
  </si>
  <si>
    <t>Treatment Equipment</t>
  </si>
  <si>
    <t>Reservoirs and Standpipes</t>
  </si>
  <si>
    <t>Transmission and Dist. Mains</t>
  </si>
  <si>
    <t>Meters and Installations</t>
  </si>
  <si>
    <t>Hydrants</t>
  </si>
  <si>
    <t>Other Plant and Misc.</t>
  </si>
  <si>
    <t xml:space="preserve">Subtotal </t>
  </si>
  <si>
    <t>General Plant</t>
  </si>
  <si>
    <t>Organization</t>
  </si>
  <si>
    <t>Franchises</t>
  </si>
  <si>
    <t>Office Furniture and Equip.</t>
  </si>
  <si>
    <t>Transportation Equip.</t>
  </si>
  <si>
    <t>Power Operated Equip.</t>
  </si>
  <si>
    <t>Communication Equip</t>
  </si>
  <si>
    <t>Miscellaneous  Equip.</t>
  </si>
  <si>
    <t>Numbers taken from 2001 Annual Report and percentages used to allocate debt service.</t>
  </si>
  <si>
    <t>ALLOCATION OF DEPRECIATION</t>
  </si>
  <si>
    <t>Tank Painting</t>
  </si>
  <si>
    <t>Base Period Acquisitions</t>
  </si>
  <si>
    <t>Organization and Franchises</t>
  </si>
  <si>
    <t>North McLean County Water District</t>
  </si>
  <si>
    <t>Primary System, Ft</t>
  </si>
  <si>
    <t>Secondary System, Ft</t>
  </si>
  <si>
    <t>Miles</t>
  </si>
  <si>
    <t>IDM</t>
  </si>
  <si>
    <t>Grayson County Water District</t>
  </si>
  <si>
    <t>TOTAL SHARED MAIN</t>
  </si>
  <si>
    <t>WHOLESALE ALLOCATION FACTORS</t>
  </si>
  <si>
    <t>Plant Use Percentage</t>
  </si>
  <si>
    <t>Line Loss Percentage</t>
  </si>
  <si>
    <t>Plant Use and Line Loss   (1)</t>
  </si>
  <si>
    <t>Ohio County Production  Multiplier</t>
  </si>
  <si>
    <t>1 / 1 - 0.3190</t>
  </si>
  <si>
    <t>Wholesale Inch Mile Ratio</t>
  </si>
  <si>
    <t>Wholesale Share of Line Loss</t>
  </si>
  <si>
    <t>.3830 x .0997</t>
  </si>
  <si>
    <t>Joint Share of Plant Use and Line Loss</t>
  </si>
  <si>
    <t>Wholesale Production Multiplier</t>
  </si>
  <si>
    <t>Production Allocation Factor</t>
  </si>
  <si>
    <t>x</t>
  </si>
  <si>
    <t>Transmission Factor</t>
  </si>
  <si>
    <t>Commodity Factor</t>
  </si>
  <si>
    <t>(1) Due to main extensions and other projects Ohio County used a large amount of water for flushing.  Normal plant use is between 3 and 5 percent.  For purposes of allocating plant use to the wholesale customers 5 percent of total water produced has been used.</t>
  </si>
  <si>
    <t>First   2,000</t>
  </si>
  <si>
    <t>Current Rates</t>
  </si>
  <si>
    <t>Allocation Factors</t>
  </si>
  <si>
    <t>Because the  plant use percentage of 21.13 is considered above "normal" only 5 percent has been allocated to the wholesale customers.</t>
  </si>
  <si>
    <t>WHOLESALE RATE</t>
  </si>
  <si>
    <t xml:space="preserve">ALLOCATION OF RETAIL COSTS </t>
  </si>
  <si>
    <t>Total Revenue Requested</t>
  </si>
  <si>
    <t xml:space="preserve">CALCULATION OF PROPOSED RATES </t>
  </si>
  <si>
    <t xml:space="preserve">VERIFICATION OF RATES </t>
  </si>
  <si>
    <t>Cost of Service Rates</t>
  </si>
  <si>
    <t>Cost at Proposed</t>
  </si>
  <si>
    <t>WHOLESALE AND LEAK ADJUSTMENT RATES</t>
  </si>
  <si>
    <t>PRIMARY IDM</t>
  </si>
  <si>
    <t>SECONDARY  IDM</t>
  </si>
  <si>
    <t>TOTAL IDM</t>
  </si>
  <si>
    <t>TOTAL MAINS</t>
  </si>
  <si>
    <t>CURRENT INVENTORY WITH IMPROVEMENTS</t>
  </si>
  <si>
    <t>PREVIOUS PSC REPORT AND IMPROVEMENTS</t>
  </si>
  <si>
    <t>LENGTH, FT.</t>
  </si>
  <si>
    <t>LENGTH, MI.</t>
  </si>
  <si>
    <t>PERCENT INCREASE</t>
  </si>
  <si>
    <t>Year 2002
MILES     FEET</t>
  </si>
  <si>
    <t>Series III, Feet
PROPOSED</t>
  </si>
  <si>
    <t>Total, Feet</t>
  </si>
  <si>
    <t>RATIOS OF JOINTLY USED MAINS TO TOTAL MAINS</t>
  </si>
  <si>
    <t>Ratio</t>
  </si>
  <si>
    <t>Shared Mains</t>
  </si>
  <si>
    <t>Total Mains</t>
  </si>
  <si>
    <t>PRIMARY &amp; SECONDARY</t>
  </si>
  <si>
    <t>PRIMARY MAINS ONLY</t>
  </si>
  <si>
    <t>PRIMARY MAINS ONLY LESS GRAYSON</t>
  </si>
  <si>
    <t>PRIMARY MAINS ONLY LESS GRAYSON &amp; 3" &amp; SMALLER</t>
  </si>
  <si>
    <t>PRIMARY MAINS ONLY LESS 3" &amp; SMALLER</t>
  </si>
  <si>
    <t>Secondary mains  have been removed from the inch mile ratio calculation as have primary  mains 3" and smaller.  Grayson County is not purchasing water at this time therefore, their miles have not been included.  Proposed new lines are also not included as they have no direct benefit to the wholesale customers.  Wholesale inch mile ratio used is .3013.</t>
  </si>
  <si>
    <t>900.72 / 2,989.86</t>
  </si>
  <si>
    <t xml:space="preserve"> Interest Income</t>
  </si>
  <si>
    <t>Interest Income</t>
  </si>
  <si>
    <t>Less Interest Income</t>
  </si>
  <si>
    <t>Cost of Service Rate</t>
  </si>
  <si>
    <t>Proposed Rate</t>
  </si>
  <si>
    <t>.0300 + .0500</t>
  </si>
  <si>
    <t>1 / 1 - .0800</t>
  </si>
  <si>
    <t>Debt Service allocated based on 2001 debt service shown in Annual Report.  Utility requesting only 68.5 percent of depreciation be included for rate making purposes.</t>
  </si>
  <si>
    <t>* For purposes of allocating debt service to the wholesale customers, $160,295 has been deducted from transmission and distribution which includes interest and debt service on the new project which does not directly benefit the wholesale customers.  Debt service on pumping and treatment has also been decreased by $82,500 for service that may not benefit the wholesale customer.  The allocation of purchased power has been reduced  because part of the system serving wholesale customers is gravity fed. ($138,022 - .3017) * .2234 or $138,021-$41,641 = $96,381   $96,381*.2234 = $21,531.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</si>
</sst>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0_);_(* \(#,##0.0000\);_(* &quot;-&quot;??_);_(@_)"/>
    <numFmt numFmtId="167" formatCode="0.0"/>
    <numFmt numFmtId="168" formatCode="_(* #,##0.0_);_(* \(#,##0.0\);_(* &quot;-&quot;??_);_(@_)"/>
    <numFmt numFmtId="169" formatCode="0.0000"/>
    <numFmt numFmtId="170" formatCode="_(* #,##0.0_);_(* \(#,##0.0\);_(* &quot;-&quot;?_);_(@_)"/>
    <numFmt numFmtId="171" formatCode="_(* #,##0.000_);_(* \(#,##0.000\);_(* &quot;-&quot;??_);_(@_)"/>
    <numFmt numFmtId="172" formatCode="_(&quot;$&quot;* #,##0.0_);_(&quot;$&quot;* \(#,##0.0\);_(&quot;$&quot;* &quot;-&quot;??_);_(@_)"/>
    <numFmt numFmtId="173" formatCode="_(* #,##0.0000_);_(* \(#,##0.0000\);_(* &quot;-&quot;????_);_(@_)"/>
    <numFmt numFmtId="174" formatCode="0.0%"/>
    <numFmt numFmtId="175" formatCode="0_);\(0\)"/>
  </numFmts>
  <fonts count="4">
    <font>
      <sz val="10"/>
      <name val="Arial"/>
      <family val="0"/>
    </font>
    <font>
      <sz val="8"/>
      <name val="Arial"/>
      <family val="2"/>
    </font>
    <font>
      <b/>
      <sz val="10"/>
      <name val="Arial"/>
      <family val="2"/>
    </font>
    <font>
      <b/>
      <i/>
      <sz val="10"/>
      <name val="Arial"/>
      <family val="2"/>
    </font>
  </fonts>
  <fills count="5">
    <fill>
      <patternFill/>
    </fill>
    <fill>
      <patternFill patternType="gray125"/>
    </fill>
    <fill>
      <patternFill patternType="solid">
        <fgColor indexed="21"/>
        <bgColor indexed="64"/>
      </patternFill>
    </fill>
    <fill>
      <patternFill patternType="solid">
        <fgColor indexed="42"/>
        <bgColor indexed="64"/>
      </patternFill>
    </fill>
    <fill>
      <patternFill patternType="solid">
        <fgColor indexed="43"/>
        <bgColor indexed="64"/>
      </patternFill>
    </fill>
  </fills>
  <borders count="8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color indexed="22"/>
      </bottom>
    </border>
    <border>
      <left style="medium"/>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top>
        <color indexed="63"/>
      </top>
      <bottom style="thin">
        <color indexed="22"/>
      </bottom>
    </border>
    <border>
      <left style="medium"/>
      <right>
        <color indexed="63"/>
      </right>
      <top style="thin">
        <color indexed="22"/>
      </top>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style="medium"/>
      <top style="thin">
        <color indexed="22"/>
      </top>
      <bottom style="thin">
        <color indexed="22"/>
      </bottom>
    </border>
    <border>
      <left style="medium"/>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medium"/>
      <top style="thin">
        <color indexed="22"/>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2"/>
      </left>
      <right>
        <color indexed="63"/>
      </right>
      <top>
        <color indexed="63"/>
      </top>
      <bottom style="thin">
        <color indexed="22"/>
      </bottom>
    </border>
    <border>
      <left style="medium"/>
      <right style="thin">
        <color indexed="22"/>
      </right>
      <top style="thin">
        <color indexed="22"/>
      </top>
      <bottom style="double"/>
    </border>
    <border>
      <left style="thin">
        <color indexed="22"/>
      </left>
      <right style="thin">
        <color indexed="22"/>
      </right>
      <top style="thin">
        <color indexed="22"/>
      </top>
      <bottom style="double"/>
    </border>
    <border>
      <left style="thin">
        <color indexed="22"/>
      </left>
      <right>
        <color indexed="63"/>
      </right>
      <top style="thin">
        <color indexed="22"/>
      </top>
      <bottom style="double"/>
    </border>
    <border>
      <left style="thin">
        <color indexed="22"/>
      </left>
      <right style="medium"/>
      <top style="thin">
        <color indexed="22"/>
      </top>
      <bottom style="double"/>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medium"/>
      <right style="thin">
        <color indexed="22"/>
      </right>
      <top>
        <color indexed="63"/>
      </top>
      <bottom style="medium"/>
    </border>
    <border>
      <left style="thin">
        <color indexed="22"/>
      </left>
      <right style="thin">
        <color indexed="22"/>
      </right>
      <top>
        <color indexed="63"/>
      </top>
      <bottom style="medium"/>
    </border>
    <border>
      <left style="thin">
        <color indexed="22"/>
      </left>
      <right>
        <color indexed="63"/>
      </right>
      <top>
        <color indexed="63"/>
      </top>
      <bottom style="medium"/>
    </border>
    <border>
      <left style="thin">
        <color indexed="22"/>
      </left>
      <right style="medium"/>
      <top>
        <color indexed="63"/>
      </top>
      <bottom style="medium"/>
    </border>
    <border>
      <left style="medium"/>
      <right>
        <color indexed="63"/>
      </right>
      <top style="thin">
        <color indexed="22"/>
      </top>
      <bottom style="double"/>
    </border>
    <border>
      <left style="thin"/>
      <right style="thin">
        <color indexed="22"/>
      </right>
      <top style="thin">
        <color indexed="22"/>
      </top>
      <bottom style="double"/>
    </border>
    <border>
      <left style="thin">
        <color indexed="22"/>
      </left>
      <right style="thin"/>
      <top style="thin">
        <color indexed="22"/>
      </top>
      <bottom style="double"/>
    </border>
    <border>
      <left>
        <color indexed="63"/>
      </left>
      <right style="thin">
        <color indexed="22"/>
      </right>
      <top style="thin">
        <color indexed="22"/>
      </top>
      <bottom style="double"/>
    </border>
    <border>
      <left style="medium"/>
      <right style="medium"/>
      <top style="medium"/>
      <bottom style="double"/>
    </border>
    <border>
      <left style="thin">
        <color indexed="22"/>
      </left>
      <right style="thin">
        <color indexed="22"/>
      </right>
      <top style="medium"/>
      <bottom style="double"/>
    </border>
    <border>
      <left style="thin">
        <color indexed="22"/>
      </left>
      <right style="medium"/>
      <top style="medium"/>
      <bottom style="double"/>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color indexed="63"/>
      </left>
      <right style="thin">
        <color indexed="22"/>
      </right>
      <top>
        <color indexed="63"/>
      </top>
      <bottom style="thin">
        <color indexed="22"/>
      </bottom>
    </border>
    <border>
      <left style="medium"/>
      <right style="medium"/>
      <top>
        <color indexed="63"/>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medium"/>
      <right style="thin"/>
      <top style="thin">
        <color indexed="22"/>
      </top>
      <bottom style="thin"/>
    </border>
    <border>
      <left style="thin"/>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style="medium"/>
      <right style="medium"/>
      <top style="thin">
        <color indexed="22"/>
      </top>
      <bottom style="thin"/>
    </border>
    <border>
      <left style="thin"/>
      <right style="thin">
        <color indexed="22"/>
      </right>
      <top>
        <color indexed="63"/>
      </top>
      <bottom style="medium"/>
    </border>
    <border>
      <left style="thin">
        <color indexed="22"/>
      </left>
      <right style="thin"/>
      <top>
        <color indexed="63"/>
      </top>
      <bottom style="medium"/>
    </border>
    <border>
      <left>
        <color indexed="63"/>
      </left>
      <right style="thin">
        <color indexed="22"/>
      </right>
      <top>
        <color indexed="63"/>
      </top>
      <bottom style="medium"/>
    </border>
    <border>
      <left style="medium"/>
      <right style="medium"/>
      <top>
        <color indexed="63"/>
      </top>
      <bottom style="medium"/>
    </border>
    <border>
      <left style="thin">
        <color indexed="22"/>
      </left>
      <right style="medium"/>
      <top style="thin">
        <color indexed="22"/>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color indexed="22"/>
      </right>
      <top style="medium"/>
      <bottom style="double"/>
    </border>
    <border>
      <left style="medium"/>
      <right style="thin">
        <color indexed="22"/>
      </right>
      <top style="medium"/>
      <bottom style="thin">
        <color indexed="22"/>
      </bottom>
    </border>
    <border>
      <left style="thin">
        <color indexed="22"/>
      </left>
      <right style="thin">
        <color indexed="22"/>
      </right>
      <top style="medium"/>
      <bottom style="thin">
        <color indexed="22"/>
      </bottom>
    </border>
    <border>
      <left style="thin">
        <color indexed="22"/>
      </left>
      <right style="medium"/>
      <top style="medium"/>
      <bottom style="thin">
        <color indexed="22"/>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0" fillId="0" borderId="0" xfId="0" applyAlignment="1">
      <alignment horizontal="center"/>
    </xf>
    <xf numFmtId="0" fontId="0" fillId="0" borderId="0" xfId="0" applyAlignment="1">
      <alignment horizontal="center" wrapText="1"/>
    </xf>
    <xf numFmtId="164" fontId="0" fillId="0" borderId="0" xfId="17" applyNumberFormat="1" applyAlignment="1">
      <alignment/>
    </xf>
    <xf numFmtId="43" fontId="0" fillId="0" borderId="0" xfId="15" applyNumberFormat="1" applyAlignment="1">
      <alignment/>
    </xf>
    <xf numFmtId="165" fontId="0" fillId="0" borderId="0" xfId="15" applyNumberFormat="1" applyAlignment="1">
      <alignment/>
    </xf>
    <xf numFmtId="0" fontId="0" fillId="0" borderId="0" xfId="0" applyAlignment="1">
      <alignment horizontal="left" indent="1"/>
    </xf>
    <xf numFmtId="166" fontId="0" fillId="0" borderId="0" xfId="15" applyNumberFormat="1" applyAlignment="1">
      <alignment/>
    </xf>
    <xf numFmtId="0" fontId="0" fillId="0" borderId="0" xfId="0" applyAlignment="1">
      <alignment wrapText="1"/>
    </xf>
    <xf numFmtId="0" fontId="0" fillId="0" borderId="0" xfId="0" applyAlignment="1">
      <alignment horizontal="left" wrapText="1" indent="1"/>
    </xf>
    <xf numFmtId="164" fontId="0" fillId="0" borderId="0" xfId="17" applyNumberFormat="1" applyAlignment="1">
      <alignment horizontal="center" wrapText="1"/>
    </xf>
    <xf numFmtId="44" fontId="0" fillId="0" borderId="0" xfId="17" applyAlignment="1">
      <alignment horizontal="center" wrapText="1"/>
    </xf>
    <xf numFmtId="165" fontId="0" fillId="0" borderId="0" xfId="15" applyNumberFormat="1" applyAlignment="1">
      <alignment horizontal="center" wrapText="1"/>
    </xf>
    <xf numFmtId="166" fontId="0" fillId="0" borderId="0" xfId="15" applyNumberFormat="1" applyAlignment="1">
      <alignment horizontal="center" wrapText="1"/>
    </xf>
    <xf numFmtId="43" fontId="0" fillId="0" borderId="0" xfId="0" applyNumberFormat="1" applyAlignment="1">
      <alignment horizontal="center" wrapText="1"/>
    </xf>
    <xf numFmtId="0" fontId="0" fillId="0" borderId="0" xfId="0" applyAlignment="1">
      <alignment horizontal="left" wrapText="1"/>
    </xf>
    <xf numFmtId="167" fontId="0" fillId="2" borderId="0" xfId="0" applyNumberFormat="1" applyFill="1" applyAlignment="1">
      <alignment wrapText="1"/>
    </xf>
    <xf numFmtId="43" fontId="0" fillId="0" borderId="0" xfId="0" applyNumberFormat="1" applyAlignment="1">
      <alignment/>
    </xf>
    <xf numFmtId="166" fontId="0" fillId="0" borderId="0" xfId="0" applyNumberFormat="1" applyAlignment="1">
      <alignment/>
    </xf>
    <xf numFmtId="44" fontId="0" fillId="0" borderId="0" xfId="17" applyNumberFormat="1" applyAlignment="1">
      <alignment/>
    </xf>
    <xf numFmtId="165" fontId="0" fillId="0" borderId="0" xfId="0" applyNumberFormat="1" applyAlignment="1">
      <alignment/>
    </xf>
    <xf numFmtId="0" fontId="2" fillId="0" borderId="0" xfId="0" applyFont="1" applyAlignment="1">
      <alignment/>
    </xf>
    <xf numFmtId="165" fontId="2" fillId="0" borderId="0" xfId="0" applyNumberFormat="1" applyFont="1" applyAlignment="1">
      <alignment/>
    </xf>
    <xf numFmtId="166" fontId="2" fillId="0" borderId="0" xfId="0" applyNumberFormat="1" applyFont="1" applyAlignment="1">
      <alignment/>
    </xf>
    <xf numFmtId="164" fontId="0" fillId="0" borderId="0" xfId="0" applyNumberFormat="1" applyAlignment="1">
      <alignment/>
    </xf>
    <xf numFmtId="168" fontId="0" fillId="0" borderId="0" xfId="15" applyNumberFormat="1" applyAlignment="1">
      <alignment/>
    </xf>
    <xf numFmtId="169" fontId="0" fillId="0" borderId="0" xfId="0" applyNumberFormat="1" applyAlignment="1">
      <alignment/>
    </xf>
    <xf numFmtId="170" fontId="0" fillId="0" borderId="0" xfId="0" applyNumberFormat="1" applyAlignment="1">
      <alignment/>
    </xf>
    <xf numFmtId="168" fontId="0" fillId="0" borderId="0" xfId="0" applyNumberFormat="1" applyAlignment="1">
      <alignment/>
    </xf>
    <xf numFmtId="44" fontId="0" fillId="0" borderId="0" xfId="17" applyAlignment="1">
      <alignment/>
    </xf>
    <xf numFmtId="165" fontId="0" fillId="0" borderId="0" xfId="15" applyNumberFormat="1" applyFont="1" applyAlignment="1">
      <alignment horizontal="center"/>
    </xf>
    <xf numFmtId="2" fontId="0" fillId="0" borderId="0" xfId="0" applyNumberFormat="1" applyAlignment="1">
      <alignment/>
    </xf>
    <xf numFmtId="44" fontId="0" fillId="0" borderId="0" xfId="0" applyNumberFormat="1" applyAlignment="1">
      <alignment/>
    </xf>
    <xf numFmtId="39" fontId="0" fillId="0" borderId="0" xfId="0" applyNumberFormat="1" applyAlignment="1">
      <alignment/>
    </xf>
    <xf numFmtId="0" fontId="0" fillId="0" borderId="0" xfId="0" applyAlignment="1">
      <alignment horizontal="left"/>
    </xf>
    <xf numFmtId="3" fontId="0" fillId="0" borderId="0" xfId="0" applyNumberFormat="1" applyAlignment="1">
      <alignment/>
    </xf>
    <xf numFmtId="9" fontId="0" fillId="0" borderId="0" xfId="19" applyAlignment="1">
      <alignment/>
    </xf>
    <xf numFmtId="43" fontId="0" fillId="0" borderId="0" xfId="15" applyAlignment="1">
      <alignment/>
    </xf>
    <xf numFmtId="169" fontId="0" fillId="0" borderId="0" xfId="0" applyNumberFormat="1" applyAlignment="1">
      <alignment horizontal="right"/>
    </xf>
    <xf numFmtId="166" fontId="0" fillId="3" borderId="0" xfId="15" applyNumberFormat="1" applyFill="1" applyAlignment="1">
      <alignment/>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Border="1" applyAlignment="1">
      <alignment/>
    </xf>
    <xf numFmtId="0" fontId="0" fillId="0" borderId="0" xfId="0" applyBorder="1" applyAlignment="1">
      <alignment horizontal="center" wrapText="1"/>
    </xf>
    <xf numFmtId="164" fontId="0" fillId="0" borderId="0" xfId="17" applyNumberFormat="1" applyBorder="1" applyAlignment="1">
      <alignment/>
    </xf>
    <xf numFmtId="164" fontId="0" fillId="0" borderId="2" xfId="17" applyNumberFormat="1" applyBorder="1" applyAlignment="1">
      <alignment/>
    </xf>
    <xf numFmtId="165" fontId="0" fillId="0" borderId="0" xfId="15" applyNumberFormat="1" applyBorder="1" applyAlignment="1">
      <alignment/>
    </xf>
    <xf numFmtId="165" fontId="0" fillId="0" borderId="2" xfId="15" applyNumberFormat="1" applyBorder="1" applyAlignment="1">
      <alignment/>
    </xf>
    <xf numFmtId="0" fontId="0" fillId="0" borderId="3" xfId="0" applyBorder="1" applyAlignment="1">
      <alignment horizontal="left" indent="1"/>
    </xf>
    <xf numFmtId="166" fontId="0" fillId="0" borderId="0" xfId="15" applyNumberFormat="1" applyBorder="1" applyAlignment="1">
      <alignment/>
    </xf>
    <xf numFmtId="166" fontId="0" fillId="0" borderId="2" xfId="15" applyNumberFormat="1" applyBorder="1" applyAlignment="1">
      <alignment/>
    </xf>
    <xf numFmtId="3" fontId="0" fillId="0" borderId="0" xfId="0" applyNumberFormat="1" applyAlignment="1">
      <alignment horizontal="center"/>
    </xf>
    <xf numFmtId="165" fontId="0" fillId="0" borderId="0" xfId="15" applyNumberFormat="1" applyFont="1" applyAlignment="1">
      <alignment/>
    </xf>
    <xf numFmtId="164" fontId="0" fillId="0" borderId="4" xfId="17" applyNumberFormat="1" applyBorder="1" applyAlignment="1">
      <alignment/>
    </xf>
    <xf numFmtId="10" fontId="0" fillId="0" borderId="0" xfId="0" applyNumberFormat="1" applyAlignment="1">
      <alignment/>
    </xf>
    <xf numFmtId="164" fontId="0" fillId="0" borderId="0" xfId="17" applyNumberFormat="1" applyFont="1" applyAlignment="1">
      <alignment/>
    </xf>
    <xf numFmtId="165" fontId="0" fillId="0" borderId="0" xfId="15" applyNumberFormat="1" applyFont="1" applyAlignment="1">
      <alignment/>
    </xf>
    <xf numFmtId="0" fontId="3" fillId="0" borderId="0" xfId="0" applyFont="1" applyAlignment="1">
      <alignment/>
    </xf>
    <xf numFmtId="43" fontId="3" fillId="0" borderId="5" xfId="15" applyNumberFormat="1" applyFont="1" applyBorder="1" applyAlignment="1">
      <alignment horizontal="center" wrapText="1"/>
    </xf>
    <xf numFmtId="43" fontId="3" fillId="0" borderId="6" xfId="15" applyNumberFormat="1" applyFont="1" applyBorder="1" applyAlignment="1">
      <alignment horizontal="center" wrapText="1"/>
    </xf>
    <xf numFmtId="43" fontId="3" fillId="0" borderId="7" xfId="15" applyNumberFormat="1" applyFont="1" applyBorder="1" applyAlignment="1">
      <alignment horizontal="center" wrapText="1"/>
    </xf>
    <xf numFmtId="0" fontId="3" fillId="0" borderId="0" xfId="0" applyFont="1" applyAlignment="1">
      <alignment horizontal="center" wrapText="1"/>
    </xf>
    <xf numFmtId="0" fontId="0" fillId="0" borderId="0" xfId="0" applyBorder="1" applyAlignment="1">
      <alignment/>
    </xf>
    <xf numFmtId="0" fontId="0" fillId="0" borderId="2" xfId="0" applyBorder="1" applyAlignment="1">
      <alignment/>
    </xf>
    <xf numFmtId="0" fontId="0" fillId="0" borderId="0" xfId="0" applyAlignment="1">
      <alignment horizontal="right"/>
    </xf>
    <xf numFmtId="165" fontId="0" fillId="0" borderId="8" xfId="0" applyNumberFormat="1" applyBorder="1" applyAlignment="1">
      <alignment/>
    </xf>
    <xf numFmtId="165" fontId="0" fillId="0" borderId="8" xfId="15" applyNumberFormat="1" applyBorder="1" applyAlignment="1">
      <alignment/>
    </xf>
    <xf numFmtId="0" fontId="0" fillId="3" borderId="0" xfId="0" applyFill="1" applyAlignment="1">
      <alignment/>
    </xf>
    <xf numFmtId="0" fontId="0" fillId="0" borderId="9" xfId="0" applyBorder="1" applyAlignment="1">
      <alignment/>
    </xf>
    <xf numFmtId="44" fontId="0" fillId="0" borderId="2" xfId="17"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wrapText="1"/>
    </xf>
    <xf numFmtId="2" fontId="0" fillId="0" borderId="13" xfId="0" applyNumberFormat="1" applyBorder="1" applyAlignment="1">
      <alignment/>
    </xf>
    <xf numFmtId="2" fontId="0" fillId="0" borderId="14" xfId="0" applyNumberFormat="1" applyBorder="1" applyAlignment="1">
      <alignment/>
    </xf>
    <xf numFmtId="0" fontId="0" fillId="0" borderId="8" xfId="0" applyBorder="1" applyAlignment="1">
      <alignment/>
    </xf>
    <xf numFmtId="0" fontId="0" fillId="0" borderId="15" xfId="0" applyBorder="1" applyAlignment="1">
      <alignment/>
    </xf>
    <xf numFmtId="164" fontId="0" fillId="0" borderId="16" xfId="17" applyNumberFormat="1" applyBorder="1" applyAlignment="1">
      <alignment/>
    </xf>
    <xf numFmtId="164" fontId="0" fillId="0" borderId="17" xfId="17" applyNumberFormat="1" applyBorder="1" applyAlignment="1">
      <alignment/>
    </xf>
    <xf numFmtId="44" fontId="2" fillId="0" borderId="0" xfId="17" applyFont="1" applyAlignment="1">
      <alignment/>
    </xf>
    <xf numFmtId="164" fontId="0" fillId="0" borderId="0" xfId="17" applyNumberFormat="1" applyBorder="1" applyAlignment="1">
      <alignment horizontal="right"/>
    </xf>
    <xf numFmtId="164" fontId="0" fillId="0" borderId="2" xfId="17" applyNumberFormat="1" applyBorder="1" applyAlignment="1">
      <alignment horizontal="right"/>
    </xf>
    <xf numFmtId="165" fontId="0" fillId="0" borderId="2" xfId="0" applyNumberFormat="1" applyBorder="1" applyAlignment="1">
      <alignment/>
    </xf>
    <xf numFmtId="165" fontId="0" fillId="0" borderId="0" xfId="0" applyNumberFormat="1" applyBorder="1" applyAlignment="1">
      <alignment/>
    </xf>
    <xf numFmtId="0" fontId="0" fillId="0" borderId="3" xfId="0" applyBorder="1" applyAlignment="1">
      <alignment horizontal="left" wrapText="1" indent="1"/>
    </xf>
    <xf numFmtId="164" fontId="0" fillId="0" borderId="0" xfId="17" applyNumberFormat="1" applyBorder="1" applyAlignment="1">
      <alignment horizontal="center" wrapText="1"/>
    </xf>
    <xf numFmtId="165" fontId="0" fillId="0" borderId="0" xfId="15" applyNumberFormat="1" applyBorder="1" applyAlignment="1">
      <alignment horizontal="center" wrapText="1"/>
    </xf>
    <xf numFmtId="0" fontId="0" fillId="0" borderId="10" xfId="0" applyBorder="1" applyAlignment="1">
      <alignment horizontal="left" wrapText="1" indent="1"/>
    </xf>
    <xf numFmtId="165" fontId="0" fillId="0" borderId="8" xfId="15" applyNumberFormat="1" applyBorder="1" applyAlignment="1">
      <alignment horizontal="center" wrapText="1"/>
    </xf>
    <xf numFmtId="164" fontId="0" fillId="0" borderId="8" xfId="17" applyNumberFormat="1" applyBorder="1" applyAlignment="1">
      <alignment horizontal="center" wrapText="1"/>
    </xf>
    <xf numFmtId="0" fontId="1" fillId="0" borderId="0" xfId="0" applyFont="1" applyAlignment="1">
      <alignment horizontal="center"/>
    </xf>
    <xf numFmtId="0" fontId="0" fillId="0" borderId="16" xfId="0" applyBorder="1" applyAlignment="1">
      <alignment/>
    </xf>
    <xf numFmtId="44" fontId="0" fillId="0" borderId="16" xfId="17" applyBorder="1" applyAlignment="1">
      <alignment/>
    </xf>
    <xf numFmtId="44" fontId="0" fillId="0" borderId="17" xfId="17" applyBorder="1" applyAlignment="1">
      <alignment/>
    </xf>
    <xf numFmtId="0" fontId="3" fillId="0" borderId="18" xfId="0" applyFont="1" applyBorder="1" applyAlignment="1">
      <alignment/>
    </xf>
    <xf numFmtId="0" fontId="3" fillId="0" borderId="19" xfId="0" applyFont="1" applyBorder="1" applyAlignment="1">
      <alignment horizontal="center" wrapText="1"/>
    </xf>
    <xf numFmtId="0" fontId="0" fillId="0" borderId="20" xfId="0" applyBorder="1" applyAlignment="1">
      <alignment horizontal="center"/>
    </xf>
    <xf numFmtId="43" fontId="0" fillId="0" borderId="21" xfId="15" applyNumberFormat="1" applyBorder="1" applyAlignment="1">
      <alignment/>
    </xf>
    <xf numFmtId="43" fontId="0" fillId="0" borderId="22" xfId="15" applyNumberFormat="1" applyBorder="1" applyAlignment="1">
      <alignment/>
    </xf>
    <xf numFmtId="43" fontId="0" fillId="0" borderId="23" xfId="15" applyNumberFormat="1" applyBorder="1" applyAlignment="1">
      <alignment/>
    </xf>
    <xf numFmtId="0" fontId="0" fillId="0" borderId="24" xfId="0" applyBorder="1" applyAlignment="1">
      <alignment horizontal="center"/>
    </xf>
    <xf numFmtId="43" fontId="0" fillId="0" borderId="25" xfId="15" applyNumberFormat="1" applyBorder="1" applyAlignment="1">
      <alignment/>
    </xf>
    <xf numFmtId="43" fontId="0" fillId="0" borderId="26" xfId="15" applyNumberFormat="1" applyBorder="1" applyAlignment="1">
      <alignment/>
    </xf>
    <xf numFmtId="43" fontId="0" fillId="0" borderId="27" xfId="15" applyNumberFormat="1" applyBorder="1" applyAlignment="1">
      <alignment/>
    </xf>
    <xf numFmtId="0" fontId="0" fillId="0" borderId="28" xfId="0" applyBorder="1" applyAlignment="1">
      <alignment horizontal="center"/>
    </xf>
    <xf numFmtId="43" fontId="0" fillId="0" borderId="29" xfId="15" applyNumberFormat="1" applyBorder="1" applyAlignment="1">
      <alignment/>
    </xf>
    <xf numFmtId="43" fontId="0" fillId="0" borderId="30" xfId="15" applyNumberFormat="1" applyBorder="1" applyAlignment="1">
      <alignment/>
    </xf>
    <xf numFmtId="43" fontId="0" fillId="0" borderId="31" xfId="15" applyNumberFormat="1" applyBorder="1" applyAlignment="1">
      <alignment/>
    </xf>
    <xf numFmtId="0" fontId="0" fillId="0" borderId="32" xfId="0" applyBorder="1" applyAlignment="1">
      <alignment horizontal="center"/>
    </xf>
    <xf numFmtId="43" fontId="0" fillId="0" borderId="32" xfId="15" applyNumberFormat="1" applyBorder="1" applyAlignment="1">
      <alignment/>
    </xf>
    <xf numFmtId="43" fontId="0" fillId="0" borderId="33" xfId="15" applyNumberFormat="1" applyBorder="1" applyAlignment="1">
      <alignment/>
    </xf>
    <xf numFmtId="43" fontId="0" fillId="0" borderId="34" xfId="15" applyNumberFormat="1" applyBorder="1" applyAlignment="1">
      <alignment/>
    </xf>
    <xf numFmtId="43" fontId="0" fillId="0" borderId="34" xfId="15" applyNumberFormat="1" applyFill="1" applyBorder="1" applyAlignment="1">
      <alignment/>
    </xf>
    <xf numFmtId="43" fontId="0" fillId="0" borderId="0" xfId="15" applyNumberFormat="1" applyFont="1" applyAlignment="1">
      <alignment/>
    </xf>
    <xf numFmtId="0" fontId="3" fillId="0" borderId="21" xfId="0" applyFont="1" applyBorder="1" applyAlignment="1">
      <alignment/>
    </xf>
    <xf numFmtId="43" fontId="3" fillId="0" borderId="22" xfId="15" applyNumberFormat="1" applyFont="1" applyBorder="1" applyAlignment="1">
      <alignment horizontal="center"/>
    </xf>
    <xf numFmtId="43" fontId="0" fillId="0" borderId="35" xfId="15" applyNumberFormat="1" applyBorder="1" applyAlignment="1">
      <alignment/>
    </xf>
    <xf numFmtId="43" fontId="3" fillId="0" borderId="23" xfId="15" applyNumberFormat="1" applyFont="1" applyBorder="1" applyAlignment="1">
      <alignment horizontal="center"/>
    </xf>
    <xf numFmtId="0" fontId="3" fillId="0" borderId="36" xfId="0" applyFont="1" applyBorder="1" applyAlignment="1">
      <alignment horizontal="center" wrapText="1"/>
    </xf>
    <xf numFmtId="43" fontId="3" fillId="0" borderId="37" xfId="15" applyNumberFormat="1" applyFont="1" applyBorder="1" applyAlignment="1">
      <alignment horizontal="center" wrapText="1"/>
    </xf>
    <xf numFmtId="43" fontId="3" fillId="0" borderId="38" xfId="15" applyNumberFormat="1" applyFont="1" applyBorder="1" applyAlignment="1">
      <alignment horizontal="center" wrapText="1"/>
    </xf>
    <xf numFmtId="43" fontId="3" fillId="0" borderId="39" xfId="15" applyNumberFormat="1" applyFont="1" applyBorder="1" applyAlignment="1">
      <alignment horizontal="center" wrapText="1"/>
    </xf>
    <xf numFmtId="0" fontId="0" fillId="0" borderId="21" xfId="0" applyBorder="1" applyAlignment="1">
      <alignment horizontal="center"/>
    </xf>
    <xf numFmtId="0" fontId="0" fillId="0" borderId="25" xfId="0" applyBorder="1" applyAlignment="1">
      <alignment horizontal="center"/>
    </xf>
    <xf numFmtId="43" fontId="0" fillId="0" borderId="40" xfId="15" applyNumberFormat="1" applyBorder="1" applyAlignment="1">
      <alignment/>
    </xf>
    <xf numFmtId="0" fontId="0" fillId="0" borderId="29" xfId="0" applyBorder="1" applyAlignment="1">
      <alignment horizontal="center"/>
    </xf>
    <xf numFmtId="43" fontId="0" fillId="0" borderId="41" xfId="15" applyNumberFormat="1" applyBorder="1" applyAlignment="1">
      <alignment/>
    </xf>
    <xf numFmtId="0" fontId="0" fillId="0" borderId="42" xfId="0" applyBorder="1" applyAlignment="1">
      <alignment horizontal="center"/>
    </xf>
    <xf numFmtId="43" fontId="0" fillId="0" borderId="43" xfId="15" applyNumberFormat="1" applyBorder="1" applyAlignment="1">
      <alignment/>
    </xf>
    <xf numFmtId="43" fontId="0" fillId="0" borderId="44" xfId="15" applyNumberFormat="1" applyBorder="1" applyAlignment="1">
      <alignment/>
    </xf>
    <xf numFmtId="43" fontId="0" fillId="0" borderId="45" xfId="15" applyNumberFormat="1" applyBorder="1" applyAlignment="1">
      <alignment/>
    </xf>
    <xf numFmtId="0" fontId="0" fillId="0" borderId="0" xfId="0" applyBorder="1" applyAlignment="1">
      <alignment/>
    </xf>
    <xf numFmtId="0" fontId="0" fillId="0" borderId="20" xfId="0" applyBorder="1" applyAlignment="1">
      <alignment wrapText="1"/>
    </xf>
    <xf numFmtId="43" fontId="3" fillId="0" borderId="23" xfId="15" applyNumberFormat="1" applyFont="1" applyBorder="1" applyAlignment="1">
      <alignment horizontal="center" wrapText="1"/>
    </xf>
    <xf numFmtId="43" fontId="0" fillId="0" borderId="0" xfId="15" applyNumberFormat="1" applyAlignment="1">
      <alignment wrapText="1"/>
    </xf>
    <xf numFmtId="0" fontId="0" fillId="0" borderId="46" xfId="0" applyBorder="1" applyAlignment="1">
      <alignment/>
    </xf>
    <xf numFmtId="43" fontId="3" fillId="0" borderId="47" xfId="15" applyNumberFormat="1" applyFont="1" applyBorder="1" applyAlignment="1">
      <alignment horizontal="center" wrapText="1"/>
    </xf>
    <xf numFmtId="43" fontId="3" fillId="0" borderId="48" xfId="15" applyNumberFormat="1" applyFont="1" applyBorder="1" applyAlignment="1">
      <alignment horizontal="center" wrapText="1"/>
    </xf>
    <xf numFmtId="43" fontId="3" fillId="0" borderId="49" xfId="15" applyNumberFormat="1" applyFont="1" applyBorder="1" applyAlignment="1">
      <alignment horizontal="center" wrapText="1"/>
    </xf>
    <xf numFmtId="43" fontId="3" fillId="0" borderId="50" xfId="15" applyNumberFormat="1" applyFont="1" applyBorder="1" applyAlignment="1">
      <alignment horizontal="center" wrapText="1"/>
    </xf>
    <xf numFmtId="43" fontId="3" fillId="0" borderId="51" xfId="15" applyNumberFormat="1" applyFont="1" applyBorder="1" applyAlignment="1">
      <alignment horizontal="center" wrapText="1"/>
    </xf>
    <xf numFmtId="43" fontId="3" fillId="0" borderId="52" xfId="15" applyNumberFormat="1" applyFont="1" applyBorder="1" applyAlignment="1">
      <alignment/>
    </xf>
    <xf numFmtId="3" fontId="0" fillId="0" borderId="53" xfId="15" applyNumberFormat="1" applyBorder="1" applyAlignment="1">
      <alignment horizontal="center"/>
    </xf>
    <xf numFmtId="43" fontId="0" fillId="0" borderId="54" xfId="15" applyNumberFormat="1" applyBorder="1" applyAlignment="1">
      <alignment/>
    </xf>
    <xf numFmtId="43" fontId="0" fillId="0" borderId="55" xfId="15" applyNumberFormat="1" applyBorder="1" applyAlignment="1">
      <alignment/>
    </xf>
    <xf numFmtId="174" fontId="0" fillId="0" borderId="56" xfId="19" applyNumberFormat="1" applyBorder="1" applyAlignment="1">
      <alignment horizontal="center"/>
    </xf>
    <xf numFmtId="3" fontId="0" fillId="0" borderId="57" xfId="0" applyNumberFormat="1" applyBorder="1" applyAlignment="1">
      <alignment horizontal="center"/>
    </xf>
    <xf numFmtId="43" fontId="0" fillId="0" borderId="58" xfId="15" applyNumberFormat="1" applyBorder="1" applyAlignment="1">
      <alignment/>
    </xf>
    <xf numFmtId="43" fontId="0" fillId="0" borderId="59" xfId="15" applyNumberFormat="1" applyBorder="1" applyAlignment="1">
      <alignment/>
    </xf>
    <xf numFmtId="174" fontId="0" fillId="0" borderId="28" xfId="19" applyNumberFormat="1" applyBorder="1" applyAlignment="1">
      <alignment horizontal="center"/>
    </xf>
    <xf numFmtId="0" fontId="0" fillId="0" borderId="60" xfId="0" applyBorder="1" applyAlignment="1">
      <alignment horizontal="center"/>
    </xf>
    <xf numFmtId="3" fontId="0" fillId="0" borderId="61" xfId="0" applyNumberFormat="1" applyBorder="1" applyAlignment="1">
      <alignment horizontal="center"/>
    </xf>
    <xf numFmtId="43" fontId="0" fillId="0" borderId="62" xfId="15" applyNumberFormat="1" applyBorder="1" applyAlignment="1">
      <alignment/>
    </xf>
    <xf numFmtId="43" fontId="0" fillId="0" borderId="63" xfId="15" applyNumberFormat="1" applyBorder="1" applyAlignment="1">
      <alignment/>
    </xf>
    <xf numFmtId="174" fontId="0" fillId="0" borderId="64" xfId="19" applyNumberFormat="1" applyBorder="1" applyAlignment="1">
      <alignment horizontal="center"/>
    </xf>
    <xf numFmtId="43" fontId="0" fillId="0" borderId="65" xfId="15" applyNumberFormat="1" applyBorder="1" applyAlignment="1">
      <alignment/>
    </xf>
    <xf numFmtId="43" fontId="0" fillId="0" borderId="66" xfId="15" applyNumberFormat="1" applyBorder="1" applyAlignment="1">
      <alignment/>
    </xf>
    <xf numFmtId="43" fontId="0" fillId="0" borderId="67" xfId="15" applyNumberFormat="1" applyBorder="1" applyAlignment="1">
      <alignment/>
    </xf>
    <xf numFmtId="174" fontId="0" fillId="0" borderId="68" xfId="19" applyNumberFormat="1" applyBorder="1" applyAlignment="1">
      <alignment horizontal="center"/>
    </xf>
    <xf numFmtId="43" fontId="0" fillId="0" borderId="42" xfId="15" applyNumberFormat="1" applyBorder="1" applyAlignment="1">
      <alignment/>
    </xf>
    <xf numFmtId="0" fontId="3" fillId="0" borderId="21" xfId="0" applyFont="1" applyBorder="1" applyAlignment="1">
      <alignment horizontal="center" wrapText="1"/>
    </xf>
    <xf numFmtId="43" fontId="3" fillId="0" borderId="22" xfId="15" applyNumberFormat="1" applyFont="1" applyBorder="1" applyAlignment="1">
      <alignment horizontal="center" wrapText="1"/>
    </xf>
    <xf numFmtId="43" fontId="3" fillId="0" borderId="0" xfId="15" applyNumberFormat="1" applyFont="1" applyAlignment="1">
      <alignment horizontal="center"/>
    </xf>
    <xf numFmtId="166" fontId="3" fillId="0" borderId="27" xfId="15" applyNumberFormat="1" applyFont="1" applyBorder="1" applyAlignment="1">
      <alignment/>
    </xf>
    <xf numFmtId="43" fontId="0" fillId="0" borderId="0" xfId="15" applyNumberFormat="1" applyAlignment="1">
      <alignment horizontal="center"/>
    </xf>
    <xf numFmtId="166" fontId="0" fillId="0" borderId="0" xfId="15" applyNumberFormat="1" applyAlignment="1">
      <alignment horizontal="center"/>
    </xf>
    <xf numFmtId="166" fontId="3" fillId="0" borderId="27" xfId="0" applyNumberFormat="1" applyFont="1" applyBorder="1" applyAlignment="1">
      <alignment/>
    </xf>
    <xf numFmtId="43" fontId="0" fillId="0" borderId="0" xfId="0" applyNumberFormat="1" applyAlignment="1">
      <alignment horizontal="center"/>
    </xf>
    <xf numFmtId="166" fontId="3" fillId="4" borderId="27" xfId="15" applyNumberFormat="1" applyFont="1" applyFill="1" applyBorder="1" applyAlignment="1">
      <alignment/>
    </xf>
    <xf numFmtId="43" fontId="0" fillId="4" borderId="0" xfId="15" applyNumberFormat="1" applyFill="1" applyAlignment="1">
      <alignment horizontal="center"/>
    </xf>
    <xf numFmtId="166" fontId="0" fillId="4" borderId="0" xfId="15" applyNumberFormat="1" applyFill="1" applyAlignment="1">
      <alignment horizontal="center"/>
    </xf>
    <xf numFmtId="166" fontId="3" fillId="0" borderId="69" xfId="15" applyNumberFormat="1" applyFont="1" applyBorder="1" applyAlignment="1">
      <alignment/>
    </xf>
    <xf numFmtId="44" fontId="0" fillId="0" borderId="13" xfId="0" applyNumberFormat="1" applyBorder="1" applyAlignment="1">
      <alignment horizontal="right"/>
    </xf>
    <xf numFmtId="164" fontId="2" fillId="0" borderId="0" xfId="0" applyNumberFormat="1" applyFont="1" applyAlignment="1">
      <alignment/>
    </xf>
    <xf numFmtId="39" fontId="0" fillId="0" borderId="0" xfId="17" applyNumberFormat="1" applyAlignment="1">
      <alignment/>
    </xf>
    <xf numFmtId="8" fontId="2" fillId="0" borderId="0" xfId="17" applyNumberFormat="1" applyFont="1" applyAlignment="1">
      <alignment/>
    </xf>
    <xf numFmtId="0" fontId="0" fillId="0" borderId="0" xfId="0" applyFont="1" applyAlignment="1">
      <alignment/>
    </xf>
    <xf numFmtId="165" fontId="0" fillId="0" borderId="0" xfId="0" applyNumberFormat="1" applyFont="1" applyAlignment="1">
      <alignment/>
    </xf>
    <xf numFmtId="166" fontId="0" fillId="0" borderId="0" xfId="0" applyNumberFormat="1" applyFont="1" applyAlignment="1">
      <alignment/>
    </xf>
    <xf numFmtId="164" fontId="0" fillId="0" borderId="0" xfId="0" applyNumberFormat="1" applyFont="1" applyAlignment="1">
      <alignment/>
    </xf>
    <xf numFmtId="44" fontId="0" fillId="0" borderId="0" xfId="17" applyFont="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43" fontId="3" fillId="0" borderId="18" xfId="15" applyNumberFormat="1" applyFont="1" applyBorder="1" applyAlignment="1">
      <alignment horizontal="center"/>
    </xf>
    <xf numFmtId="43" fontId="3" fillId="0" borderId="70" xfId="15" applyNumberFormat="1"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0" xfId="0" applyAlignment="1">
      <alignment horizontal="center"/>
    </xf>
    <xf numFmtId="0" fontId="0" fillId="0" borderId="71" xfId="0" applyBorder="1" applyAlignment="1">
      <alignment horizontal="left"/>
    </xf>
    <xf numFmtId="0" fontId="0" fillId="0" borderId="0" xfId="0" applyAlignment="1">
      <alignment horizontal="left"/>
    </xf>
    <xf numFmtId="0" fontId="0" fillId="0" borderId="0" xfId="0" applyAlignment="1">
      <alignment horizontal="left" wrapText="1"/>
    </xf>
    <xf numFmtId="43" fontId="3" fillId="0" borderId="72" xfId="15" applyNumberFormat="1" applyFont="1" applyBorder="1" applyAlignment="1">
      <alignment horizontal="center" wrapText="1"/>
    </xf>
    <xf numFmtId="0" fontId="0" fillId="0" borderId="73" xfId="0" applyBorder="1" applyAlignment="1">
      <alignment horizontal="center" wrapText="1"/>
    </xf>
    <xf numFmtId="0" fontId="0" fillId="0" borderId="74" xfId="0" applyBorder="1" applyAlignment="1">
      <alignment horizontal="center" wrapText="1"/>
    </xf>
    <xf numFmtId="43" fontId="3" fillId="0" borderId="55" xfId="15" applyNumberFormat="1" applyFont="1" applyBorder="1" applyAlignment="1">
      <alignment horizontal="center" wrapText="1"/>
    </xf>
    <xf numFmtId="43" fontId="3" fillId="0" borderId="23" xfId="15" applyNumberFormat="1" applyFont="1" applyBorder="1" applyAlignment="1">
      <alignment horizontal="center" wrapText="1"/>
    </xf>
    <xf numFmtId="43" fontId="3" fillId="0" borderId="75" xfId="15" applyNumberFormat="1" applyFont="1" applyBorder="1" applyAlignment="1">
      <alignment horizontal="center"/>
    </xf>
    <xf numFmtId="43" fontId="3" fillId="0" borderId="76" xfId="15" applyNumberFormat="1" applyFont="1"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7" xfId="0" applyBorder="1" applyAlignment="1">
      <alignment/>
    </xf>
    <xf numFmtId="0" fontId="0" fillId="0" borderId="78" xfId="0" applyBorder="1" applyAlignment="1">
      <alignment/>
    </xf>
    <xf numFmtId="43" fontId="3" fillId="0" borderId="79" xfId="15" applyNumberFormat="1" applyFont="1" applyBorder="1" applyAlignment="1">
      <alignment horizontal="center" wrapText="1"/>
    </xf>
    <xf numFmtId="0" fontId="3" fillId="0" borderId="51" xfId="0" applyFont="1" applyBorder="1" applyAlignment="1">
      <alignment horizontal="center" wrapText="1"/>
    </xf>
    <xf numFmtId="0" fontId="3" fillId="0" borderId="80" xfId="0" applyFont="1" applyBorder="1" applyAlignment="1">
      <alignment horizontal="center" wrapText="1"/>
    </xf>
    <xf numFmtId="43" fontId="3" fillId="0" borderId="81" xfId="15" applyNumberFormat="1" applyFont="1" applyBorder="1" applyAlignment="1">
      <alignment horizontal="center" wrapText="1"/>
    </xf>
    <xf numFmtId="43" fontId="3" fillId="0" borderId="82" xfId="15" applyNumberFormat="1" applyFont="1" applyBorder="1" applyAlignment="1">
      <alignment horizontal="center" wrapText="1"/>
    </xf>
    <xf numFmtId="0" fontId="3" fillId="0" borderId="25" xfId="0" applyFont="1" applyBorder="1" applyAlignment="1">
      <alignment horizontal="left"/>
    </xf>
    <xf numFmtId="0" fontId="3" fillId="0" borderId="26" xfId="0" applyFont="1" applyBorder="1" applyAlignment="1">
      <alignment horizontal="left"/>
    </xf>
    <xf numFmtId="0" fontId="0" fillId="0" borderId="26" xfId="0" applyBorder="1" applyAlignment="1">
      <alignment/>
    </xf>
    <xf numFmtId="0" fontId="3" fillId="4" borderId="25" xfId="0" applyFont="1" applyFill="1" applyBorder="1" applyAlignment="1">
      <alignment horizontal="left"/>
    </xf>
    <xf numFmtId="0" fontId="3" fillId="4" borderId="26" xfId="0" applyFont="1" applyFill="1" applyBorder="1" applyAlignment="1">
      <alignment horizontal="left"/>
    </xf>
    <xf numFmtId="0" fontId="0" fillId="4" borderId="26" xfId="0" applyFill="1" applyBorder="1" applyAlignment="1">
      <alignment/>
    </xf>
    <xf numFmtId="0" fontId="3" fillId="0" borderId="83" xfId="0" applyFont="1" applyBorder="1" applyAlignment="1">
      <alignment horizontal="left"/>
    </xf>
    <xf numFmtId="0" fontId="3" fillId="0" borderId="84" xfId="0" applyFont="1" applyBorder="1" applyAlignment="1">
      <alignment horizontal="left"/>
    </xf>
    <xf numFmtId="0" fontId="0" fillId="0" borderId="84" xfId="0" applyBorder="1" applyAlignment="1">
      <alignment/>
    </xf>
    <xf numFmtId="169" fontId="0" fillId="0" borderId="0" xfId="0" applyNumberFormat="1" applyAlignment="1">
      <alignment horizontal="right"/>
    </xf>
    <xf numFmtId="10" fontId="0" fillId="0" borderId="0" xfId="0" applyNumberFormat="1" applyAlignment="1">
      <alignment horizontal="center"/>
    </xf>
    <xf numFmtId="165" fontId="0" fillId="0" borderId="0" xfId="15" applyNumberFormat="1" applyBorder="1" applyAlignment="1">
      <alignment horizontal="center"/>
    </xf>
    <xf numFmtId="0" fontId="0" fillId="0" borderId="9" xfId="0" applyBorder="1" applyAlignment="1">
      <alignment horizontal="center"/>
    </xf>
    <xf numFmtId="0" fontId="0" fillId="0" borderId="7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0" xfId="0" applyFont="1" applyAlignment="1">
      <alignment horizontal="left" wrapText="1"/>
    </xf>
    <xf numFmtId="0" fontId="0" fillId="0" borderId="2" xfId="0" applyFont="1" applyBorder="1" applyAlignment="1">
      <alignment/>
    </xf>
    <xf numFmtId="165" fontId="0" fillId="0" borderId="0" xfId="15" applyNumberFormat="1" applyFont="1" applyBorder="1" applyAlignment="1">
      <alignment/>
    </xf>
    <xf numFmtId="43" fontId="0" fillId="0" borderId="25"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tabSelected="1" workbookViewId="0" topLeftCell="A1">
      <selection activeCell="B21" sqref="B21"/>
    </sheetView>
  </sheetViews>
  <sheetFormatPr defaultColWidth="9.140625" defaultRowHeight="12.75"/>
  <cols>
    <col min="1" max="1" width="13.7109375" style="0" customWidth="1"/>
    <col min="2" max="2" width="13.140625" style="0" customWidth="1"/>
    <col min="3" max="3" width="14.140625" style="0" customWidth="1"/>
    <col min="4" max="4" width="13.140625" style="0" customWidth="1"/>
    <col min="5" max="5" width="14.00390625" style="0" customWidth="1"/>
    <col min="6" max="6" width="13.421875" style="0" customWidth="1"/>
    <col min="7" max="7" width="11.57421875" style="0" customWidth="1"/>
    <col min="8" max="8" width="12.140625" style="0" customWidth="1"/>
  </cols>
  <sheetData>
    <row r="1" spans="1:8" ht="41.25" customHeight="1">
      <c r="A1" s="189" t="s">
        <v>0</v>
      </c>
      <c r="B1" s="189"/>
      <c r="C1" s="189"/>
      <c r="D1" s="189"/>
      <c r="E1" s="189"/>
      <c r="F1" s="189"/>
      <c r="G1" s="189"/>
      <c r="H1" s="189"/>
    </row>
    <row r="2" spans="1:8" ht="24" customHeight="1">
      <c r="A2" s="189" t="s">
        <v>83</v>
      </c>
      <c r="B2" s="189"/>
      <c r="C2" s="189"/>
      <c r="D2" s="189"/>
      <c r="E2" s="189"/>
      <c r="F2" s="189"/>
      <c r="G2" s="189"/>
      <c r="H2" s="189"/>
    </row>
    <row r="3" spans="1:8" ht="24" customHeight="1">
      <c r="A3" s="189" t="s">
        <v>84</v>
      </c>
      <c r="B3" s="189"/>
      <c r="C3" s="189"/>
      <c r="D3" s="189"/>
      <c r="E3" s="189"/>
      <c r="F3" s="189"/>
      <c r="G3" s="189"/>
      <c r="H3" s="189"/>
    </row>
    <row r="4" spans="2:8" ht="23.25" customHeight="1">
      <c r="B4" s="1" t="s">
        <v>64</v>
      </c>
      <c r="C4" s="30" t="s">
        <v>65</v>
      </c>
      <c r="D4" s="52">
        <v>2000</v>
      </c>
      <c r="E4" s="52">
        <v>18000</v>
      </c>
      <c r="F4" s="52">
        <v>30000</v>
      </c>
      <c r="G4" s="52">
        <v>50000</v>
      </c>
      <c r="H4" s="52">
        <v>100000</v>
      </c>
    </row>
    <row r="5" spans="1:8" ht="15" customHeight="1">
      <c r="A5" t="s">
        <v>68</v>
      </c>
      <c r="B5" s="5">
        <f>2353+4989+7440</f>
        <v>14782</v>
      </c>
      <c r="C5" s="53">
        <v>12500000</v>
      </c>
      <c r="D5" s="5">
        <f>C5</f>
        <v>12500000</v>
      </c>
      <c r="E5" s="5"/>
      <c r="F5" s="5"/>
      <c r="G5" s="5"/>
      <c r="H5" s="5"/>
    </row>
    <row r="6" spans="1:8" ht="15" customHeight="1">
      <c r="A6" t="s">
        <v>69</v>
      </c>
      <c r="B6" s="5">
        <f>9070+9482+7415+15283+2249+572</f>
        <v>44071</v>
      </c>
      <c r="C6" s="5">
        <f>23243000+33573300+33607500+103972900+26764100+9770500-15500000</f>
        <v>215431300</v>
      </c>
      <c r="D6" s="5">
        <f>B6*D4</f>
        <v>88142000</v>
      </c>
      <c r="E6" s="5">
        <f>C6-D6</f>
        <v>127289300</v>
      </c>
      <c r="F6" s="5"/>
      <c r="G6" s="5"/>
      <c r="H6" s="5"/>
    </row>
    <row r="7" spans="1:8" ht="15" customHeight="1">
      <c r="A7" t="s">
        <v>70</v>
      </c>
      <c r="B7" s="5">
        <f>249+136+70+56+38+31</f>
        <v>580</v>
      </c>
      <c r="C7" s="53">
        <f>16684900-1500000</f>
        <v>15184900</v>
      </c>
      <c r="D7" s="5">
        <f>D4*B7</f>
        <v>1160000</v>
      </c>
      <c r="E7" s="5">
        <f>E4*B7</f>
        <v>10440000</v>
      </c>
      <c r="F7" s="5">
        <f>C7-D7-E7</f>
        <v>3584900</v>
      </c>
      <c r="G7" s="5"/>
      <c r="H7" s="5"/>
    </row>
    <row r="8" spans="1:8" ht="15" customHeight="1">
      <c r="A8" t="s">
        <v>71</v>
      </c>
      <c r="B8" s="5">
        <f>37+40+27+21+10</f>
        <v>135</v>
      </c>
      <c r="C8" s="5">
        <v>9429400</v>
      </c>
      <c r="D8" s="5">
        <f>D4*B8</f>
        <v>270000</v>
      </c>
      <c r="E8" s="5">
        <f>E4*B8</f>
        <v>2430000</v>
      </c>
      <c r="F8" s="5">
        <f>F4*B8</f>
        <v>4050000</v>
      </c>
      <c r="G8" s="5">
        <f>C8-D8-E8-F8</f>
        <v>2679400</v>
      </c>
      <c r="H8" s="5"/>
    </row>
    <row r="9" spans="1:8" ht="15" customHeight="1">
      <c r="A9" t="s">
        <v>56</v>
      </c>
      <c r="B9" s="5">
        <f>24+13+11+3+31</f>
        <v>82</v>
      </c>
      <c r="C9" s="5">
        <f>25726400-4950000-1500000</f>
        <v>19276400</v>
      </c>
      <c r="D9" s="5">
        <f>B9*D4</f>
        <v>164000</v>
      </c>
      <c r="E9" s="5">
        <f>B9*E4</f>
        <v>1476000</v>
      </c>
      <c r="F9" s="5">
        <f>B9*F4</f>
        <v>2460000</v>
      </c>
      <c r="G9" s="5">
        <f>B9*G4</f>
        <v>4100000</v>
      </c>
      <c r="H9" s="5">
        <f>C9-D9-F9-G9-E9</f>
        <v>11076400</v>
      </c>
    </row>
    <row r="10" spans="1:8" ht="23.25" customHeight="1">
      <c r="A10" t="s">
        <v>2</v>
      </c>
      <c r="B10" s="5">
        <f aca="true" t="shared" si="0" ref="B10:H10">SUM(B5:B9)</f>
        <v>59650</v>
      </c>
      <c r="C10" s="20">
        <f t="shared" si="0"/>
        <v>271822000</v>
      </c>
      <c r="D10" s="20">
        <f t="shared" si="0"/>
        <v>102236000</v>
      </c>
      <c r="E10" s="20">
        <f t="shared" si="0"/>
        <v>141635300</v>
      </c>
      <c r="F10" s="20">
        <f t="shared" si="0"/>
        <v>10094900</v>
      </c>
      <c r="G10" s="20">
        <f t="shared" si="0"/>
        <v>6779400</v>
      </c>
      <c r="H10" s="20">
        <f t="shared" si="0"/>
        <v>11076400</v>
      </c>
    </row>
    <row r="11" spans="1:8" ht="24" customHeight="1">
      <c r="A11" s="189" t="s">
        <v>85</v>
      </c>
      <c r="B11" s="189"/>
      <c r="C11" s="189"/>
      <c r="D11" s="189"/>
      <c r="E11" s="189"/>
      <c r="F11" s="189"/>
      <c r="G11" s="189"/>
      <c r="H11" s="189"/>
    </row>
    <row r="12" spans="2:5" ht="26.25" customHeight="1">
      <c r="B12" t="s">
        <v>64</v>
      </c>
      <c r="C12" t="s">
        <v>65</v>
      </c>
      <c r="D12" t="s">
        <v>66</v>
      </c>
      <c r="E12" t="s">
        <v>67</v>
      </c>
    </row>
    <row r="13" spans="1:5" ht="15" customHeight="1">
      <c r="A13" t="s">
        <v>68</v>
      </c>
      <c r="B13" s="20">
        <f>B10</f>
        <v>59650</v>
      </c>
      <c r="C13" s="20">
        <f>D10</f>
        <v>102236000</v>
      </c>
      <c r="D13">
        <v>17.23</v>
      </c>
      <c r="E13" s="3">
        <f>B13*D13</f>
        <v>1027769.5</v>
      </c>
    </row>
    <row r="14" spans="1:7" ht="15" customHeight="1">
      <c r="A14" t="s">
        <v>69</v>
      </c>
      <c r="C14" s="20">
        <f>E10</f>
        <v>141635300</v>
      </c>
      <c r="D14">
        <v>7.55</v>
      </c>
      <c r="E14" s="5">
        <f>(C14*D14)/1000</f>
        <v>1069346.515</v>
      </c>
      <c r="F14" s="5"/>
      <c r="G14" s="5"/>
    </row>
    <row r="15" spans="1:7" ht="15" customHeight="1">
      <c r="A15" t="s">
        <v>70</v>
      </c>
      <c r="C15" s="20">
        <f>F10</f>
        <v>10094900</v>
      </c>
      <c r="D15">
        <v>6.56</v>
      </c>
      <c r="E15" s="5">
        <f>(C15*D15)/1000</f>
        <v>66222.544</v>
      </c>
      <c r="F15" s="20"/>
      <c r="G15" s="20"/>
    </row>
    <row r="16" spans="1:7" ht="15" customHeight="1">
      <c r="A16" t="s">
        <v>71</v>
      </c>
      <c r="C16" s="20">
        <f>G10</f>
        <v>6779400</v>
      </c>
      <c r="D16">
        <v>5.56</v>
      </c>
      <c r="E16" s="5">
        <f>(C16*D16)/1000</f>
        <v>37693.464</v>
      </c>
      <c r="F16" s="5"/>
      <c r="G16" s="20"/>
    </row>
    <row r="17" spans="1:5" ht="15" customHeight="1">
      <c r="A17" t="s">
        <v>56</v>
      </c>
      <c r="C17" s="20">
        <f>H10</f>
        <v>11076400</v>
      </c>
      <c r="D17">
        <v>4.58</v>
      </c>
      <c r="E17" s="5">
        <f>(C17*D17)/1000</f>
        <v>50729.912</v>
      </c>
    </row>
    <row r="18" spans="1:6" ht="15" customHeight="1">
      <c r="A18" t="s">
        <v>2</v>
      </c>
      <c r="B18" s="20">
        <f>SUM(B13:B17)</f>
        <v>59650</v>
      </c>
      <c r="C18" s="20">
        <f>SUM(C13:C17)</f>
        <v>271822000</v>
      </c>
      <c r="E18" s="3">
        <f>SUM(E13:E17)</f>
        <v>2251761.935</v>
      </c>
      <c r="F18" s="32"/>
    </row>
    <row r="19" spans="1:5" ht="24.75" customHeight="1">
      <c r="A19" t="s">
        <v>86</v>
      </c>
      <c r="C19" s="35">
        <v>12000000</v>
      </c>
      <c r="D19">
        <v>1.53</v>
      </c>
      <c r="E19" s="3">
        <f>(C19*D19)/1000</f>
        <v>18360</v>
      </c>
    </row>
    <row r="20" ht="21.75" customHeight="1">
      <c r="A20" t="s">
        <v>87</v>
      </c>
    </row>
    <row r="21" spans="1:5" ht="15" customHeight="1">
      <c r="A21" s="6" t="s">
        <v>88</v>
      </c>
      <c r="B21" s="177"/>
      <c r="C21" s="5">
        <v>103815121</v>
      </c>
      <c r="D21">
        <v>1.53</v>
      </c>
      <c r="E21" s="29">
        <f>(C21*D21)/1000</f>
        <v>158837.13513</v>
      </c>
    </row>
    <row r="22" spans="1:5" ht="15" customHeight="1">
      <c r="A22" s="6" t="s">
        <v>89</v>
      </c>
      <c r="C22" s="5">
        <v>12812115</v>
      </c>
      <c r="D22">
        <v>1.53</v>
      </c>
      <c r="E22" s="37">
        <f>(C22*D22)/1000</f>
        <v>19602.535949999998</v>
      </c>
    </row>
    <row r="23" spans="1:5" ht="15" customHeight="1">
      <c r="A23" s="6" t="s">
        <v>90</v>
      </c>
      <c r="C23" s="5">
        <v>7701800</v>
      </c>
      <c r="D23">
        <v>1.53</v>
      </c>
      <c r="E23" s="37">
        <f>(C23*D23)/1000</f>
        <v>11783.754</v>
      </c>
    </row>
    <row r="24" spans="1:5" ht="21" customHeight="1">
      <c r="A24" t="s">
        <v>91</v>
      </c>
      <c r="C24" s="20">
        <f>SUM(C21:C23)</f>
        <v>124329036</v>
      </c>
      <c r="E24" s="29">
        <f>SUM(E21:E23)</f>
        <v>190223.42508000002</v>
      </c>
    </row>
    <row r="25" spans="1:5" ht="25.5" customHeight="1">
      <c r="A25" s="187" t="s">
        <v>92</v>
      </c>
      <c r="B25" s="188"/>
      <c r="C25" s="188"/>
      <c r="D25" s="188"/>
      <c r="E25" s="54">
        <f>E18+E19+E24</f>
        <v>2460345.36008</v>
      </c>
    </row>
    <row r="26" spans="3:5" ht="12.75">
      <c r="C26" s="20"/>
      <c r="E26" s="32"/>
    </row>
    <row r="28" spans="3:5" ht="12.75">
      <c r="C28" s="20"/>
      <c r="E28" s="32"/>
    </row>
  </sheetData>
  <mergeCells count="5">
    <mergeCell ref="A25:D25"/>
    <mergeCell ref="A1:H1"/>
    <mergeCell ref="A2:H2"/>
    <mergeCell ref="A3:H3"/>
    <mergeCell ref="A11:H11"/>
  </mergeCells>
  <printOptions gridLines="1" horizontalCentered="1"/>
  <pageMargins left="0.75" right="0.75" top="1" bottom="0.75" header="0.5" footer="0.5"/>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F32"/>
  <sheetViews>
    <sheetView workbookViewId="0" topLeftCell="A1">
      <selection activeCell="B21" sqref="B21"/>
    </sheetView>
  </sheetViews>
  <sheetFormatPr defaultColWidth="9.140625" defaultRowHeight="12.75"/>
  <cols>
    <col min="1" max="1" width="31.28125" style="0" customWidth="1"/>
    <col min="2" max="2" width="14.00390625" style="0" customWidth="1"/>
    <col min="3" max="3" width="13.7109375" style="0" customWidth="1"/>
    <col min="4" max="4" width="14.8515625" style="0" customWidth="1"/>
    <col min="5" max="5" width="12.28125" style="0" customWidth="1"/>
    <col min="6" max="6" width="11.28125" style="0" customWidth="1"/>
  </cols>
  <sheetData>
    <row r="1" spans="1:5" ht="33" customHeight="1">
      <c r="A1" s="221" t="s">
        <v>0</v>
      </c>
      <c r="B1" s="222"/>
      <c r="C1" s="222"/>
      <c r="D1" s="222"/>
      <c r="E1" s="223"/>
    </row>
    <row r="2" spans="1:5" ht="24.75" customHeight="1">
      <c r="A2" s="224" t="s">
        <v>158</v>
      </c>
      <c r="B2" s="225"/>
      <c r="C2" s="225"/>
      <c r="D2" s="225"/>
      <c r="E2" s="226"/>
    </row>
    <row r="3" spans="1:5" ht="19.5" customHeight="1">
      <c r="A3" s="43"/>
      <c r="B3" s="63"/>
      <c r="C3" s="41" t="s">
        <v>33</v>
      </c>
      <c r="D3" s="41" t="s">
        <v>40</v>
      </c>
      <c r="E3" s="42" t="s">
        <v>5</v>
      </c>
    </row>
    <row r="4" spans="1:5" ht="25.5" customHeight="1">
      <c r="A4" s="43" t="s">
        <v>35</v>
      </c>
      <c r="B4" s="45"/>
      <c r="C4" s="81">
        <f>138022+38580-21724-11640</f>
        <v>143238</v>
      </c>
      <c r="D4" s="81">
        <f>470587+681782-106070-61975+2016</f>
        <v>986340</v>
      </c>
      <c r="E4" s="82">
        <v>248483</v>
      </c>
    </row>
    <row r="5" spans="1:5" ht="23.25" customHeight="1">
      <c r="A5" s="43" t="s">
        <v>26</v>
      </c>
      <c r="B5" s="47"/>
      <c r="C5" s="47"/>
      <c r="D5" s="47">
        <f>44784+307416-10094-27945</f>
        <v>314161</v>
      </c>
      <c r="E5" s="48">
        <v>17913</v>
      </c>
    </row>
    <row r="6" spans="1:5" ht="24.75" customHeight="1">
      <c r="A6" s="43" t="s">
        <v>36</v>
      </c>
      <c r="B6" s="47"/>
      <c r="C6" s="47"/>
      <c r="D6" s="47">
        <f>143306+954261-13585-72173</f>
        <v>1011809</v>
      </c>
      <c r="E6" s="48">
        <v>49796</v>
      </c>
    </row>
    <row r="7" spans="1:6" ht="26.25" customHeight="1">
      <c r="A7" s="43" t="s">
        <v>41</v>
      </c>
      <c r="B7" s="45">
        <f>SUM(C7:E7)</f>
        <v>2771740</v>
      </c>
      <c r="C7" s="45">
        <f>SUM(C4:C6)</f>
        <v>143238</v>
      </c>
      <c r="D7" s="45">
        <f>SUM(D4:D6)</f>
        <v>2312310</v>
      </c>
      <c r="E7" s="46">
        <f>SUM(E4:E6)</f>
        <v>316192</v>
      </c>
      <c r="F7" s="24"/>
    </row>
    <row r="8" spans="1:5" ht="23.25" customHeight="1">
      <c r="A8" s="43" t="s">
        <v>42</v>
      </c>
      <c r="B8" s="63"/>
      <c r="C8" s="63"/>
      <c r="D8" s="63"/>
      <c r="E8" s="64"/>
    </row>
    <row r="9" spans="1:5" ht="23.25" customHeight="1">
      <c r="A9" s="49" t="s">
        <v>43</v>
      </c>
      <c r="B9" s="47">
        <v>-61595</v>
      </c>
      <c r="C9" s="63"/>
      <c r="D9" s="63"/>
      <c r="E9" s="83">
        <f>B9</f>
        <v>-61595</v>
      </c>
    </row>
    <row r="10" spans="1:5" ht="23.25" customHeight="1">
      <c r="A10" s="49" t="s">
        <v>189</v>
      </c>
      <c r="B10" s="47">
        <f>+-B17+'whse rate'!D20</f>
        <v>-61522.28322823598</v>
      </c>
      <c r="C10" s="63"/>
      <c r="D10" s="84">
        <f>B10</f>
        <v>-61522.28322823598</v>
      </c>
      <c r="E10" s="83"/>
    </row>
    <row r="11" spans="1:5" ht="24.75" customHeight="1">
      <c r="A11" s="49" t="s">
        <v>44</v>
      </c>
      <c r="B11" s="47">
        <v>-23108</v>
      </c>
      <c r="C11" s="63"/>
      <c r="D11" s="63"/>
      <c r="E11" s="83">
        <f>B11</f>
        <v>-23108</v>
      </c>
    </row>
    <row r="12" spans="1:5" ht="19.5" customHeight="1">
      <c r="A12" s="49" t="s">
        <v>45</v>
      </c>
      <c r="B12" s="47">
        <v>-2044</v>
      </c>
      <c r="C12" s="63"/>
      <c r="D12" s="63"/>
      <c r="E12" s="83">
        <f>B12</f>
        <v>-2044</v>
      </c>
    </row>
    <row r="13" spans="1:5" ht="19.5" customHeight="1">
      <c r="A13" s="49" t="s">
        <v>46</v>
      </c>
      <c r="B13" s="47">
        <f>-12000*2.55</f>
        <v>-30599.999999999996</v>
      </c>
      <c r="C13" s="84">
        <f>B13</f>
        <v>-30599.999999999996</v>
      </c>
      <c r="D13" s="84"/>
      <c r="E13" s="83"/>
    </row>
    <row r="14" spans="1:5" ht="36.75" customHeight="1">
      <c r="A14" s="43" t="s">
        <v>47</v>
      </c>
      <c r="B14" s="45">
        <f>SUM(B4:B13)</f>
        <v>2592870.716771764</v>
      </c>
      <c r="C14" s="45">
        <f>SUM(C7:C13)</f>
        <v>112638</v>
      </c>
      <c r="D14" s="45">
        <f>SUM(D7:D13)</f>
        <v>2250787.716771764</v>
      </c>
      <c r="E14" s="46">
        <f>SUM(E7:E13)</f>
        <v>229445</v>
      </c>
    </row>
    <row r="15" spans="1:5" ht="33" customHeight="1">
      <c r="A15" s="43" t="s">
        <v>48</v>
      </c>
      <c r="B15" s="63"/>
      <c r="C15" s="63"/>
      <c r="D15" s="63"/>
      <c r="E15" s="64"/>
    </row>
    <row r="16" spans="1:5" ht="20.25" customHeight="1">
      <c r="A16" s="85" t="s">
        <v>49</v>
      </c>
      <c r="B16" s="86">
        <f>B14</f>
        <v>2592870.716771764</v>
      </c>
      <c r="C16" s="44"/>
      <c r="D16" s="63"/>
      <c r="E16" s="64"/>
    </row>
    <row r="17" spans="1:5" ht="20.25" customHeight="1">
      <c r="A17" s="85" t="s">
        <v>188</v>
      </c>
      <c r="B17" s="87">
        <v>67674</v>
      </c>
      <c r="C17" s="44"/>
      <c r="D17" s="63"/>
      <c r="E17" s="64"/>
    </row>
    <row r="18" spans="1:5" ht="21" customHeight="1">
      <c r="A18" s="85" t="s">
        <v>50</v>
      </c>
      <c r="B18" s="87">
        <v>117347</v>
      </c>
      <c r="C18" s="87"/>
      <c r="D18" s="63"/>
      <c r="E18" s="64"/>
    </row>
    <row r="19" spans="1:5" ht="21.75" customHeight="1">
      <c r="A19" s="85" t="s">
        <v>51</v>
      </c>
      <c r="B19" s="87">
        <f>'whse rate'!D22</f>
        <v>317038.95</v>
      </c>
      <c r="C19" s="87"/>
      <c r="D19" s="63"/>
      <c r="E19" s="64"/>
    </row>
    <row r="20" spans="1:5" ht="28.5" customHeight="1">
      <c r="A20" s="88" t="s">
        <v>159</v>
      </c>
      <c r="B20" s="90">
        <f>SUM(B16:B19)</f>
        <v>3094930.6667717644</v>
      </c>
      <c r="C20" s="89"/>
      <c r="D20" s="76"/>
      <c r="E20" s="72"/>
    </row>
    <row r="21" spans="1:3" ht="12.75">
      <c r="A21" s="6"/>
      <c r="B21" s="57"/>
      <c r="C21" s="5"/>
    </row>
    <row r="22" spans="1:3" ht="12.75">
      <c r="A22" s="6"/>
      <c r="B22" s="5"/>
      <c r="C22" s="5"/>
    </row>
    <row r="23" spans="1:3" ht="12.75">
      <c r="A23" s="6"/>
      <c r="B23" s="5"/>
      <c r="C23" s="5"/>
    </row>
    <row r="24" spans="2:3" ht="12.75">
      <c r="B24" s="5"/>
      <c r="C24" s="5"/>
    </row>
    <row r="25" spans="1:3" ht="12.75">
      <c r="A25" s="6"/>
      <c r="B25" s="5"/>
      <c r="C25" s="5"/>
    </row>
    <row r="26" spans="1:3" ht="12.75">
      <c r="A26" s="6"/>
      <c r="B26" s="5"/>
      <c r="C26" s="5"/>
    </row>
    <row r="27" spans="1:3" ht="12.75">
      <c r="A27" s="6"/>
      <c r="B27" s="5"/>
      <c r="C27" s="5"/>
    </row>
    <row r="28" spans="2:3" ht="12.75">
      <c r="B28" s="5"/>
      <c r="C28" s="5"/>
    </row>
    <row r="29" spans="1:3" ht="12.75">
      <c r="A29" s="6"/>
      <c r="B29" s="5"/>
      <c r="C29" s="5"/>
    </row>
    <row r="30" spans="1:3" ht="12.75">
      <c r="A30" s="6"/>
      <c r="B30" s="5"/>
      <c r="C30" s="5"/>
    </row>
    <row r="31" spans="1:2" ht="12.75">
      <c r="A31" s="6"/>
      <c r="B31" s="5"/>
    </row>
    <row r="32" spans="2:3" ht="12.75">
      <c r="B32" s="20"/>
      <c r="C32" s="5"/>
    </row>
  </sheetData>
  <mergeCells count="2">
    <mergeCell ref="A1:E1"/>
    <mergeCell ref="A2:E2"/>
  </mergeCells>
  <printOptions gridLines="1" horizontalCentered="1"/>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G21"/>
  <sheetViews>
    <sheetView workbookViewId="0" topLeftCell="A8">
      <selection activeCell="B21" sqref="B21"/>
    </sheetView>
  </sheetViews>
  <sheetFormatPr defaultColWidth="9.140625" defaultRowHeight="12.75"/>
  <cols>
    <col min="1" max="1" width="24.140625" style="0" customWidth="1"/>
    <col min="2" max="2" width="12.28125" style="0" customWidth="1"/>
    <col min="3" max="3" width="11.7109375" style="0" customWidth="1"/>
    <col min="4" max="4" width="13.421875" style="0" customWidth="1"/>
    <col min="5" max="5" width="10.57421875" style="0" customWidth="1"/>
    <col min="6" max="6" width="10.7109375" style="0" customWidth="1"/>
    <col min="7" max="7" width="11.8515625" style="0" customWidth="1"/>
  </cols>
  <sheetData>
    <row r="1" spans="1:7" ht="40.5" customHeight="1">
      <c r="A1" s="189" t="s">
        <v>0</v>
      </c>
      <c r="B1" s="189"/>
      <c r="C1" s="189"/>
      <c r="D1" s="189"/>
      <c r="E1" s="189"/>
      <c r="F1" s="189"/>
      <c r="G1" s="189"/>
    </row>
    <row r="2" spans="1:7" ht="35.25" customHeight="1">
      <c r="A2" s="189" t="s">
        <v>160</v>
      </c>
      <c r="B2" s="189"/>
      <c r="C2" s="189"/>
      <c r="D2" s="189"/>
      <c r="E2" s="189"/>
      <c r="F2" s="189"/>
      <c r="G2" s="189"/>
    </row>
    <row r="3" spans="2:7" ht="26.25" customHeight="1">
      <c r="B3" s="91" t="s">
        <v>2</v>
      </c>
      <c r="C3" s="91" t="s">
        <v>52</v>
      </c>
      <c r="D3" s="91" t="s">
        <v>53</v>
      </c>
      <c r="E3" s="91" t="s">
        <v>54</v>
      </c>
      <c r="F3" s="91" t="s">
        <v>55</v>
      </c>
      <c r="G3" s="91" t="s">
        <v>56</v>
      </c>
    </row>
    <row r="4" ht="28.5" customHeight="1">
      <c r="A4" t="s">
        <v>57</v>
      </c>
    </row>
    <row r="5" spans="1:7" ht="19.5" customHeight="1">
      <c r="A5" s="6" t="s">
        <v>58</v>
      </c>
      <c r="B5" s="25">
        <f>SUM(C5:G5)</f>
        <v>275708.7</v>
      </c>
      <c r="C5" s="25">
        <v>103796</v>
      </c>
      <c r="D5" s="25">
        <v>143962</v>
      </c>
      <c r="E5" s="25">
        <v>10094.9</v>
      </c>
      <c r="F5" s="25">
        <v>6779.4</v>
      </c>
      <c r="G5" s="25">
        <v>11076.4</v>
      </c>
    </row>
    <row r="6" spans="1:7" ht="19.5" customHeight="1">
      <c r="A6" s="6" t="s">
        <v>19</v>
      </c>
      <c r="C6" s="26">
        <f>C5/B5</f>
        <v>0.376469803092902</v>
      </c>
      <c r="D6" s="26">
        <f>D5/B5</f>
        <v>0.5221525472355424</v>
      </c>
      <c r="E6" s="26">
        <f>E5/B5</f>
        <v>0.036614368715967245</v>
      </c>
      <c r="F6" s="26">
        <f>F5/B5</f>
        <v>0.024588995559443716</v>
      </c>
      <c r="G6" s="26">
        <f>G5/B5</f>
        <v>0.04017428539614455</v>
      </c>
    </row>
    <row r="7" ht="28.5" customHeight="1">
      <c r="A7" t="s">
        <v>59</v>
      </c>
    </row>
    <row r="8" spans="1:7" ht="19.5" customHeight="1">
      <c r="A8" s="6" t="s">
        <v>58</v>
      </c>
      <c r="B8" s="27">
        <f>SUM(C8:G8)</f>
        <v>494218.5</v>
      </c>
      <c r="C8" s="28">
        <f>C5*2</f>
        <v>207592</v>
      </c>
      <c r="D8" s="28">
        <f>D5*1.75</f>
        <v>251933.5</v>
      </c>
      <c r="E8" s="28">
        <f>E5*1.5</f>
        <v>15142.349999999999</v>
      </c>
      <c r="F8" s="28">
        <f>F5*1.25</f>
        <v>8474.25</v>
      </c>
      <c r="G8" s="28">
        <f>G5*1</f>
        <v>11076.4</v>
      </c>
    </row>
    <row r="9" spans="1:7" ht="19.5" customHeight="1">
      <c r="A9" s="6" t="s">
        <v>19</v>
      </c>
      <c r="C9" s="26">
        <f>C8/B8</f>
        <v>0.42004093331188536</v>
      </c>
      <c r="D9" s="26">
        <f>D8/B8</f>
        <v>0.509761370729748</v>
      </c>
      <c r="E9" s="26">
        <f>E8/B8</f>
        <v>0.03063897850849371</v>
      </c>
      <c r="F9" s="26">
        <f>F8/B8</f>
        <v>0.017146768079300958</v>
      </c>
      <c r="G9" s="26">
        <f>G8/B8</f>
        <v>0.02241194937057192</v>
      </c>
    </row>
    <row r="10" ht="30" customHeight="1">
      <c r="A10" t="s">
        <v>60</v>
      </c>
    </row>
    <row r="11" spans="1:7" ht="19.5" customHeight="1">
      <c r="A11" s="6" t="s">
        <v>33</v>
      </c>
      <c r="B11" s="3">
        <v>112638</v>
      </c>
      <c r="C11" s="3">
        <f>B11*C6</f>
        <v>42404.8056807783</v>
      </c>
      <c r="D11" s="3">
        <f>B11*D6</f>
        <v>58814.21861551702</v>
      </c>
      <c r="E11" s="3">
        <f>B11*E6</f>
        <v>4124.1692634291185</v>
      </c>
      <c r="F11" s="3">
        <f>B11*F6</f>
        <v>2769.6552818246214</v>
      </c>
      <c r="G11" s="3">
        <f>B11*G6</f>
        <v>4525.15115845093</v>
      </c>
    </row>
    <row r="12" spans="1:7" ht="19.5" customHeight="1">
      <c r="A12" s="6" t="s">
        <v>61</v>
      </c>
      <c r="B12" s="5">
        <f>retail!D14</f>
        <v>2250787.716771764</v>
      </c>
      <c r="C12" s="5">
        <f>B12*C9</f>
        <v>945422.9732397393</v>
      </c>
      <c r="D12" s="5">
        <f>B12*D9</f>
        <v>1147364.6317232545</v>
      </c>
      <c r="E12" s="5">
        <f>B12*E9</f>
        <v>68961.83648135171</v>
      </c>
      <c r="F12" s="5">
        <f>B12*F9</f>
        <v>38593.73497522477</v>
      </c>
      <c r="G12" s="5">
        <f>B12*G9</f>
        <v>50444.54035219395</v>
      </c>
    </row>
    <row r="13" spans="1:3" ht="19.5" customHeight="1">
      <c r="A13" s="6" t="s">
        <v>5</v>
      </c>
      <c r="B13" s="5">
        <f>retail!E14</f>
        <v>229445</v>
      </c>
      <c r="C13" s="20">
        <f>B13</f>
        <v>229445</v>
      </c>
    </row>
    <row r="14" spans="1:7" ht="25.5" customHeight="1">
      <c r="A14" t="s">
        <v>2</v>
      </c>
      <c r="B14" s="3">
        <f aca="true" t="shared" si="0" ref="B14:G14">SUM(B11:B13)</f>
        <v>2592870.716771764</v>
      </c>
      <c r="C14" s="3">
        <f t="shared" si="0"/>
        <v>1217272.7789205178</v>
      </c>
      <c r="D14" s="3">
        <f t="shared" si="0"/>
        <v>1206178.8503387715</v>
      </c>
      <c r="E14" s="3">
        <f t="shared" si="0"/>
        <v>73086.00574478084</v>
      </c>
      <c r="F14" s="3">
        <f t="shared" si="0"/>
        <v>41363.39025704939</v>
      </c>
      <c r="G14" s="3">
        <f t="shared" si="0"/>
        <v>54969.69151064488</v>
      </c>
    </row>
    <row r="15" spans="1:2" ht="24.75" customHeight="1">
      <c r="A15" t="s">
        <v>62</v>
      </c>
      <c r="B15" s="5">
        <v>60430</v>
      </c>
    </row>
    <row r="16" spans="1:7" ht="27.75" customHeight="1">
      <c r="A16" s="77" t="s">
        <v>162</v>
      </c>
      <c r="B16" s="92"/>
      <c r="C16" s="93">
        <f>C14/B15</f>
        <v>20.14351777131421</v>
      </c>
      <c r="D16" s="93">
        <f>D14/D5</f>
        <v>8.378452996893426</v>
      </c>
      <c r="E16" s="93">
        <f>E14/E5</f>
        <v>7.23989398060217</v>
      </c>
      <c r="F16" s="93">
        <f>F14/F5</f>
        <v>6.101334964310911</v>
      </c>
      <c r="G16" s="94">
        <f>G14/G5</f>
        <v>4.962775948019653</v>
      </c>
    </row>
    <row r="17" spans="1:7" ht="30.75" customHeight="1">
      <c r="A17" s="182" t="s">
        <v>63</v>
      </c>
      <c r="B17" s="183"/>
      <c r="C17" s="183">
        <v>20.11</v>
      </c>
      <c r="D17" s="183">
        <v>8.39</v>
      </c>
      <c r="E17" s="183">
        <v>7.26</v>
      </c>
      <c r="F17" s="183">
        <v>6.12</v>
      </c>
      <c r="G17" s="184">
        <v>4.97</v>
      </c>
    </row>
    <row r="21" ht="26.25" customHeight="1">
      <c r="B21" s="177"/>
    </row>
  </sheetData>
  <mergeCells count="2">
    <mergeCell ref="A1:G1"/>
    <mergeCell ref="A2:G2"/>
  </mergeCells>
  <printOptions gridLines="1" horizontalCentered="1"/>
  <pageMargins left="0.5" right="0.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G21"/>
  <sheetViews>
    <sheetView workbookViewId="0" topLeftCell="A1">
      <selection activeCell="B21" sqref="B21"/>
    </sheetView>
  </sheetViews>
  <sheetFormatPr defaultColWidth="9.140625" defaultRowHeight="12.75"/>
  <cols>
    <col min="1" max="1" width="17.00390625" style="0" customWidth="1"/>
    <col min="2" max="2" width="11.8515625" style="0" customWidth="1"/>
    <col min="3" max="3" width="18.421875" style="0" customWidth="1"/>
    <col min="4" max="4" width="9.7109375" style="0" customWidth="1"/>
    <col min="5" max="5" width="11.28125" style="0" customWidth="1"/>
  </cols>
  <sheetData>
    <row r="1" spans="1:5" ht="24.75" customHeight="1">
      <c r="A1" s="189" t="s">
        <v>0</v>
      </c>
      <c r="B1" s="189"/>
      <c r="C1" s="189"/>
      <c r="D1" s="189"/>
      <c r="E1" s="189"/>
    </row>
    <row r="2" spans="1:5" ht="24.75" customHeight="1">
      <c r="A2" s="189" t="s">
        <v>161</v>
      </c>
      <c r="B2" s="189"/>
      <c r="C2" s="189"/>
      <c r="D2" s="189"/>
      <c r="E2" s="189"/>
    </row>
    <row r="3" spans="2:5" ht="24" customHeight="1">
      <c r="B3" s="1" t="s">
        <v>64</v>
      </c>
      <c r="C3" s="30" t="s">
        <v>65</v>
      </c>
      <c r="D3" s="1" t="s">
        <v>66</v>
      </c>
      <c r="E3" s="1" t="s">
        <v>67</v>
      </c>
    </row>
    <row r="4" spans="1:6" ht="19.5" customHeight="1">
      <c r="A4" t="s">
        <v>68</v>
      </c>
      <c r="B4" s="5">
        <f>2353+4989+7440</f>
        <v>14782</v>
      </c>
      <c r="C4" s="20">
        <v>103796</v>
      </c>
      <c r="D4" s="19">
        <v>20.11</v>
      </c>
      <c r="E4" s="3">
        <f>B9*D4</f>
        <v>1215247.3</v>
      </c>
      <c r="F4" s="17"/>
    </row>
    <row r="5" spans="1:6" ht="19.5" customHeight="1">
      <c r="A5" t="s">
        <v>69</v>
      </c>
      <c r="B5" s="5">
        <f>44071+780</f>
        <v>44851</v>
      </c>
      <c r="C5" s="20">
        <v>143962</v>
      </c>
      <c r="D5" s="31">
        <v>8.39</v>
      </c>
      <c r="E5" s="5">
        <f>C5*D5</f>
        <v>1207841.1800000002</v>
      </c>
      <c r="F5" s="17"/>
    </row>
    <row r="6" spans="1:5" ht="19.5" customHeight="1">
      <c r="A6" t="s">
        <v>70</v>
      </c>
      <c r="B6" s="5">
        <f>249+136+70+56+38+31</f>
        <v>580</v>
      </c>
      <c r="C6" s="20">
        <v>10094.9</v>
      </c>
      <c r="D6" s="31">
        <v>7.26</v>
      </c>
      <c r="E6" s="5">
        <f>C6*D6</f>
        <v>73288.974</v>
      </c>
    </row>
    <row r="7" spans="1:5" ht="19.5" customHeight="1">
      <c r="A7" t="s">
        <v>71</v>
      </c>
      <c r="B7" s="5">
        <f>37+40+27+21+10</f>
        <v>135</v>
      </c>
      <c r="C7" s="20">
        <v>6779.4</v>
      </c>
      <c r="D7" s="31">
        <v>6.12</v>
      </c>
      <c r="E7" s="5">
        <f>C7*D7</f>
        <v>41489.928</v>
      </c>
    </row>
    <row r="8" spans="1:6" ht="19.5" customHeight="1">
      <c r="A8" t="s">
        <v>56</v>
      </c>
      <c r="B8" s="5">
        <f>24+13+11+3+31</f>
        <v>82</v>
      </c>
      <c r="C8" s="20">
        <v>11076.4</v>
      </c>
      <c r="D8" s="31">
        <v>4.97</v>
      </c>
      <c r="E8" s="5">
        <f>C8*D8</f>
        <v>55049.708</v>
      </c>
      <c r="F8" s="17"/>
    </row>
    <row r="9" spans="1:5" ht="19.5" customHeight="1">
      <c r="A9" t="s">
        <v>2</v>
      </c>
      <c r="B9" s="5">
        <f>SUM(B4:B8)</f>
        <v>60430</v>
      </c>
      <c r="C9" s="20"/>
      <c r="E9" s="3">
        <f>SUM(E4:E8)</f>
        <v>2592917.0900000003</v>
      </c>
    </row>
    <row r="10" spans="1:5" ht="19.5" customHeight="1">
      <c r="A10" t="s">
        <v>72</v>
      </c>
      <c r="C10" s="5">
        <v>124329</v>
      </c>
      <c r="D10" s="32">
        <v>2.55</v>
      </c>
      <c r="E10" s="20">
        <f>C10*D10</f>
        <v>317038.94999999995</v>
      </c>
    </row>
    <row r="11" spans="1:5" ht="19.5" customHeight="1">
      <c r="A11" t="s">
        <v>73</v>
      </c>
      <c r="C11" s="5">
        <v>12000</v>
      </c>
      <c r="D11" s="33">
        <v>2.55</v>
      </c>
      <c r="E11" s="20">
        <f>C11*D11</f>
        <v>30599.999999999996</v>
      </c>
    </row>
    <row r="12" spans="1:5" ht="19.5" customHeight="1">
      <c r="A12" t="s">
        <v>50</v>
      </c>
      <c r="B12" s="5"/>
      <c r="E12" s="20">
        <f>61595+23108+2044+67674</f>
        <v>154421</v>
      </c>
    </row>
    <row r="13" spans="1:7" ht="34.5" customHeight="1">
      <c r="A13" s="34" t="s">
        <v>74</v>
      </c>
      <c r="B13" s="5"/>
      <c r="E13" s="3">
        <f>E9+E10+E11+E12</f>
        <v>3094977.04</v>
      </c>
      <c r="G13" s="24"/>
    </row>
    <row r="14" spans="1:2" ht="12.75">
      <c r="A14" s="6"/>
      <c r="B14" s="5"/>
    </row>
    <row r="21" ht="12.75">
      <c r="B21" s="177"/>
    </row>
  </sheetData>
  <mergeCells count="2">
    <mergeCell ref="A1:E1"/>
    <mergeCell ref="A2:E2"/>
  </mergeCells>
  <printOptions gridLines="1" horizontalCentered="1"/>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H23"/>
  <sheetViews>
    <sheetView workbookViewId="0" topLeftCell="A13">
      <selection activeCell="B21" sqref="B21"/>
    </sheetView>
  </sheetViews>
  <sheetFormatPr defaultColWidth="9.140625" defaultRowHeight="12.75"/>
  <cols>
    <col min="1" max="1" width="20.00390625" style="0" customWidth="1"/>
    <col min="2" max="2" width="16.28125" style="0" customWidth="1"/>
    <col min="3" max="3" width="16.140625" style="0" customWidth="1"/>
    <col min="4" max="4" width="11.8515625" style="0" customWidth="1"/>
    <col min="5" max="5" width="12.140625" style="0" customWidth="1"/>
    <col min="6" max="6" width="11.57421875" style="0" customWidth="1"/>
    <col min="8" max="8" width="12.28125" style="0" customWidth="1"/>
  </cols>
  <sheetData>
    <row r="1" spans="1:5" ht="27" customHeight="1">
      <c r="A1" s="189" t="s">
        <v>0</v>
      </c>
      <c r="B1" s="189"/>
      <c r="C1" s="189"/>
      <c r="D1" s="189"/>
      <c r="E1" s="189"/>
    </row>
    <row r="2" spans="1:5" ht="29.25" customHeight="1">
      <c r="A2" s="189" t="s">
        <v>78</v>
      </c>
      <c r="B2" s="189"/>
      <c r="C2" s="189"/>
      <c r="D2" s="189"/>
      <c r="E2" s="189"/>
    </row>
    <row r="3" spans="1:8" ht="12.75">
      <c r="A3" s="2" t="s">
        <v>75</v>
      </c>
      <c r="B3" s="2" t="s">
        <v>76</v>
      </c>
      <c r="C3" s="2" t="s">
        <v>163</v>
      </c>
      <c r="D3" s="2" t="s">
        <v>77</v>
      </c>
      <c r="E3" s="2" t="s">
        <v>19</v>
      </c>
      <c r="F3" s="2"/>
      <c r="G3" s="2"/>
      <c r="H3" s="2"/>
    </row>
    <row r="4" spans="1:8" ht="18" customHeight="1">
      <c r="A4" s="35">
        <v>1000</v>
      </c>
      <c r="B4" s="29">
        <v>17.23</v>
      </c>
      <c r="C4" s="29">
        <f>C19</f>
        <v>20.11</v>
      </c>
      <c r="D4" s="29">
        <f>C4-B4</f>
        <v>2.879999999999999</v>
      </c>
      <c r="E4" s="36">
        <f>D4/B4</f>
        <v>0.167150319210679</v>
      </c>
      <c r="F4" s="29"/>
      <c r="G4" s="29"/>
      <c r="H4" s="36"/>
    </row>
    <row r="5" spans="1:8" ht="18" customHeight="1">
      <c r="A5" s="35">
        <v>2000</v>
      </c>
      <c r="B5" s="37">
        <v>17.23</v>
      </c>
      <c r="C5" s="31">
        <f>C19</f>
        <v>20.11</v>
      </c>
      <c r="D5" s="17">
        <f aca="true" t="shared" si="0" ref="D5:D14">C5-B5</f>
        <v>2.879999999999999</v>
      </c>
      <c r="E5" s="36">
        <f aca="true" t="shared" si="1" ref="E5:E14">D5/B5</f>
        <v>0.167150319210679</v>
      </c>
      <c r="F5" s="31"/>
      <c r="G5" s="17"/>
      <c r="H5" s="36"/>
    </row>
    <row r="6" spans="1:8" ht="18" customHeight="1">
      <c r="A6" s="35">
        <v>3000</v>
      </c>
      <c r="B6" s="37">
        <v>24.78</v>
      </c>
      <c r="C6" s="31">
        <f>SUM(C20*1)+C19</f>
        <v>28.5</v>
      </c>
      <c r="D6" s="17">
        <f t="shared" si="0"/>
        <v>3.719999999999999</v>
      </c>
      <c r="E6" s="36">
        <f t="shared" si="1"/>
        <v>0.15012106537530262</v>
      </c>
      <c r="F6" s="31"/>
      <c r="G6" s="17"/>
      <c r="H6" s="36"/>
    </row>
    <row r="7" spans="1:8" ht="18" customHeight="1">
      <c r="A7" s="35">
        <v>4000</v>
      </c>
      <c r="B7" s="37">
        <v>32.33</v>
      </c>
      <c r="C7" s="31">
        <f>C19+C20+C20</f>
        <v>36.89</v>
      </c>
      <c r="D7" s="17">
        <f t="shared" si="0"/>
        <v>4.560000000000002</v>
      </c>
      <c r="E7" s="36">
        <f t="shared" si="1"/>
        <v>0.1410454686050109</v>
      </c>
      <c r="F7" s="31"/>
      <c r="G7" s="17"/>
      <c r="H7" s="36"/>
    </row>
    <row r="8" spans="1:8" ht="18" customHeight="1">
      <c r="A8" s="35">
        <v>5000</v>
      </c>
      <c r="B8" s="37">
        <v>39.88</v>
      </c>
      <c r="C8" s="31">
        <f>SUM(C20*3)+C19</f>
        <v>45.28</v>
      </c>
      <c r="D8" s="17">
        <f t="shared" si="0"/>
        <v>5.399999999999999</v>
      </c>
      <c r="E8" s="36">
        <f t="shared" si="1"/>
        <v>0.13540621865596786</v>
      </c>
      <c r="F8" s="31"/>
      <c r="G8" s="17"/>
      <c r="H8" s="36"/>
    </row>
    <row r="9" spans="1:8" ht="18" customHeight="1">
      <c r="A9" s="35">
        <v>10000</v>
      </c>
      <c r="B9" s="37">
        <v>77.63</v>
      </c>
      <c r="C9" s="31">
        <f>SUM(C20*5)+C8</f>
        <v>87.23</v>
      </c>
      <c r="D9" s="17">
        <f t="shared" si="0"/>
        <v>9.600000000000009</v>
      </c>
      <c r="E9" s="36">
        <f t="shared" si="1"/>
        <v>0.12366353213963685</v>
      </c>
      <c r="F9" s="31"/>
      <c r="G9" s="17"/>
      <c r="H9" s="36"/>
    </row>
    <row r="10" spans="1:8" ht="18" customHeight="1">
      <c r="A10" s="35">
        <v>20000</v>
      </c>
      <c r="B10" s="37">
        <f>SUM(18*B20)+B19</f>
        <v>153.13</v>
      </c>
      <c r="C10" s="31">
        <f>SUM(C20*10)+C9</f>
        <v>171.13</v>
      </c>
      <c r="D10" s="17">
        <f t="shared" si="0"/>
        <v>18</v>
      </c>
      <c r="E10" s="36">
        <f t="shared" si="1"/>
        <v>0.11754718213282832</v>
      </c>
      <c r="F10" s="31"/>
      <c r="G10" s="17"/>
      <c r="H10" s="36"/>
    </row>
    <row r="11" spans="1:8" ht="18" customHeight="1">
      <c r="A11" s="35">
        <v>25000</v>
      </c>
      <c r="B11" s="37">
        <f>SUM(B20*18)+(5*B21)+B19</f>
        <v>185.92999999999998</v>
      </c>
      <c r="C11" s="31">
        <f>SUM(18*C20)+(5*C21)+C19</f>
        <v>207.43</v>
      </c>
      <c r="D11" s="17">
        <f t="shared" si="0"/>
        <v>21.50000000000003</v>
      </c>
      <c r="E11" s="36">
        <f t="shared" si="1"/>
        <v>0.1156349163663746</v>
      </c>
      <c r="F11" s="31"/>
      <c r="G11" s="17"/>
      <c r="H11" s="36"/>
    </row>
    <row r="12" spans="1:8" ht="18" customHeight="1">
      <c r="A12" s="35">
        <v>50000</v>
      </c>
      <c r="B12" s="37">
        <f>SUM(B20*18)+(B21*30)+B19</f>
        <v>349.93</v>
      </c>
      <c r="C12" s="31">
        <f>SUM(30*C21)+(18*C20)+C19</f>
        <v>388.93</v>
      </c>
      <c r="D12" s="17">
        <f t="shared" si="0"/>
        <v>39</v>
      </c>
      <c r="E12" s="36">
        <f t="shared" si="1"/>
        <v>0.1114508616008916</v>
      </c>
      <c r="F12" s="31"/>
      <c r="G12" s="17"/>
      <c r="H12" s="36"/>
    </row>
    <row r="13" spans="1:8" ht="18" customHeight="1">
      <c r="A13" s="35">
        <v>75000</v>
      </c>
      <c r="B13" s="37">
        <f>SUM(B20*18)+(B21*30)+(25*B22)+B19</f>
        <v>488.93</v>
      </c>
      <c r="C13" s="31">
        <f>SUM(25*C22)+C12</f>
        <v>541.9300000000001</v>
      </c>
      <c r="D13" s="17">
        <f t="shared" si="0"/>
        <v>53.00000000000006</v>
      </c>
      <c r="E13" s="36">
        <f t="shared" si="1"/>
        <v>0.10839997545660944</v>
      </c>
      <c r="F13" s="31"/>
      <c r="G13" s="17"/>
      <c r="H13" s="36"/>
    </row>
    <row r="14" spans="1:8" ht="18" customHeight="1">
      <c r="A14" s="35">
        <v>100000</v>
      </c>
      <c r="B14" s="37">
        <f>SUM(B22*50)+(B21*30)+(B20*18)+B19</f>
        <v>627.93</v>
      </c>
      <c r="C14" s="31">
        <f>SUM(25*C22)+C13</f>
        <v>694.9300000000001</v>
      </c>
      <c r="D14" s="17">
        <f t="shared" si="0"/>
        <v>67.00000000000011</v>
      </c>
      <c r="E14" s="36">
        <f t="shared" si="1"/>
        <v>0.10669979137802003</v>
      </c>
      <c r="F14" s="31"/>
      <c r="G14" s="17"/>
      <c r="H14" s="36"/>
    </row>
    <row r="15" spans="1:5" ht="43.5" customHeight="1">
      <c r="A15" s="189" t="s">
        <v>164</v>
      </c>
      <c r="B15" s="189"/>
      <c r="C15" s="189"/>
      <c r="D15" s="189"/>
      <c r="E15" s="189"/>
    </row>
    <row r="16" spans="1:5" ht="23.25" customHeight="1">
      <c r="A16" s="1" t="s">
        <v>79</v>
      </c>
      <c r="B16" s="1" t="s">
        <v>80</v>
      </c>
      <c r="C16" s="1" t="s">
        <v>81</v>
      </c>
      <c r="D16" s="1" t="s">
        <v>77</v>
      </c>
      <c r="E16" s="1" t="s">
        <v>19</v>
      </c>
    </row>
    <row r="17" spans="2:5" ht="32.25" customHeight="1">
      <c r="B17" s="29">
        <v>1.53</v>
      </c>
      <c r="C17" s="32">
        <v>2.55</v>
      </c>
      <c r="D17" s="29">
        <f>C17-B17</f>
        <v>1.0199999999999998</v>
      </c>
      <c r="E17" s="36">
        <f>D17/B17</f>
        <v>0.6666666666666665</v>
      </c>
    </row>
    <row r="18" spans="1:3" ht="45" customHeight="1">
      <c r="A18" s="69"/>
      <c r="B18" s="40" t="s">
        <v>154</v>
      </c>
      <c r="C18" s="73" t="s">
        <v>63</v>
      </c>
    </row>
    <row r="19" spans="1:3" ht="19.5" customHeight="1">
      <c r="A19" s="43" t="s">
        <v>153</v>
      </c>
      <c r="B19" s="70">
        <v>17.23</v>
      </c>
      <c r="C19" s="173">
        <f>verify!D4</f>
        <v>20.11</v>
      </c>
    </row>
    <row r="20" spans="1:3" ht="19.5" customHeight="1">
      <c r="A20" s="43" t="s">
        <v>69</v>
      </c>
      <c r="B20" s="64">
        <v>7.55</v>
      </c>
      <c r="C20" s="74">
        <f>verify!D5</f>
        <v>8.39</v>
      </c>
    </row>
    <row r="21" spans="1:3" ht="19.5" customHeight="1">
      <c r="A21" s="43" t="s">
        <v>70</v>
      </c>
      <c r="B21" s="231">
        <v>6.56</v>
      </c>
      <c r="C21" s="74">
        <f>verify!D6</f>
        <v>7.26</v>
      </c>
    </row>
    <row r="22" spans="1:3" ht="19.5" customHeight="1">
      <c r="A22" s="43" t="s">
        <v>71</v>
      </c>
      <c r="B22" s="64">
        <v>5.56</v>
      </c>
      <c r="C22" s="74">
        <f>verify!D7</f>
        <v>6.12</v>
      </c>
    </row>
    <row r="23" spans="1:3" ht="19.5" customHeight="1">
      <c r="A23" s="71" t="s">
        <v>56</v>
      </c>
      <c r="B23" s="72">
        <v>4.58</v>
      </c>
      <c r="C23" s="75">
        <f>verify!D8</f>
        <v>4.97</v>
      </c>
    </row>
  </sheetData>
  <mergeCells count="3">
    <mergeCell ref="A1:E1"/>
    <mergeCell ref="A2:E2"/>
    <mergeCell ref="A15:E15"/>
  </mergeCells>
  <printOptions gridLines="1" horizontalCentered="1"/>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28"/>
  <sheetViews>
    <sheetView workbookViewId="0" topLeftCell="A16">
      <selection activeCell="B21" sqref="B21"/>
    </sheetView>
  </sheetViews>
  <sheetFormatPr defaultColWidth="9.140625" defaultRowHeight="12.75"/>
  <cols>
    <col min="1" max="1" width="13.7109375" style="0" customWidth="1"/>
    <col min="2" max="2" width="13.140625" style="0" customWidth="1"/>
    <col min="3" max="3" width="14.140625" style="0" customWidth="1"/>
    <col min="4" max="4" width="13.140625" style="0" customWidth="1"/>
    <col min="5" max="5" width="14.00390625" style="0" customWidth="1"/>
    <col min="6" max="6" width="13.421875" style="0" customWidth="1"/>
    <col min="7" max="7" width="11.57421875" style="0" customWidth="1"/>
    <col min="8" max="8" width="12.140625" style="0" customWidth="1"/>
  </cols>
  <sheetData>
    <row r="1" spans="1:8" ht="36" customHeight="1">
      <c r="A1" s="189" t="s">
        <v>0</v>
      </c>
      <c r="B1" s="189"/>
      <c r="C1" s="189"/>
      <c r="D1" s="189"/>
      <c r="E1" s="189"/>
      <c r="F1" s="189"/>
      <c r="G1" s="189"/>
      <c r="H1" s="189"/>
    </row>
    <row r="2" spans="1:8" ht="20.25" customHeight="1">
      <c r="A2" s="189" t="s">
        <v>93</v>
      </c>
      <c r="B2" s="189"/>
      <c r="C2" s="189"/>
      <c r="D2" s="189"/>
      <c r="E2" s="189"/>
      <c r="F2" s="189"/>
      <c r="G2" s="189"/>
      <c r="H2" s="189"/>
    </row>
    <row r="3" spans="1:8" ht="24" customHeight="1">
      <c r="A3" s="189" t="s">
        <v>84</v>
      </c>
      <c r="B3" s="189"/>
      <c r="C3" s="189"/>
      <c r="D3" s="189"/>
      <c r="E3" s="189"/>
      <c r="F3" s="189"/>
      <c r="G3" s="189"/>
      <c r="H3" s="189"/>
    </row>
    <row r="4" spans="2:8" ht="23.25" customHeight="1">
      <c r="B4" s="1" t="s">
        <v>64</v>
      </c>
      <c r="C4" s="30" t="s">
        <v>65</v>
      </c>
      <c r="D4" s="52">
        <v>2000</v>
      </c>
      <c r="E4" s="52">
        <v>18000</v>
      </c>
      <c r="F4" s="52">
        <v>30000</v>
      </c>
      <c r="G4" s="52">
        <v>50000</v>
      </c>
      <c r="H4" s="52">
        <v>100000</v>
      </c>
    </row>
    <row r="5" spans="1:8" ht="15" customHeight="1">
      <c r="A5" t="s">
        <v>68</v>
      </c>
      <c r="B5" s="5">
        <f>2353+4989+7440</f>
        <v>14782</v>
      </c>
      <c r="C5" s="53">
        <v>12500000</v>
      </c>
      <c r="D5" s="5">
        <f>C5</f>
        <v>12500000</v>
      </c>
      <c r="E5" s="5"/>
      <c r="F5" s="5"/>
      <c r="G5" s="5"/>
      <c r="H5" s="5"/>
    </row>
    <row r="6" spans="1:8" ht="15" customHeight="1">
      <c r="A6" t="s">
        <v>69</v>
      </c>
      <c r="B6" s="5">
        <f>44071+780</f>
        <v>44851</v>
      </c>
      <c r="C6" s="5">
        <f>215431300+3886740</f>
        <v>219318040</v>
      </c>
      <c r="D6" s="5">
        <f>B6*D4</f>
        <v>89702000</v>
      </c>
      <c r="E6" s="5">
        <f>C6-D6</f>
        <v>129616040</v>
      </c>
      <c r="F6" s="5"/>
      <c r="G6" s="5"/>
      <c r="H6" s="5"/>
    </row>
    <row r="7" spans="1:8" ht="15" customHeight="1">
      <c r="A7" t="s">
        <v>70</v>
      </c>
      <c r="B7" s="5">
        <f>249+136+70+56+38+31</f>
        <v>580</v>
      </c>
      <c r="C7" s="53">
        <f>16684900-1500000</f>
        <v>15184900</v>
      </c>
      <c r="D7" s="5">
        <f>D4*B7</f>
        <v>1160000</v>
      </c>
      <c r="E7" s="5">
        <f>E4*B7</f>
        <v>10440000</v>
      </c>
      <c r="F7" s="5">
        <f>C7-D7-E7</f>
        <v>3584900</v>
      </c>
      <c r="G7" s="5"/>
      <c r="H7" s="5"/>
    </row>
    <row r="8" spans="1:8" ht="15" customHeight="1">
      <c r="A8" t="s">
        <v>71</v>
      </c>
      <c r="B8" s="5">
        <f>37+40+27+21+10</f>
        <v>135</v>
      </c>
      <c r="C8" s="5">
        <v>9429400</v>
      </c>
      <c r="D8" s="5">
        <f>D4*B8</f>
        <v>270000</v>
      </c>
      <c r="E8" s="5">
        <f>E4*B8</f>
        <v>2430000</v>
      </c>
      <c r="F8" s="5">
        <f>F4*B8</f>
        <v>4050000</v>
      </c>
      <c r="G8" s="5">
        <f>C8-D8-E8-F8</f>
        <v>2679400</v>
      </c>
      <c r="H8" s="5"/>
    </row>
    <row r="9" spans="1:8" ht="15" customHeight="1">
      <c r="A9" t="s">
        <v>56</v>
      </c>
      <c r="B9" s="5">
        <f>24+13+11+3+31</f>
        <v>82</v>
      </c>
      <c r="C9" s="5">
        <f>25726400-4950000-1500000</f>
        <v>19276400</v>
      </c>
      <c r="D9" s="5">
        <f>B9*D4</f>
        <v>164000</v>
      </c>
      <c r="E9" s="5">
        <f>B9*E4</f>
        <v>1476000</v>
      </c>
      <c r="F9" s="5">
        <f>B9*F4</f>
        <v>2460000</v>
      </c>
      <c r="G9" s="5">
        <f>B9*G4</f>
        <v>4100000</v>
      </c>
      <c r="H9" s="5">
        <f>C9-D9-F9-G9-E9</f>
        <v>11076400</v>
      </c>
    </row>
    <row r="10" spans="1:8" ht="23.25" customHeight="1">
      <c r="A10" t="s">
        <v>2</v>
      </c>
      <c r="B10" s="5">
        <f aca="true" t="shared" si="0" ref="B10:H10">SUM(B5:B9)</f>
        <v>60430</v>
      </c>
      <c r="C10" s="20">
        <f t="shared" si="0"/>
        <v>275708740</v>
      </c>
      <c r="D10" s="20">
        <f t="shared" si="0"/>
        <v>103796000</v>
      </c>
      <c r="E10" s="20">
        <f t="shared" si="0"/>
        <v>143962040</v>
      </c>
      <c r="F10" s="20">
        <f t="shared" si="0"/>
        <v>10094900</v>
      </c>
      <c r="G10" s="20">
        <f t="shared" si="0"/>
        <v>6779400</v>
      </c>
      <c r="H10" s="20">
        <f t="shared" si="0"/>
        <v>11076400</v>
      </c>
    </row>
    <row r="11" spans="1:8" ht="24" customHeight="1">
      <c r="A11" s="189" t="s">
        <v>85</v>
      </c>
      <c r="B11" s="189"/>
      <c r="C11" s="189"/>
      <c r="D11" s="189"/>
      <c r="E11" s="189"/>
      <c r="F11" s="189"/>
      <c r="G11" s="189"/>
      <c r="H11" s="189"/>
    </row>
    <row r="12" spans="2:5" ht="26.25" customHeight="1">
      <c r="B12" t="s">
        <v>64</v>
      </c>
      <c r="C12" t="s">
        <v>65</v>
      </c>
      <c r="D12" t="s">
        <v>66</v>
      </c>
      <c r="E12" t="s">
        <v>67</v>
      </c>
    </row>
    <row r="13" spans="1:5" ht="15" customHeight="1">
      <c r="A13" t="s">
        <v>68</v>
      </c>
      <c r="B13" s="20">
        <f>B10</f>
        <v>60430</v>
      </c>
      <c r="C13" s="20">
        <f>D10</f>
        <v>103796000</v>
      </c>
      <c r="D13" s="29">
        <v>17.23</v>
      </c>
      <c r="E13" s="3">
        <f>B13*D13</f>
        <v>1041208.9</v>
      </c>
    </row>
    <row r="14" spans="1:7" ht="15" customHeight="1">
      <c r="A14" t="s">
        <v>69</v>
      </c>
      <c r="C14" s="20">
        <f>E10</f>
        <v>143962040</v>
      </c>
      <c r="D14">
        <v>7.55</v>
      </c>
      <c r="E14" s="5">
        <f>(C14*D14)/1000</f>
        <v>1086913.402</v>
      </c>
      <c r="F14" s="5"/>
      <c r="G14" s="5"/>
    </row>
    <row r="15" spans="1:8" ht="15" customHeight="1">
      <c r="A15" t="s">
        <v>70</v>
      </c>
      <c r="C15" s="20">
        <f>F10</f>
        <v>10094900</v>
      </c>
      <c r="D15">
        <v>6.56</v>
      </c>
      <c r="E15" s="5">
        <f>(C15*D15)/1000</f>
        <v>66222.544</v>
      </c>
      <c r="F15" s="20"/>
      <c r="G15" s="20"/>
      <c r="H15" s="20"/>
    </row>
    <row r="16" spans="1:8" ht="15" customHeight="1">
      <c r="A16" t="s">
        <v>71</v>
      </c>
      <c r="C16" s="20">
        <f>G10</f>
        <v>6779400</v>
      </c>
      <c r="D16">
        <v>5.56</v>
      </c>
      <c r="E16" s="5">
        <f>(C16*D16)/1000</f>
        <v>37693.464</v>
      </c>
      <c r="F16" s="5"/>
      <c r="G16" s="20"/>
      <c r="H16" s="20"/>
    </row>
    <row r="17" spans="1:5" ht="15" customHeight="1">
      <c r="A17" t="s">
        <v>56</v>
      </c>
      <c r="C17" s="20">
        <f>H10</f>
        <v>11076400</v>
      </c>
      <c r="D17">
        <v>4.58</v>
      </c>
      <c r="E17" s="5">
        <f>(C17*D17)/1000</f>
        <v>50729.912</v>
      </c>
    </row>
    <row r="18" spans="1:7" ht="15" customHeight="1">
      <c r="A18" t="s">
        <v>2</v>
      </c>
      <c r="B18" s="20">
        <f>SUM(B13:B17)</f>
        <v>60430</v>
      </c>
      <c r="C18" s="20">
        <f>SUM(C13:C17)</f>
        <v>275708740</v>
      </c>
      <c r="E18" s="3">
        <f>SUM(E13:E17)</f>
        <v>2282768.222</v>
      </c>
      <c r="F18" s="32"/>
      <c r="G18" s="24"/>
    </row>
    <row r="19" spans="1:5" ht="24.75" customHeight="1">
      <c r="A19" t="s">
        <v>86</v>
      </c>
      <c r="C19" s="35">
        <v>12000000</v>
      </c>
      <c r="D19">
        <v>1.53</v>
      </c>
      <c r="E19" s="3">
        <f>(C19*D19)/1000</f>
        <v>18360</v>
      </c>
    </row>
    <row r="20" ht="21.75" customHeight="1">
      <c r="A20" t="s">
        <v>87</v>
      </c>
    </row>
    <row r="21" spans="1:5" ht="15" customHeight="1">
      <c r="A21" s="6" t="s">
        <v>88</v>
      </c>
      <c r="B21" s="177"/>
      <c r="C21" s="5">
        <v>103815121</v>
      </c>
      <c r="D21">
        <v>1.53</v>
      </c>
      <c r="E21" s="29">
        <f>(C21*D21)/1000</f>
        <v>158837.13513</v>
      </c>
    </row>
    <row r="22" spans="1:5" ht="15" customHeight="1">
      <c r="A22" s="6" t="s">
        <v>89</v>
      </c>
      <c r="C22" s="5">
        <v>12812115</v>
      </c>
      <c r="D22">
        <v>1.53</v>
      </c>
      <c r="E22" s="37">
        <f>(C22*D22)/1000</f>
        <v>19602.535949999998</v>
      </c>
    </row>
    <row r="23" spans="1:5" ht="15" customHeight="1">
      <c r="A23" s="6" t="s">
        <v>90</v>
      </c>
      <c r="C23" s="5">
        <v>7701800</v>
      </c>
      <c r="D23">
        <v>1.53</v>
      </c>
      <c r="E23" s="37">
        <f>(C23*D23)/1000</f>
        <v>11783.754</v>
      </c>
    </row>
    <row r="24" spans="1:5" ht="24.75" customHeight="1">
      <c r="A24" t="s">
        <v>91</v>
      </c>
      <c r="C24" s="20">
        <f>SUM(C21:C23)</f>
        <v>124329036</v>
      </c>
      <c r="E24" s="29">
        <f>SUM(E21:E23)</f>
        <v>190223.42508000002</v>
      </c>
    </row>
    <row r="25" spans="1:6" ht="24.75" customHeight="1">
      <c r="A25" s="187" t="s">
        <v>94</v>
      </c>
      <c r="B25" s="188"/>
      <c r="C25" s="188"/>
      <c r="D25" s="188"/>
      <c r="E25" s="54">
        <f>E18+E19+E24</f>
        <v>2491351.64708</v>
      </c>
      <c r="F25" s="24"/>
    </row>
    <row r="26" spans="1:5" ht="24" customHeight="1">
      <c r="A26" s="190" t="s">
        <v>95</v>
      </c>
      <c r="B26" s="190"/>
      <c r="C26" s="190"/>
      <c r="D26" s="190"/>
      <c r="E26" s="190"/>
    </row>
    <row r="28" spans="3:5" ht="12.75">
      <c r="C28" s="20"/>
      <c r="E28" s="32"/>
    </row>
  </sheetData>
  <mergeCells count="6">
    <mergeCell ref="A25:D25"/>
    <mergeCell ref="A26:E26"/>
    <mergeCell ref="A1:H1"/>
    <mergeCell ref="A2:H2"/>
    <mergeCell ref="A3:H3"/>
    <mergeCell ref="A11:H11"/>
  </mergeCells>
  <printOptions gridLines="1" horizontalCentered="1"/>
  <pageMargins left="0.75" right="0.75" top="1" bottom="0.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C21"/>
  <sheetViews>
    <sheetView workbookViewId="0" topLeftCell="A1">
      <selection activeCell="B21" sqref="B21"/>
    </sheetView>
  </sheetViews>
  <sheetFormatPr defaultColWidth="9.140625" defaultRowHeight="12.75"/>
  <cols>
    <col min="1" max="1" width="27.57421875" style="0" customWidth="1"/>
    <col min="2" max="2" width="21.00390625" style="0" customWidth="1"/>
    <col min="3" max="3" width="16.28125" style="0" customWidth="1"/>
  </cols>
  <sheetData>
    <row r="1" spans="1:3" ht="36.75" customHeight="1">
      <c r="A1" s="189" t="s">
        <v>0</v>
      </c>
      <c r="B1" s="189"/>
      <c r="C1" s="189"/>
    </row>
    <row r="2" spans="1:3" ht="30.75" customHeight="1">
      <c r="A2" s="189" t="s">
        <v>96</v>
      </c>
      <c r="B2" s="189"/>
      <c r="C2" s="189"/>
    </row>
    <row r="3" spans="2:3" ht="24" customHeight="1">
      <c r="B3" s="1" t="s">
        <v>65</v>
      </c>
      <c r="C3" s="1" t="s">
        <v>19</v>
      </c>
    </row>
    <row r="4" spans="1:2" ht="23.25" customHeight="1">
      <c r="A4" t="s">
        <v>97</v>
      </c>
      <c r="B4" s="5">
        <f>597954000</f>
        <v>597954000</v>
      </c>
    </row>
    <row r="5" spans="1:3" ht="23.25" customHeight="1">
      <c r="A5" t="s">
        <v>98</v>
      </c>
      <c r="B5" s="5">
        <f>275708740+12000000</f>
        <v>287708740</v>
      </c>
      <c r="C5" s="55">
        <f>B5/B4</f>
        <v>0.4811553062610167</v>
      </c>
    </row>
    <row r="6" spans="1:3" ht="23.25" customHeight="1">
      <c r="A6" t="s">
        <v>99</v>
      </c>
      <c r="B6" s="5">
        <f>103815121+12812115+7701800</f>
        <v>124329036</v>
      </c>
      <c r="C6" s="55">
        <f>B6/B4</f>
        <v>0.20792408111660762</v>
      </c>
    </row>
    <row r="7" spans="1:3" ht="23.25" customHeight="1">
      <c r="A7" t="s">
        <v>100</v>
      </c>
      <c r="B7" s="5">
        <v>126323128</v>
      </c>
      <c r="C7" s="55">
        <f>B7/B4</f>
        <v>0.21125893965087617</v>
      </c>
    </row>
    <row r="8" spans="1:2" ht="24" customHeight="1">
      <c r="A8" t="s">
        <v>101</v>
      </c>
      <c r="B8" s="5">
        <f>B5+B6+B7</f>
        <v>538360904</v>
      </c>
    </row>
    <row r="9" spans="1:3" ht="21.75" customHeight="1">
      <c r="A9" t="s">
        <v>102</v>
      </c>
      <c r="B9" s="5">
        <f>B4-B8</f>
        <v>59593096</v>
      </c>
      <c r="C9" s="55">
        <f>B9/B4</f>
        <v>0.09966167297149948</v>
      </c>
    </row>
    <row r="21" ht="12.75">
      <c r="B21" s="177"/>
    </row>
  </sheetData>
  <mergeCells count="2">
    <mergeCell ref="A1:C1"/>
    <mergeCell ref="A2:C2"/>
  </mergeCells>
  <printOptions gridLines="1" horizontalCentered="1"/>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29"/>
  <sheetViews>
    <sheetView workbookViewId="0" topLeftCell="A10">
      <selection activeCell="B21" sqref="B21"/>
    </sheetView>
  </sheetViews>
  <sheetFormatPr defaultColWidth="9.140625" defaultRowHeight="12.75"/>
  <cols>
    <col min="1" max="1" width="30.00390625" style="0" customWidth="1"/>
    <col min="2" max="2" width="12.57421875" style="0" customWidth="1"/>
    <col min="3" max="3" width="12.421875" style="0" customWidth="1"/>
    <col min="4" max="4" width="12.7109375" style="0" customWidth="1"/>
    <col min="5" max="5" width="11.421875" style="0" customWidth="1"/>
    <col min="6" max="6" width="9.7109375" style="0" customWidth="1"/>
  </cols>
  <sheetData>
    <row r="1" spans="1:5" ht="36" customHeight="1">
      <c r="A1" s="189" t="s">
        <v>0</v>
      </c>
      <c r="B1" s="189"/>
      <c r="C1" s="189"/>
      <c r="D1" s="189"/>
      <c r="E1" s="189"/>
    </row>
    <row r="2" spans="1:5" ht="34.5" customHeight="1">
      <c r="A2" s="189" t="s">
        <v>103</v>
      </c>
      <c r="B2" s="189"/>
      <c r="C2" s="189"/>
      <c r="D2" s="189"/>
      <c r="E2" s="189"/>
    </row>
    <row r="3" spans="3:6" ht="38.25">
      <c r="C3" s="2" t="s">
        <v>3</v>
      </c>
      <c r="D3" s="2" t="s">
        <v>104</v>
      </c>
      <c r="E3" s="2" t="s">
        <v>5</v>
      </c>
      <c r="F3" s="2"/>
    </row>
    <row r="4" spans="1:5" ht="18" customHeight="1">
      <c r="A4" t="s">
        <v>105</v>
      </c>
      <c r="B4" s="3">
        <f>147984-37303</f>
        <v>110681</v>
      </c>
      <c r="C4" s="3">
        <v>5420</v>
      </c>
      <c r="D4" s="3">
        <v>105261</v>
      </c>
      <c r="E4" s="5"/>
    </row>
    <row r="5" spans="1:5" ht="18" customHeight="1">
      <c r="A5" t="s">
        <v>106</v>
      </c>
      <c r="B5" s="5">
        <f>1260871-58229</f>
        <v>1202642</v>
      </c>
      <c r="C5" s="5">
        <f>52642+928564</f>
        <v>981206</v>
      </c>
      <c r="D5" s="5">
        <v>221436</v>
      </c>
      <c r="E5" s="5"/>
    </row>
    <row r="6" spans="1:5" ht="18" customHeight="1">
      <c r="A6" t="s">
        <v>107</v>
      </c>
      <c r="B6" s="5">
        <v>635558</v>
      </c>
      <c r="C6" s="5">
        <v>635558</v>
      </c>
      <c r="D6" s="5"/>
      <c r="E6" s="5"/>
    </row>
    <row r="7" spans="1:5" ht="18" customHeight="1">
      <c r="A7" t="s">
        <v>108</v>
      </c>
      <c r="B7" s="5">
        <v>74575</v>
      </c>
      <c r="C7" s="5">
        <v>74575</v>
      </c>
      <c r="D7" s="5"/>
      <c r="E7" s="5"/>
    </row>
    <row r="8" spans="1:5" ht="18" customHeight="1">
      <c r="A8" t="s">
        <v>109</v>
      </c>
      <c r="B8" s="5">
        <v>317307</v>
      </c>
      <c r="C8" s="5">
        <f>B8/2</f>
        <v>158653.5</v>
      </c>
      <c r="D8" s="5">
        <f>B8/2</f>
        <v>158653.5</v>
      </c>
      <c r="E8" s="5"/>
    </row>
    <row r="9" spans="1:5" ht="18" customHeight="1">
      <c r="A9" t="s">
        <v>110</v>
      </c>
      <c r="B9" s="5">
        <v>360674</v>
      </c>
      <c r="C9" s="5">
        <v>360674</v>
      </c>
      <c r="D9" s="5"/>
      <c r="E9" s="5"/>
    </row>
    <row r="10" spans="1:5" ht="18" customHeight="1">
      <c r="A10" t="s">
        <v>111</v>
      </c>
      <c r="B10" s="5">
        <v>3026462</v>
      </c>
      <c r="C10" s="5"/>
      <c r="D10" s="5">
        <v>3026462</v>
      </c>
      <c r="E10" s="5"/>
    </row>
    <row r="11" spans="1:5" ht="18" customHeight="1">
      <c r="A11" t="s">
        <v>112</v>
      </c>
      <c r="B11" s="5">
        <v>10823758</v>
      </c>
      <c r="C11" s="5"/>
      <c r="D11" s="5">
        <f>B11</f>
        <v>10823758</v>
      </c>
      <c r="E11" s="5"/>
    </row>
    <row r="12" spans="1:5" ht="18" customHeight="1">
      <c r="A12" t="s">
        <v>113</v>
      </c>
      <c r="B12" s="5">
        <v>747156</v>
      </c>
      <c r="C12" s="5"/>
      <c r="D12" s="5"/>
      <c r="E12" s="5">
        <v>747156</v>
      </c>
    </row>
    <row r="13" spans="1:5" ht="18" customHeight="1">
      <c r="A13" t="s">
        <v>114</v>
      </c>
      <c r="B13" s="5">
        <v>20940</v>
      </c>
      <c r="C13" s="5"/>
      <c r="D13" s="5"/>
      <c r="E13" s="5">
        <v>20940</v>
      </c>
    </row>
    <row r="14" spans="1:5" ht="18" customHeight="1">
      <c r="A14" t="s">
        <v>115</v>
      </c>
      <c r="B14" s="5">
        <v>416747</v>
      </c>
      <c r="C14" s="5"/>
      <c r="D14" s="5">
        <v>416747</v>
      </c>
      <c r="E14" s="5"/>
    </row>
    <row r="15" spans="1:5" ht="18" customHeight="1">
      <c r="A15" s="6" t="s">
        <v>116</v>
      </c>
      <c r="B15" s="3">
        <f>SUM(B4:B14)</f>
        <v>17736500</v>
      </c>
      <c r="C15" s="3">
        <f>SUM(C4:C14)</f>
        <v>2216086.5</v>
      </c>
      <c r="D15" s="3">
        <f>SUM(D4:D14)</f>
        <v>14752317.5</v>
      </c>
      <c r="E15" s="3">
        <f>SUM(E4:E14)</f>
        <v>768096</v>
      </c>
    </row>
    <row r="16" spans="1:5" ht="18" customHeight="1">
      <c r="A16" s="6" t="s">
        <v>19</v>
      </c>
      <c r="C16" s="26">
        <f>C15/B15</f>
        <v>0.12494497223240211</v>
      </c>
      <c r="D16" s="26">
        <f>D15/B15</f>
        <v>0.8317490767626082</v>
      </c>
      <c r="E16" s="26">
        <f>E15/B15</f>
        <v>0.04330595100498971</v>
      </c>
    </row>
    <row r="17" spans="1:5" ht="18" customHeight="1">
      <c r="A17" s="34" t="s">
        <v>117</v>
      </c>
      <c r="C17" s="26"/>
      <c r="D17" s="26"/>
      <c r="E17" s="26"/>
    </row>
    <row r="18" spans="1:5" ht="18" customHeight="1">
      <c r="A18" t="s">
        <v>118</v>
      </c>
      <c r="B18" s="5">
        <v>8245</v>
      </c>
      <c r="C18" s="5">
        <f>C16*B18</f>
        <v>1030.1712960561554</v>
      </c>
      <c r="D18" s="5">
        <f>B18*D16</f>
        <v>6857.7711379077045</v>
      </c>
      <c r="E18" s="5">
        <f>B18*E16</f>
        <v>357.0575660361402</v>
      </c>
    </row>
    <row r="19" spans="1:5" ht="18" customHeight="1">
      <c r="A19" t="s">
        <v>119</v>
      </c>
      <c r="B19" s="5">
        <v>1000</v>
      </c>
      <c r="C19" s="5">
        <f>B19*C16</f>
        <v>124.94497223240211</v>
      </c>
      <c r="D19" s="5">
        <f>B19*D16</f>
        <v>831.7490767626082</v>
      </c>
      <c r="E19" s="5">
        <f>B19*E16</f>
        <v>43.305951004989716</v>
      </c>
    </row>
    <row r="20" spans="1:5" ht="18" customHeight="1">
      <c r="A20" t="s">
        <v>120</v>
      </c>
      <c r="B20" s="5">
        <v>54896</v>
      </c>
      <c r="C20" s="5">
        <f>B20*C16</f>
        <v>6858.979195669946</v>
      </c>
      <c r="D20" s="5">
        <f>B20*D16</f>
        <v>45659.69731796014</v>
      </c>
      <c r="E20" s="5">
        <f>B20*E16</f>
        <v>2377.3234863699154</v>
      </c>
    </row>
    <row r="21" spans="1:5" ht="18" customHeight="1">
      <c r="A21" t="s">
        <v>121</v>
      </c>
      <c r="B21" s="57">
        <v>168756</v>
      </c>
      <c r="C21" s="5">
        <f>B21*C16</f>
        <v>21085.213734051253</v>
      </c>
      <c r="D21" s="5">
        <f>B21*D16</f>
        <v>140362.64719815072</v>
      </c>
      <c r="E21" s="5">
        <f>B21*E16</f>
        <v>7308.1390677980435</v>
      </c>
    </row>
    <row r="22" spans="1:5" ht="18" customHeight="1">
      <c r="A22" t="s">
        <v>122</v>
      </c>
      <c r="B22" s="5">
        <v>123395</v>
      </c>
      <c r="C22" s="5">
        <f>B22*C16</f>
        <v>15417.584848617258</v>
      </c>
      <c r="D22" s="5">
        <f>B22*D16</f>
        <v>102633.67732712204</v>
      </c>
      <c r="E22" s="5">
        <f>B22*E16</f>
        <v>5343.737824260706</v>
      </c>
    </row>
    <row r="23" spans="1:5" ht="18" customHeight="1">
      <c r="A23" t="s">
        <v>123</v>
      </c>
      <c r="B23" s="5">
        <v>32875</v>
      </c>
      <c r="C23" s="5">
        <f>B23*C16</f>
        <v>4107.565962140219</v>
      </c>
      <c r="D23" s="5">
        <f>B23*D16</f>
        <v>27343.750898570746</v>
      </c>
      <c r="E23" s="5">
        <f>B23*E16</f>
        <v>1423.6831392890367</v>
      </c>
    </row>
    <row r="24" spans="1:5" ht="18" customHeight="1">
      <c r="A24" t="s">
        <v>124</v>
      </c>
      <c r="B24" s="5">
        <v>37599</v>
      </c>
      <c r="C24" s="5">
        <f>B24*C16</f>
        <v>4697.806010966087</v>
      </c>
      <c r="D24" s="5">
        <f>B24*D16</f>
        <v>31272.933537197307</v>
      </c>
      <c r="E24" s="5">
        <f>B24*E16</f>
        <v>1628.2604518366081</v>
      </c>
    </row>
    <row r="25" spans="1:5" ht="18" customHeight="1">
      <c r="A25" t="s">
        <v>105</v>
      </c>
      <c r="B25" s="5">
        <v>37303</v>
      </c>
      <c r="C25" s="5">
        <f>B25*C16</f>
        <v>4660.822299185296</v>
      </c>
      <c r="D25" s="5">
        <f>B25*D16</f>
        <v>31026.735810475573</v>
      </c>
      <c r="E25" s="5">
        <f>B25*E16</f>
        <v>1615.4418903391313</v>
      </c>
    </row>
    <row r="26" spans="1:5" ht="18" customHeight="1">
      <c r="A26" t="s">
        <v>106</v>
      </c>
      <c r="B26" s="5">
        <v>58229</v>
      </c>
      <c r="C26" s="5">
        <f>B26*C16</f>
        <v>7275.420788120543</v>
      </c>
      <c r="D26" s="5">
        <f>B26*D16</f>
        <v>48431.916990809914</v>
      </c>
      <c r="E26" s="5">
        <f>B26*E16</f>
        <v>2521.662221069546</v>
      </c>
    </row>
    <row r="27" spans="1:5" ht="29.25" customHeight="1">
      <c r="A27" t="s">
        <v>2</v>
      </c>
      <c r="B27" s="3">
        <f>SUM(B15:B26)</f>
        <v>18258798</v>
      </c>
      <c r="C27" s="3">
        <f>SUM(C15:C26)</f>
        <v>2281345.1340520117</v>
      </c>
      <c r="D27" s="3">
        <f>SUM(D15:D26)</f>
        <v>15186739.211044032</v>
      </c>
      <c r="E27" s="3">
        <f>SUM(E15:E26)</f>
        <v>790714.6549039552</v>
      </c>
    </row>
    <row r="28" spans="1:5" ht="30.75" customHeight="1">
      <c r="A28" t="s">
        <v>19</v>
      </c>
      <c r="B28" s="4">
        <f>SUM(C28:E28)</f>
        <v>1.0000000547681178</v>
      </c>
      <c r="C28" s="7">
        <f>C27/B27</f>
        <v>0.12494497907540308</v>
      </c>
      <c r="D28" s="7">
        <f>D27/B27</f>
        <v>0.8317491223159396</v>
      </c>
      <c r="E28" s="7">
        <f>E27/B27</f>
        <v>0.04330595337677514</v>
      </c>
    </row>
    <row r="29" spans="1:5" ht="28.5" customHeight="1">
      <c r="A29" s="191" t="s">
        <v>125</v>
      </c>
      <c r="B29" s="191"/>
      <c r="C29" s="191"/>
      <c r="D29" s="191"/>
      <c r="E29" s="191"/>
    </row>
  </sheetData>
  <mergeCells count="3">
    <mergeCell ref="A1:E1"/>
    <mergeCell ref="A2:E2"/>
    <mergeCell ref="A29:E29"/>
  </mergeCells>
  <printOptions gridLines="1" horizontalCentered="1"/>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23"/>
  <sheetViews>
    <sheetView workbookViewId="0" topLeftCell="A4">
      <selection activeCell="B21" sqref="B21"/>
    </sheetView>
  </sheetViews>
  <sheetFormatPr defaultColWidth="9.140625" defaultRowHeight="12.75"/>
  <cols>
    <col min="1" max="1" width="30.28125" style="0" customWidth="1"/>
    <col min="2" max="2" width="13.421875" style="0" customWidth="1"/>
    <col min="3" max="3" width="12.7109375" style="0" customWidth="1"/>
    <col min="4" max="4" width="14.57421875" style="0" customWidth="1"/>
    <col min="5" max="5" width="13.28125" style="0" customWidth="1"/>
  </cols>
  <sheetData>
    <row r="1" spans="1:5" ht="33.75" customHeight="1">
      <c r="A1" s="189" t="s">
        <v>0</v>
      </c>
      <c r="B1" s="189"/>
      <c r="C1" s="189"/>
      <c r="D1" s="189"/>
      <c r="E1" s="189"/>
    </row>
    <row r="2" spans="1:5" ht="27.75" customHeight="1">
      <c r="A2" s="189" t="s">
        <v>126</v>
      </c>
      <c r="B2" s="189"/>
      <c r="C2" s="189"/>
      <c r="D2" s="189"/>
      <c r="E2" s="189"/>
    </row>
    <row r="3" spans="3:5" ht="25.5">
      <c r="C3" s="2" t="s">
        <v>3</v>
      </c>
      <c r="D3" s="2" t="s">
        <v>104</v>
      </c>
      <c r="E3" s="2" t="s">
        <v>5</v>
      </c>
    </row>
    <row r="4" spans="1:5" ht="19.5" customHeight="1">
      <c r="A4" t="s">
        <v>106</v>
      </c>
      <c r="B4" s="56">
        <v>28663</v>
      </c>
      <c r="C4" s="3">
        <f>B4</f>
        <v>28663</v>
      </c>
      <c r="D4" s="5"/>
      <c r="E4" s="5"/>
    </row>
    <row r="5" spans="1:5" ht="19.5" customHeight="1">
      <c r="A5" t="s">
        <v>108</v>
      </c>
      <c r="B5" s="57">
        <f>13767+3176</f>
        <v>16943</v>
      </c>
      <c r="C5" s="5">
        <f>B5</f>
        <v>16943</v>
      </c>
      <c r="D5" s="5"/>
      <c r="E5" s="5"/>
    </row>
    <row r="6" spans="1:6" ht="19.5" customHeight="1">
      <c r="A6" t="s">
        <v>109</v>
      </c>
      <c r="B6" s="57">
        <v>5208</v>
      </c>
      <c r="C6" s="5">
        <f>B6</f>
        <v>5208</v>
      </c>
      <c r="D6" s="5"/>
      <c r="E6" s="5"/>
      <c r="F6" s="68">
        <f>86032+4333+3400+21580+32900</f>
        <v>148245</v>
      </c>
    </row>
    <row r="7" spans="1:5" ht="19.5" customHeight="1">
      <c r="A7" t="s">
        <v>110</v>
      </c>
      <c r="B7" s="57">
        <v>12186</v>
      </c>
      <c r="C7" s="5">
        <f>B7</f>
        <v>12186</v>
      </c>
      <c r="D7" s="5"/>
      <c r="E7" s="5"/>
    </row>
    <row r="8" spans="1:5" ht="19.5" customHeight="1">
      <c r="A8" t="s">
        <v>114</v>
      </c>
      <c r="B8" s="57">
        <v>428</v>
      </c>
      <c r="C8" s="5"/>
      <c r="D8" s="5"/>
      <c r="E8" s="5">
        <f>B8</f>
        <v>428</v>
      </c>
    </row>
    <row r="9" spans="1:5" ht="19.5" customHeight="1">
      <c r="A9" t="s">
        <v>111</v>
      </c>
      <c r="B9" s="57">
        <v>72308</v>
      </c>
      <c r="C9" s="5"/>
      <c r="D9" s="5">
        <f>B9</f>
        <v>72308</v>
      </c>
      <c r="E9" s="5"/>
    </row>
    <row r="10" spans="1:5" ht="19.5" customHeight="1">
      <c r="A10" t="s">
        <v>112</v>
      </c>
      <c r="B10" s="57">
        <f>231564+32900-50000-6976</f>
        <v>207488</v>
      </c>
      <c r="C10" s="5"/>
      <c r="D10" s="5">
        <f>B10</f>
        <v>207488</v>
      </c>
      <c r="E10" s="5"/>
    </row>
    <row r="11" spans="1:5" ht="19.5" customHeight="1">
      <c r="A11" t="s">
        <v>127</v>
      </c>
      <c r="B11" s="57">
        <v>21580</v>
      </c>
      <c r="C11" s="5"/>
      <c r="D11" s="5">
        <v>21580</v>
      </c>
      <c r="E11" s="5"/>
    </row>
    <row r="12" spans="1:5" ht="19.5" customHeight="1">
      <c r="A12" t="s">
        <v>128</v>
      </c>
      <c r="B12" s="57">
        <v>86032</v>
      </c>
      <c r="C12" s="5"/>
      <c r="D12" s="5">
        <f>B12</f>
        <v>86032</v>
      </c>
      <c r="E12" s="5"/>
    </row>
    <row r="13" spans="1:5" ht="19.5" customHeight="1">
      <c r="A13" t="s">
        <v>113</v>
      </c>
      <c r="B13" s="57">
        <f>16991+4333+3400</f>
        <v>24724</v>
      </c>
      <c r="C13" s="5"/>
      <c r="D13" s="5"/>
      <c r="E13" s="5">
        <f>B13</f>
        <v>24724</v>
      </c>
    </row>
    <row r="14" spans="1:5" ht="19.5" customHeight="1">
      <c r="A14" t="s">
        <v>115</v>
      </c>
      <c r="B14" s="57">
        <f>35202+9720</f>
        <v>44922</v>
      </c>
      <c r="C14" s="5"/>
      <c r="D14" s="5">
        <f>B14</f>
        <v>44922</v>
      </c>
      <c r="E14" s="5"/>
    </row>
    <row r="15" spans="1:5" ht="19.5" customHeight="1">
      <c r="A15" s="6" t="s">
        <v>116</v>
      </c>
      <c r="B15" s="3">
        <f>SUM(B4:B14)</f>
        <v>520482</v>
      </c>
      <c r="C15" s="3">
        <f>SUM(C4:C14)</f>
        <v>63000</v>
      </c>
      <c r="D15" s="3">
        <f>SUM(D4:D14)</f>
        <v>432330</v>
      </c>
      <c r="E15" s="3">
        <f>SUM(E4:E14)</f>
        <v>25152</v>
      </c>
    </row>
    <row r="16" spans="1:5" ht="19.5" customHeight="1">
      <c r="A16" s="6" t="s">
        <v>19</v>
      </c>
      <c r="C16" s="26">
        <f>C15/B15</f>
        <v>0.12104164985532641</v>
      </c>
      <c r="D16" s="26">
        <f>D15/B15</f>
        <v>0.8306339124119566</v>
      </c>
      <c r="E16" s="26">
        <f>E15/B15</f>
        <v>0.04832443773271698</v>
      </c>
    </row>
    <row r="17" spans="1:5" ht="19.5" customHeight="1">
      <c r="A17" t="s">
        <v>129</v>
      </c>
      <c r="B17" s="57">
        <f>206+25</f>
        <v>231</v>
      </c>
      <c r="C17" s="5">
        <f>B17*C16</f>
        <v>27.960621116580402</v>
      </c>
      <c r="D17" s="5">
        <f>B17*D16</f>
        <v>191.87643376716198</v>
      </c>
      <c r="E17" s="5">
        <f>E16*B17</f>
        <v>11.162945116257623</v>
      </c>
    </row>
    <row r="18" spans="1:5" ht="19.5" customHeight="1">
      <c r="A18" t="s">
        <v>121</v>
      </c>
      <c r="B18" s="57">
        <v>13623</v>
      </c>
      <c r="C18" s="5">
        <f>B18*C16</f>
        <v>1648.9503959791116</v>
      </c>
      <c r="D18" s="5">
        <f>D16*B18</f>
        <v>11315.725788788084</v>
      </c>
      <c r="E18" s="5">
        <f>B18*E16</f>
        <v>658.3238152328034</v>
      </c>
    </row>
    <row r="19" spans="1:5" ht="19.5" customHeight="1">
      <c r="A19" t="s">
        <v>122</v>
      </c>
      <c r="B19" s="57">
        <v>5868</v>
      </c>
      <c r="C19" s="5">
        <f>B19*C16</f>
        <v>710.2724013510554</v>
      </c>
      <c r="D19" s="5">
        <f>B19*D16</f>
        <v>4874.159798033362</v>
      </c>
      <c r="E19" s="5">
        <f>E16*B19</f>
        <v>283.5678006155832</v>
      </c>
    </row>
    <row r="20" spans="1:5" ht="19.5" customHeight="1">
      <c r="A20" t="s">
        <v>105</v>
      </c>
      <c r="B20" s="57">
        <v>105</v>
      </c>
      <c r="C20" s="5">
        <f>B20*C16</f>
        <v>12.709373234809274</v>
      </c>
      <c r="D20" s="5">
        <f>D16*B20</f>
        <v>87.21656080325545</v>
      </c>
      <c r="E20" s="5">
        <f>B20*E16</f>
        <v>5.0740659619352835</v>
      </c>
    </row>
    <row r="21" spans="1:5" ht="19.5" customHeight="1">
      <c r="A21" t="s">
        <v>2</v>
      </c>
      <c r="B21" s="56">
        <f>SUM(B17:B20)+B15</f>
        <v>540309</v>
      </c>
      <c r="C21" s="3">
        <f>SUM(C17:C20)+C15</f>
        <v>65399.89279168156</v>
      </c>
      <c r="D21" s="3">
        <f>SUM(D17:D20)+D15</f>
        <v>448798.97858139186</v>
      </c>
      <c r="E21" s="3">
        <f>SUM(E17:E20)+E15</f>
        <v>26110.12862692658</v>
      </c>
    </row>
    <row r="22" spans="1:5" ht="19.5" customHeight="1">
      <c r="A22" t="s">
        <v>19</v>
      </c>
      <c r="C22" s="26">
        <f>C21/B21</f>
        <v>0.12104164985532641</v>
      </c>
      <c r="D22" s="26">
        <f>D21/B21</f>
        <v>0.8306339124119566</v>
      </c>
      <c r="E22" s="26">
        <f>E21/B21</f>
        <v>0.04832443773271698</v>
      </c>
    </row>
    <row r="23" spans="1:5" ht="51" customHeight="1" hidden="1">
      <c r="A23" s="192"/>
      <c r="B23" s="192"/>
      <c r="C23" s="192"/>
      <c r="D23" s="192"/>
      <c r="E23" s="192"/>
    </row>
  </sheetData>
  <mergeCells count="3">
    <mergeCell ref="A1:E1"/>
    <mergeCell ref="A2:E2"/>
    <mergeCell ref="A23:E23"/>
  </mergeCells>
  <printOptions gridLines="1"/>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X62"/>
  <sheetViews>
    <sheetView workbookViewId="0" topLeftCell="A45">
      <selection activeCell="B21" sqref="B21"/>
    </sheetView>
  </sheetViews>
  <sheetFormatPr defaultColWidth="9.140625" defaultRowHeight="12.75"/>
  <cols>
    <col min="1" max="1" width="8.8515625" style="0" customWidth="1"/>
    <col min="2" max="2" width="12.8515625" style="4" customWidth="1"/>
    <col min="3" max="3" width="11.57421875" style="4" customWidth="1"/>
    <col min="4" max="4" width="9.28125" style="4" customWidth="1"/>
    <col min="5" max="5" width="11.140625" style="4" customWidth="1"/>
    <col min="6" max="6" width="14.7109375" style="4" customWidth="1"/>
    <col min="7" max="7" width="13.57421875" style="4" customWidth="1"/>
    <col min="8" max="8" width="11.28125" style="4" customWidth="1"/>
    <col min="9" max="9" width="12.8515625" style="4" customWidth="1"/>
    <col min="10" max="10" width="14.00390625" style="4" customWidth="1"/>
    <col min="11" max="11" width="12.8515625" style="4" customWidth="1"/>
    <col min="12" max="12" width="11.00390625" style="4" customWidth="1"/>
    <col min="13" max="14" width="9.140625" style="4" customWidth="1"/>
    <col min="15" max="15" width="11.28125" style="4" customWidth="1"/>
    <col min="16" max="16" width="11.00390625" style="4" customWidth="1"/>
    <col min="17" max="18" width="9.140625" style="4" customWidth="1"/>
  </cols>
  <sheetData>
    <row r="1" spans="1:9" s="58" customFormat="1" ht="11.25" customHeight="1">
      <c r="A1" s="95"/>
      <c r="B1" s="185" t="s">
        <v>88</v>
      </c>
      <c r="C1" s="186"/>
      <c r="D1" s="186"/>
      <c r="E1" s="198"/>
      <c r="F1" s="185" t="s">
        <v>130</v>
      </c>
      <c r="G1" s="186"/>
      <c r="H1" s="186"/>
      <c r="I1" s="198"/>
    </row>
    <row r="2" spans="1:9" s="62" customFormat="1" ht="26.25" customHeight="1" thickBot="1">
      <c r="A2" s="96"/>
      <c r="B2" s="59" t="s">
        <v>131</v>
      </c>
      <c r="C2" s="60" t="s">
        <v>132</v>
      </c>
      <c r="D2" s="60" t="s">
        <v>133</v>
      </c>
      <c r="E2" s="61" t="s">
        <v>134</v>
      </c>
      <c r="F2" s="59" t="s">
        <v>131</v>
      </c>
      <c r="G2" s="60" t="s">
        <v>132</v>
      </c>
      <c r="H2" s="60" t="s">
        <v>133</v>
      </c>
      <c r="I2" s="61" t="s">
        <v>134</v>
      </c>
    </row>
    <row r="3" spans="1:18" ht="12" customHeight="1" thickTop="1">
      <c r="A3" s="97">
        <v>18</v>
      </c>
      <c r="B3" s="98"/>
      <c r="C3" s="99"/>
      <c r="D3" s="99">
        <f>SUM(B3:C3)/5280</f>
        <v>0</v>
      </c>
      <c r="E3" s="100">
        <f>D3*$A3</f>
        <v>0</v>
      </c>
      <c r="F3" s="98"/>
      <c r="G3" s="99"/>
      <c r="H3" s="99">
        <f aca="true" t="shared" si="0" ref="H3:H12">SUM(F3:G3)/5280</f>
        <v>0</v>
      </c>
      <c r="I3" s="100">
        <f aca="true" t="shared" si="1" ref="I3:I12">H3*$A3</f>
        <v>0</v>
      </c>
      <c r="J3"/>
      <c r="K3"/>
      <c r="L3"/>
      <c r="M3"/>
      <c r="N3"/>
      <c r="O3"/>
      <c r="P3"/>
      <c r="Q3"/>
      <c r="R3"/>
    </row>
    <row r="4" spans="1:18" ht="12" customHeight="1">
      <c r="A4" s="101">
        <v>16</v>
      </c>
      <c r="B4" s="102">
        <v>19900</v>
      </c>
      <c r="C4" s="103"/>
      <c r="D4" s="103">
        <f>SUM(B4:C4)/5280</f>
        <v>3.768939393939394</v>
      </c>
      <c r="E4" s="104">
        <f>D4*$A4</f>
        <v>60.303030303030305</v>
      </c>
      <c r="F4" s="102"/>
      <c r="G4" s="103"/>
      <c r="H4" s="103">
        <f t="shared" si="0"/>
        <v>0</v>
      </c>
      <c r="I4" s="104">
        <f t="shared" si="1"/>
        <v>0</v>
      </c>
      <c r="J4"/>
      <c r="K4"/>
      <c r="L4"/>
      <c r="M4"/>
      <c r="N4"/>
      <c r="O4"/>
      <c r="P4"/>
      <c r="Q4"/>
      <c r="R4"/>
    </row>
    <row r="5" spans="1:18" ht="12" customHeight="1">
      <c r="A5" s="101">
        <v>12</v>
      </c>
      <c r="B5" s="102"/>
      <c r="C5" s="103"/>
      <c r="D5" s="103">
        <f aca="true" t="shared" si="2" ref="D5:D12">SUM(B5:C5)/5280</f>
        <v>0</v>
      </c>
      <c r="E5" s="104">
        <f aca="true" t="shared" si="3" ref="E5:E12">D5*$A5</f>
        <v>0</v>
      </c>
      <c r="F5" s="102"/>
      <c r="G5" s="103"/>
      <c r="H5" s="103">
        <f t="shared" si="0"/>
        <v>0</v>
      </c>
      <c r="I5" s="104">
        <f t="shared" si="1"/>
        <v>0</v>
      </c>
      <c r="J5"/>
      <c r="K5"/>
      <c r="L5"/>
      <c r="M5"/>
      <c r="N5"/>
      <c r="O5"/>
      <c r="P5"/>
      <c r="Q5"/>
      <c r="R5"/>
    </row>
    <row r="6" spans="1:18" ht="12" customHeight="1">
      <c r="A6" s="101">
        <v>10</v>
      </c>
      <c r="B6" s="102">
        <v>49300</v>
      </c>
      <c r="C6" s="103"/>
      <c r="D6" s="103">
        <f t="shared" si="2"/>
        <v>9.337121212121213</v>
      </c>
      <c r="E6" s="104">
        <f t="shared" si="3"/>
        <v>93.37121212121212</v>
      </c>
      <c r="F6" s="102">
        <v>4700</v>
      </c>
      <c r="G6" s="103"/>
      <c r="H6" s="103">
        <f t="shared" si="0"/>
        <v>0.8901515151515151</v>
      </c>
      <c r="I6" s="104">
        <f t="shared" si="1"/>
        <v>8.901515151515152</v>
      </c>
      <c r="J6"/>
      <c r="K6"/>
      <c r="L6"/>
      <c r="M6"/>
      <c r="N6"/>
      <c r="O6"/>
      <c r="P6"/>
      <c r="Q6"/>
      <c r="R6"/>
    </row>
    <row r="7" spans="1:18" ht="12" customHeight="1">
      <c r="A7" s="101">
        <v>8</v>
      </c>
      <c r="B7" s="102">
        <v>64100</v>
      </c>
      <c r="C7" s="103">
        <v>41800</v>
      </c>
      <c r="D7" s="103">
        <f t="shared" si="2"/>
        <v>20.056818181818183</v>
      </c>
      <c r="E7" s="104">
        <f t="shared" si="3"/>
        <v>160.45454545454547</v>
      </c>
      <c r="F7" s="102">
        <v>61200</v>
      </c>
      <c r="G7" s="103">
        <v>162100</v>
      </c>
      <c r="H7" s="103">
        <f t="shared" si="0"/>
        <v>42.291666666666664</v>
      </c>
      <c r="I7" s="104">
        <f t="shared" si="1"/>
        <v>338.3333333333333</v>
      </c>
      <c r="J7"/>
      <c r="K7"/>
      <c r="L7"/>
      <c r="M7"/>
      <c r="N7"/>
      <c r="O7"/>
      <c r="P7"/>
      <c r="Q7"/>
      <c r="R7"/>
    </row>
    <row r="8" spans="1:18" ht="12" customHeight="1">
      <c r="A8" s="101">
        <v>6</v>
      </c>
      <c r="B8" s="102"/>
      <c r="C8" s="103">
        <v>13200</v>
      </c>
      <c r="D8" s="103">
        <f t="shared" si="2"/>
        <v>2.5</v>
      </c>
      <c r="E8" s="104">
        <f t="shared" si="3"/>
        <v>15</v>
      </c>
      <c r="F8" s="102">
        <v>15100</v>
      </c>
      <c r="G8" s="103">
        <v>59700</v>
      </c>
      <c r="H8" s="103">
        <f t="shared" si="0"/>
        <v>14.166666666666666</v>
      </c>
      <c r="I8" s="104">
        <f t="shared" si="1"/>
        <v>85</v>
      </c>
      <c r="J8"/>
      <c r="K8"/>
      <c r="L8"/>
      <c r="M8"/>
      <c r="N8"/>
      <c r="O8"/>
      <c r="P8"/>
      <c r="Q8"/>
      <c r="R8"/>
    </row>
    <row r="9" spans="1:18" ht="12" customHeight="1">
      <c r="A9" s="101">
        <v>4</v>
      </c>
      <c r="B9" s="102"/>
      <c r="C9" s="103">
        <v>11300</v>
      </c>
      <c r="D9" s="103">
        <f t="shared" si="2"/>
        <v>2.140151515151515</v>
      </c>
      <c r="E9" s="104">
        <f t="shared" si="3"/>
        <v>8.56060606060606</v>
      </c>
      <c r="F9" s="102">
        <v>39900</v>
      </c>
      <c r="G9" s="103">
        <v>61400</v>
      </c>
      <c r="H9" s="103">
        <f t="shared" si="0"/>
        <v>19.185606060606062</v>
      </c>
      <c r="I9" s="104">
        <f t="shared" si="1"/>
        <v>76.74242424242425</v>
      </c>
      <c r="J9"/>
      <c r="K9"/>
      <c r="L9"/>
      <c r="M9"/>
      <c r="N9"/>
      <c r="O9"/>
      <c r="P9"/>
      <c r="Q9"/>
      <c r="R9"/>
    </row>
    <row r="10" spans="1:18" ht="12" customHeight="1">
      <c r="A10" s="101">
        <v>3</v>
      </c>
      <c r="B10" s="102"/>
      <c r="C10" s="103"/>
      <c r="D10" s="103">
        <f t="shared" si="2"/>
        <v>0</v>
      </c>
      <c r="E10" s="104">
        <f t="shared" si="3"/>
        <v>0</v>
      </c>
      <c r="F10" s="102">
        <v>11300</v>
      </c>
      <c r="G10" s="103">
        <v>17300</v>
      </c>
      <c r="H10" s="103">
        <f t="shared" si="0"/>
        <v>5.416666666666667</v>
      </c>
      <c r="I10" s="104">
        <f t="shared" si="1"/>
        <v>16.25</v>
      </c>
      <c r="J10"/>
      <c r="K10"/>
      <c r="L10"/>
      <c r="M10"/>
      <c r="N10"/>
      <c r="O10"/>
      <c r="P10"/>
      <c r="Q10"/>
      <c r="R10"/>
    </row>
    <row r="11" spans="1:18" ht="12" customHeight="1">
      <c r="A11" s="101">
        <v>2</v>
      </c>
      <c r="B11" s="102"/>
      <c r="C11" s="103"/>
      <c r="D11" s="103">
        <f t="shared" si="2"/>
        <v>0</v>
      </c>
      <c r="E11" s="104">
        <f t="shared" si="3"/>
        <v>0</v>
      </c>
      <c r="F11" s="102"/>
      <c r="G11" s="103">
        <v>10500</v>
      </c>
      <c r="H11" s="103">
        <f t="shared" si="0"/>
        <v>1.9886363636363635</v>
      </c>
      <c r="I11" s="104">
        <f t="shared" si="1"/>
        <v>3.977272727272727</v>
      </c>
      <c r="J11"/>
      <c r="K11"/>
      <c r="L11"/>
      <c r="M11"/>
      <c r="N11"/>
      <c r="O11"/>
      <c r="P11"/>
      <c r="Q11"/>
      <c r="R11"/>
    </row>
    <row r="12" spans="1:18" ht="12" customHeight="1">
      <c r="A12" s="105">
        <v>1</v>
      </c>
      <c r="B12" s="106"/>
      <c r="C12" s="107"/>
      <c r="D12" s="107">
        <f t="shared" si="2"/>
        <v>0</v>
      </c>
      <c r="E12" s="108">
        <f t="shared" si="3"/>
        <v>0</v>
      </c>
      <c r="F12" s="106"/>
      <c r="G12" s="107"/>
      <c r="H12" s="107">
        <f t="shared" si="0"/>
        <v>0</v>
      </c>
      <c r="I12" s="108">
        <f t="shared" si="1"/>
        <v>0</v>
      </c>
      <c r="J12"/>
      <c r="K12"/>
      <c r="L12"/>
      <c r="M12"/>
      <c r="N12"/>
      <c r="O12"/>
      <c r="P12"/>
      <c r="Q12"/>
      <c r="R12"/>
    </row>
    <row r="13" spans="1:18" ht="12" customHeight="1" thickBot="1">
      <c r="A13" s="109"/>
      <c r="B13" s="110">
        <f>SUM(B3:B12)</f>
        <v>133300</v>
      </c>
      <c r="C13" s="111">
        <f aca="true" t="shared" si="4" ref="C13:I13">SUM(C3:C12)</f>
        <v>66300</v>
      </c>
      <c r="D13" s="111">
        <f t="shared" si="4"/>
        <v>37.803030303030305</v>
      </c>
      <c r="E13" s="112">
        <f t="shared" si="4"/>
        <v>337.68939393939394</v>
      </c>
      <c r="F13" s="110">
        <f t="shared" si="4"/>
        <v>132200</v>
      </c>
      <c r="G13" s="111">
        <f t="shared" si="4"/>
        <v>311000</v>
      </c>
      <c r="H13" s="111">
        <f t="shared" si="4"/>
        <v>83.93939393939394</v>
      </c>
      <c r="I13" s="112">
        <f t="shared" si="4"/>
        <v>529.2045454545455</v>
      </c>
      <c r="J13"/>
      <c r="K13"/>
      <c r="L13"/>
      <c r="M13"/>
      <c r="N13"/>
      <c r="O13"/>
      <c r="P13"/>
      <c r="Q13"/>
      <c r="R13"/>
    </row>
    <row r="14" spans="1:18" ht="12.75">
      <c r="A14" s="95"/>
      <c r="B14" s="185" t="s">
        <v>89</v>
      </c>
      <c r="C14" s="186"/>
      <c r="D14" s="186"/>
      <c r="E14" s="198"/>
      <c r="F14" s="185" t="s">
        <v>135</v>
      </c>
      <c r="G14" s="186"/>
      <c r="H14" s="186"/>
      <c r="I14" s="198"/>
      <c r="Q14"/>
      <c r="R14"/>
    </row>
    <row r="15" spans="1:18" ht="26.25" thickBot="1">
      <c r="A15" s="96"/>
      <c r="B15" s="59" t="s">
        <v>131</v>
      </c>
      <c r="C15" s="60" t="s">
        <v>132</v>
      </c>
      <c r="D15" s="60" t="s">
        <v>133</v>
      </c>
      <c r="E15" s="61" t="s">
        <v>134</v>
      </c>
      <c r="F15" s="59" t="s">
        <v>131</v>
      </c>
      <c r="G15" s="60" t="s">
        <v>132</v>
      </c>
      <c r="H15" s="60" t="s">
        <v>133</v>
      </c>
      <c r="I15" s="61" t="s">
        <v>134</v>
      </c>
      <c r="Q15"/>
      <c r="R15"/>
    </row>
    <row r="16" spans="1:18" ht="12" customHeight="1" thickTop="1">
      <c r="A16" s="97">
        <v>18</v>
      </c>
      <c r="B16" s="98">
        <f>30300</f>
        <v>30300</v>
      </c>
      <c r="C16" s="99"/>
      <c r="D16" s="99">
        <f aca="true" t="shared" si="5" ref="D16:D25">SUM(B16:C16)/5280</f>
        <v>5.738636363636363</v>
      </c>
      <c r="E16" s="100">
        <f>D16*$A16</f>
        <v>103.29545454545453</v>
      </c>
      <c r="F16" s="98"/>
      <c r="G16" s="99"/>
      <c r="H16" s="99">
        <f aca="true" t="shared" si="6" ref="H16:H25">SUM(F16:G16)/5280</f>
        <v>0</v>
      </c>
      <c r="I16" s="100">
        <f>H16*$A16</f>
        <v>0</v>
      </c>
      <c r="Q16"/>
      <c r="R16"/>
    </row>
    <row r="17" spans="1:18" ht="12" customHeight="1">
      <c r="A17" s="101">
        <v>16</v>
      </c>
      <c r="B17" s="102">
        <f>27500+2300+21500</f>
        <v>51300</v>
      </c>
      <c r="C17" s="103"/>
      <c r="D17" s="103">
        <f t="shared" si="5"/>
        <v>9.715909090909092</v>
      </c>
      <c r="E17" s="104">
        <f aca="true" t="shared" si="7" ref="E17:E25">D17*$A17</f>
        <v>155.45454545454547</v>
      </c>
      <c r="F17" s="102"/>
      <c r="G17" s="103"/>
      <c r="H17" s="103">
        <f t="shared" si="6"/>
        <v>0</v>
      </c>
      <c r="I17" s="104">
        <f aca="true" t="shared" si="8" ref="I17:I25">H17*$A17</f>
        <v>0</v>
      </c>
      <c r="Q17"/>
      <c r="R17"/>
    </row>
    <row r="18" spans="1:18" ht="12" customHeight="1">
      <c r="A18" s="101">
        <v>12</v>
      </c>
      <c r="B18" s="102">
        <f>47900</f>
        <v>47900</v>
      </c>
      <c r="C18" s="103"/>
      <c r="D18" s="103">
        <f t="shared" si="5"/>
        <v>9.071969696969697</v>
      </c>
      <c r="E18" s="104">
        <f t="shared" si="7"/>
        <v>108.86363636363637</v>
      </c>
      <c r="F18" s="102"/>
      <c r="G18" s="103"/>
      <c r="H18" s="103">
        <f t="shared" si="6"/>
        <v>0</v>
      </c>
      <c r="I18" s="104">
        <f t="shared" si="8"/>
        <v>0</v>
      </c>
      <c r="Q18"/>
      <c r="R18"/>
    </row>
    <row r="19" spans="1:18" ht="12" customHeight="1">
      <c r="A19" s="101">
        <v>10</v>
      </c>
      <c r="B19" s="102">
        <f>1600</f>
        <v>1600</v>
      </c>
      <c r="C19" s="103"/>
      <c r="D19" s="103">
        <f t="shared" si="5"/>
        <v>0.30303030303030304</v>
      </c>
      <c r="E19" s="104">
        <f t="shared" si="7"/>
        <v>3.0303030303030303</v>
      </c>
      <c r="F19" s="102"/>
      <c r="G19" s="103"/>
      <c r="H19" s="103">
        <f t="shared" si="6"/>
        <v>0</v>
      </c>
      <c r="I19" s="104">
        <f t="shared" si="8"/>
        <v>0</v>
      </c>
      <c r="Q19"/>
      <c r="R19"/>
    </row>
    <row r="20" spans="1:18" ht="12" customHeight="1">
      <c r="A20" s="101">
        <v>8</v>
      </c>
      <c r="B20" s="102"/>
      <c r="C20" s="103">
        <f>24200+4300+20800+23000</f>
        <v>72300</v>
      </c>
      <c r="D20" s="103">
        <f t="shared" si="5"/>
        <v>13.693181818181818</v>
      </c>
      <c r="E20" s="104">
        <f t="shared" si="7"/>
        <v>109.54545454545455</v>
      </c>
      <c r="F20" s="102"/>
      <c r="G20" s="103"/>
      <c r="H20" s="103">
        <f t="shared" si="6"/>
        <v>0</v>
      </c>
      <c r="I20" s="104">
        <f t="shared" si="8"/>
        <v>0</v>
      </c>
      <c r="Q20"/>
      <c r="R20"/>
    </row>
    <row r="21" spans="1:18" ht="12" customHeight="1">
      <c r="A21" s="101">
        <v>6</v>
      </c>
      <c r="B21" s="233">
        <f>35600+15600+18200+20500</f>
        <v>89900</v>
      </c>
      <c r="C21" s="103">
        <f>20000</f>
        <v>20000</v>
      </c>
      <c r="D21" s="103">
        <f t="shared" si="5"/>
        <v>20.814393939393938</v>
      </c>
      <c r="E21" s="104">
        <f t="shared" si="7"/>
        <v>124.88636363636363</v>
      </c>
      <c r="F21" s="102">
        <v>48500</v>
      </c>
      <c r="G21" s="103"/>
      <c r="H21" s="103">
        <f t="shared" si="6"/>
        <v>9.18560606060606</v>
      </c>
      <c r="I21" s="104">
        <f t="shared" si="8"/>
        <v>55.11363636363636</v>
      </c>
      <c r="Q21"/>
      <c r="R21"/>
    </row>
    <row r="22" spans="1:18" ht="12" customHeight="1">
      <c r="A22" s="101">
        <v>4</v>
      </c>
      <c r="B22" s="102">
        <f>37100</f>
        <v>37100</v>
      </c>
      <c r="C22" s="103">
        <f>15419+4100+7900</f>
        <v>27419</v>
      </c>
      <c r="D22" s="103">
        <f t="shared" si="5"/>
        <v>12.219507575757575</v>
      </c>
      <c r="E22" s="104">
        <f t="shared" si="7"/>
        <v>48.8780303030303</v>
      </c>
      <c r="F22" s="102">
        <v>3400</v>
      </c>
      <c r="G22" s="103"/>
      <c r="H22" s="103">
        <f t="shared" si="6"/>
        <v>0.6439393939393939</v>
      </c>
      <c r="I22" s="104">
        <f t="shared" si="8"/>
        <v>2.5757575757575757</v>
      </c>
      <c r="Q22"/>
      <c r="R22"/>
    </row>
    <row r="23" spans="1:18" ht="12" customHeight="1">
      <c r="A23" s="101">
        <v>3</v>
      </c>
      <c r="B23" s="102">
        <f>10900</f>
        <v>10900</v>
      </c>
      <c r="C23" s="103">
        <f>10500+37000</f>
        <v>47500</v>
      </c>
      <c r="D23" s="103">
        <f t="shared" si="5"/>
        <v>11.06060606060606</v>
      </c>
      <c r="E23" s="104">
        <f t="shared" si="7"/>
        <v>33.18181818181818</v>
      </c>
      <c r="F23" s="102"/>
      <c r="G23" s="103"/>
      <c r="H23" s="103">
        <f t="shared" si="6"/>
        <v>0</v>
      </c>
      <c r="I23" s="104">
        <f t="shared" si="8"/>
        <v>0</v>
      </c>
      <c r="Q23"/>
      <c r="R23"/>
    </row>
    <row r="24" spans="1:18" ht="12" customHeight="1">
      <c r="A24" s="101">
        <v>2</v>
      </c>
      <c r="B24" s="102"/>
      <c r="C24" s="103">
        <f>5100</f>
        <v>5100</v>
      </c>
      <c r="D24" s="103">
        <f t="shared" si="5"/>
        <v>0.9659090909090909</v>
      </c>
      <c r="E24" s="104">
        <f t="shared" si="7"/>
        <v>1.9318181818181819</v>
      </c>
      <c r="F24" s="102"/>
      <c r="G24" s="103"/>
      <c r="H24" s="103">
        <f t="shared" si="6"/>
        <v>0</v>
      </c>
      <c r="I24" s="104">
        <f t="shared" si="8"/>
        <v>0</v>
      </c>
      <c r="Q24"/>
      <c r="R24"/>
    </row>
    <row r="25" spans="1:18" ht="12" customHeight="1">
      <c r="A25" s="101">
        <v>1</v>
      </c>
      <c r="B25" s="106"/>
      <c r="C25" s="107"/>
      <c r="D25" s="107">
        <f t="shared" si="5"/>
        <v>0</v>
      </c>
      <c r="E25" s="108">
        <f t="shared" si="7"/>
        <v>0</v>
      </c>
      <c r="F25" s="106"/>
      <c r="G25" s="107"/>
      <c r="H25" s="107">
        <f t="shared" si="6"/>
        <v>0</v>
      </c>
      <c r="I25" s="108">
        <f t="shared" si="8"/>
        <v>0</v>
      </c>
      <c r="Q25"/>
      <c r="R25"/>
    </row>
    <row r="26" spans="1:18" ht="12" customHeight="1" thickBot="1">
      <c r="A26" s="109"/>
      <c r="B26" s="110">
        <f>SUM(B16:B25)</f>
        <v>269000</v>
      </c>
      <c r="C26" s="111">
        <f aca="true" t="shared" si="9" ref="C26:I26">SUM(C16:C25)</f>
        <v>172319</v>
      </c>
      <c r="D26" s="111">
        <f t="shared" si="9"/>
        <v>83.58314393939395</v>
      </c>
      <c r="E26" s="112">
        <f t="shared" si="9"/>
        <v>689.0674242424241</v>
      </c>
      <c r="F26" s="110">
        <f t="shared" si="9"/>
        <v>51900</v>
      </c>
      <c r="G26" s="111">
        <f t="shared" si="9"/>
        <v>0</v>
      </c>
      <c r="H26" s="111">
        <f t="shared" si="9"/>
        <v>9.829545454545455</v>
      </c>
      <c r="I26" s="113">
        <f t="shared" si="9"/>
        <v>57.68939393939394</v>
      </c>
      <c r="K26" s="114"/>
      <c r="Q26"/>
      <c r="R26"/>
    </row>
    <row r="27" spans="1:7" ht="12.75">
      <c r="A27" s="199" t="s">
        <v>136</v>
      </c>
      <c r="B27" s="200"/>
      <c r="C27" s="200"/>
      <c r="D27" s="200"/>
      <c r="E27" s="200"/>
      <c r="F27" s="200"/>
      <c r="G27" s="201"/>
    </row>
    <row r="28" spans="1:7" ht="12.75">
      <c r="A28" s="115"/>
      <c r="B28" s="116"/>
      <c r="C28" s="116"/>
      <c r="D28" s="116"/>
      <c r="E28" s="116"/>
      <c r="F28" s="117"/>
      <c r="G28" s="118"/>
    </row>
    <row r="29" spans="1:7" ht="26.25" thickBot="1">
      <c r="A29" s="119"/>
      <c r="B29" s="120" t="s">
        <v>131</v>
      </c>
      <c r="C29" s="120" t="s">
        <v>132</v>
      </c>
      <c r="D29" s="120" t="s">
        <v>133</v>
      </c>
      <c r="E29" s="120" t="s">
        <v>165</v>
      </c>
      <c r="F29" s="121" t="s">
        <v>166</v>
      </c>
      <c r="G29" s="122" t="s">
        <v>167</v>
      </c>
    </row>
    <row r="30" spans="1:7" ht="13.5" thickTop="1">
      <c r="A30" s="123">
        <v>18</v>
      </c>
      <c r="B30" s="99">
        <f aca="true" t="shared" si="10" ref="B30:B39">B3+F3+B16+F16</f>
        <v>30300</v>
      </c>
      <c r="C30" s="99">
        <f aca="true" t="shared" si="11" ref="C30:C39">C3+G3+C16+G16</f>
        <v>0</v>
      </c>
      <c r="D30" s="99">
        <f aca="true" t="shared" si="12" ref="D30:D39">SUM(B30:C30)/5280</f>
        <v>5.738636363636363</v>
      </c>
      <c r="E30" s="99">
        <f>(B30/5280)*A30</f>
        <v>103.29545454545453</v>
      </c>
      <c r="F30" s="117">
        <f>(C30/5280)*A30</f>
        <v>0</v>
      </c>
      <c r="G30" s="100">
        <f aca="true" t="shared" si="13" ref="G30:G39">D30*$A30</f>
        <v>103.29545454545453</v>
      </c>
    </row>
    <row r="31" spans="1:7" ht="12.75">
      <c r="A31" s="124">
        <v>16</v>
      </c>
      <c r="B31" s="103">
        <f t="shared" si="10"/>
        <v>71200</v>
      </c>
      <c r="C31" s="103">
        <f t="shared" si="11"/>
        <v>0</v>
      </c>
      <c r="D31" s="103">
        <f t="shared" si="12"/>
        <v>13.484848484848484</v>
      </c>
      <c r="E31" s="103">
        <f aca="true" t="shared" si="14" ref="E31:E39">(B31/5280)*A31</f>
        <v>215.75757575757575</v>
      </c>
      <c r="F31" s="125">
        <f aca="true" t="shared" si="15" ref="F31:F39">(C31/5280)*A31</f>
        <v>0</v>
      </c>
      <c r="G31" s="104">
        <f t="shared" si="13"/>
        <v>215.75757575757575</v>
      </c>
    </row>
    <row r="32" spans="1:7" ht="12.75">
      <c r="A32" s="124">
        <v>12</v>
      </c>
      <c r="B32" s="103">
        <f t="shared" si="10"/>
        <v>47900</v>
      </c>
      <c r="C32" s="103">
        <f t="shared" si="11"/>
        <v>0</v>
      </c>
      <c r="D32" s="103">
        <f t="shared" si="12"/>
        <v>9.071969696969697</v>
      </c>
      <c r="E32" s="103">
        <f t="shared" si="14"/>
        <v>108.86363636363637</v>
      </c>
      <c r="F32" s="125">
        <f t="shared" si="15"/>
        <v>0</v>
      </c>
      <c r="G32" s="104">
        <f t="shared" si="13"/>
        <v>108.86363636363637</v>
      </c>
    </row>
    <row r="33" spans="1:7" ht="12.75">
      <c r="A33" s="124">
        <v>10</v>
      </c>
      <c r="B33" s="103">
        <f t="shared" si="10"/>
        <v>55600</v>
      </c>
      <c r="C33" s="103">
        <f t="shared" si="11"/>
        <v>0</v>
      </c>
      <c r="D33" s="103">
        <f t="shared" si="12"/>
        <v>10.530303030303031</v>
      </c>
      <c r="E33" s="103">
        <f t="shared" si="14"/>
        <v>105.30303030303031</v>
      </c>
      <c r="F33" s="125">
        <f t="shared" si="15"/>
        <v>0</v>
      </c>
      <c r="G33" s="104">
        <f t="shared" si="13"/>
        <v>105.30303030303031</v>
      </c>
    </row>
    <row r="34" spans="1:7" ht="12.75">
      <c r="A34" s="124">
        <v>8</v>
      </c>
      <c r="B34" s="103">
        <f t="shared" si="10"/>
        <v>125300</v>
      </c>
      <c r="C34" s="103">
        <f t="shared" si="11"/>
        <v>276200</v>
      </c>
      <c r="D34" s="103">
        <f t="shared" si="12"/>
        <v>76.04166666666667</v>
      </c>
      <c r="E34" s="103">
        <f t="shared" si="14"/>
        <v>189.84848484848484</v>
      </c>
      <c r="F34" s="125">
        <f t="shared" si="15"/>
        <v>418.4848484848485</v>
      </c>
      <c r="G34" s="104">
        <f t="shared" si="13"/>
        <v>608.3333333333334</v>
      </c>
    </row>
    <row r="35" spans="1:7" ht="12.75">
      <c r="A35" s="124">
        <v>6</v>
      </c>
      <c r="B35" s="103">
        <f t="shared" si="10"/>
        <v>153500</v>
      </c>
      <c r="C35" s="103">
        <f t="shared" si="11"/>
        <v>92900</v>
      </c>
      <c r="D35" s="103">
        <f t="shared" si="12"/>
        <v>46.666666666666664</v>
      </c>
      <c r="E35" s="103">
        <f t="shared" si="14"/>
        <v>174.4318181818182</v>
      </c>
      <c r="F35" s="125">
        <f t="shared" si="15"/>
        <v>105.56818181818181</v>
      </c>
      <c r="G35" s="104">
        <f t="shared" si="13"/>
        <v>280</v>
      </c>
    </row>
    <row r="36" spans="1:7" ht="12.75">
      <c r="A36" s="124">
        <v>4</v>
      </c>
      <c r="B36" s="103">
        <f t="shared" si="10"/>
        <v>80400</v>
      </c>
      <c r="C36" s="103">
        <f t="shared" si="11"/>
        <v>100119</v>
      </c>
      <c r="D36" s="103">
        <f t="shared" si="12"/>
        <v>34.189204545454544</v>
      </c>
      <c r="E36" s="103">
        <f t="shared" si="14"/>
        <v>60.90909090909091</v>
      </c>
      <c r="F36" s="125">
        <f t="shared" si="15"/>
        <v>75.84772727272727</v>
      </c>
      <c r="G36" s="104">
        <f t="shared" si="13"/>
        <v>136.75681818181818</v>
      </c>
    </row>
    <row r="37" spans="1:7" ht="12.75">
      <c r="A37" s="124">
        <v>3</v>
      </c>
      <c r="B37" s="103">
        <f t="shared" si="10"/>
        <v>22200</v>
      </c>
      <c r="C37" s="103">
        <f t="shared" si="11"/>
        <v>64800</v>
      </c>
      <c r="D37" s="103">
        <f t="shared" si="12"/>
        <v>16.477272727272727</v>
      </c>
      <c r="E37" s="103">
        <f t="shared" si="14"/>
        <v>12.613636363636363</v>
      </c>
      <c r="F37" s="125">
        <f t="shared" si="15"/>
        <v>36.81818181818182</v>
      </c>
      <c r="G37" s="104">
        <f t="shared" si="13"/>
        <v>49.43181818181818</v>
      </c>
    </row>
    <row r="38" spans="1:7" ht="12.75">
      <c r="A38" s="124">
        <v>2</v>
      </c>
      <c r="B38" s="103">
        <f t="shared" si="10"/>
        <v>0</v>
      </c>
      <c r="C38" s="103">
        <f t="shared" si="11"/>
        <v>15600</v>
      </c>
      <c r="D38" s="103">
        <f t="shared" si="12"/>
        <v>2.9545454545454546</v>
      </c>
      <c r="E38" s="103">
        <f t="shared" si="14"/>
        <v>0</v>
      </c>
      <c r="F38" s="125">
        <f t="shared" si="15"/>
        <v>5.909090909090909</v>
      </c>
      <c r="G38" s="104">
        <f t="shared" si="13"/>
        <v>5.909090909090909</v>
      </c>
    </row>
    <row r="39" spans="1:7" ht="12.75">
      <c r="A39" s="126">
        <v>1</v>
      </c>
      <c r="B39" s="107">
        <f t="shared" si="10"/>
        <v>0</v>
      </c>
      <c r="C39" s="107">
        <f t="shared" si="11"/>
        <v>0</v>
      </c>
      <c r="D39" s="107">
        <f t="shared" si="12"/>
        <v>0</v>
      </c>
      <c r="E39" s="107">
        <f t="shared" si="14"/>
        <v>0</v>
      </c>
      <c r="F39" s="127">
        <f t="shared" si="15"/>
        <v>0</v>
      </c>
      <c r="G39" s="108">
        <f t="shared" si="13"/>
        <v>0</v>
      </c>
    </row>
    <row r="40" spans="1:7" ht="13.5" thickBot="1">
      <c r="A40" s="128"/>
      <c r="B40" s="129">
        <f aca="true" t="shared" si="16" ref="B40:G40">SUM(B30:B39)</f>
        <v>586400</v>
      </c>
      <c r="C40" s="129">
        <f t="shared" si="16"/>
        <v>549619</v>
      </c>
      <c r="D40" s="129">
        <f t="shared" si="16"/>
        <v>215.15511363636364</v>
      </c>
      <c r="E40" s="129">
        <f t="shared" si="16"/>
        <v>971.0227272727273</v>
      </c>
      <c r="F40" s="130">
        <f t="shared" si="16"/>
        <v>642.6280303030303</v>
      </c>
      <c r="G40" s="131">
        <f t="shared" si="16"/>
        <v>1613.650757575758</v>
      </c>
    </row>
    <row r="41" spans="1:24" ht="39.75" customHeight="1">
      <c r="A41" s="199" t="s">
        <v>168</v>
      </c>
      <c r="B41" s="202"/>
      <c r="C41" s="202"/>
      <c r="D41" s="202"/>
      <c r="E41" s="202"/>
      <c r="F41" s="203"/>
      <c r="G41" s="132"/>
      <c r="S41" s="4"/>
      <c r="T41" s="4"/>
      <c r="U41" s="4"/>
      <c r="V41" s="4"/>
      <c r="W41" s="4"/>
      <c r="X41" s="4"/>
    </row>
    <row r="42" spans="1:18" s="8" customFormat="1" ht="30" customHeight="1" thickBot="1">
      <c r="A42" s="133"/>
      <c r="B42" s="193" t="s">
        <v>169</v>
      </c>
      <c r="C42" s="194"/>
      <c r="D42" s="195"/>
      <c r="E42" s="196" t="s">
        <v>170</v>
      </c>
      <c r="F42" s="197"/>
      <c r="G42" s="135"/>
      <c r="H42" s="135"/>
      <c r="I42" s="135"/>
      <c r="J42" s="135"/>
      <c r="K42" s="135"/>
      <c r="L42" s="135"/>
      <c r="M42" s="135"/>
      <c r="N42" s="135"/>
      <c r="O42" s="135"/>
      <c r="P42" s="135"/>
      <c r="Q42" s="135"/>
      <c r="R42" s="135"/>
    </row>
    <row r="43" spans="1:11" ht="39" thickBot="1">
      <c r="A43" s="136"/>
      <c r="B43" s="137" t="s">
        <v>171</v>
      </c>
      <c r="C43" s="120" t="s">
        <v>172</v>
      </c>
      <c r="D43" s="138" t="s">
        <v>134</v>
      </c>
      <c r="E43" s="139" t="s">
        <v>133</v>
      </c>
      <c r="F43" s="122" t="s">
        <v>134</v>
      </c>
      <c r="G43" s="140" t="s">
        <v>173</v>
      </c>
      <c r="H43" s="204" t="s">
        <v>174</v>
      </c>
      <c r="I43" s="205"/>
      <c r="J43" s="141" t="s">
        <v>175</v>
      </c>
      <c r="K43" s="142" t="s">
        <v>176</v>
      </c>
    </row>
    <row r="44" spans="1:11" ht="13.5" thickTop="1">
      <c r="A44" s="97">
        <v>18</v>
      </c>
      <c r="B44" s="143">
        <v>32679.36</v>
      </c>
      <c r="C44" s="99">
        <f>B44/5280</f>
        <v>6.189272727272727</v>
      </c>
      <c r="D44" s="144">
        <f>C44*$A44</f>
        <v>111.4069090909091</v>
      </c>
      <c r="E44" s="145">
        <v>1.1</v>
      </c>
      <c r="F44" s="100">
        <f aca="true" t="shared" si="17" ref="F44:F53">E44*$A30</f>
        <v>19.8</v>
      </c>
      <c r="G44" s="146">
        <f>(D44-F44)/F44</f>
        <v>4.626611570247934</v>
      </c>
      <c r="H44" s="98">
        <f>I44/5280</f>
        <v>6.189204545454546</v>
      </c>
      <c r="I44" s="99">
        <v>32679</v>
      </c>
      <c r="J44" s="99"/>
      <c r="K44" s="100">
        <f aca="true" t="shared" si="18" ref="K44:K49">SUM(I44:J44)</f>
        <v>32679</v>
      </c>
    </row>
    <row r="45" spans="1:11" ht="12.75">
      <c r="A45" s="101">
        <v>16</v>
      </c>
      <c r="B45" s="147">
        <v>70403.39</v>
      </c>
      <c r="C45" s="103">
        <f aca="true" t="shared" si="19" ref="C45:C53">B45/5280</f>
        <v>13.333975378787878</v>
      </c>
      <c r="D45" s="148">
        <f aca="true" t="shared" si="20" ref="D45:D53">C45*$A45</f>
        <v>213.34360606060605</v>
      </c>
      <c r="E45" s="149">
        <v>0.2</v>
      </c>
      <c r="F45" s="104">
        <f t="shared" si="17"/>
        <v>3.2</v>
      </c>
      <c r="G45" s="150">
        <f aca="true" t="shared" si="21" ref="G45:G54">(D45-F45)/F45</f>
        <v>65.66987689393939</v>
      </c>
      <c r="H45" s="102">
        <f aca="true" t="shared" si="22" ref="H45:H53">I45/5280</f>
        <v>13.333901515151515</v>
      </c>
      <c r="I45" s="103">
        <v>70403</v>
      </c>
      <c r="J45" s="103"/>
      <c r="K45" s="104">
        <f t="shared" si="18"/>
        <v>70403</v>
      </c>
    </row>
    <row r="46" spans="1:11" ht="12.75">
      <c r="A46" s="101">
        <v>12</v>
      </c>
      <c r="B46" s="147">
        <v>71410.09</v>
      </c>
      <c r="C46" s="103">
        <f t="shared" si="19"/>
        <v>13.524638257575758</v>
      </c>
      <c r="D46" s="148">
        <f t="shared" si="20"/>
        <v>162.29565909090908</v>
      </c>
      <c r="E46" s="149">
        <v>9.3</v>
      </c>
      <c r="F46" s="104">
        <f t="shared" si="17"/>
        <v>111.60000000000001</v>
      </c>
      <c r="G46" s="150">
        <f t="shared" si="21"/>
        <v>0.45426217823395226</v>
      </c>
      <c r="H46" s="102">
        <f t="shared" si="22"/>
        <v>13.524621212121213</v>
      </c>
      <c r="I46" s="103">
        <v>71410</v>
      </c>
      <c r="J46" s="103"/>
      <c r="K46" s="104">
        <f t="shared" si="18"/>
        <v>71410</v>
      </c>
    </row>
    <row r="47" spans="1:11" ht="12.75">
      <c r="A47" s="101">
        <v>10</v>
      </c>
      <c r="B47" s="147">
        <f>85060.61+1463</f>
        <v>86523.61</v>
      </c>
      <c r="C47" s="103">
        <f t="shared" si="19"/>
        <v>16.38704734848485</v>
      </c>
      <c r="D47" s="148">
        <f t="shared" si="20"/>
        <v>163.8704734848485</v>
      </c>
      <c r="E47" s="149">
        <v>10</v>
      </c>
      <c r="F47" s="104">
        <f t="shared" si="17"/>
        <v>100</v>
      </c>
      <c r="G47" s="150">
        <f t="shared" si="21"/>
        <v>0.638704734848485</v>
      </c>
      <c r="H47" s="102">
        <f t="shared" si="22"/>
        <v>16.110037878787878</v>
      </c>
      <c r="I47" s="103">
        <v>85061</v>
      </c>
      <c r="J47" s="103">
        <v>1463</v>
      </c>
      <c r="K47" s="104">
        <f t="shared" si="18"/>
        <v>86524</v>
      </c>
    </row>
    <row r="48" spans="1:11" ht="12.75">
      <c r="A48" s="101">
        <v>8</v>
      </c>
      <c r="B48" s="147">
        <v>457442</v>
      </c>
      <c r="C48" s="103">
        <f t="shared" si="19"/>
        <v>86.63674242424243</v>
      </c>
      <c r="D48" s="148">
        <f t="shared" si="20"/>
        <v>693.0939393939394</v>
      </c>
      <c r="E48" s="149">
        <v>64.59</v>
      </c>
      <c r="F48" s="104">
        <f t="shared" si="17"/>
        <v>516.72</v>
      </c>
      <c r="G48" s="150">
        <f t="shared" si="21"/>
        <v>0.3413336805115718</v>
      </c>
      <c r="H48" s="102">
        <f t="shared" si="22"/>
        <v>67.90890151515151</v>
      </c>
      <c r="I48" s="103">
        <v>358559</v>
      </c>
      <c r="J48" s="103">
        <v>98883</v>
      </c>
      <c r="K48" s="104">
        <f t="shared" si="18"/>
        <v>457442</v>
      </c>
    </row>
    <row r="49" spans="1:11" ht="12.75">
      <c r="A49" s="101">
        <v>6</v>
      </c>
      <c r="B49" s="147">
        <v>546348</v>
      </c>
      <c r="C49" s="103">
        <f t="shared" si="19"/>
        <v>103.475</v>
      </c>
      <c r="D49" s="148">
        <f t="shared" si="20"/>
        <v>620.8499999999999</v>
      </c>
      <c r="E49" s="149">
        <v>74.67</v>
      </c>
      <c r="F49" s="104">
        <f t="shared" si="17"/>
        <v>448.02</v>
      </c>
      <c r="G49" s="150">
        <f t="shared" si="21"/>
        <v>0.3857640283915895</v>
      </c>
      <c r="H49" s="102">
        <f t="shared" si="22"/>
        <v>95.24488636363637</v>
      </c>
      <c r="I49" s="103">
        <v>502893</v>
      </c>
      <c r="J49" s="103">
        <v>43455</v>
      </c>
      <c r="K49" s="104">
        <f t="shared" si="18"/>
        <v>546348</v>
      </c>
    </row>
    <row r="50" spans="1:11" ht="12.75">
      <c r="A50" s="101">
        <v>4</v>
      </c>
      <c r="B50" s="147">
        <f>685648.69+47784</f>
        <v>733432.69</v>
      </c>
      <c r="C50" s="103">
        <f t="shared" si="19"/>
        <v>138.90770643939393</v>
      </c>
      <c r="D50" s="148">
        <f t="shared" si="20"/>
        <v>555.6308257575757</v>
      </c>
      <c r="E50" s="149">
        <v>115.07</v>
      </c>
      <c r="F50" s="104">
        <f t="shared" si="17"/>
        <v>460.28</v>
      </c>
      <c r="G50" s="150">
        <f t="shared" si="21"/>
        <v>0.20715830745975441</v>
      </c>
      <c r="H50" s="102">
        <f t="shared" si="22"/>
        <v>129.85776515151514</v>
      </c>
      <c r="I50" s="103">
        <v>685649</v>
      </c>
      <c r="J50" s="103">
        <v>47784</v>
      </c>
      <c r="K50" s="104">
        <f>SUM(I50:J50)</f>
        <v>733433</v>
      </c>
    </row>
    <row r="51" spans="1:11" ht="12.75">
      <c r="A51" s="101">
        <v>3</v>
      </c>
      <c r="B51" s="147">
        <v>528549.83</v>
      </c>
      <c r="C51" s="103">
        <f t="shared" si="19"/>
        <v>100.10413446969696</v>
      </c>
      <c r="D51" s="148">
        <f t="shared" si="20"/>
        <v>300.31240340909085</v>
      </c>
      <c r="E51" s="149">
        <v>109.45</v>
      </c>
      <c r="F51" s="104">
        <f t="shared" si="17"/>
        <v>328.35</v>
      </c>
      <c r="G51" s="150">
        <f t="shared" si="21"/>
        <v>-0.0853893607154231</v>
      </c>
      <c r="H51" s="102">
        <f t="shared" si="22"/>
        <v>100.10416666666667</v>
      </c>
      <c r="I51" s="103">
        <v>528550</v>
      </c>
      <c r="J51" s="103"/>
      <c r="K51" s="104">
        <f>SUM(I51:J51)</f>
        <v>528550</v>
      </c>
    </row>
    <row r="52" spans="1:11" ht="12.75">
      <c r="A52" s="101">
        <v>2</v>
      </c>
      <c r="B52" s="147">
        <v>443018.17</v>
      </c>
      <c r="C52" s="103">
        <f t="shared" si="19"/>
        <v>83.90495643939394</v>
      </c>
      <c r="D52" s="148">
        <f t="shared" si="20"/>
        <v>167.80991287878788</v>
      </c>
      <c r="E52" s="149">
        <v>72.6</v>
      </c>
      <c r="F52" s="104">
        <f t="shared" si="17"/>
        <v>145.2</v>
      </c>
      <c r="G52" s="150">
        <f t="shared" si="21"/>
        <v>0.15571565343517835</v>
      </c>
      <c r="H52" s="102">
        <f t="shared" si="22"/>
        <v>83.90492424242424</v>
      </c>
      <c r="I52" s="103">
        <v>443018</v>
      </c>
      <c r="J52" s="103"/>
      <c r="K52" s="104">
        <f>SUM(I52:J52)</f>
        <v>443018</v>
      </c>
    </row>
    <row r="53" spans="1:11" ht="12.75">
      <c r="A53" s="151">
        <v>1</v>
      </c>
      <c r="B53" s="152">
        <v>6747.25</v>
      </c>
      <c r="C53" s="107">
        <f t="shared" si="19"/>
        <v>1.2778882575757575</v>
      </c>
      <c r="D53" s="153">
        <f t="shared" si="20"/>
        <v>1.2778882575757575</v>
      </c>
      <c r="E53" s="154">
        <v>0.5</v>
      </c>
      <c r="F53" s="108">
        <f t="shared" si="17"/>
        <v>0.5</v>
      </c>
      <c r="G53" s="155">
        <f t="shared" si="21"/>
        <v>1.555776515151515</v>
      </c>
      <c r="H53" s="106">
        <f t="shared" si="22"/>
        <v>1.277840909090909</v>
      </c>
      <c r="I53" s="107">
        <v>6747</v>
      </c>
      <c r="J53" s="107"/>
      <c r="K53" s="108">
        <f>SUM(I53:J53)</f>
        <v>6747</v>
      </c>
    </row>
    <row r="54" spans="1:11" ht="13.5" thickBot="1">
      <c r="A54" s="109"/>
      <c r="B54" s="156">
        <f>SUM(B44:B53)</f>
        <v>2976554.3899999997</v>
      </c>
      <c r="C54" s="129">
        <f>SUM(C44:C53)</f>
        <v>563.7413617424243</v>
      </c>
      <c r="D54" s="157">
        <f>SUM(D44:D53)</f>
        <v>2989.891617424242</v>
      </c>
      <c r="E54" s="158">
        <f>SUM(E44:E53)</f>
        <v>457.48</v>
      </c>
      <c r="F54" s="131">
        <f>SUM(F44:F53)</f>
        <v>2133.67</v>
      </c>
      <c r="G54" s="159">
        <f t="shared" si="21"/>
        <v>0.40129055450198114</v>
      </c>
      <c r="H54" s="160">
        <f>SUM(H44:H53)</f>
        <v>527.45625</v>
      </c>
      <c r="I54" s="129">
        <f>SUM(I44:I53)</f>
        <v>2784969</v>
      </c>
      <c r="J54" s="129">
        <f>SUM(J44:J53)</f>
        <v>191585</v>
      </c>
      <c r="K54" s="131">
        <f>SUM(K44:K53)</f>
        <v>2976554</v>
      </c>
    </row>
    <row r="55" spans="1:6" ht="24" customHeight="1">
      <c r="A55" s="206" t="s">
        <v>177</v>
      </c>
      <c r="B55" s="207"/>
      <c r="C55" s="207"/>
      <c r="D55" s="207"/>
      <c r="E55" s="207"/>
      <c r="F55" s="208"/>
    </row>
    <row r="56" spans="1:9" ht="12.75">
      <c r="A56" s="161"/>
      <c r="B56" s="162"/>
      <c r="C56" s="162"/>
      <c r="D56" s="162"/>
      <c r="E56" s="162"/>
      <c r="F56" s="134" t="s">
        <v>178</v>
      </c>
      <c r="G56" s="163" t="s">
        <v>179</v>
      </c>
      <c r="H56" s="163" t="s">
        <v>180</v>
      </c>
      <c r="I56" s="163" t="s">
        <v>178</v>
      </c>
    </row>
    <row r="57" spans="1:9" ht="18" customHeight="1">
      <c r="A57" s="209" t="s">
        <v>181</v>
      </c>
      <c r="B57" s="210"/>
      <c r="C57" s="210"/>
      <c r="D57" s="210"/>
      <c r="E57" s="211"/>
      <c r="F57" s="164">
        <f>G40/D54</f>
        <v>0.5397020909292691</v>
      </c>
      <c r="G57" s="165">
        <f>G40</f>
        <v>1613.650757575758</v>
      </c>
      <c r="H57" s="165">
        <f>D$54</f>
        <v>2989.891617424242</v>
      </c>
      <c r="I57" s="166">
        <f>G57/H57</f>
        <v>0.5397020909292691</v>
      </c>
    </row>
    <row r="58" spans="1:9" ht="18" customHeight="1">
      <c r="A58" s="209" t="s">
        <v>182</v>
      </c>
      <c r="B58" s="210"/>
      <c r="C58" s="210"/>
      <c r="D58" s="210"/>
      <c r="E58" s="211"/>
      <c r="F58" s="164">
        <f>E40/D54</f>
        <v>0.3247685372987708</v>
      </c>
      <c r="G58" s="165">
        <f>E40</f>
        <v>971.0227272727273</v>
      </c>
      <c r="H58" s="165">
        <f>D$54</f>
        <v>2989.891617424242</v>
      </c>
      <c r="I58" s="166">
        <f>G58/H58</f>
        <v>0.3247685372987708</v>
      </c>
    </row>
    <row r="59" spans="1:9" ht="21" customHeight="1">
      <c r="A59" s="209" t="s">
        <v>183</v>
      </c>
      <c r="B59" s="210"/>
      <c r="C59" s="210"/>
      <c r="D59" s="210"/>
      <c r="E59" s="211"/>
      <c r="F59" s="167">
        <f>(E40-I26)/D54</f>
        <v>0.30547372620822943</v>
      </c>
      <c r="G59" s="168">
        <f>E40-I26</f>
        <v>913.3333333333333</v>
      </c>
      <c r="H59" s="165">
        <f>D$54</f>
        <v>2989.891617424242</v>
      </c>
      <c r="I59" s="166">
        <f>G59/H59</f>
        <v>0.30547372620822943</v>
      </c>
    </row>
    <row r="60" spans="1:9" ht="17.25" customHeight="1">
      <c r="A60" s="212" t="s">
        <v>184</v>
      </c>
      <c r="B60" s="213"/>
      <c r="C60" s="213"/>
      <c r="D60" s="213"/>
      <c r="E60" s="214"/>
      <c r="F60" s="169">
        <f>(E$40-I$26-E$37-E$38)/D$54</f>
        <v>0.3012549658056357</v>
      </c>
      <c r="G60" s="170">
        <f>E40-E37-I26</f>
        <v>900.719696969697</v>
      </c>
      <c r="H60" s="170">
        <f>D$54</f>
        <v>2989.891617424242</v>
      </c>
      <c r="I60" s="171">
        <f>G60/H60</f>
        <v>0.3012549658056357</v>
      </c>
    </row>
    <row r="61" spans="1:9" ht="21.75" customHeight="1" thickBot="1">
      <c r="A61" s="215" t="s">
        <v>185</v>
      </c>
      <c r="B61" s="216"/>
      <c r="C61" s="216"/>
      <c r="D61" s="216"/>
      <c r="E61" s="217"/>
      <c r="F61" s="172">
        <f>(E$40-E$37-E$38)/D$54</f>
        <v>0.3205497768961771</v>
      </c>
      <c r="G61" s="165">
        <f>E40-E37</f>
        <v>958.4090909090909</v>
      </c>
      <c r="H61" s="165">
        <f>D$54</f>
        <v>2989.891617424242</v>
      </c>
      <c r="I61" s="166">
        <f>G61/H61</f>
        <v>0.3205497768961771</v>
      </c>
    </row>
    <row r="62" spans="1:11" ht="53.25" customHeight="1">
      <c r="A62" s="192" t="s">
        <v>186</v>
      </c>
      <c r="B62" s="192"/>
      <c r="C62" s="192"/>
      <c r="D62" s="192"/>
      <c r="E62" s="192"/>
      <c r="F62" s="192"/>
      <c r="G62" s="192"/>
      <c r="H62" s="192"/>
      <c r="I62" s="192"/>
      <c r="J62" s="192"/>
      <c r="K62" s="192"/>
    </row>
  </sheetData>
  <mergeCells count="16">
    <mergeCell ref="A59:E59"/>
    <mergeCell ref="A60:E60"/>
    <mergeCell ref="A61:E61"/>
    <mergeCell ref="A62:K62"/>
    <mergeCell ref="H43:I43"/>
    <mergeCell ref="A55:F55"/>
    <mergeCell ref="A57:E57"/>
    <mergeCell ref="A58:E58"/>
    <mergeCell ref="B42:D42"/>
    <mergeCell ref="E42:F42"/>
    <mergeCell ref="B1:E1"/>
    <mergeCell ref="F1:I1"/>
    <mergeCell ref="B14:E14"/>
    <mergeCell ref="F14:I14"/>
    <mergeCell ref="A27:G27"/>
    <mergeCell ref="A41:F41"/>
  </mergeCells>
  <printOptions gridLines="1" horizontalCentered="1"/>
  <pageMargins left="0.25" right="0.25" top="0.5" bottom="0.5" header="0.5" footer="0.5"/>
  <pageSetup horizontalDpi="300" verticalDpi="300" orientation="landscape" r:id="rId1"/>
  <rowBreaks count="1" manualBreakCount="1">
    <brk id="40" max="255" man="1"/>
  </rowBreaks>
</worksheet>
</file>

<file path=xl/worksheets/sheet7.xml><?xml version="1.0" encoding="utf-8"?>
<worksheet xmlns="http://schemas.openxmlformats.org/spreadsheetml/2006/main" xmlns:r="http://schemas.openxmlformats.org/officeDocument/2006/relationships">
  <dimension ref="A1:G36"/>
  <sheetViews>
    <sheetView workbookViewId="0" topLeftCell="A4">
      <selection activeCell="B21" sqref="B21"/>
    </sheetView>
  </sheetViews>
  <sheetFormatPr defaultColWidth="9.140625" defaultRowHeight="12.75"/>
  <cols>
    <col min="1" max="1" width="39.8515625" style="0" customWidth="1"/>
    <col min="2" max="2" width="18.140625" style="0" customWidth="1"/>
    <col min="3" max="3" width="3.28125" style="0" customWidth="1"/>
  </cols>
  <sheetData>
    <row r="1" spans="1:5" ht="30.75" customHeight="1">
      <c r="A1" s="189" t="s">
        <v>0</v>
      </c>
      <c r="B1" s="189"/>
      <c r="C1" s="189"/>
      <c r="D1" s="189"/>
      <c r="E1" s="189"/>
    </row>
    <row r="2" spans="1:5" ht="35.25" customHeight="1">
      <c r="A2" s="189" t="s">
        <v>137</v>
      </c>
      <c r="B2" s="189"/>
      <c r="C2" s="189"/>
      <c r="D2" s="189"/>
      <c r="E2" s="189"/>
    </row>
    <row r="3" spans="1:5" ht="35.25" customHeight="1">
      <c r="A3" s="1"/>
      <c r="B3" s="1"/>
      <c r="C3" s="189" t="s">
        <v>155</v>
      </c>
      <c r="D3" s="189"/>
      <c r="E3" s="189"/>
    </row>
    <row r="4" spans="1:4" ht="20.25" customHeight="1">
      <c r="A4" t="s">
        <v>138</v>
      </c>
      <c r="B4" s="55">
        <f>'Prod and Sold'!C7</f>
        <v>0.21125893965087617</v>
      </c>
      <c r="C4" s="219"/>
      <c r="D4" s="38">
        <v>0.05</v>
      </c>
    </row>
    <row r="5" spans="1:4" ht="25.5" customHeight="1">
      <c r="A5" t="s">
        <v>139</v>
      </c>
      <c r="B5" s="55">
        <f>'Prod and Sold'!C9</f>
        <v>0.09966167297149948</v>
      </c>
      <c r="C5" s="219"/>
      <c r="D5">
        <v>0.0997</v>
      </c>
    </row>
    <row r="6" spans="1:4" ht="27" customHeight="1">
      <c r="A6" t="s">
        <v>140</v>
      </c>
      <c r="B6" s="55">
        <f>SUM(B4:B5)</f>
        <v>0.31092061262237564</v>
      </c>
      <c r="C6" s="219"/>
      <c r="D6" s="26">
        <f>SUM(D4:D5)</f>
        <v>0.1497</v>
      </c>
    </row>
    <row r="7" spans="1:4" ht="33.75" customHeight="1">
      <c r="A7" t="s">
        <v>141</v>
      </c>
      <c r="B7" s="65" t="s">
        <v>142</v>
      </c>
      <c r="C7" s="219"/>
      <c r="D7">
        <v>1.4684</v>
      </c>
    </row>
    <row r="8" spans="1:4" ht="23.25" customHeight="1">
      <c r="A8" t="s">
        <v>143</v>
      </c>
      <c r="B8" s="65" t="s">
        <v>187</v>
      </c>
      <c r="C8" s="219"/>
      <c r="D8" s="26">
        <f>900.72/2989.86</f>
        <v>0.30125825289478436</v>
      </c>
    </row>
    <row r="9" spans="1:4" ht="23.25" customHeight="1">
      <c r="A9" t="s">
        <v>144</v>
      </c>
      <c r="B9" s="65" t="s">
        <v>145</v>
      </c>
      <c r="C9" s="219"/>
      <c r="D9" s="26">
        <f>D8*0.0997</f>
        <v>0.03003544781361</v>
      </c>
    </row>
    <row r="10" spans="1:4" ht="22.5" customHeight="1">
      <c r="A10" t="s">
        <v>146</v>
      </c>
      <c r="B10" s="65" t="s">
        <v>193</v>
      </c>
      <c r="C10" s="219"/>
      <c r="D10" s="26">
        <f>D9+0.05</f>
        <v>0.08003544781361</v>
      </c>
    </row>
    <row r="11" spans="1:6" ht="25.5" customHeight="1">
      <c r="A11" t="s">
        <v>147</v>
      </c>
      <c r="B11" s="65" t="s">
        <v>194</v>
      </c>
      <c r="C11" s="219"/>
      <c r="D11" s="26">
        <v>1.087</v>
      </c>
      <c r="F11" s="26"/>
    </row>
    <row r="12" spans="1:7" ht="41.25" customHeight="1">
      <c r="A12" s="191" t="s">
        <v>148</v>
      </c>
      <c r="B12" s="66">
        <f>B16</f>
        <v>124329036</v>
      </c>
      <c r="C12" s="1" t="s">
        <v>149</v>
      </c>
      <c r="D12" s="26">
        <f>D11</f>
        <v>1.087</v>
      </c>
      <c r="E12" s="218">
        <f>SUM(B12/B13)*(D12/D13)</f>
        <v>0.22336786862350314</v>
      </c>
      <c r="F12" s="26"/>
      <c r="G12" s="26"/>
    </row>
    <row r="13" spans="1:5" ht="16.5" customHeight="1">
      <c r="A13" s="191"/>
      <c r="B13" s="20">
        <f>B17</f>
        <v>412037776</v>
      </c>
      <c r="D13">
        <f>D7</f>
        <v>1.4684</v>
      </c>
      <c r="E13" s="218"/>
    </row>
    <row r="14" spans="1:6" ht="47.25" customHeight="1">
      <c r="A14" s="191" t="s">
        <v>150</v>
      </c>
      <c r="B14" s="66">
        <f>B12</f>
        <v>124329036</v>
      </c>
      <c r="C14" s="1" t="s">
        <v>149</v>
      </c>
      <c r="D14" s="26">
        <f>D8</f>
        <v>0.30125825289478436</v>
      </c>
      <c r="E14" s="218">
        <f>SUM(B14/B15)*D14</f>
        <v>0.09090221904666515</v>
      </c>
      <c r="F14" s="218"/>
    </row>
    <row r="15" spans="1:6" ht="18" customHeight="1">
      <c r="A15" s="191"/>
      <c r="B15" s="20">
        <f>B13</f>
        <v>412037776</v>
      </c>
      <c r="E15" s="218"/>
      <c r="F15" s="218"/>
    </row>
    <row r="16" spans="1:5" ht="38.25" customHeight="1">
      <c r="A16" s="191" t="s">
        <v>151</v>
      </c>
      <c r="B16" s="67">
        <f>103815121+12812115+7701800</f>
        <v>124329036</v>
      </c>
      <c r="C16" s="220"/>
      <c r="D16" s="220"/>
      <c r="E16" s="218">
        <f>B16/B17</f>
        <v>0.30174183835027785</v>
      </c>
    </row>
    <row r="17" spans="1:5" ht="12.75">
      <c r="A17" s="191"/>
      <c r="B17" s="5">
        <f>275708740+12000000+124329036</f>
        <v>412037776</v>
      </c>
      <c r="C17" s="220"/>
      <c r="D17" s="220"/>
      <c r="E17" s="218"/>
    </row>
    <row r="18" spans="1:5" ht="37.5" customHeight="1">
      <c r="A18" s="192" t="s">
        <v>156</v>
      </c>
      <c r="B18" s="192"/>
      <c r="C18" s="192"/>
      <c r="D18" s="192"/>
      <c r="E18" s="192"/>
    </row>
    <row r="21" ht="12.75">
      <c r="B21" s="177"/>
    </row>
    <row r="36" spans="1:4" ht="38.25" customHeight="1">
      <c r="A36" s="192" t="s">
        <v>152</v>
      </c>
      <c r="B36" s="192"/>
      <c r="C36" s="192"/>
      <c r="D36" s="192"/>
    </row>
  </sheetData>
  <mergeCells count="14">
    <mergeCell ref="F14:F15"/>
    <mergeCell ref="C3:E3"/>
    <mergeCell ref="C4:C11"/>
    <mergeCell ref="A36:D36"/>
    <mergeCell ref="A14:A15"/>
    <mergeCell ref="E14:E15"/>
    <mergeCell ref="A16:A17"/>
    <mergeCell ref="E16:E17"/>
    <mergeCell ref="C16:D17"/>
    <mergeCell ref="A18:E18"/>
    <mergeCell ref="A1:E1"/>
    <mergeCell ref="A2:E2"/>
    <mergeCell ref="A12:A13"/>
    <mergeCell ref="E12:E13"/>
  </mergeCells>
  <printOptions gridLines="1" horizontalCentered="1"/>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F46"/>
  <sheetViews>
    <sheetView workbookViewId="0" topLeftCell="A1">
      <selection activeCell="B21" sqref="B21"/>
    </sheetView>
  </sheetViews>
  <sheetFormatPr defaultColWidth="9.140625" defaultRowHeight="12.75"/>
  <cols>
    <col min="1" max="1" width="36.7109375" style="0" customWidth="1"/>
    <col min="2" max="2" width="12.8515625" style="0" customWidth="1"/>
    <col min="3" max="3" width="12.140625" style="0" customWidth="1"/>
    <col min="4" max="4" width="13.28125" style="0" customWidth="1"/>
    <col min="5" max="5" width="12.28125" style="0" customWidth="1"/>
    <col min="6" max="6" width="15.421875" style="0" customWidth="1"/>
  </cols>
  <sheetData>
    <row r="1" spans="1:5" ht="39" customHeight="1">
      <c r="A1" s="221" t="s">
        <v>0</v>
      </c>
      <c r="B1" s="222"/>
      <c r="C1" s="222"/>
      <c r="D1" s="222"/>
      <c r="E1" s="223"/>
    </row>
    <row r="2" spans="1:5" ht="31.5" customHeight="1">
      <c r="A2" s="224" t="s">
        <v>82</v>
      </c>
      <c r="B2" s="225"/>
      <c r="C2" s="225"/>
      <c r="D2" s="225"/>
      <c r="E2" s="226"/>
    </row>
    <row r="3" spans="1:6" ht="38.25">
      <c r="A3" s="43" t="s">
        <v>1</v>
      </c>
      <c r="B3" s="41" t="s">
        <v>2</v>
      </c>
      <c r="C3" s="44" t="s">
        <v>3</v>
      </c>
      <c r="D3" s="44" t="s">
        <v>4</v>
      </c>
      <c r="E3" s="42" t="s">
        <v>5</v>
      </c>
      <c r="F3" s="2"/>
    </row>
    <row r="4" spans="1:6" ht="15" customHeight="1">
      <c r="A4" s="43" t="s">
        <v>6</v>
      </c>
      <c r="B4" s="45">
        <f>746502-B19</f>
        <v>629649</v>
      </c>
      <c r="C4" s="45">
        <f>8773+166683+33637</f>
        <v>209093</v>
      </c>
      <c r="D4" s="45">
        <f>50456+252279</f>
        <v>302735</v>
      </c>
      <c r="E4" s="46">
        <v>117821</v>
      </c>
      <c r="F4" s="4"/>
    </row>
    <row r="5" spans="1:6" ht="15" customHeight="1">
      <c r="A5" s="43" t="s">
        <v>7</v>
      </c>
      <c r="B5" s="47">
        <f>159711-22437</f>
        <v>137274</v>
      </c>
      <c r="C5" s="47">
        <f>1967+37379+7543</f>
        <v>46889</v>
      </c>
      <c r="D5" s="47">
        <f>11315+56574</f>
        <v>67889</v>
      </c>
      <c r="E5" s="48">
        <v>22496</v>
      </c>
      <c r="F5" s="4"/>
    </row>
    <row r="6" spans="1:6" ht="15" customHeight="1">
      <c r="A6" s="43" t="s">
        <v>8</v>
      </c>
      <c r="B6" s="47">
        <v>49271</v>
      </c>
      <c r="C6" s="47">
        <f>B6*0.33</f>
        <v>16259.43</v>
      </c>
      <c r="D6" s="47">
        <f>B6*0.48</f>
        <v>23650.079999999998</v>
      </c>
      <c r="E6" s="48">
        <f>B6*0.19</f>
        <v>9361.49</v>
      </c>
      <c r="F6" s="4"/>
    </row>
    <row r="7" spans="1:6" ht="15" customHeight="1">
      <c r="A7" s="43" t="s">
        <v>9</v>
      </c>
      <c r="B7" s="47">
        <v>138022</v>
      </c>
      <c r="C7" s="47">
        <v>101031</v>
      </c>
      <c r="D7" s="47">
        <v>36991</v>
      </c>
      <c r="E7" s="48"/>
      <c r="F7" s="5"/>
    </row>
    <row r="8" spans="1:6" ht="15" customHeight="1">
      <c r="A8" s="43" t="s">
        <v>10</v>
      </c>
      <c r="B8" s="47">
        <v>38580</v>
      </c>
      <c r="C8" s="47">
        <v>38580</v>
      </c>
      <c r="D8" s="47"/>
      <c r="E8" s="48"/>
      <c r="F8" s="4"/>
    </row>
    <row r="9" spans="1:6" ht="15" customHeight="1">
      <c r="A9" s="43" t="s">
        <v>11</v>
      </c>
      <c r="B9" s="47">
        <f>75460-15614</f>
        <v>59846</v>
      </c>
      <c r="C9" s="47">
        <f>56+3847</f>
        <v>3903</v>
      </c>
      <c r="D9" s="47">
        <f>3237+7581+27106</f>
        <v>37924</v>
      </c>
      <c r="E9" s="48">
        <v>18019</v>
      </c>
      <c r="F9" s="5"/>
    </row>
    <row r="10" spans="1:6" ht="15" customHeight="1">
      <c r="A10" s="43" t="s">
        <v>12</v>
      </c>
      <c r="B10" s="47">
        <f>159130-9988</f>
        <v>149142</v>
      </c>
      <c r="C10" s="47">
        <f>45341+20445+22113</f>
        <v>87899</v>
      </c>
      <c r="D10" s="47">
        <f>9280+51459</f>
        <v>60739</v>
      </c>
      <c r="E10" s="48">
        <v>504</v>
      </c>
      <c r="F10" s="5"/>
    </row>
    <row r="11" spans="1:6" ht="15" customHeight="1">
      <c r="A11" s="43" t="s">
        <v>13</v>
      </c>
      <c r="B11" s="47">
        <f>13541+2412-8926</f>
        <v>7027</v>
      </c>
      <c r="C11" s="47"/>
      <c r="D11" s="47">
        <f>513</f>
        <v>513</v>
      </c>
      <c r="E11" s="48">
        <v>6514</v>
      </c>
      <c r="F11" s="5"/>
    </row>
    <row r="12" spans="1:6" ht="15" customHeight="1">
      <c r="A12" s="43" t="s">
        <v>14</v>
      </c>
      <c r="B12" s="47">
        <f>47537-6839</f>
        <v>40698</v>
      </c>
      <c r="C12" s="47">
        <f>531+3574</f>
        <v>4105</v>
      </c>
      <c r="D12" s="47">
        <f>5361+26803</f>
        <v>32164</v>
      </c>
      <c r="E12" s="48">
        <v>4429</v>
      </c>
      <c r="F12" s="5"/>
    </row>
    <row r="13" spans="1:6" ht="15" customHeight="1">
      <c r="A13" s="43" t="s">
        <v>15</v>
      </c>
      <c r="B13" s="47">
        <v>11817</v>
      </c>
      <c r="C13" s="47"/>
      <c r="D13" s="47"/>
      <c r="E13" s="48">
        <v>11817</v>
      </c>
      <c r="F13" s="5"/>
    </row>
    <row r="14" spans="1:6" ht="15" customHeight="1">
      <c r="A14" s="43" t="s">
        <v>16</v>
      </c>
      <c r="B14" s="47">
        <v>188</v>
      </c>
      <c r="C14" s="47"/>
      <c r="D14" s="47"/>
      <c r="E14" s="48">
        <v>188</v>
      </c>
      <c r="F14" s="5"/>
    </row>
    <row r="15" spans="1:6" ht="15" customHeight="1">
      <c r="A15" s="43" t="s">
        <v>17</v>
      </c>
      <c r="B15" s="47">
        <f>27195-20256</f>
        <v>6939</v>
      </c>
      <c r="C15" s="47">
        <v>1307</v>
      </c>
      <c r="D15" s="47">
        <f>1390+309</f>
        <v>1699</v>
      </c>
      <c r="E15" s="48">
        <f>3933</f>
        <v>3933</v>
      </c>
      <c r="F15" s="5"/>
    </row>
    <row r="16" spans="1:6" ht="15" customHeight="1">
      <c r="A16" s="49" t="s">
        <v>18</v>
      </c>
      <c r="B16" s="45">
        <f>SUM(B4:B15)-B7-B8+D7</f>
        <v>1128842</v>
      </c>
      <c r="C16" s="45">
        <f>SUM(C4:C15)-C7-C8</f>
        <v>369455.43</v>
      </c>
      <c r="D16" s="45">
        <f>SUM(D4:D15)</f>
        <v>564304.0800000001</v>
      </c>
      <c r="E16" s="46">
        <f>SUM(E4:E15)</f>
        <v>195082.49</v>
      </c>
      <c r="F16" s="7"/>
    </row>
    <row r="17" spans="1:6" ht="12.75">
      <c r="A17" s="49" t="s">
        <v>19</v>
      </c>
      <c r="B17" s="47"/>
      <c r="C17" s="50">
        <f>C16/B16</f>
        <v>0.3272871048384096</v>
      </c>
      <c r="D17" s="50">
        <f>D16/B16</f>
        <v>0.49989642483181884</v>
      </c>
      <c r="E17" s="51">
        <f>E16/B16</f>
        <v>0.17281647032977157</v>
      </c>
      <c r="F17" s="5"/>
    </row>
    <row r="18" spans="1:6" ht="15" customHeight="1">
      <c r="A18" s="43" t="s">
        <v>20</v>
      </c>
      <c r="B18" s="47"/>
      <c r="C18" s="47"/>
      <c r="D18" s="47"/>
      <c r="E18" s="48"/>
      <c r="F18" s="5"/>
    </row>
    <row r="19" spans="1:6" ht="15" customHeight="1">
      <c r="A19" s="43" t="s">
        <v>6</v>
      </c>
      <c r="B19" s="47">
        <v>116853</v>
      </c>
      <c r="C19" s="47">
        <f>B19*C17</f>
        <v>38244.480061682676</v>
      </c>
      <c r="D19" s="47">
        <f>B19*D17</f>
        <v>58414.39693087253</v>
      </c>
      <c r="E19" s="48">
        <f>B19*E17</f>
        <v>20194.123007444796</v>
      </c>
      <c r="F19" s="5"/>
    </row>
    <row r="20" spans="1:6" ht="15" customHeight="1">
      <c r="A20" s="43" t="s">
        <v>8</v>
      </c>
      <c r="B20" s="47">
        <v>9623</v>
      </c>
      <c r="C20" s="47">
        <f>B20*C17</f>
        <v>3149.4838098600158</v>
      </c>
      <c r="D20" s="47">
        <f>B20*D17</f>
        <v>4810.503296156593</v>
      </c>
      <c r="E20" s="48">
        <f>B20*E17</f>
        <v>1663.012893983392</v>
      </c>
      <c r="F20" s="5"/>
    </row>
    <row r="21" spans="1:6" ht="15" customHeight="1">
      <c r="A21" s="43" t="s">
        <v>21</v>
      </c>
      <c r="B21" s="232">
        <v>22437</v>
      </c>
      <c r="C21" s="47">
        <f>B21*C17</f>
        <v>7343.340771259396</v>
      </c>
      <c r="D21" s="47">
        <f>B21*D17</f>
        <v>11216.17608395152</v>
      </c>
      <c r="E21" s="48">
        <f>B21*E17</f>
        <v>3877.4831447890847</v>
      </c>
      <c r="F21" s="7"/>
    </row>
    <row r="22" spans="1:6" ht="15" customHeight="1">
      <c r="A22" s="43" t="s">
        <v>22</v>
      </c>
      <c r="B22" s="47">
        <f>4756+2693+6498+7713-12107</f>
        <v>9553</v>
      </c>
      <c r="C22" s="47">
        <f>B22*C17</f>
        <v>3126.5737125213273</v>
      </c>
      <c r="D22" s="47">
        <f>B22*D17</f>
        <v>4775.510546418365</v>
      </c>
      <c r="E22" s="48">
        <f>B22*E17</f>
        <v>1650.9157410603077</v>
      </c>
      <c r="F22" s="5"/>
    </row>
    <row r="23" spans="1:6" ht="15" customHeight="1">
      <c r="A23" s="43" t="s">
        <v>11</v>
      </c>
      <c r="B23" s="47">
        <v>15614</v>
      </c>
      <c r="C23" s="47">
        <f>B23*C17</f>
        <v>5110.260854946928</v>
      </c>
      <c r="D23" s="47">
        <f>B23*D17</f>
        <v>7805.382777324019</v>
      </c>
      <c r="E23" s="48">
        <f>B23*E17</f>
        <v>2698.356367729053</v>
      </c>
      <c r="F23" s="5"/>
    </row>
    <row r="24" spans="1:6" ht="15" customHeight="1">
      <c r="A24" s="43" t="s">
        <v>23</v>
      </c>
      <c r="B24" s="47">
        <f>9988+1869+46575+8724</f>
        <v>67156</v>
      </c>
      <c r="C24" s="47">
        <f>B24*C17</f>
        <v>21979.292812528238</v>
      </c>
      <c r="D24" s="47">
        <f>B24*D17</f>
        <v>33571.04430600563</v>
      </c>
      <c r="E24" s="48">
        <f>B24*E17</f>
        <v>11605.66288146614</v>
      </c>
      <c r="F24" s="5"/>
    </row>
    <row r="25" spans="1:6" ht="15" customHeight="1">
      <c r="A25" s="43" t="s">
        <v>13</v>
      </c>
      <c r="B25" s="47">
        <v>8926</v>
      </c>
      <c r="C25" s="47">
        <f>B25*C17</f>
        <v>2921.364697787644</v>
      </c>
      <c r="D25" s="47">
        <f>B25*D17</f>
        <v>4462.075488048815</v>
      </c>
      <c r="E25" s="48">
        <f>B25*E17</f>
        <v>1542.559814163541</v>
      </c>
      <c r="F25" s="5"/>
    </row>
    <row r="26" spans="1:6" ht="15" customHeight="1">
      <c r="A26" s="43" t="s">
        <v>14</v>
      </c>
      <c r="B26" s="47">
        <v>6839</v>
      </c>
      <c r="C26" s="47">
        <f>B26*C17</f>
        <v>2238.3165099898833</v>
      </c>
      <c r="D26" s="47">
        <f>B26*D17</f>
        <v>3418.791649424809</v>
      </c>
      <c r="E26" s="48">
        <f>B26*E17</f>
        <v>1181.8918405853078</v>
      </c>
      <c r="F26" s="5"/>
    </row>
    <row r="27" spans="1:6" ht="15" customHeight="1">
      <c r="A27" s="43" t="s">
        <v>22</v>
      </c>
      <c r="B27" s="47">
        <v>12107</v>
      </c>
      <c r="C27" s="47">
        <f>B27*C17</f>
        <v>3962.464978278625</v>
      </c>
      <c r="D27" s="47">
        <f>B27*D17</f>
        <v>6052.246015438831</v>
      </c>
      <c r="E27" s="48">
        <f>B27*E17</f>
        <v>2092.2890062825445</v>
      </c>
      <c r="F27" s="5"/>
    </row>
    <row r="28" spans="1:6" ht="15" customHeight="1">
      <c r="A28" s="43" t="s">
        <v>17</v>
      </c>
      <c r="B28" s="47">
        <v>20256</v>
      </c>
      <c r="C28" s="47">
        <f>B28*C17</f>
        <v>6629.527595606825</v>
      </c>
      <c r="D28" s="47">
        <f>B28*D17</f>
        <v>10125.901981393323</v>
      </c>
      <c r="E28" s="48">
        <f>B28*E17</f>
        <v>3500.570422999853</v>
      </c>
      <c r="F28" s="5"/>
    </row>
    <row r="29" spans="1:6" ht="15" customHeight="1">
      <c r="A29" s="43" t="s">
        <v>24</v>
      </c>
      <c r="B29" s="47">
        <v>19637</v>
      </c>
      <c r="C29" s="47">
        <f>B29*C17</f>
        <v>6426.93687771185</v>
      </c>
      <c r="D29" s="47">
        <f>B29*D17</f>
        <v>9816.466094422427</v>
      </c>
      <c r="E29" s="48">
        <f>B29*E17</f>
        <v>3393.597027865724</v>
      </c>
      <c r="F29" s="5"/>
    </row>
    <row r="30" spans="1:6" ht="15" customHeight="1">
      <c r="A30" s="49" t="s">
        <v>25</v>
      </c>
      <c r="B30" s="45">
        <f>SUM(B4:B29)-B16</f>
        <v>1577454</v>
      </c>
      <c r="C30" s="45">
        <f>SUM(C4:C29)-C16-C17</f>
        <v>610198.4726821732</v>
      </c>
      <c r="D30" s="45">
        <f>SUM(D4:D29)-D16-D17</f>
        <v>718772.5751694567</v>
      </c>
      <c r="E30" s="46">
        <f>SUM(E4:E29)-E16-E17</f>
        <v>248482.95214836975</v>
      </c>
      <c r="F30" s="5"/>
    </row>
    <row r="31" spans="1:6" ht="15" customHeight="1">
      <c r="A31" s="43" t="s">
        <v>26</v>
      </c>
      <c r="B31" s="47">
        <v>370113</v>
      </c>
      <c r="C31" s="47">
        <f>B31*F31</f>
        <v>44783.672999999995</v>
      </c>
      <c r="D31" s="47">
        <f>B31*F32</f>
        <v>307415.8578</v>
      </c>
      <c r="E31" s="48">
        <f>B31*F33</f>
        <v>17913.4692</v>
      </c>
      <c r="F31" s="39">
        <v>0.121</v>
      </c>
    </row>
    <row r="32" spans="1:6" ht="19.5" customHeight="1">
      <c r="A32" s="43" t="s">
        <v>27</v>
      </c>
      <c r="B32" s="47">
        <v>1147362</v>
      </c>
      <c r="C32" s="47">
        <f>B32*0.1249</f>
        <v>143305.5138</v>
      </c>
      <c r="D32" s="47">
        <f>B32*0.8317</f>
        <v>954260.9754</v>
      </c>
      <c r="E32" s="48">
        <f>B32*0.0434</f>
        <v>49795.510800000004</v>
      </c>
      <c r="F32" s="39">
        <v>0.8306</v>
      </c>
    </row>
    <row r="33" spans="1:6" ht="26.25" customHeight="1">
      <c r="A33" s="77" t="s">
        <v>28</v>
      </c>
      <c r="B33" s="78">
        <f>SUM(B4:B32)-B16-B30</f>
        <v>3094929</v>
      </c>
      <c r="C33" s="78">
        <f>SUM(C4:C32)-C16-C30</f>
        <v>798287.9867692782</v>
      </c>
      <c r="D33" s="78">
        <f>SUM(D4:D32)-D16-D30</f>
        <v>1980449.9082658812</v>
      </c>
      <c r="E33" s="79">
        <f>SUM(E4:E32)-E16-E30</f>
        <v>316192.1049648401</v>
      </c>
      <c r="F33" s="39">
        <v>0.0484</v>
      </c>
    </row>
    <row r="34" spans="1:6" ht="32.25" customHeight="1">
      <c r="A34" s="227" t="s">
        <v>195</v>
      </c>
      <c r="B34" s="228"/>
      <c r="C34" s="228"/>
      <c r="D34" s="228"/>
      <c r="E34" s="229"/>
      <c r="F34" s="5"/>
    </row>
    <row r="35" spans="2:6" ht="12.75">
      <c r="B35" s="5"/>
      <c r="C35" s="5"/>
      <c r="D35" s="5"/>
      <c r="E35" s="5"/>
      <c r="F35" s="5"/>
    </row>
    <row r="36" spans="2:6" ht="12.75">
      <c r="B36" s="5"/>
      <c r="C36" s="5"/>
      <c r="D36" s="5"/>
      <c r="E36" s="5"/>
      <c r="F36" s="5"/>
    </row>
    <row r="46" ht="12.75">
      <c r="D46" s="5"/>
    </row>
  </sheetData>
  <mergeCells count="3">
    <mergeCell ref="A1:E1"/>
    <mergeCell ref="A2:E2"/>
    <mergeCell ref="A34:E34"/>
  </mergeCells>
  <printOptions gridLines="1"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G23"/>
  <sheetViews>
    <sheetView workbookViewId="0" topLeftCell="A15">
      <selection activeCell="B21" sqref="B21"/>
    </sheetView>
  </sheetViews>
  <sheetFormatPr defaultColWidth="9.140625" defaultRowHeight="12.75"/>
  <cols>
    <col min="1" max="1" width="31.8515625" style="0" customWidth="1"/>
    <col min="2" max="2" width="11.28125" style="0" customWidth="1"/>
    <col min="3" max="3" width="12.28125" style="0" customWidth="1"/>
    <col min="4" max="4" width="10.140625" style="0" customWidth="1"/>
    <col min="5" max="5" width="10.57421875" style="0" customWidth="1"/>
    <col min="6" max="6" width="11.421875" style="0" customWidth="1"/>
    <col min="7" max="7" width="12.28125" style="0" bestFit="1" customWidth="1"/>
  </cols>
  <sheetData>
    <row r="1" spans="1:5" ht="31.5" customHeight="1">
      <c r="A1" s="189" t="s">
        <v>0</v>
      </c>
      <c r="B1" s="189"/>
      <c r="C1" s="189"/>
      <c r="D1" s="189"/>
      <c r="E1" s="189"/>
    </row>
    <row r="2" spans="1:5" ht="23.25" customHeight="1">
      <c r="A2" s="189" t="s">
        <v>157</v>
      </c>
      <c r="B2" s="189"/>
      <c r="C2" s="189"/>
      <c r="D2" s="189"/>
      <c r="E2" s="189"/>
    </row>
    <row r="3" spans="1:7" ht="38.25" customHeight="1">
      <c r="A3" s="2" t="s">
        <v>1</v>
      </c>
      <c r="B3" s="2" t="s">
        <v>29</v>
      </c>
      <c r="C3" s="2" t="s">
        <v>30</v>
      </c>
      <c r="D3" s="2" t="s">
        <v>31</v>
      </c>
      <c r="E3" s="2" t="s">
        <v>32</v>
      </c>
      <c r="G3" s="8"/>
    </row>
    <row r="4" spans="1:7" ht="28.5" customHeight="1">
      <c r="A4" s="8" t="s">
        <v>33</v>
      </c>
      <c r="B4" s="2"/>
      <c r="C4" s="2"/>
      <c r="D4" s="2"/>
      <c r="E4" s="2"/>
      <c r="G4" s="8"/>
    </row>
    <row r="5" spans="1:7" ht="21.75" customHeight="1">
      <c r="A5" s="9" t="s">
        <v>34</v>
      </c>
      <c r="B5" s="10">
        <v>138022</v>
      </c>
      <c r="C5" s="10"/>
      <c r="D5" s="10">
        <v>21531</v>
      </c>
      <c r="E5" s="11">
        <f>D5/G7</f>
        <v>0.17317761745047414</v>
      </c>
      <c r="G5" s="8"/>
    </row>
    <row r="6" spans="1:7" ht="28.5" customHeight="1">
      <c r="A6" s="9" t="s">
        <v>10</v>
      </c>
      <c r="B6" s="12">
        <v>38580</v>
      </c>
      <c r="C6" s="13">
        <v>0.3017</v>
      </c>
      <c r="D6" s="12">
        <f>B6*C6</f>
        <v>11639.586000000001</v>
      </c>
      <c r="E6" s="14">
        <f>D6/G7</f>
        <v>0.0936192360591656</v>
      </c>
      <c r="G6" s="8"/>
    </row>
    <row r="7" spans="1:7" ht="28.5" customHeight="1">
      <c r="A7" s="15" t="s">
        <v>35</v>
      </c>
      <c r="B7" s="12"/>
      <c r="C7" s="13"/>
      <c r="D7" s="12"/>
      <c r="E7" s="2"/>
      <c r="G7" s="16">
        <f>103815.1+12812.1+7701.8</f>
        <v>124329.00000000001</v>
      </c>
    </row>
    <row r="8" spans="1:5" ht="28.5" customHeight="1">
      <c r="A8" s="6" t="s">
        <v>3</v>
      </c>
      <c r="B8" s="5">
        <f>610198-B6-101031</f>
        <v>470587</v>
      </c>
      <c r="C8" s="7">
        <v>0.2234</v>
      </c>
      <c r="D8" s="5">
        <f>B8*C8</f>
        <v>105129.13579999999</v>
      </c>
      <c r="E8" s="17">
        <f>D8/G7</f>
        <v>0.8455721175268841</v>
      </c>
    </row>
    <row r="9" spans="1:5" ht="24" customHeight="1">
      <c r="A9" s="6" t="s">
        <v>4</v>
      </c>
      <c r="B9" s="5">
        <f>718773-36991</f>
        <v>681782</v>
      </c>
      <c r="C9" s="7">
        <f>Factors!E14</f>
        <v>0.09090221904666515</v>
      </c>
      <c r="D9" s="5">
        <f>B9*C9</f>
        <v>61975.496706073456</v>
      </c>
      <c r="E9" s="17">
        <f>D9/G7</f>
        <v>0.49847981328630847</v>
      </c>
    </row>
    <row r="10" spans="1:4" ht="24.75" customHeight="1">
      <c r="A10" s="6" t="s">
        <v>5</v>
      </c>
      <c r="B10" s="5">
        <v>248483</v>
      </c>
      <c r="C10" s="7"/>
      <c r="D10" s="5"/>
    </row>
    <row r="11" spans="1:4" ht="28.5" customHeight="1">
      <c r="A11" t="s">
        <v>26</v>
      </c>
      <c r="B11" s="5"/>
      <c r="C11" s="7"/>
      <c r="D11" s="5"/>
    </row>
    <row r="12" spans="1:5" ht="30.75" customHeight="1">
      <c r="A12" s="6" t="s">
        <v>3</v>
      </c>
      <c r="B12" s="5">
        <f>Expenses!C31</f>
        <v>44783.672999999995</v>
      </c>
      <c r="C12" s="7">
        <v>0.2234</v>
      </c>
      <c r="D12" s="5">
        <f>B12*C12</f>
        <v>10004.672548199998</v>
      </c>
      <c r="E12" s="17">
        <f>D12/G7</f>
        <v>0.08046933980165526</v>
      </c>
    </row>
    <row r="13" spans="1:5" ht="28.5" customHeight="1">
      <c r="A13" s="6" t="s">
        <v>4</v>
      </c>
      <c r="B13" s="5">
        <f>Expenses!D31</f>
        <v>307415.8578</v>
      </c>
      <c r="C13" s="7">
        <f>Factors!E14</f>
        <v>0.09090221904666515</v>
      </c>
      <c r="D13" s="5">
        <f>B13*C13</f>
        <v>27944.783644154064</v>
      </c>
      <c r="E13" s="17">
        <f>D13/G7</f>
        <v>0.2247648066352505</v>
      </c>
    </row>
    <row r="14" spans="1:4" ht="25.5" customHeight="1">
      <c r="A14" s="6" t="s">
        <v>5</v>
      </c>
      <c r="B14" s="5">
        <f>Expenses!E31</f>
        <v>17913.4692</v>
      </c>
      <c r="C14" s="7"/>
      <c r="D14" s="5"/>
    </row>
    <row r="15" spans="1:4" ht="34.5" customHeight="1">
      <c r="A15" t="s">
        <v>36</v>
      </c>
      <c r="B15" s="5"/>
      <c r="C15" s="7"/>
      <c r="D15" s="5"/>
    </row>
    <row r="16" spans="1:5" ht="23.25" customHeight="1">
      <c r="A16" s="6" t="s">
        <v>37</v>
      </c>
      <c r="B16" s="5">
        <f>Expenses!C32</f>
        <v>143305.5138</v>
      </c>
      <c r="C16" s="7">
        <v>0.2234</v>
      </c>
      <c r="D16" s="5">
        <v>13585</v>
      </c>
      <c r="E16" s="17">
        <f>D16/G7</f>
        <v>0.10926654280175983</v>
      </c>
    </row>
    <row r="17" spans="1:7" ht="26.25" customHeight="1">
      <c r="A17" s="6" t="s">
        <v>38</v>
      </c>
      <c r="B17" s="5">
        <f>Expenses!D32</f>
        <v>954260.9754</v>
      </c>
      <c r="C17" s="7">
        <f>Factors!E14</f>
        <v>0.09090221904666515</v>
      </c>
      <c r="D17" s="5">
        <f>SUM(B17-160295)*C17</f>
        <v>72173.26901140995</v>
      </c>
      <c r="E17" s="17">
        <f>D17/G7</f>
        <v>0.5805022883752781</v>
      </c>
      <c r="G17" s="17"/>
    </row>
    <row r="18" spans="1:7" ht="21" customHeight="1">
      <c r="A18" s="6" t="s">
        <v>5</v>
      </c>
      <c r="B18" s="5">
        <f>Expenses!E32</f>
        <v>49795.510800000004</v>
      </c>
      <c r="C18" s="7"/>
      <c r="G18" s="17"/>
    </row>
    <row r="19" spans="1:6" ht="27.75" customHeight="1">
      <c r="A19" t="s">
        <v>39</v>
      </c>
      <c r="B19" s="3">
        <f>B5+B6+B8+B9+B10+B12+B13+B14+B16+B17+B18</f>
        <v>3094928.9999999995</v>
      </c>
      <c r="C19" s="18"/>
      <c r="D19" s="3"/>
      <c r="E19" s="19"/>
      <c r="F19" s="20"/>
    </row>
    <row r="20" spans="1:6" ht="26.25" customHeight="1">
      <c r="A20" s="6" t="s">
        <v>190</v>
      </c>
      <c r="B20" s="5">
        <v>67674</v>
      </c>
      <c r="C20" s="18">
        <f>C17</f>
        <v>0.09090221904666515</v>
      </c>
      <c r="D20" s="20">
        <f>B20*C17</f>
        <v>6151.716771764018</v>
      </c>
      <c r="E20" s="175">
        <f>D20/G7</f>
        <v>0.049479339267299</v>
      </c>
      <c r="F20" s="20"/>
    </row>
    <row r="21" spans="1:6" ht="29.25" customHeight="1">
      <c r="A21" s="177" t="s">
        <v>191</v>
      </c>
      <c r="B21" s="178"/>
      <c r="C21" s="179"/>
      <c r="D21" s="180">
        <f>D5+D6+D8+D9+D12+D13+D16+D17-D20</f>
        <v>317831.22693807347</v>
      </c>
      <c r="E21" s="181">
        <f>E5+E6+E8+E9+E12+E13+E16+E17-E20</f>
        <v>2.556372422669477</v>
      </c>
      <c r="F21" s="80"/>
    </row>
    <row r="22" spans="1:6" ht="29.25" customHeight="1">
      <c r="A22" s="21" t="s">
        <v>192</v>
      </c>
      <c r="B22" s="22"/>
      <c r="C22" s="23"/>
      <c r="D22" s="174">
        <f>E22*G7</f>
        <v>317038.95</v>
      </c>
      <c r="E22" s="176">
        <v>2.55</v>
      </c>
      <c r="F22" s="80"/>
    </row>
    <row r="23" spans="1:5" ht="69.75" customHeight="1">
      <c r="A23" s="230" t="s">
        <v>196</v>
      </c>
      <c r="B23" s="230"/>
      <c r="C23" s="230"/>
      <c r="D23" s="230"/>
      <c r="E23" s="230"/>
    </row>
  </sheetData>
  <mergeCells count="3">
    <mergeCell ref="A1:E1"/>
    <mergeCell ref="A2:E2"/>
    <mergeCell ref="A23:E23"/>
  </mergeCells>
  <printOptions gridLines="1" horizontalCentered="1"/>
  <pageMargins left="0.75" right="0.75" top="1" bottom="1" header="0.5" footer="0.5"/>
  <pageSetup fitToHeight="1" fitToWidth="1" horizontalDpi="300" verticalDpi="3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 &amp; Elovitz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Carryn Lee</dc:creator>
  <cp:keywords/>
  <dc:description/>
  <cp:lastModifiedBy>rod</cp:lastModifiedBy>
  <cp:lastPrinted>2003-06-03T16:45:32Z</cp:lastPrinted>
  <dcterms:created xsi:type="dcterms:W3CDTF">2003-03-13T21:37:41Z</dcterms:created>
  <dcterms:modified xsi:type="dcterms:W3CDTF">2003-06-03T17:35:16Z</dcterms:modified>
  <cp:category/>
  <cp:version/>
  <cp:contentType/>
  <cp:contentStatus/>
</cp:coreProperties>
</file>