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756" windowWidth="7500" windowHeight="5016" activeTab="0"/>
  </bookViews>
  <sheets>
    <sheet name="KAW_R_PSCDR2#12a_SCH1_021402.xl" sheetId="1" r:id="rId1"/>
  </sheets>
  <definedNames>
    <definedName name="_Fill" hidden="1">'KAW_R_PSCDR2#12a_SCH1_021402.xl'!$E$90:$M$90</definedName>
    <definedName name="AVG1">'KAW_R_PSCDR2#12a_SCH1_021402.xl'!$A$73:$T$73</definedName>
    <definedName name="CONSERV">'KAW_R_PSCDR2#12a_SCH1_021402.xl'!$A$205:$T$253</definedName>
    <definedName name="MAIN">'KAW_R_PSCDR2#12a_SCH1_021402.xl'!$A$1:$T$60</definedName>
    <definedName name="MAIN2">'KAW_R_PSCDR2#12a_SCH1_021402.xl'!$A$62:$T$110</definedName>
    <definedName name="MAX1">'KAW_R_PSCDR2#12a_SCH1_021402.xl'!$A$85:$T$85</definedName>
    <definedName name="OUTBULK">'KAW_R_PSCDR2#12a_SCH1_021402.xl'!$A$157:$T$204</definedName>
    <definedName name="OUTIND">'KAW_R_PSCDR2#12a_SCH1_021402.xl'!$A$112:$T$151</definedName>
    <definedName name="PAGE2">'KAW_R_PSCDR2#12a_SCH1_021402.xl'!$A$95:$U$151</definedName>
    <definedName name="PAGE3">'KAW_R_PSCDR2#12a_SCH1_021402.xl'!$A$157:$T$204</definedName>
    <definedName name="_xlnm.Print_Area">'KAW_R_PSCDR2#12a_SCH1_021402.xl'!$A$157:$T$204</definedName>
    <definedName name="Print_Area_MI" localSheetId="0">'KAW_R_PSCDR2#12a_SCH1_021402.xl'!$A$205:$T$253</definedName>
    <definedName name="PRINT_AREA_MI">'KAW_R_PSCDR2#12a_SCH1_021402.xl'!$A$205:$T$253</definedName>
    <definedName name="_xlnm.Print_Titles">'KAW_R_PSCDR2#12a_SCH1_021402.xl'!$267:$270</definedName>
    <definedName name="PRINT_TITLES_MI">'KAW_R_PSCDR2#12a_SCH1_021402.xl'!$267:$270</definedName>
    <definedName name="T3_2">'KAW_R_PSCDR2#12a_SCH1_021402.xl'!$A$1:$W$87</definedName>
    <definedName name="T3_3">'KAW_R_PSCDR2#12a_SCH1_021402.xl'!$A$112:$W$151</definedName>
    <definedName name="T3_4">'KAW_R_PSCDR2#12a_SCH1_021402.xl'!$A$158:$W$204</definedName>
    <definedName name="TITLE1">'KAW_R_PSCDR2#12a_SCH1_021402.xl'!$A$255:$T$258</definedName>
    <definedName name="TITLE2">'KAW_R_PSCDR2#12a_SCH1_021402.xl'!$A$259:$T$262</definedName>
    <definedName name="TITLE3">'KAW_R_PSCDR2#12a_SCH1_021402.xl'!$A$263:$T$266</definedName>
    <definedName name="TITLE4">'KAW_R_PSCDR2#12a_SCH1_021402.xl'!$A$267:$T$270</definedName>
    <definedName name="TITLE5">'KAW_R_PSCDR2#12a_SCH1_021402.xl'!$A$271:$T$274</definedName>
    <definedName name="TITLES">'KAW_R_PSCDR2#12a_SCH1_021402.xl'!$A$255:$T$273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<sst xmlns="http://schemas.openxmlformats.org/spreadsheetml/2006/main" count="412" uniqueCount="191">
  <si>
    <t>KENTUCKY AMERICAN WATER COMPANY</t>
  </si>
  <si>
    <t>MODEL UPDATE</t>
  </si>
  <si>
    <t>MARCH, 1992</t>
  </si>
  <si>
    <t>ELAST.</t>
  </si>
  <si>
    <t>% OF USE</t>
  </si>
  <si>
    <t>ADVANCED PLUMBING CODE EFFECTS CALCULATION</t>
  </si>
  <si>
    <t>WATER DEMAND MODEL</t>
  </si>
  <si>
    <t>RUN DATE</t>
  </si>
  <si>
    <t>SFR INDOOR</t>
  </si>
  <si>
    <t>U of L PROJECTIONS &amp; UNACCOUNTED-FOR of 13%</t>
  </si>
  <si>
    <t>FILENAME</t>
  </si>
  <si>
    <t>94UPDTHI.WK1</t>
  </si>
  <si>
    <t>SFR OUTDOOR</t>
  </si>
  <si>
    <t>COMMERCIAL</t>
  </si>
  <si>
    <t>UNIT WATER SAVINGS, GDU</t>
  </si>
  <si>
    <t>INDUSTRIAL</t>
  </si>
  <si>
    <t xml:space="preserve">  </t>
  </si>
  <si>
    <t>TOILETS</t>
  </si>
  <si>
    <t>APARTMENT</t>
  </si>
  <si>
    <t>SHOWERHEADS</t>
  </si>
  <si>
    <t>ASSUMED INFLATION RATE FOR YEAR (CPI)</t>
  </si>
  <si>
    <t>FAUCETS</t>
  </si>
  <si>
    <t>PROJECTED WATER/SEWER RATE INCREASE FOR YEAR</t>
  </si>
  <si>
    <t>ELIGIBLE POPULATION,%</t>
  </si>
  <si>
    <t>LOSSES AND NON REVENUE USES FOR YEAR</t>
  </si>
  <si>
    <t>% GROWTH FOR YEAR - REFERENCE CASE</t>
  </si>
  <si>
    <t xml:space="preserve"> </t>
  </si>
  <si>
    <t>CALENDAR YEAR</t>
  </si>
  <si>
    <t xml:space="preserve"> 1986</t>
  </si>
  <si>
    <t xml:space="preserve"> 1987</t>
  </si>
  <si>
    <t xml:space="preserve"> 1988</t>
  </si>
  <si>
    <t xml:space="preserve"> 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</si>
  <si>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</si>
  <si>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</si>
  <si>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</si>
  <si>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</si>
  <si>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</si>
  <si>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</si>
  <si>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</si>
  <si>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</si>
  <si>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</si>
  <si>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</si>
  <si>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</si>
  <si>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2005</t>
  </si>
  <si>
    <t>2010</t>
  </si>
  <si>
    <t>2015</t>
  </si>
  <si>
    <t>2020</t>
  </si>
  <si>
    <t>PARTICIPATION RATE</t>
  </si>
  <si>
    <t>LOW</t>
  </si>
  <si>
    <t>TOTAL POPULATION (FAYETTE CO)</t>
  </si>
  <si>
    <t>HIGH</t>
  </si>
  <si>
    <t xml:space="preserve">      APARTMENT POPULATION</t>
  </si>
  <si>
    <t xml:space="preserve">      U OF K FULL TIME RESIDENTS</t>
  </si>
  <si>
    <t>NUMBER OF CUSTOMERS CALC.</t>
  </si>
  <si>
    <t xml:space="preserve">      INMATES OF INSTITUTIONS</t>
  </si>
  <si>
    <t>WATER USE,MGD</t>
  </si>
  <si>
    <t>SINGLE FAMILY</t>
  </si>
  <si>
    <t>IN CTY</t>
  </si>
  <si>
    <t>REMAINING POPULATION SERVED</t>
  </si>
  <si>
    <t>OUT CTY</t>
  </si>
  <si>
    <t>FIVE YEAR PER CAPITA AVERAGE</t>
  </si>
  <si>
    <t>TOTAL ELACTICITY IMPACT</t>
  </si>
  <si>
    <t>MULTI</t>
  </si>
  <si>
    <t>ELAST.IMPACT FOR YEAR</t>
  </si>
  <si>
    <t>SFR PER CAP USAGE</t>
  </si>
  <si>
    <t>PER CAPITA USE (in gpd)</t>
  </si>
  <si>
    <t>MFR PER CAP USAGE</t>
  </si>
  <si>
    <t xml:space="preserve">    Single Family Residential</t>
  </si>
  <si>
    <t>SFR POPULATION</t>
  </si>
  <si>
    <t>MFR POPULATION</t>
  </si>
  <si>
    <t xml:space="preserve">          Residential use (in mgd)........</t>
  </si>
  <si>
    <t>PEOPLE/UNIT</t>
  </si>
  <si>
    <t>APARTMENT POPULATION</t>
  </si>
  <si>
    <t>EQU.RESID.CUSTOMERS</t>
  </si>
  <si>
    <t>five year per capita average</t>
  </si>
  <si>
    <t>COMM &amp; IND SAVINGS</t>
  </si>
  <si>
    <t>FROM AMY</t>
  </si>
  <si>
    <t>GOVT AND UK SAVINGS</t>
  </si>
  <si>
    <t>ESTIMATED APC SAVINGS, MGD</t>
  </si>
  <si>
    <t xml:space="preserve">HIGH </t>
  </si>
  <si>
    <t xml:space="preserve">    Multi-Family Residential</t>
  </si>
  <si>
    <t>AVG.</t>
  </si>
  <si>
    <t xml:space="preserve">    Garden Apartments</t>
  </si>
  <si>
    <t xml:space="preserve">    High Rise Apartments</t>
  </si>
  <si>
    <t xml:space="preserve">           Apartment use (in mgd)........</t>
  </si>
  <si>
    <t>OUTSIDE COUNTIES (see "Counties" files)</t>
  </si>
  <si>
    <t xml:space="preserve">       Individual Cust. Use (in mgd)....</t>
  </si>
  <si>
    <t xml:space="preserve">       Bulk Sales Use (in mgd)............</t>
  </si>
  <si>
    <t>TOTAL ELAST. IMPACT,GALLONS</t>
  </si>
  <si>
    <t>ELAT. IMPACT FOR YEAR,GALLONS</t>
  </si>
  <si>
    <t>COMMERCIAL USE (mgd)</t>
  </si>
  <si>
    <t>TOYOTA USAGE</t>
  </si>
  <si>
    <t>INDUSTRIAL USE (mgd,non-TOYOTA))</t>
  </si>
  <si>
    <t>UNIVERSITY OF KENTUCKY</t>
  </si>
  <si>
    <t xml:space="preserve">    U of K Base Demand</t>
  </si>
  <si>
    <t xml:space="preserve">     (Main Campus only)</t>
  </si>
  <si>
    <t xml:space="preserve">    U of K Population</t>
  </si>
  <si>
    <t xml:space="preserve">    U of K per student use (g/d)</t>
  </si>
  <si>
    <t xml:space="preserve">    U of K student usage (mgd).............</t>
  </si>
  <si>
    <t xml:space="preserve">  TOTAL U of K MAIN CAMPUS USAGE(mgd)</t>
  </si>
  <si>
    <t>OTHER PUBLIC USE (in mgd)..............</t>
  </si>
  <si>
    <t xml:space="preserve">   TOTAL SYSTEM USAGE (mgd).........</t>
  </si>
  <si>
    <t xml:space="preserve">     Total Plumbing Code Impacts</t>
  </si>
  <si>
    <t>LOSSES AND NON-REVENUE USE (%)</t>
  </si>
  <si>
    <t>LOSSES AND NON-REVENUE USE (mgd)..........</t>
  </si>
  <si>
    <t>PLUMBING CODE IMPACTS</t>
  </si>
  <si>
    <t>TOTAL AVERAGE DAY DEMAND (mgd).........</t>
  </si>
  <si>
    <t>MULTIPLIER</t>
  </si>
  <si>
    <t>MAX DAY:  95% EXCEEDANCE (mgd)</t>
  </si>
  <si>
    <t>ACTUAL MAXIMUM DAY (mgd)</t>
  </si>
  <si>
    <t>CONSERVATION IMPACTS</t>
  </si>
  <si>
    <t>MAX DAY: 95% EXCEEDANCE (mgd).........</t>
  </si>
  <si>
    <t>IN PLANT USE(mgd)</t>
  </si>
  <si>
    <t>TOTAL MAX DAY PRODUCTION (mgd)[95%excd]</t>
  </si>
  <si>
    <t>previous forecast (1992 CPS)</t>
  </si>
  <si>
    <t xml:space="preserve">* NOTE: Revised to reflect actual 1986-1993 year-end billed usage &amp; revised population projections per U of L Urban Studies Center. </t>
  </si>
  <si>
    <t>FOR SAME CONDITIONS UNDER HOT,DRY SCENARIO:</t>
  </si>
  <si>
    <t>PLUMBING CODE IMPACTS (mgd)</t>
  </si>
  <si>
    <t>ACTUAL  MAXIMUM DAY (mgd)</t>
  </si>
  <si>
    <t>DROUGHT AVG. DAY DEMAND: 95% EXCD. (mgd)</t>
  </si>
  <si>
    <t>SURROUNDING COUNTIES--INDIVIDUAL CUSTOMER</t>
  </si>
  <si>
    <t>WATER DEMAND</t>
  </si>
  <si>
    <t>WOODFORD COUNTY</t>
  </si>
  <si>
    <t xml:space="preserve">    Population</t>
  </si>
  <si>
    <t xml:space="preserve">    No. of resid. connections</t>
  </si>
  <si>
    <t xml:space="preserve">    Per capita use (GPD)</t>
  </si>
  <si>
    <t xml:space="preserve">    Persons per household</t>
  </si>
  <si>
    <t>WOODFORD CO. WATER DEMAND (in MGD).............</t>
  </si>
  <si>
    <t>SCOTT COUNTY</t>
  </si>
  <si>
    <t>SCOTT CO. WATER DEMAND (in MGD)................</t>
  </si>
  <si>
    <t>BOURBON COUNTY</t>
  </si>
  <si>
    <t>BOURBON CO. WATER DEMAND (in MGD).............</t>
  </si>
  <si>
    <t>HARRISON COUNTY</t>
  </si>
  <si>
    <t>HARRISON CO. WATER DEMAND (in MGD)......</t>
  </si>
  <si>
    <t>INDIVIDUAL CUSTOMER</t>
  </si>
  <si>
    <t>TOTAL WATER DEMAND OUTSIDE COUNTIES...</t>
  </si>
  <si>
    <t>OUTSIDE COUNTIES--BULK SALES</t>
  </si>
  <si>
    <t>MIDWAY</t>
  </si>
  <si>
    <t xml:space="preserve">    Woodford Co.population projections</t>
  </si>
  <si>
    <t xml:space="preserve">    Projected bulk consumption (mgd)</t>
  </si>
  <si>
    <t>MIDWAY WATER DEMAND (in MGD).............</t>
  </si>
  <si>
    <t>VERSAILLES</t>
  </si>
  <si>
    <t xml:space="preserve">    Versailles projected tot. avg usage</t>
  </si>
  <si>
    <t xml:space="preserve">    Versailles production capacity(mgd)</t>
  </si>
  <si>
    <t xml:space="preserve">        (supplemental supply)</t>
  </si>
  <si>
    <t>VERSAILLES WATER DEMAND (in MGD).............</t>
  </si>
  <si>
    <t>SPEARS DISTRICT</t>
  </si>
  <si>
    <t xml:space="preserve">    Jessamine Co.population projections</t>
  </si>
  <si>
    <t xml:space="preserve">    Average bulk consumption (mgd)</t>
  </si>
  <si>
    <t>SPEARS DISTRICT WATER DEMAND (in MGD).......</t>
  </si>
  <si>
    <t>SOUTH ELKHORN DISTRICT</t>
  </si>
  <si>
    <t>SOUTH ELKHORN WATER DEMAND (in MGD).......</t>
  </si>
  <si>
    <t>NORTH MIDDLETOWN</t>
  </si>
  <si>
    <t xml:space="preserve">    Bourbon Co. population projections</t>
  </si>
  <si>
    <t>NORTH MIDDLETOWN WATER DEMAND (in MGD)</t>
  </si>
  <si>
    <t>BULK SALES</t>
  </si>
  <si>
    <t>CONSERVATION PROGRAM IMPACTS</t>
  </si>
  <si>
    <t>RESIDENTIAL RETROFIT PROGRAM</t>
  </si>
  <si>
    <t xml:space="preserve">  SAVINGS PER HOUSEHOLD</t>
  </si>
  <si>
    <t xml:space="preserve">  HOUSEHOLDS PARTICIPATING</t>
  </si>
  <si>
    <t xml:space="preserve">  ANNUAL SAVINGS</t>
  </si>
  <si>
    <t>CUMULATIVE SAVINGS</t>
  </si>
  <si>
    <t>RESIDENTIAL LANDSCAPE/TURF SCHEDULE</t>
  </si>
  <si>
    <t>INTERIOR HOME CONSULTATION</t>
  </si>
  <si>
    <t>COMMERCIAL/INDUSTRIAL INTERNAL AUDIT</t>
  </si>
  <si>
    <t xml:space="preserve">  SAVINGS PER COMMERCIAL UNIT</t>
  </si>
  <si>
    <t xml:space="preserve">  UNITS PARTICIPATING</t>
  </si>
  <si>
    <t xml:space="preserve">  SAVINGS PER INDUSTRIAL UNIT</t>
  </si>
  <si>
    <t>INDUSTRIAL/UK EXTERIOR AUDIT</t>
  </si>
  <si>
    <t xml:space="preserve">  UNIVERSITY OF KENTUCKY</t>
  </si>
  <si>
    <t>INCREASED LEAK DETECTION</t>
  </si>
  <si>
    <t xml:space="preserve">TOTAL SAVINGS FROM CONSERVATION </t>
  </si>
  <si>
    <t>PUBLIC SERVICE COMMISSION CASE NO. 93-434</t>
  </si>
  <si>
    <t>SCHEDULE A</t>
  </si>
  <si>
    <t>ATTACHMENT A</t>
  </si>
  <si>
    <t>UNIVERSITY OF LOUISVILLE MODERATE GROWTH SERIES POPULATION PROJECTIONS</t>
  </si>
  <si>
    <t>TESTIMONY OF LINDA C. BRIDWELL</t>
  </si>
  <si>
    <t>PAGE 1 OF 5</t>
  </si>
  <si>
    <t>PAGE 2 OF 5</t>
  </si>
  <si>
    <t>PAGE 3 OF 5</t>
  </si>
  <si>
    <t>PAGE 4 OF 5</t>
  </si>
  <si>
    <t>PAGE 5 OF 5</t>
  </si>
  <si>
    <t>Hearing Data Request</t>
  </si>
  <si>
    <t>Item #7 - Updated</t>
  </si>
  <si>
    <t>Attachment - Schedule "C"</t>
  </si>
  <si>
    <t>1992 Actual Usage and Moderate Growth Series Population Projections</t>
  </si>
  <si>
    <t>Page 1 of 4</t>
  </si>
  <si>
    <t>Case No. 92-452</t>
  </si>
  <si>
    <t>Page 2 of 4</t>
  </si>
  <si>
    <t>Page 3 of 4</t>
  </si>
  <si>
    <t>Page 4 of 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</si>
</sst>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_)"/>
    <numFmt numFmtId="166" formatCode="0.0%"/>
    <numFmt numFmtId="167" formatCode=";;;"/>
    <numFmt numFmtId="168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68" fontId="0" fillId="0" borderId="4" xfId="0" applyNumberFormat="1" applyBorder="1" applyAlignment="1" applyProtection="1">
      <alignment/>
      <protection/>
    </xf>
    <xf numFmtId="167" fontId="0" fillId="0" borderId="4" xfId="0" applyNumberFormat="1" applyBorder="1" applyAlignment="1" applyProtection="1">
      <alignment/>
      <protection/>
    </xf>
    <xf numFmtId="167" fontId="0" fillId="0" borderId="2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/>
      <protection/>
    </xf>
    <xf numFmtId="10" fontId="0" fillId="0" borderId="2" xfId="0" applyNumberFormat="1" applyBorder="1" applyAlignment="1" applyProtection="1">
      <alignment/>
      <protection/>
    </xf>
    <xf numFmtId="10" fontId="0" fillId="0" borderId="4" xfId="0" applyNumberFormat="1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164" fontId="0" fillId="0" borderId="8" xfId="0" applyNumberFormat="1" applyBorder="1" applyAlignment="1" applyProtection="1">
      <alignment/>
      <protection/>
    </xf>
    <xf numFmtId="164" fontId="0" fillId="0" borderId="7" xfId="0" applyNumberForma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164" fontId="0" fillId="0" borderId="3" xfId="0" applyNumberForma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302"/>
  <sheetViews>
    <sheetView showGridLines="0" tabSelected="1" view="pageBreakPreview" zoomScale="60" workbookViewId="0" topLeftCell="A139">
      <selection activeCell="L139" sqref="L139"/>
    </sheetView>
  </sheetViews>
  <sheetFormatPr defaultColWidth="9.77734375" defaultRowHeight="15.75"/>
  <cols>
    <col min="1" max="1" width="39.77734375" style="0" customWidth="1"/>
    <col min="6" max="6" width="8.77734375" style="0" customWidth="1"/>
    <col min="11" max="11" width="8.77734375" style="0" customWidth="1"/>
    <col min="16" max="18" width="8.77734375" style="0" customWidth="1"/>
    <col min="20" max="20" width="8.77734375" style="0" customWidth="1"/>
    <col min="21" max="21" width="1.77734375" style="0" customWidth="1"/>
    <col min="23" max="23" width="2.77734375" style="0" customWidth="1"/>
  </cols>
  <sheetData>
    <row r="1" spans="1:22" ht="15">
      <c r="A1" s="1" t="s">
        <v>0</v>
      </c>
      <c r="F1" s="2" t="s">
        <v>1</v>
      </c>
      <c r="H1" s="2" t="s">
        <v>2</v>
      </c>
      <c r="R1" s="2" t="s">
        <v>3</v>
      </c>
      <c r="S1" s="2" t="s">
        <v>4</v>
      </c>
      <c r="V1" s="2" t="s">
        <v>5</v>
      </c>
    </row>
    <row r="2" spans="1:19" ht="15">
      <c r="A2" s="2" t="s">
        <v>6</v>
      </c>
      <c r="F2" s="2" t="s">
        <v>7</v>
      </c>
      <c r="H2" s="3">
        <f ca="1">NOW()</f>
        <v>37301.816374305556</v>
      </c>
      <c r="P2" s="2" t="s">
        <v>8</v>
      </c>
      <c r="R2" s="4">
        <v>0.1</v>
      </c>
      <c r="S2" s="5">
        <v>0.85</v>
      </c>
    </row>
    <row r="3" spans="1:27" ht="15">
      <c r="A3" s="2" t="s">
        <v>9</v>
      </c>
      <c r="F3" s="2" t="s">
        <v>10</v>
      </c>
      <c r="H3" s="2" t="s">
        <v>11</v>
      </c>
      <c r="P3" s="2" t="s">
        <v>12</v>
      </c>
      <c r="R3" s="4">
        <v>0.5</v>
      </c>
      <c r="S3" s="5">
        <v>0.15</v>
      </c>
      <c r="Z3" s="4">
        <v>1996</v>
      </c>
      <c r="AA3" s="4">
        <v>2006</v>
      </c>
    </row>
    <row r="4" spans="16:22" ht="15">
      <c r="P4" s="2" t="s">
        <v>13</v>
      </c>
      <c r="R4" s="4">
        <v>0.1</v>
      </c>
      <c r="S4" s="5">
        <v>1</v>
      </c>
      <c r="V4" s="2" t="s">
        <v>14</v>
      </c>
    </row>
    <row r="5" spans="16:27" ht="15">
      <c r="P5" s="2" t="s">
        <v>15</v>
      </c>
      <c r="R5" s="4">
        <v>0</v>
      </c>
      <c r="S5" s="5">
        <v>1</v>
      </c>
      <c r="V5" s="2" t="s">
        <v>16</v>
      </c>
      <c r="W5" s="2" t="s">
        <v>17</v>
      </c>
      <c r="Z5" s="6">
        <v>21.12</v>
      </c>
      <c r="AA5" s="6">
        <v>20.2</v>
      </c>
    </row>
    <row r="6" spans="8:27" ht="15">
      <c r="H6" s="5"/>
      <c r="I6" s="5"/>
      <c r="J6" s="5"/>
      <c r="K6" s="5"/>
      <c r="L6" s="5"/>
      <c r="M6" s="5"/>
      <c r="N6" s="5"/>
      <c r="O6" s="5"/>
      <c r="P6" s="2" t="s">
        <v>18</v>
      </c>
      <c r="R6" s="4">
        <v>0.1</v>
      </c>
      <c r="S6" s="5">
        <v>1</v>
      </c>
      <c r="W6" s="2" t="s">
        <v>19</v>
      </c>
      <c r="Z6" s="6">
        <v>10.03</v>
      </c>
      <c r="AA6" s="6">
        <v>10.9</v>
      </c>
    </row>
    <row r="7" spans="1:27" ht="15">
      <c r="A7" s="2" t="s">
        <v>20</v>
      </c>
      <c r="D7" s="5"/>
      <c r="E7" s="5"/>
      <c r="F7" s="5"/>
      <c r="G7" s="7">
        <v>0.05</v>
      </c>
      <c r="H7" s="7">
        <v>0.05</v>
      </c>
      <c r="I7" s="7">
        <v>0.05</v>
      </c>
      <c r="J7" s="7">
        <v>0.05</v>
      </c>
      <c r="K7" s="7">
        <v>0.05</v>
      </c>
      <c r="L7" s="7">
        <v>0.05</v>
      </c>
      <c r="M7" s="7">
        <v>0.05</v>
      </c>
      <c r="N7" s="7">
        <v>0.05</v>
      </c>
      <c r="O7" s="7">
        <v>0.05</v>
      </c>
      <c r="P7" s="7">
        <v>0.05</v>
      </c>
      <c r="Q7" s="7">
        <v>0.05</v>
      </c>
      <c r="R7" s="7">
        <v>0.05</v>
      </c>
      <c r="S7" s="7">
        <v>0.05</v>
      </c>
      <c r="T7" s="7">
        <v>0.05</v>
      </c>
      <c r="W7" s="2" t="s">
        <v>21</v>
      </c>
      <c r="Z7" s="6">
        <v>13.73</v>
      </c>
      <c r="AA7" s="6">
        <v>3</v>
      </c>
    </row>
    <row r="8" spans="1:22" ht="15">
      <c r="A8" s="8" t="s">
        <v>22</v>
      </c>
      <c r="B8" s="9"/>
      <c r="C8" s="9"/>
      <c r="D8" s="9"/>
      <c r="E8" s="9"/>
      <c r="F8" s="9"/>
      <c r="G8" s="9">
        <v>0.0656</v>
      </c>
      <c r="H8" s="9">
        <v>0.0656</v>
      </c>
      <c r="I8" s="9">
        <v>0.0657</v>
      </c>
      <c r="J8" s="9">
        <v>0.0662</v>
      </c>
      <c r="K8" s="9">
        <v>0.0664</v>
      </c>
      <c r="L8" s="9">
        <v>0.05</v>
      </c>
      <c r="M8" s="9">
        <v>0.05</v>
      </c>
      <c r="N8" s="9">
        <v>0.05</v>
      </c>
      <c r="O8" s="9">
        <v>0.05</v>
      </c>
      <c r="P8" s="9">
        <v>0.05</v>
      </c>
      <c r="Q8" s="9">
        <v>0.05</v>
      </c>
      <c r="R8" s="9">
        <v>0.05</v>
      </c>
      <c r="S8" s="9">
        <v>0.05</v>
      </c>
      <c r="T8" s="9">
        <v>0.05</v>
      </c>
      <c r="U8" s="9"/>
      <c r="V8" s="2" t="s">
        <v>23</v>
      </c>
    </row>
    <row r="9" spans="1:27" ht="15">
      <c r="A9" s="2" t="s">
        <v>24</v>
      </c>
      <c r="D9" s="5"/>
      <c r="E9" s="5"/>
      <c r="F9" s="5"/>
      <c r="G9" s="5">
        <v>0.13</v>
      </c>
      <c r="H9" s="5">
        <v>0.13</v>
      </c>
      <c r="I9" s="5">
        <v>0.13</v>
      </c>
      <c r="J9" s="5">
        <v>0.13</v>
      </c>
      <c r="K9" s="5">
        <v>0.13</v>
      </c>
      <c r="L9" s="5">
        <v>0.13</v>
      </c>
      <c r="M9" s="5">
        <v>0.13</v>
      </c>
      <c r="N9" s="5">
        <v>0.13</v>
      </c>
      <c r="O9" s="5">
        <v>0.13</v>
      </c>
      <c r="P9" s="5">
        <v>0.13</v>
      </c>
      <c r="Q9" s="5">
        <v>0.13</v>
      </c>
      <c r="R9" s="5">
        <v>0.13</v>
      </c>
      <c r="S9" s="5">
        <v>0.13</v>
      </c>
      <c r="T9" s="5">
        <v>0.13</v>
      </c>
      <c r="U9" s="5">
        <v>0.13</v>
      </c>
      <c r="W9" s="2" t="s">
        <v>17</v>
      </c>
      <c r="Z9" s="4">
        <v>0.15</v>
      </c>
      <c r="AA9" s="4">
        <v>0.65</v>
      </c>
    </row>
    <row r="10" spans="1:27" ht="15">
      <c r="A10" s="2" t="s">
        <v>25</v>
      </c>
      <c r="D10" s="5">
        <v>0.01097153185720741</v>
      </c>
      <c r="E10" s="5">
        <v>0.010678144890223843</v>
      </c>
      <c r="F10" s="5">
        <v>0.010454764568785186</v>
      </c>
      <c r="G10" s="5">
        <v>0.009703213833973066</v>
      </c>
      <c r="H10" s="5">
        <v>0.00899877762269287</v>
      </c>
      <c r="I10" s="5">
        <v>0.00827411996185141</v>
      </c>
      <c r="J10" s="5">
        <v>0.00766084363016617</v>
      </c>
      <c r="K10" s="5">
        <v>0.007027543573307174</v>
      </c>
      <c r="L10" s="5">
        <v>0.006554417198522002</v>
      </c>
      <c r="M10" s="5">
        <v>0.006057041310523484</v>
      </c>
      <c r="N10" s="5">
        <v>0.005572763120249779</v>
      </c>
      <c r="O10" s="5">
        <v>0.005154277844439771</v>
      </c>
      <c r="P10" s="5">
        <v>0.004779153864140758</v>
      </c>
      <c r="Q10" s="5">
        <v>0.02174481080463149</v>
      </c>
      <c r="R10" s="5">
        <v>0.019100288502265663</v>
      </c>
      <c r="S10" s="5">
        <v>0.015558465797253743</v>
      </c>
      <c r="T10" s="5">
        <v>0.01050554813402006</v>
      </c>
      <c r="W10" s="2" t="s">
        <v>19</v>
      </c>
      <c r="Z10" s="4">
        <v>0.25</v>
      </c>
      <c r="AA10" s="4">
        <v>0.9</v>
      </c>
    </row>
    <row r="11" spans="1:27" ht="15">
      <c r="A11" s="2" t="s">
        <v>26</v>
      </c>
      <c r="D11" s="5">
        <f aca="true" t="shared" si="0" ref="D11:T11">(D14/C14)-1</f>
        <v>0.010819585899168427</v>
      </c>
      <c r="E11" s="5">
        <f t="shared" si="0"/>
        <v>-3.588860178005415E-05</v>
      </c>
      <c r="F11" s="5">
        <f t="shared" si="0"/>
        <v>0.011045113591501288</v>
      </c>
      <c r="G11" s="5">
        <f t="shared" si="0"/>
        <v>0.013169688417951297</v>
      </c>
      <c r="H11" s="5">
        <f t="shared" si="0"/>
        <v>0.005106554433417676</v>
      </c>
      <c r="I11" s="5">
        <f t="shared" si="0"/>
        <v>0.009006535947712502</v>
      </c>
      <c r="J11" s="5">
        <f t="shared" si="0"/>
        <v>0.008926142325978992</v>
      </c>
      <c r="K11" s="5">
        <f t="shared" si="0"/>
        <v>0.008847171216518124</v>
      </c>
      <c r="L11" s="5">
        <f t="shared" si="0"/>
        <v>0.007649522063970959</v>
      </c>
      <c r="M11" s="5">
        <f t="shared" si="0"/>
        <v>0.007587240635947179</v>
      </c>
      <c r="N11" s="5">
        <f t="shared" si="0"/>
        <v>0.007530107895330707</v>
      </c>
      <c r="O11" s="5">
        <f t="shared" si="0"/>
        <v>0.007477976674353348</v>
      </c>
      <c r="P11" s="5">
        <f t="shared" si="0"/>
        <v>0.007418354870714072</v>
      </c>
      <c r="Q11" s="5">
        <f t="shared" si="0"/>
        <v>0.026373752109614124</v>
      </c>
      <c r="R11" s="5">
        <f t="shared" si="0"/>
        <v>0.0256960508347035</v>
      </c>
      <c r="S11" s="5">
        <f t="shared" si="0"/>
        <v>0.01555846579725384</v>
      </c>
      <c r="T11" s="5">
        <f t="shared" si="0"/>
        <v>0.0011726997501972924</v>
      </c>
      <c r="W11" s="2" t="s">
        <v>21</v>
      </c>
      <c r="Z11" s="4">
        <v>0.25</v>
      </c>
      <c r="AA11" s="4">
        <v>0.9</v>
      </c>
    </row>
    <row r="12" spans="1:22" ht="15">
      <c r="A12" s="18" t="s">
        <v>27</v>
      </c>
      <c r="B12" s="19" t="s">
        <v>28</v>
      </c>
      <c r="C12" s="19" t="s">
        <v>29</v>
      </c>
      <c r="D12" s="19" t="s">
        <v>30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19" t="s">
        <v>42</v>
      </c>
      <c r="Q12" s="19" t="s">
        <v>43</v>
      </c>
      <c r="R12" s="19" t="s">
        <v>44</v>
      </c>
      <c r="S12" s="19" t="s">
        <v>45</v>
      </c>
      <c r="T12" s="19" t="s">
        <v>46</v>
      </c>
      <c r="V12" s="2" t="s">
        <v>47</v>
      </c>
    </row>
    <row r="13" spans="2:27" ht="15">
      <c r="B13" s="13"/>
      <c r="T13" s="15"/>
      <c r="W13" s="2" t="s">
        <v>48</v>
      </c>
      <c r="Z13" s="4">
        <v>0.75</v>
      </c>
      <c r="AA13" s="4">
        <v>0.75</v>
      </c>
    </row>
    <row r="14" spans="1:27" ht="15">
      <c r="A14" s="2" t="s">
        <v>49</v>
      </c>
      <c r="B14" s="20">
        <v>217701</v>
      </c>
      <c r="C14" s="4">
        <v>220526</v>
      </c>
      <c r="D14" s="4">
        <v>222912</v>
      </c>
      <c r="E14" s="4">
        <v>222904</v>
      </c>
      <c r="F14" s="4">
        <v>225366</v>
      </c>
      <c r="G14" s="4">
        <v>228334</v>
      </c>
      <c r="H14" s="4">
        <v>229500</v>
      </c>
      <c r="I14" s="4">
        <v>231567</v>
      </c>
      <c r="J14" s="4">
        <v>233634</v>
      </c>
      <c r="K14" s="4">
        <v>235701</v>
      </c>
      <c r="L14" s="4">
        <v>237504</v>
      </c>
      <c r="M14" s="4">
        <v>239306</v>
      </c>
      <c r="N14" s="4">
        <v>241108</v>
      </c>
      <c r="O14" s="4">
        <v>242911</v>
      </c>
      <c r="P14" s="4">
        <v>244713</v>
      </c>
      <c r="Q14" s="4">
        <v>251167</v>
      </c>
      <c r="R14" s="4">
        <v>257621</v>
      </c>
      <c r="S14" s="4">
        <f>(1+S10)*R14</f>
        <v>261629.18751715432</v>
      </c>
      <c r="T14" s="21">
        <v>261936</v>
      </c>
      <c r="W14" s="2" t="s">
        <v>50</v>
      </c>
      <c r="Z14" s="6">
        <v>0.9</v>
      </c>
      <c r="AA14" s="6">
        <v>0.9</v>
      </c>
    </row>
    <row r="15" spans="1:20" ht="15">
      <c r="A15" s="2" t="s">
        <v>51</v>
      </c>
      <c r="B15" s="22">
        <f>(66160/204165)*B14</f>
        <v>70546.36279479832</v>
      </c>
      <c r="C15" s="11">
        <f>B15*C14/B14</f>
        <v>71461.80863517252</v>
      </c>
      <c r="D15" s="11">
        <f>C15*D14/C14</f>
        <v>72234.9958122107</v>
      </c>
      <c r="E15" s="11">
        <f>D15*E14/D14</f>
        <v>72232.40339921141</v>
      </c>
      <c r="F15" s="11">
        <v>75741</v>
      </c>
      <c r="G15" s="11">
        <f aca="true" t="shared" si="1" ref="G15:T15">$F15*G14/$F14</f>
        <v>76738.48537046404</v>
      </c>
      <c r="H15" s="11">
        <f t="shared" si="1"/>
        <v>77130.35462314636</v>
      </c>
      <c r="I15" s="11">
        <f t="shared" si="1"/>
        <v>77825.03193471952</v>
      </c>
      <c r="J15" s="11">
        <f t="shared" si="1"/>
        <v>78519.7092462927</v>
      </c>
      <c r="K15" s="11">
        <f t="shared" si="1"/>
        <v>79214.38655786587</v>
      </c>
      <c r="L15" s="11">
        <f t="shared" si="1"/>
        <v>79820.33875562418</v>
      </c>
      <c r="M15" s="11">
        <f t="shared" si="1"/>
        <v>80425.95487340592</v>
      </c>
      <c r="N15" s="11">
        <f t="shared" si="1"/>
        <v>81031.57099118766</v>
      </c>
      <c r="O15" s="11">
        <f t="shared" si="1"/>
        <v>81637.52318894598</v>
      </c>
      <c r="P15" s="11">
        <f t="shared" si="1"/>
        <v>82243.13930672772</v>
      </c>
      <c r="Q15" s="11">
        <f t="shared" si="1"/>
        <v>84412.19947551982</v>
      </c>
      <c r="R15" s="11">
        <f t="shared" si="1"/>
        <v>86581.25964431193</v>
      </c>
      <c r="S15" s="11">
        <f t="shared" si="1"/>
        <v>87928.3312111711</v>
      </c>
      <c r="T15" s="23">
        <f t="shared" si="1"/>
        <v>88031.4447432177</v>
      </c>
    </row>
    <row r="16" spans="1:22" ht="15">
      <c r="A16" s="2" t="s">
        <v>52</v>
      </c>
      <c r="B16" s="22">
        <v>8153</v>
      </c>
      <c r="C16" s="11">
        <v>8200</v>
      </c>
      <c r="D16" s="11">
        <v>8200</v>
      </c>
      <c r="E16" s="11">
        <v>8200</v>
      </c>
      <c r="F16" s="11">
        <v>8200</v>
      </c>
      <c r="G16" s="11">
        <v>8200</v>
      </c>
      <c r="H16" s="11">
        <v>8200</v>
      </c>
      <c r="I16" s="11">
        <v>8200</v>
      </c>
      <c r="J16" s="11">
        <v>8200</v>
      </c>
      <c r="K16" s="11">
        <v>8200</v>
      </c>
      <c r="L16" s="11">
        <v>8200</v>
      </c>
      <c r="M16" s="11">
        <v>8200</v>
      </c>
      <c r="N16" s="11">
        <v>8200</v>
      </c>
      <c r="O16" s="11">
        <v>8200</v>
      </c>
      <c r="P16" s="11">
        <v>8200</v>
      </c>
      <c r="Q16" s="11">
        <v>8200</v>
      </c>
      <c r="R16" s="11">
        <v>8200</v>
      </c>
      <c r="S16" s="11">
        <v>8200</v>
      </c>
      <c r="T16" s="23">
        <v>8200</v>
      </c>
      <c r="V16" s="2" t="s">
        <v>53</v>
      </c>
    </row>
    <row r="17" spans="1:23" ht="15">
      <c r="A17" s="2" t="s">
        <v>54</v>
      </c>
      <c r="B17" s="22">
        <v>3793</v>
      </c>
      <c r="C17" s="11">
        <f>((F17-B17)/4)+B17</f>
        <v>4115.75</v>
      </c>
      <c r="D17" s="11">
        <f>2*((F17-B17)/4)+B17</f>
        <v>4438.5</v>
      </c>
      <c r="E17" s="11">
        <f>3*((F17-B17)/4)+B17</f>
        <v>4761.25</v>
      </c>
      <c r="F17" s="11">
        <v>5084</v>
      </c>
      <c r="G17" s="11">
        <f aca="true" t="shared" si="2" ref="G17:T17">F17*G15/F15</f>
        <v>5150.954695916864</v>
      </c>
      <c r="H17" s="11">
        <f t="shared" si="2"/>
        <v>5177.258326455632</v>
      </c>
      <c r="I17" s="11">
        <f t="shared" si="2"/>
        <v>5223.887489683448</v>
      </c>
      <c r="J17" s="11">
        <f t="shared" si="2"/>
        <v>5270.516652911264</v>
      </c>
      <c r="K17" s="11">
        <f t="shared" si="2"/>
        <v>5317.14581613908</v>
      </c>
      <c r="L17" s="11">
        <f t="shared" si="2"/>
        <v>5357.819440376986</v>
      </c>
      <c r="M17" s="11">
        <f t="shared" si="2"/>
        <v>5398.470505755082</v>
      </c>
      <c r="N17" s="11">
        <f t="shared" si="2"/>
        <v>5439.121571133178</v>
      </c>
      <c r="O17" s="11">
        <f t="shared" si="2"/>
        <v>5479.795195371084</v>
      </c>
      <c r="P17" s="11">
        <f t="shared" si="2"/>
        <v>5520.4462607491805</v>
      </c>
      <c r="Q17" s="11">
        <f t="shared" si="2"/>
        <v>5666.041141964625</v>
      </c>
      <c r="R17" s="11">
        <f t="shared" si="2"/>
        <v>5811.636023180071</v>
      </c>
      <c r="S17" s="11">
        <f t="shared" si="2"/>
        <v>5902.056163472806</v>
      </c>
      <c r="T17" s="23">
        <f t="shared" si="2"/>
        <v>5908.97750326136</v>
      </c>
      <c r="W17" s="2" t="s">
        <v>55</v>
      </c>
    </row>
    <row r="18" spans="2:24" ht="15">
      <c r="B18" s="2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3"/>
      <c r="X18" s="2" t="s">
        <v>56</v>
      </c>
    </row>
    <row r="19" spans="2:27" ht="15">
      <c r="B19" s="2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23"/>
      <c r="Y19" s="2" t="s">
        <v>57</v>
      </c>
      <c r="Z19" s="4">
        <f>L27</f>
        <v>11.329696819666216</v>
      </c>
      <c r="AA19" s="4">
        <f>Q27</f>
        <v>11.980990935112507</v>
      </c>
    </row>
    <row r="20" spans="1:27" ht="15">
      <c r="A20" s="2" t="s">
        <v>58</v>
      </c>
      <c r="B20" s="22">
        <f aca="true" t="shared" si="3" ref="B20:T20">B14-B15-B16-B17</f>
        <v>135208.63720520167</v>
      </c>
      <c r="C20" s="11">
        <f t="shared" si="3"/>
        <v>136748.44136482748</v>
      </c>
      <c r="D20" s="11">
        <f t="shared" si="3"/>
        <v>138038.50418778928</v>
      </c>
      <c r="E20" s="11">
        <f t="shared" si="3"/>
        <v>137710.3466007886</v>
      </c>
      <c r="F20" s="11">
        <f t="shared" si="3"/>
        <v>136341</v>
      </c>
      <c r="G20" s="11">
        <f t="shared" si="3"/>
        <v>138244.5599336191</v>
      </c>
      <c r="H20" s="11">
        <f t="shared" si="3"/>
        <v>138992.387050398</v>
      </c>
      <c r="I20" s="11">
        <f t="shared" si="3"/>
        <v>140318.080575597</v>
      </c>
      <c r="J20" s="11">
        <f t="shared" si="3"/>
        <v>141643.77410079603</v>
      </c>
      <c r="K20" s="11">
        <f t="shared" si="3"/>
        <v>142969.46762599502</v>
      </c>
      <c r="L20" s="11">
        <f t="shared" si="3"/>
        <v>144125.84180399883</v>
      </c>
      <c r="M20" s="11">
        <f t="shared" si="3"/>
        <v>145281.574620839</v>
      </c>
      <c r="N20" s="11">
        <f t="shared" si="3"/>
        <v>146437.30743767918</v>
      </c>
      <c r="O20" s="11">
        <f t="shared" si="3"/>
        <v>147593.68161568293</v>
      </c>
      <c r="P20" s="11">
        <f t="shared" si="3"/>
        <v>148749.41443252307</v>
      </c>
      <c r="Q20" s="11">
        <f t="shared" si="3"/>
        <v>152888.75938251556</v>
      </c>
      <c r="R20" s="11">
        <f t="shared" si="3"/>
        <v>157028.10433250802</v>
      </c>
      <c r="S20" s="11">
        <f t="shared" si="3"/>
        <v>159598.80014251042</v>
      </c>
      <c r="T20" s="23">
        <f t="shared" si="3"/>
        <v>159795.57775352095</v>
      </c>
      <c r="Y20" s="2" t="s">
        <v>59</v>
      </c>
      <c r="Z20" s="4">
        <f>L43+L44</f>
        <v>1.451391032061243</v>
      </c>
      <c r="AA20" s="4">
        <f>Q43+Q44</f>
        <v>1.798096788564925</v>
      </c>
    </row>
    <row r="21" spans="1:20" ht="15">
      <c r="A21" s="8" t="s">
        <v>60</v>
      </c>
      <c r="B21" s="13"/>
      <c r="G21" s="9">
        <f aca="true" t="shared" si="4" ref="G21:T21">SUM(B24:F24)/5</f>
        <v>83.08553328697289</v>
      </c>
      <c r="H21" s="9">
        <f t="shared" si="4"/>
        <v>82.05746971595568</v>
      </c>
      <c r="I21" s="9">
        <f t="shared" si="4"/>
        <v>79.51747806156354</v>
      </c>
      <c r="J21" s="9">
        <f t="shared" si="4"/>
        <v>78.89837137900241</v>
      </c>
      <c r="K21" s="9">
        <f t="shared" si="4"/>
        <v>79.44862615760331</v>
      </c>
      <c r="L21" s="9">
        <f t="shared" si="4"/>
        <v>79.2977248547761</v>
      </c>
      <c r="M21" s="9">
        <f t="shared" si="4"/>
        <v>78.93740403431093</v>
      </c>
      <c r="N21" s="9">
        <f t="shared" si="4"/>
        <v>79.35235149965169</v>
      </c>
      <c r="O21" s="9">
        <f t="shared" si="4"/>
        <v>78.61774287828982</v>
      </c>
      <c r="P21" s="9">
        <f t="shared" si="4"/>
        <v>78.51975385582779</v>
      </c>
      <c r="Q21" s="9">
        <f t="shared" si="4"/>
        <v>78.44619464096533</v>
      </c>
      <c r="R21" s="9">
        <f t="shared" si="4"/>
        <v>78.39706523370246</v>
      </c>
      <c r="S21" s="9">
        <f t="shared" si="4"/>
        <v>78.37236563403914</v>
      </c>
      <c r="T21" s="24">
        <f t="shared" si="4"/>
        <v>78.36410592577978</v>
      </c>
    </row>
    <row r="22" spans="1:27" ht="15">
      <c r="A22" s="8" t="s">
        <v>61</v>
      </c>
      <c r="B22" s="25">
        <f>B27*1000000/B20</f>
        <v>85.55167491950623</v>
      </c>
      <c r="C22" s="9">
        <f>C27*1000000/C20</f>
        <v>89.11282486935316</v>
      </c>
      <c r="D22" s="9">
        <f>D27*1000000/D20</f>
        <v>85.17398098669169</v>
      </c>
      <c r="E22" s="9">
        <f>E27*1000000/E20</f>
        <v>76.10277714508538</v>
      </c>
      <c r="F22" s="9">
        <f>F27*1000000/F20</f>
        <v>79.48640851422805</v>
      </c>
      <c r="G22" s="9">
        <f>G21*((1-((G8-G7)*$R$2))*$S$2+(1-((G8-G7)*$R$3))*$S$3)</f>
        <v>82.8781517958886</v>
      </c>
      <c r="H22" s="9">
        <f>H21*((1-((H8-H7)*$R$2))*$S$2+(1-((H8-H7)*$R$3))*$S$3)</f>
        <v>81.85265427154465</v>
      </c>
      <c r="I22" s="9">
        <f>I21*((1-((I8-I7)*$R$2))*$S$2+(1-((I8-I7)*$R$3))*$S$3)</f>
        <v>79.31773015667288</v>
      </c>
      <c r="J22" s="9">
        <f>J21*((1-((J8-J7)*$R$2))*$S$2+(1-((J8-J7)*$R$3))*$S$3)</f>
        <v>78.69386680038805</v>
      </c>
      <c r="K22" s="9">
        <f aca="true" t="shared" si="5" ref="K22:T22">(J22)*((1-((K8-K7)*$R$2))*$S$2+(1-((K8-K7)*$R$3))*$S$3)</f>
        <v>78.48737409390382</v>
      </c>
      <c r="L22" s="9">
        <f t="shared" si="5"/>
        <v>78.48737409390382</v>
      </c>
      <c r="M22" s="9">
        <f t="shared" si="5"/>
        <v>78.48737409390382</v>
      </c>
      <c r="N22" s="9">
        <f t="shared" si="5"/>
        <v>78.48737409390382</v>
      </c>
      <c r="O22" s="9">
        <f t="shared" si="5"/>
        <v>78.48737409390382</v>
      </c>
      <c r="P22" s="9">
        <f t="shared" si="5"/>
        <v>78.48737409390382</v>
      </c>
      <c r="Q22" s="9">
        <f t="shared" si="5"/>
        <v>78.48737409390382</v>
      </c>
      <c r="R22" s="9">
        <f t="shared" si="5"/>
        <v>78.48737409390382</v>
      </c>
      <c r="S22" s="9">
        <f t="shared" si="5"/>
        <v>78.48737409390382</v>
      </c>
      <c r="T22" s="24">
        <f t="shared" si="5"/>
        <v>78.48737409390382</v>
      </c>
      <c r="X22" s="2" t="s">
        <v>62</v>
      </c>
      <c r="Z22" s="4">
        <f>L39</f>
        <v>6.197130922808827</v>
      </c>
      <c r="AA22" s="4">
        <f>Q39</f>
        <v>6.573053639583913</v>
      </c>
    </row>
    <row r="23" spans="1:27" ht="15">
      <c r="A23" s="8" t="s">
        <v>63</v>
      </c>
      <c r="B23" s="25"/>
      <c r="C23" s="9"/>
      <c r="D23" s="8" t="s">
        <v>26</v>
      </c>
      <c r="E23" s="9"/>
      <c r="F23" s="6"/>
      <c r="G23" s="9">
        <f>(+G21-G22)/5</f>
        <v>0.041476298216858255</v>
      </c>
      <c r="H23" s="9">
        <f>(+H21-H22)/5</f>
        <v>0.040963088882205054</v>
      </c>
      <c r="I23" s="9">
        <f>(I21-I22)/5</f>
        <v>0.039949580978131394</v>
      </c>
      <c r="J23" s="9">
        <f>(J21-J22)/5</f>
        <v>0.040900915722872355</v>
      </c>
      <c r="K23" s="9">
        <f aca="true" t="shared" si="6" ref="K23:T23">(J22-K22)/5</f>
        <v>0.04129854129684531</v>
      </c>
      <c r="L23" s="9">
        <f t="shared" si="6"/>
        <v>0</v>
      </c>
      <c r="M23" s="9">
        <f t="shared" si="6"/>
        <v>0</v>
      </c>
      <c r="N23" s="9">
        <f t="shared" si="6"/>
        <v>0</v>
      </c>
      <c r="O23" s="9">
        <f t="shared" si="6"/>
        <v>0</v>
      </c>
      <c r="P23" s="9">
        <f t="shared" si="6"/>
        <v>0</v>
      </c>
      <c r="Q23" s="9">
        <f t="shared" si="6"/>
        <v>0</v>
      </c>
      <c r="R23" s="9">
        <f t="shared" si="6"/>
        <v>0</v>
      </c>
      <c r="S23" s="9">
        <f t="shared" si="6"/>
        <v>0</v>
      </c>
      <c r="T23" s="24">
        <f t="shared" si="6"/>
        <v>0</v>
      </c>
      <c r="W23" s="2" t="s">
        <v>64</v>
      </c>
      <c r="Z23" s="4">
        <f>L24</f>
        <v>78.60975296209419</v>
      </c>
      <c r="AA23" s="4">
        <f>Q24</f>
        <v>78.36410592577978</v>
      </c>
    </row>
    <row r="24" spans="1:27" ht="15">
      <c r="A24" s="2" t="s">
        <v>65</v>
      </c>
      <c r="B24" s="26">
        <f aca="true" t="shared" si="7" ref="B24:I24">B27*1000000/B20</f>
        <v>85.55167491950623</v>
      </c>
      <c r="C24" s="6">
        <f t="shared" si="7"/>
        <v>89.11282486935316</v>
      </c>
      <c r="D24" s="6">
        <f t="shared" si="7"/>
        <v>85.17398098669169</v>
      </c>
      <c r="E24" s="6">
        <f t="shared" si="7"/>
        <v>76.10277714508538</v>
      </c>
      <c r="F24" s="6">
        <f t="shared" si="7"/>
        <v>79.48640851422805</v>
      </c>
      <c r="G24" s="6">
        <f t="shared" si="7"/>
        <v>80.41135706442009</v>
      </c>
      <c r="H24" s="6">
        <f t="shared" si="7"/>
        <v>76.41286659739251</v>
      </c>
      <c r="I24" s="6">
        <f t="shared" si="7"/>
        <v>82.07844757388604</v>
      </c>
      <c r="J24" s="6">
        <f>(SUM(E24:I24)+I26+H26)/5-I23-J23</f>
        <v>78.85405103808989</v>
      </c>
      <c r="K24" s="6">
        <f>J24-I23-J23-K23</f>
        <v>78.73190200009205</v>
      </c>
      <c r="L24" s="6">
        <f>K24-I23-J23-K23-L23</f>
        <v>78.6097529620942</v>
      </c>
      <c r="M24" s="6">
        <f>L24-I23-J23-K23-L23-M23</f>
        <v>78.48760392409636</v>
      </c>
      <c r="N24" s="6">
        <f>M24-J23-K23-L23-M23-N23</f>
        <v>78.40540446707665</v>
      </c>
      <c r="O24" s="6">
        <f>N24-K23-L23-M23-N23-O23</f>
        <v>78.36410592577981</v>
      </c>
      <c r="P24" s="6">
        <f>O24-L23-M23-N23-O23-P23</f>
        <v>78.36410592577981</v>
      </c>
      <c r="Q24" s="6">
        <f>P24</f>
        <v>78.36410592577981</v>
      </c>
      <c r="R24" s="6">
        <f>Q24</f>
        <v>78.36410592577981</v>
      </c>
      <c r="S24" s="6">
        <f>R24</f>
        <v>78.36410592577981</v>
      </c>
      <c r="T24" s="27">
        <f>S24</f>
        <v>78.36410592577981</v>
      </c>
      <c r="W24" s="2" t="s">
        <v>66</v>
      </c>
      <c r="Z24" s="6">
        <f>L33</f>
        <v>77.63849439153344</v>
      </c>
      <c r="AA24" s="6">
        <f>Q33</f>
        <v>77.86852706628203</v>
      </c>
    </row>
    <row r="25" spans="1:27" ht="15">
      <c r="A25" s="2" t="s">
        <v>67</v>
      </c>
      <c r="B25" s="26">
        <f>11.97-B43</f>
        <v>11.567325376488869</v>
      </c>
      <c r="C25" s="6">
        <f>12.63-C43</f>
        <v>12.186039906500882</v>
      </c>
      <c r="D25" s="6">
        <f>12.205-D43</f>
        <v>11.757288931122124</v>
      </c>
      <c r="E25" s="6">
        <f>10.898-E43</f>
        <v>10.48013981793228</v>
      </c>
      <c r="F25" s="6">
        <f>11.288-F43</f>
        <v>10.837256423238367</v>
      </c>
      <c r="G25" s="6">
        <f>11.6-G43</f>
        <v>11.116432671035868</v>
      </c>
      <c r="H25" s="6">
        <f>11.113-H43</f>
        <v>10.62080672973521</v>
      </c>
      <c r="I25" s="6">
        <f>12.006249-I43</f>
        <v>11.517090220192454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27"/>
      <c r="W25" s="2" t="s">
        <v>68</v>
      </c>
      <c r="Z25" s="11">
        <f>(Z19+Z20)*1000000/Z23</f>
        <v>162589.085579375</v>
      </c>
      <c r="AA25" s="11">
        <f>(AA19+AA20)*1000000/AA23</f>
        <v>175834.1725576233</v>
      </c>
    </row>
    <row r="26" spans="2:27" ht="15">
      <c r="B26" s="26"/>
      <c r="C26" s="6"/>
      <c r="D26" s="6"/>
      <c r="E26" s="6"/>
      <c r="F26" s="6"/>
      <c r="G26" s="6"/>
      <c r="H26" s="9">
        <f>((Z35-Z30-Z31)/5)*(11.113/(11.113+H39))</f>
        <v>0.09070745650374931</v>
      </c>
      <c r="I26" s="9">
        <f>((Z35-Z30-Z31)/5)*(12.006/(12.006+I39))</f>
        <v>0.09194332243860345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27"/>
      <c r="W26" s="2" t="s">
        <v>69</v>
      </c>
      <c r="Z26" s="11">
        <f>Z22*1000000/Z24</f>
        <v>79820.33875562418</v>
      </c>
      <c r="AA26" s="11">
        <f>AA22*1000000/AA24</f>
        <v>84412.19947551982</v>
      </c>
    </row>
    <row r="27" spans="1:27" ht="15">
      <c r="A27" s="2" t="s">
        <v>70</v>
      </c>
      <c r="B27" s="26">
        <f aca="true" t="shared" si="8" ref="B27:I27">B25</f>
        <v>11.567325376488869</v>
      </c>
      <c r="C27" s="6">
        <f t="shared" si="8"/>
        <v>12.186039906500882</v>
      </c>
      <c r="D27" s="6">
        <f t="shared" si="8"/>
        <v>11.757288931122124</v>
      </c>
      <c r="E27" s="6">
        <f t="shared" si="8"/>
        <v>10.48013981793228</v>
      </c>
      <c r="F27" s="6">
        <f t="shared" si="8"/>
        <v>10.837256423238367</v>
      </c>
      <c r="G27" s="6">
        <f t="shared" si="8"/>
        <v>11.116432671035868</v>
      </c>
      <c r="H27" s="6">
        <f t="shared" si="8"/>
        <v>10.62080672973521</v>
      </c>
      <c r="I27" s="6">
        <f t="shared" si="8"/>
        <v>11.517090220192454</v>
      </c>
      <c r="J27" s="6">
        <f aca="true" t="shared" si="9" ref="J27:T27">J20*J24/1000000</f>
        <v>11.169185392171844</v>
      </c>
      <c r="K27" s="6">
        <f t="shared" si="9"/>
        <v>11.256258114135171</v>
      </c>
      <c r="L27" s="6">
        <f t="shared" si="9"/>
        <v>11.329696819666218</v>
      </c>
      <c r="M27" s="6">
        <f t="shared" si="9"/>
        <v>11.402802686309462</v>
      </c>
      <c r="N27" s="6">
        <f t="shared" si="9"/>
        <v>11.481476318720889</v>
      </c>
      <c r="O27" s="6">
        <f t="shared" si="9"/>
        <v>11.566046900107198</v>
      </c>
      <c r="P27" s="6">
        <f t="shared" si="9"/>
        <v>11.656614868987958</v>
      </c>
      <c r="Q27" s="6">
        <f t="shared" si="9"/>
        <v>11.980990935112512</v>
      </c>
      <c r="R27" s="6">
        <f t="shared" si="9"/>
        <v>12.305367001237062</v>
      </c>
      <c r="S27" s="6">
        <f t="shared" si="9"/>
        <v>12.50681727999505</v>
      </c>
      <c r="T27" s="27">
        <f t="shared" si="9"/>
        <v>12.5222375815481</v>
      </c>
      <c r="Z27" s="11"/>
      <c r="AA27" s="11"/>
    </row>
    <row r="28" spans="2:27" ht="15">
      <c r="B28" s="13"/>
      <c r="T28" s="15"/>
      <c r="W28" s="2" t="s">
        <v>71</v>
      </c>
      <c r="Z28" s="4">
        <v>2.64</v>
      </c>
      <c r="AA28" s="4">
        <v>2.52</v>
      </c>
    </row>
    <row r="29" spans="1:27" ht="15">
      <c r="A29" s="2" t="s">
        <v>72</v>
      </c>
      <c r="B29" s="22">
        <f aca="true" t="shared" si="10" ref="B29:T29">B15</f>
        <v>70546.36279479832</v>
      </c>
      <c r="C29" s="11">
        <f t="shared" si="10"/>
        <v>71461.80863517252</v>
      </c>
      <c r="D29" s="11">
        <f t="shared" si="10"/>
        <v>72234.9958122107</v>
      </c>
      <c r="E29" s="11">
        <f t="shared" si="10"/>
        <v>72232.40339921141</v>
      </c>
      <c r="F29" s="11">
        <f t="shared" si="10"/>
        <v>75741</v>
      </c>
      <c r="G29" s="11">
        <f t="shared" si="10"/>
        <v>76738.48537046404</v>
      </c>
      <c r="H29" s="11">
        <f t="shared" si="10"/>
        <v>77130.35462314636</v>
      </c>
      <c r="I29" s="11">
        <f t="shared" si="10"/>
        <v>77825.03193471952</v>
      </c>
      <c r="J29" s="11">
        <f t="shared" si="10"/>
        <v>78519.7092462927</v>
      </c>
      <c r="K29" s="11">
        <f t="shared" si="10"/>
        <v>79214.38655786587</v>
      </c>
      <c r="L29" s="11">
        <f t="shared" si="10"/>
        <v>79820.33875562418</v>
      </c>
      <c r="M29" s="11">
        <f t="shared" si="10"/>
        <v>80425.95487340592</v>
      </c>
      <c r="N29" s="11">
        <f t="shared" si="10"/>
        <v>81031.57099118766</v>
      </c>
      <c r="O29" s="11">
        <f t="shared" si="10"/>
        <v>81637.52318894598</v>
      </c>
      <c r="P29" s="11">
        <f t="shared" si="10"/>
        <v>82243.13930672772</v>
      </c>
      <c r="Q29" s="11">
        <f t="shared" si="10"/>
        <v>84412.19947551982</v>
      </c>
      <c r="R29" s="11">
        <f t="shared" si="10"/>
        <v>86581.25964431193</v>
      </c>
      <c r="S29" s="11">
        <f t="shared" si="10"/>
        <v>87928.3312111711</v>
      </c>
      <c r="T29" s="23">
        <f t="shared" si="10"/>
        <v>88031.4447432177</v>
      </c>
      <c r="W29" s="2" t="s">
        <v>73</v>
      </c>
      <c r="Z29" s="11">
        <f>(Z25+Z26)/Z28</f>
        <v>91821.75164204514</v>
      </c>
      <c r="AA29" s="11">
        <f>(AA25+AA26)/AA28</f>
        <v>103272.36985442188</v>
      </c>
    </row>
    <row r="30" spans="1:28" ht="15">
      <c r="A30" s="8" t="s">
        <v>74</v>
      </c>
      <c r="B30" s="13"/>
      <c r="G30" s="9">
        <f aca="true" t="shared" si="11" ref="G30:T30">SUM(B33:F33)/5</f>
        <v>79.57644719652248</v>
      </c>
      <c r="H30" s="9">
        <f t="shared" si="11"/>
        <v>78.59313674138916</v>
      </c>
      <c r="I30" s="9">
        <f t="shared" si="11"/>
        <v>77.00698793543594</v>
      </c>
      <c r="J30" s="9">
        <f t="shared" si="11"/>
        <v>76.67777551709801</v>
      </c>
      <c r="K30" s="9">
        <f t="shared" si="11"/>
        <v>75.94089627220458</v>
      </c>
      <c r="L30" s="9">
        <f t="shared" si="11"/>
        <v>76.29544947584404</v>
      </c>
      <c r="M30" s="9">
        <f t="shared" si="11"/>
        <v>76.87367424788245</v>
      </c>
      <c r="N30" s="9">
        <f t="shared" si="11"/>
        <v>77.44116889919198</v>
      </c>
      <c r="O30" s="9">
        <f t="shared" si="11"/>
        <v>77.56731559101108</v>
      </c>
      <c r="P30" s="9">
        <f t="shared" si="11"/>
        <v>77.73556045249386</v>
      </c>
      <c r="Q30" s="9">
        <f t="shared" si="11"/>
        <v>77.8426861507101</v>
      </c>
      <c r="R30" s="9">
        <f t="shared" si="11"/>
        <v>77.88869268565982</v>
      </c>
      <c r="S30" s="9">
        <f t="shared" si="11"/>
        <v>77.87358005734299</v>
      </c>
      <c r="T30" s="24">
        <f t="shared" si="11"/>
        <v>77.86852706628203</v>
      </c>
      <c r="W30" s="2" t="s">
        <v>75</v>
      </c>
      <c r="Z30" s="4">
        <v>0.15</v>
      </c>
      <c r="AA30" s="4">
        <v>0.44</v>
      </c>
      <c r="AB30" s="2" t="s">
        <v>76</v>
      </c>
    </row>
    <row r="31" spans="1:28" ht="15">
      <c r="A31" s="8" t="s">
        <v>61</v>
      </c>
      <c r="B31" s="25"/>
      <c r="C31" s="9"/>
      <c r="D31" s="9"/>
      <c r="E31" s="9"/>
      <c r="F31" s="9"/>
      <c r="G31" s="9"/>
      <c r="H31" s="9">
        <f>H30*((1-((H8-H7)*$R$6))*$S$6)</f>
        <v>78.47053144807259</v>
      </c>
      <c r="I31" s="9">
        <f>I30*((1-((I8-I7)*$R$6))*$S$6)</f>
        <v>76.88608696437731</v>
      </c>
      <c r="J31" s="9">
        <f aca="true" t="shared" si="12" ref="J31:T31">I33*((1-((J8-J7)*$R$6))*$S$6)</f>
        <v>77.1378924076202</v>
      </c>
      <c r="K31" s="9">
        <f t="shared" si="12"/>
        <v>76.90097798234362</v>
      </c>
      <c r="L31" s="9">
        <f t="shared" si="12"/>
        <v>77.3328985752008</v>
      </c>
      <c r="M31" s="9">
        <f t="shared" si="12"/>
        <v>77.63849439153344</v>
      </c>
      <c r="N31" s="9">
        <f t="shared" si="12"/>
        <v>77.94409020786608</v>
      </c>
      <c r="O31" s="9">
        <f t="shared" si="12"/>
        <v>77.89379202158693</v>
      </c>
      <c r="P31" s="9">
        <f t="shared" si="12"/>
        <v>77.86852706628203</v>
      </c>
      <c r="Q31" s="9">
        <f t="shared" si="12"/>
        <v>77.86852706628203</v>
      </c>
      <c r="R31" s="9">
        <f t="shared" si="12"/>
        <v>77.86852706628203</v>
      </c>
      <c r="S31" s="9">
        <f t="shared" si="12"/>
        <v>77.86852706628203</v>
      </c>
      <c r="T31" s="24">
        <f t="shared" si="12"/>
        <v>77.86852706628203</v>
      </c>
      <c r="W31" s="2" t="s">
        <v>77</v>
      </c>
      <c r="Z31" s="4">
        <v>0.08</v>
      </c>
      <c r="AA31" s="4">
        <v>0.15</v>
      </c>
      <c r="AB31" s="2" t="s">
        <v>76</v>
      </c>
    </row>
    <row r="32" spans="1:23" ht="15">
      <c r="A32" s="8" t="s">
        <v>63</v>
      </c>
      <c r="B32" s="25"/>
      <c r="C32" s="9"/>
      <c r="D32" s="9"/>
      <c r="E32" s="9"/>
      <c r="F32" s="9"/>
      <c r="G32" s="9"/>
      <c r="H32" s="9">
        <f>(+H30-H31)/5</f>
        <v>0.02452105866331351</v>
      </c>
      <c r="I32" s="9">
        <f aca="true" t="shared" si="13" ref="I32:T32">(H33-I31)/5</f>
        <v>-0.35589400261179377</v>
      </c>
      <c r="J32" s="9">
        <f t="shared" si="13"/>
        <v>0.025033230974247544</v>
      </c>
      <c r="K32" s="9">
        <f t="shared" si="13"/>
        <v>0.025264955304908198</v>
      </c>
      <c r="L32" s="9">
        <f t="shared" si="13"/>
        <v>0</v>
      </c>
      <c r="M32" s="9">
        <f t="shared" si="13"/>
        <v>0</v>
      </c>
      <c r="N32" s="9">
        <f t="shared" si="13"/>
        <v>0</v>
      </c>
      <c r="O32" s="9">
        <f t="shared" si="13"/>
        <v>0</v>
      </c>
      <c r="P32" s="9">
        <f t="shared" si="13"/>
        <v>0</v>
      </c>
      <c r="Q32" s="9">
        <f t="shared" si="13"/>
        <v>0</v>
      </c>
      <c r="R32" s="9">
        <f t="shared" si="13"/>
        <v>0</v>
      </c>
      <c r="S32" s="9">
        <f t="shared" si="13"/>
        <v>0</v>
      </c>
      <c r="T32" s="24">
        <f t="shared" si="13"/>
        <v>0</v>
      </c>
      <c r="W32" s="2" t="s">
        <v>78</v>
      </c>
    </row>
    <row r="33" spans="1:27" ht="15">
      <c r="A33" s="2" t="s">
        <v>65</v>
      </c>
      <c r="B33" s="26">
        <f aca="true" t="shared" si="14" ref="B33:I33">B39*1000000/B29</f>
        <v>79.66392280700808</v>
      </c>
      <c r="C33" s="6">
        <f t="shared" si="14"/>
        <v>83.03736098108448</v>
      </c>
      <c r="D33" s="6">
        <f t="shared" si="14"/>
        <v>78.90912065418107</v>
      </c>
      <c r="E33" s="6">
        <f t="shared" si="14"/>
        <v>80.71169898333534</v>
      </c>
      <c r="F33" s="6">
        <f t="shared" si="14"/>
        <v>75.56013255700347</v>
      </c>
      <c r="G33" s="6">
        <f t="shared" si="14"/>
        <v>74.74737053134145</v>
      </c>
      <c r="H33" s="6">
        <f t="shared" si="14"/>
        <v>75.10661695131834</v>
      </c>
      <c r="I33" s="6">
        <f t="shared" si="14"/>
        <v>77.26305856249144</v>
      </c>
      <c r="J33" s="6">
        <f>(SUM(E33:I33)+I34+H34)/5-I32-J32</f>
        <v>77.02730275886816</v>
      </c>
      <c r="K33" s="6">
        <f>J33-I32-J32-K32</f>
        <v>77.3328985752008</v>
      </c>
      <c r="L33" s="6">
        <f>K33-I32-J32-K32-L32</f>
        <v>77.63849439153344</v>
      </c>
      <c r="M33" s="6">
        <f>L33-I32-J32-K32-L32-M32</f>
        <v>77.94409020786608</v>
      </c>
      <c r="N33" s="6">
        <f>M33-J32-K32-L32-M32-N32</f>
        <v>77.89379202158693</v>
      </c>
      <c r="O33" s="6">
        <f>N33-K32-L32-M32-N32-O32</f>
        <v>77.86852706628203</v>
      </c>
      <c r="P33" s="6">
        <f>O33-L32-M32-N32-O32-P32</f>
        <v>77.86852706628203</v>
      </c>
      <c r="Q33" s="6">
        <f>P33</f>
        <v>77.86852706628203</v>
      </c>
      <c r="R33" s="6">
        <f>Q33</f>
        <v>77.86852706628203</v>
      </c>
      <c r="S33" s="6">
        <f>R33</f>
        <v>77.86852706628203</v>
      </c>
      <c r="T33" s="27">
        <f>S33</f>
        <v>77.86852706628203</v>
      </c>
      <c r="Y33" s="2" t="s">
        <v>79</v>
      </c>
      <c r="Z33" s="6">
        <f>(((Z9*Z5+Z10*Z6+Z11*Z7)*Z14*Z29)/1000000)+Z30+Z31</f>
        <v>0.9826812625601724</v>
      </c>
      <c r="AA33" s="6">
        <f>(((AA9*AA5+AA10*AA6+AA11*AA7)*AA14*AA29)/1000000)+AA30+AA31</f>
        <v>2.9731132067606394</v>
      </c>
    </row>
    <row r="34" spans="2:27" ht="15">
      <c r="B34" s="13"/>
      <c r="H34" s="9">
        <f>((Z35-Z30-Z31)/5)*(H39/(11.113+H39))</f>
        <v>0.047284108298948954</v>
      </c>
      <c r="I34" s="9">
        <f>((Z35-Z30-Z31)/5)*(I39/(12.006+I39))</f>
        <v>0.046048242364094834</v>
      </c>
      <c r="T34" s="15"/>
      <c r="Y34" s="2" t="s">
        <v>48</v>
      </c>
      <c r="Z34" s="6">
        <f>(((Z9*Z5+Z10*Z6+Z11*Z7)*Z13*Z29)/1000000)+Z30+Z31</f>
        <v>0.8572343854668104</v>
      </c>
      <c r="AA34" s="6">
        <f>(((AA9*AA5+AA10*AA6+AA11*AA7)*AA13*AA29)/1000000)+AA30+AA31</f>
        <v>2.5759276723005327</v>
      </c>
    </row>
    <row r="35" spans="1:27" ht="15">
      <c r="A35" s="2" t="s">
        <v>80</v>
      </c>
      <c r="B35" s="26">
        <v>1.37</v>
      </c>
      <c r="C35" s="6">
        <v>1.41</v>
      </c>
      <c r="D35" s="6">
        <v>1.39</v>
      </c>
      <c r="E35" s="6">
        <v>1.33</v>
      </c>
      <c r="F35" s="6">
        <v>1.397</v>
      </c>
      <c r="G35" s="6">
        <v>1.402</v>
      </c>
      <c r="H35" s="6">
        <v>1.424</v>
      </c>
      <c r="I35" s="6">
        <v>1.483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27"/>
      <c r="Y35" s="2" t="s">
        <v>81</v>
      </c>
      <c r="Z35" s="6">
        <f>(Z33+Z34)/2</f>
        <v>0.9199578240134914</v>
      </c>
      <c r="AA35" s="6">
        <f>(AA33+AA34)/2</f>
        <v>2.774520439530586</v>
      </c>
    </row>
    <row r="36" spans="1:20" ht="15">
      <c r="A36" s="2" t="s">
        <v>82</v>
      </c>
      <c r="B36" s="26">
        <v>4.2</v>
      </c>
      <c r="C36" s="6">
        <v>4.474</v>
      </c>
      <c r="D36" s="6">
        <v>4.26</v>
      </c>
      <c r="E36" s="6">
        <v>4.45</v>
      </c>
      <c r="F36" s="6">
        <v>4.273</v>
      </c>
      <c r="G36" s="6">
        <v>4.284</v>
      </c>
      <c r="H36" s="6">
        <v>4.318</v>
      </c>
      <c r="I36" s="6">
        <v>4.473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27"/>
    </row>
    <row r="37" spans="1:20" ht="15">
      <c r="A37" s="2" t="s">
        <v>83</v>
      </c>
      <c r="B37" s="26">
        <v>0.05</v>
      </c>
      <c r="C37" s="6">
        <v>0.05</v>
      </c>
      <c r="D37" s="6">
        <v>0.05</v>
      </c>
      <c r="E37" s="6">
        <v>0.05</v>
      </c>
      <c r="F37" s="6">
        <v>0.053</v>
      </c>
      <c r="G37" s="6">
        <v>0.05</v>
      </c>
      <c r="H37" s="6">
        <v>0.051</v>
      </c>
      <c r="I37" s="6">
        <v>0.057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27"/>
    </row>
    <row r="38" spans="2:20" ht="15">
      <c r="B38" s="2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7"/>
    </row>
    <row r="39" spans="1:20" ht="15">
      <c r="A39" s="2" t="s">
        <v>84</v>
      </c>
      <c r="B39" s="26">
        <f aca="true" t="shared" si="15" ref="B39:I39">B35+B36+B37</f>
        <v>5.62</v>
      </c>
      <c r="C39" s="6">
        <f t="shared" si="15"/>
        <v>5.934</v>
      </c>
      <c r="D39" s="6">
        <f t="shared" si="15"/>
        <v>5.699999999999999</v>
      </c>
      <c r="E39" s="6">
        <f t="shared" si="15"/>
        <v>5.83</v>
      </c>
      <c r="F39" s="6">
        <f t="shared" si="15"/>
        <v>5.723</v>
      </c>
      <c r="G39" s="6">
        <f t="shared" si="15"/>
        <v>5.736</v>
      </c>
      <c r="H39" s="6">
        <f t="shared" si="15"/>
        <v>5.792999999999999</v>
      </c>
      <c r="I39" s="6">
        <f t="shared" si="15"/>
        <v>6.013</v>
      </c>
      <c r="J39" s="6">
        <f aca="true" t="shared" si="16" ref="J39:T39">J29*J33/1000000</f>
        <v>6.048161416652488</v>
      </c>
      <c r="K39" s="6">
        <f t="shared" si="16"/>
        <v>6.125878121376191</v>
      </c>
      <c r="L39" s="6">
        <f t="shared" si="16"/>
        <v>6.197130922808827</v>
      </c>
      <c r="M39" s="6">
        <f t="shared" si="16"/>
        <v>6.268727881706518</v>
      </c>
      <c r="N39" s="6">
        <f t="shared" si="16"/>
        <v>6.3118563379700285</v>
      </c>
      <c r="O39" s="6">
        <f t="shared" si="16"/>
        <v>6.356993684062667</v>
      </c>
      <c r="P39" s="6">
        <f t="shared" si="16"/>
        <v>6.404152119121932</v>
      </c>
      <c r="Q39" s="6">
        <f t="shared" si="16"/>
        <v>6.573053639583913</v>
      </c>
      <c r="R39" s="6">
        <f t="shared" si="16"/>
        <v>6.741955160045895</v>
      </c>
      <c r="S39" s="6">
        <f t="shared" si="16"/>
        <v>6.846849638810087</v>
      </c>
      <c r="T39" s="27">
        <f t="shared" si="16"/>
        <v>6.854878937671158</v>
      </c>
    </row>
    <row r="40" spans="2:20" ht="15">
      <c r="B40" s="13"/>
      <c r="T40" s="15"/>
    </row>
    <row r="41" spans="1:20" ht="15">
      <c r="A41" s="2" t="s">
        <v>85</v>
      </c>
      <c r="B41" s="13"/>
      <c r="T41" s="15"/>
    </row>
    <row r="42" spans="1:20" ht="15">
      <c r="A42" s="2" t="s">
        <v>16</v>
      </c>
      <c r="B42" s="13"/>
      <c r="T42" s="15"/>
    </row>
    <row r="43" spans="1:20" ht="15">
      <c r="A43" s="2" t="s">
        <v>86</v>
      </c>
      <c r="B43" s="26">
        <f aca="true" t="shared" si="17" ref="B43:T43">B149</f>
        <v>0.4026746235111318</v>
      </c>
      <c r="C43" s="6">
        <f t="shared" si="17"/>
        <v>0.4439600934991175</v>
      </c>
      <c r="D43" s="6">
        <f t="shared" si="17"/>
        <v>0.4477110688778756</v>
      </c>
      <c r="E43" s="6">
        <f t="shared" si="17"/>
        <v>0.4178601820677204</v>
      </c>
      <c r="F43" s="6">
        <f t="shared" si="17"/>
        <v>0.45074357676163307</v>
      </c>
      <c r="G43" s="6">
        <f t="shared" si="17"/>
        <v>0.48356732896413185</v>
      </c>
      <c r="H43" s="6">
        <f t="shared" si="17"/>
        <v>0.49219327026479004</v>
      </c>
      <c r="I43" s="6">
        <f t="shared" si="17"/>
        <v>0.4891587798075471</v>
      </c>
      <c r="J43" s="6">
        <f t="shared" si="17"/>
        <v>0.4978207480793934</v>
      </c>
      <c r="K43" s="6">
        <f t="shared" si="17"/>
        <v>0.4995753762988484</v>
      </c>
      <c r="L43" s="6">
        <f t="shared" si="17"/>
        <v>0.5002396997635572</v>
      </c>
      <c r="M43" s="6">
        <f t="shared" si="17"/>
        <v>0.501950320323584</v>
      </c>
      <c r="N43" s="6">
        <f t="shared" si="17"/>
        <v>0.5033615422656272</v>
      </c>
      <c r="O43" s="6">
        <f t="shared" si="17"/>
        <v>0.5047188643588888</v>
      </c>
      <c r="P43" s="6">
        <f t="shared" si="17"/>
        <v>0.5066790149169019</v>
      </c>
      <c r="Q43" s="6">
        <f t="shared" si="17"/>
        <v>0.5130083050051715</v>
      </c>
      <c r="R43" s="6">
        <f t="shared" si="17"/>
        <v>0.5186836307495091</v>
      </c>
      <c r="S43" s="6">
        <f t="shared" si="17"/>
        <v>0.5202850934822676</v>
      </c>
      <c r="T43" s="27">
        <f t="shared" si="17"/>
        <v>0.5215434876317226</v>
      </c>
    </row>
    <row r="44" spans="1:20" ht="15">
      <c r="A44" s="2" t="s">
        <v>87</v>
      </c>
      <c r="B44" s="26">
        <f aca="true" t="shared" si="18" ref="B44:T44">B202</f>
        <v>0.53</v>
      </c>
      <c r="C44" s="6">
        <f t="shared" si="18"/>
        <v>0.77163</v>
      </c>
      <c r="D44" s="6">
        <f t="shared" si="18"/>
        <v>0.73</v>
      </c>
      <c r="E44" s="6">
        <f t="shared" si="18"/>
        <v>0.61</v>
      </c>
      <c r="F44" s="6">
        <f t="shared" si="18"/>
        <v>0.575</v>
      </c>
      <c r="G44" s="6">
        <f t="shared" si="18"/>
        <v>0.6419999999999999</v>
      </c>
      <c r="H44" s="6">
        <f t="shared" si="18"/>
        <v>0.6282049180327869</v>
      </c>
      <c r="I44" s="6">
        <f t="shared" si="18"/>
        <v>0.781194805479452</v>
      </c>
      <c r="J44" s="6">
        <f t="shared" si="18"/>
        <v>0.8558657669177483</v>
      </c>
      <c r="K44" s="6">
        <f t="shared" si="18"/>
        <v>0.8994295473202704</v>
      </c>
      <c r="L44" s="6">
        <f t="shared" si="18"/>
        <v>0.9511513322976859</v>
      </c>
      <c r="M44" s="6">
        <f t="shared" si="18"/>
        <v>0.9975842186090427</v>
      </c>
      <c r="N44" s="6">
        <f t="shared" si="18"/>
        <v>1.0375894966247572</v>
      </c>
      <c r="O44" s="6">
        <f t="shared" si="18"/>
        <v>1.0703572180157261</v>
      </c>
      <c r="P44" s="6">
        <f t="shared" si="18"/>
        <v>1.1127048706152185</v>
      </c>
      <c r="Q44" s="6">
        <f t="shared" si="18"/>
        <v>1.2850884835597536</v>
      </c>
      <c r="R44" s="6">
        <f t="shared" si="18"/>
        <v>1.4531720902513552</v>
      </c>
      <c r="S44" s="6">
        <f t="shared" si="18"/>
        <v>1.5463524408131395</v>
      </c>
      <c r="T44" s="27">
        <f t="shared" si="18"/>
        <v>1.6418550011919064</v>
      </c>
    </row>
    <row r="45" spans="2:20" ht="15"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T45" s="15"/>
    </row>
    <row r="46" spans="2:20" ht="15">
      <c r="B46" s="13"/>
      <c r="G46" s="6"/>
      <c r="H46" s="9">
        <f>(Z30/5)*(H49/(H49+H51))</f>
        <v>0.025792118789263276</v>
      </c>
      <c r="I46" s="9">
        <f>(Z30/5)*(I49/(I49+I51))</f>
        <v>0.02592309372951715</v>
      </c>
      <c r="J46" s="9"/>
      <c r="K46" s="9"/>
      <c r="L46" s="9"/>
      <c r="T46" s="15"/>
    </row>
    <row r="47" spans="1:20" ht="15">
      <c r="A47" s="8" t="s">
        <v>88</v>
      </c>
      <c r="B47" s="13"/>
      <c r="G47" s="6"/>
      <c r="H47" s="9">
        <f>(SUM(C49:G49)/5)*((1-((H8-H7)*$R$4))*$S$4)</f>
        <v>7.64616135152</v>
      </c>
      <c r="I47" s="9">
        <f>(SUM(D49:H49)/5)*((1-((I8-I7)*$R$4))*$S$4)</f>
        <v>7.531664692440001</v>
      </c>
      <c r="J47" s="9">
        <f aca="true" t="shared" si="19" ref="J47:T47">I49*((1-((J8-J7)*$R$4))*$S$4)</f>
        <v>7.897185800000001</v>
      </c>
      <c r="K47" s="9">
        <f t="shared" si="19"/>
        <v>8.01223478751754</v>
      </c>
      <c r="L47" s="9">
        <f t="shared" si="19"/>
        <v>8.114920183761804</v>
      </c>
      <c r="M47" s="9">
        <f t="shared" si="19"/>
        <v>8.195495146521983</v>
      </c>
      <c r="N47" s="9">
        <f t="shared" si="19"/>
        <v>8.250055120175775</v>
      </c>
      <c r="O47" s="9">
        <f t="shared" si="19"/>
        <v>8.306944635150694</v>
      </c>
      <c r="P47" s="9">
        <f t="shared" si="19"/>
        <v>8.366411758833364</v>
      </c>
      <c r="Q47" s="9">
        <f t="shared" si="19"/>
        <v>8.428476770254905</v>
      </c>
      <c r="R47" s="9">
        <f t="shared" si="19"/>
        <v>8.650767327255249</v>
      </c>
      <c r="S47" s="9">
        <f t="shared" si="19"/>
        <v>8.873057884255592</v>
      </c>
      <c r="T47" s="24">
        <f t="shared" si="19"/>
        <v>9.011109051864837</v>
      </c>
    </row>
    <row r="48" spans="1:20" ht="15">
      <c r="A48" s="8" t="s">
        <v>89</v>
      </c>
      <c r="B48" s="13"/>
      <c r="G48" s="6"/>
      <c r="H48" s="9">
        <f>(SUM(C49:G49)/5)-H47</f>
        <v>0.011946648480000377</v>
      </c>
      <c r="I48" s="9">
        <f>(SUM(D49:H49)/5)-I47</f>
        <v>0.011843307559999516</v>
      </c>
      <c r="J48" s="9">
        <f aca="true" t="shared" si="20" ref="J48:T48">(I49-J47)</f>
        <v>0.012814199999999332</v>
      </c>
      <c r="K48" s="9">
        <f t="shared" si="20"/>
        <v>0.013161650157787363</v>
      </c>
      <c r="L48" s="9">
        <f t="shared" si="20"/>
        <v>0</v>
      </c>
      <c r="M48" s="9">
        <f t="shared" si="20"/>
        <v>0</v>
      </c>
      <c r="N48" s="9">
        <f t="shared" si="20"/>
        <v>0</v>
      </c>
      <c r="O48" s="9">
        <f t="shared" si="20"/>
        <v>0</v>
      </c>
      <c r="P48" s="9">
        <f t="shared" si="20"/>
        <v>0</v>
      </c>
      <c r="Q48" s="9">
        <f t="shared" si="20"/>
        <v>0</v>
      </c>
      <c r="R48" s="9">
        <f t="shared" si="20"/>
        <v>0</v>
      </c>
      <c r="S48" s="9">
        <f t="shared" si="20"/>
        <v>0</v>
      </c>
      <c r="T48" s="24">
        <f t="shared" si="20"/>
        <v>0</v>
      </c>
    </row>
    <row r="49" spans="1:20" ht="15">
      <c r="A49" s="2" t="s">
        <v>90</v>
      </c>
      <c r="B49" s="26">
        <v>7.75</v>
      </c>
      <c r="C49" s="6">
        <v>8.1</v>
      </c>
      <c r="D49" s="6">
        <v>7.74</v>
      </c>
      <c r="E49" s="6">
        <v>7.18</v>
      </c>
      <c r="F49" s="6">
        <v>7.48054</v>
      </c>
      <c r="G49" s="6">
        <v>7.79</v>
      </c>
      <c r="H49" s="6">
        <v>7.527</v>
      </c>
      <c r="I49" s="6">
        <v>7.91</v>
      </c>
      <c r="J49" s="6">
        <f>(J14/I14)*((I49+I46+H46)-(J48/5+I48/5+H48/5))</f>
        <v>8.025396437675328</v>
      </c>
      <c r="K49" s="6">
        <f>(K14/J14)*(J49+I46-(K48/5+J48/5+I48/5))</f>
        <v>8.114920183761804</v>
      </c>
      <c r="L49" s="6">
        <f>(L14/K14)*(K49+I46-(L48/5+K48/5+J48/5+I48/5))</f>
        <v>8.195495146521983</v>
      </c>
      <c r="M49" s="6">
        <f>(M14/L14)*(L49-(M48/5+L48/5+K48/5+J48/5+I48/5))</f>
        <v>8.250055120175775</v>
      </c>
      <c r="N49" s="6">
        <f>(N14/M14)*(M49-(N48/5+M48/5+L48/5+K48/5+J48/5))</f>
        <v>8.306944635150694</v>
      </c>
      <c r="O49" s="6">
        <f>(O14/N14)*(N49-(O48/5+N48/5+M48/5+L48/5+K48/5))</f>
        <v>8.366411758833364</v>
      </c>
      <c r="P49" s="6">
        <f>(P14/O14)*(O49-(P48/5+O48/5+N48/5+M48/5+L48/5))</f>
        <v>8.428476770254905</v>
      </c>
      <c r="Q49" s="6">
        <f>(Q14/P14)*(P49-Q48)</f>
        <v>8.650767327255249</v>
      </c>
      <c r="R49" s="6">
        <f>(R14/Q14)*(Q49-R48)</f>
        <v>8.873057884255592</v>
      </c>
      <c r="S49" s="6">
        <f>(S14/R14)*(R49-S48)</f>
        <v>9.011109051864837</v>
      </c>
      <c r="T49" s="27">
        <f>(T14/S14)*(S49-T48)</f>
        <v>9.02167637719896</v>
      </c>
    </row>
    <row r="50" spans="1:20" ht="15">
      <c r="A50" s="2" t="s">
        <v>91</v>
      </c>
      <c r="B50" s="26"/>
      <c r="C50" s="6"/>
      <c r="D50" s="6">
        <v>0.41</v>
      </c>
      <c r="E50" s="6">
        <v>0.74</v>
      </c>
      <c r="F50" s="6">
        <v>0.89</v>
      </c>
      <c r="G50" s="6">
        <v>0.944</v>
      </c>
      <c r="H50" s="6">
        <v>1.092</v>
      </c>
      <c r="I50" s="6">
        <v>1.051</v>
      </c>
      <c r="J50" s="6">
        <v>1.589</v>
      </c>
      <c r="K50" s="6">
        <v>1.69</v>
      </c>
      <c r="L50" s="6">
        <v>1.76</v>
      </c>
      <c r="M50" s="6">
        <v>1.76</v>
      </c>
      <c r="N50" s="6">
        <v>1.76</v>
      </c>
      <c r="O50" s="6">
        <v>1.76</v>
      </c>
      <c r="P50" s="6">
        <v>1.76</v>
      </c>
      <c r="Q50" s="6">
        <v>1.76</v>
      </c>
      <c r="R50" s="6">
        <v>1.76</v>
      </c>
      <c r="S50" s="6">
        <v>1.76</v>
      </c>
      <c r="T50" s="27">
        <v>1.76</v>
      </c>
    </row>
    <row r="51" spans="1:20" ht="15">
      <c r="A51" s="2" t="s">
        <v>92</v>
      </c>
      <c r="B51" s="26">
        <v>1.635</v>
      </c>
      <c r="C51" s="6">
        <v>1.581</v>
      </c>
      <c r="D51" s="6">
        <v>1.49</v>
      </c>
      <c r="E51" s="6">
        <v>1.36</v>
      </c>
      <c r="F51" s="6">
        <v>1.44</v>
      </c>
      <c r="G51" s="6">
        <v>1.39</v>
      </c>
      <c r="H51" s="6">
        <v>1.228</v>
      </c>
      <c r="I51" s="6">
        <v>1.244</v>
      </c>
      <c r="J51" s="6">
        <f>(J14/I14)*(G51+H51+I51+I52+H52)/3</f>
        <v>1.301610500112116</v>
      </c>
      <c r="K51" s="6">
        <f aca="true" t="shared" si="21" ref="K51:T51">J51*K14/J14</f>
        <v>1.313126071063826</v>
      </c>
      <c r="L51" s="6">
        <f t="shared" si="21"/>
        <v>1.3231708579172041</v>
      </c>
      <c r="M51" s="6">
        <f t="shared" si="21"/>
        <v>1.3332100736186947</v>
      </c>
      <c r="N51" s="6">
        <f t="shared" si="21"/>
        <v>1.3432492893201853</v>
      </c>
      <c r="O51" s="6">
        <f t="shared" si="21"/>
        <v>1.3532940761735635</v>
      </c>
      <c r="P51" s="6">
        <f t="shared" si="21"/>
        <v>1.363333291875054</v>
      </c>
      <c r="Q51" s="6">
        <f t="shared" si="21"/>
        <v>1.3992895061577508</v>
      </c>
      <c r="R51" s="6">
        <f t="shared" si="21"/>
        <v>1.4352457204404478</v>
      </c>
      <c r="S51" s="6">
        <f t="shared" si="21"/>
        <v>1.4575759418925756</v>
      </c>
      <c r="T51" s="27">
        <f t="shared" si="21"/>
        <v>1.4592852408355264</v>
      </c>
    </row>
    <row r="52" spans="1:20" ht="15">
      <c r="A52" s="2" t="s">
        <v>93</v>
      </c>
      <c r="B52" s="26"/>
      <c r="C52" s="6"/>
      <c r="D52" s="6"/>
      <c r="E52" s="6"/>
      <c r="F52" s="6"/>
      <c r="G52" s="6"/>
      <c r="H52" s="9">
        <f>(Z30/5)*(H51/(H49+H51))</f>
        <v>0.004207881210736721</v>
      </c>
      <c r="I52" s="9">
        <f>(Z30/5)*(I51/(I49+I51))</f>
        <v>0.004076906270482849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27"/>
    </row>
    <row r="53" spans="1:20" ht="15">
      <c r="A53" s="2" t="s">
        <v>94</v>
      </c>
      <c r="B53" s="26"/>
      <c r="C53" s="6"/>
      <c r="D53" s="6"/>
      <c r="E53" s="6"/>
      <c r="F53" s="6"/>
      <c r="G53" s="6"/>
      <c r="H53" s="9">
        <f>(Z31/5)*(H60/(H60+H66))</f>
        <v>0.00808744460856721</v>
      </c>
      <c r="I53" s="9">
        <f>(Z31/5)*(I60/(I60+I66))</f>
        <v>0.007637130801687765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27"/>
    </row>
    <row r="54" spans="1:20" ht="15">
      <c r="A54" s="2" t="s">
        <v>95</v>
      </c>
      <c r="B54" s="26">
        <v>1.2</v>
      </c>
      <c r="C54" s="6">
        <f>1.53-C58</f>
        <v>1.30539</v>
      </c>
      <c r="D54" s="6">
        <v>1.3</v>
      </c>
      <c r="E54" s="6">
        <v>1.5</v>
      </c>
      <c r="F54" s="6">
        <f>1.694-F58</f>
        <v>1.4623475</v>
      </c>
      <c r="G54" s="6">
        <f>1.791-G58</f>
        <v>1.557</v>
      </c>
      <c r="H54" s="6">
        <f>1.711-H58</f>
        <v>1.477</v>
      </c>
      <c r="I54" s="6">
        <f>1.81-I58</f>
        <v>1.576</v>
      </c>
      <c r="J54" s="6">
        <f>I54+H53+I53</f>
        <v>1.5917245754102551</v>
      </c>
      <c r="K54" s="6">
        <f aca="true" t="shared" si="22" ref="K54:T54">J54</f>
        <v>1.5917245754102551</v>
      </c>
      <c r="L54" s="6">
        <f t="shared" si="22"/>
        <v>1.5917245754102551</v>
      </c>
      <c r="M54" s="6">
        <f t="shared" si="22"/>
        <v>1.5917245754102551</v>
      </c>
      <c r="N54" s="6">
        <f t="shared" si="22"/>
        <v>1.5917245754102551</v>
      </c>
      <c r="O54" s="6">
        <f t="shared" si="22"/>
        <v>1.5917245754102551</v>
      </c>
      <c r="P54" s="6">
        <f t="shared" si="22"/>
        <v>1.5917245754102551</v>
      </c>
      <c r="Q54" s="6">
        <f t="shared" si="22"/>
        <v>1.5917245754102551</v>
      </c>
      <c r="R54" s="6">
        <f t="shared" si="22"/>
        <v>1.5917245754102551</v>
      </c>
      <c r="S54" s="6">
        <f t="shared" si="22"/>
        <v>1.5917245754102551</v>
      </c>
      <c r="T54" s="27">
        <f t="shared" si="22"/>
        <v>1.5917245754102551</v>
      </c>
    </row>
    <row r="55" spans="2:20" ht="15">
      <c r="B55" s="2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27"/>
    </row>
    <row r="56" spans="1:20" ht="15">
      <c r="A56" s="2" t="s">
        <v>96</v>
      </c>
      <c r="B56" s="22">
        <v>23696</v>
      </c>
      <c r="C56" s="11">
        <v>22461</v>
      </c>
      <c r="D56" s="11">
        <f>$C$56-($C$56-$G$56)/4</f>
        <v>22695.75</v>
      </c>
      <c r="E56" s="11">
        <f>$C$56-2*($C$56-$G$56)/4</f>
        <v>22930.5</v>
      </c>
      <c r="F56" s="11">
        <f>$C$56-3*($C$56-$G$56)/4</f>
        <v>23165.25</v>
      </c>
      <c r="G56" s="11">
        <v>23400</v>
      </c>
      <c r="H56" s="11">
        <v>23400</v>
      </c>
      <c r="I56" s="11">
        <v>23400</v>
      </c>
      <c r="J56" s="11">
        <v>23400</v>
      </c>
      <c r="K56" s="11">
        <v>23400</v>
      </c>
      <c r="L56" s="11">
        <v>23400</v>
      </c>
      <c r="M56" s="11">
        <v>23400</v>
      </c>
      <c r="N56" s="11">
        <v>23400</v>
      </c>
      <c r="O56" s="11">
        <v>23400</v>
      </c>
      <c r="P56" s="11">
        <v>23400</v>
      </c>
      <c r="Q56" s="11">
        <v>23400</v>
      </c>
      <c r="R56" s="11">
        <v>23400</v>
      </c>
      <c r="S56" s="11">
        <v>23400</v>
      </c>
      <c r="T56" s="23">
        <v>23400</v>
      </c>
    </row>
    <row r="57" spans="1:20" ht="15">
      <c r="A57" s="2" t="s">
        <v>97</v>
      </c>
      <c r="B57" s="26">
        <v>10</v>
      </c>
      <c r="C57" s="6">
        <v>10</v>
      </c>
      <c r="D57" s="6">
        <v>10</v>
      </c>
      <c r="E57" s="6">
        <v>10</v>
      </c>
      <c r="F57" s="6">
        <v>10</v>
      </c>
      <c r="G57" s="6">
        <v>10</v>
      </c>
      <c r="H57" s="6">
        <v>10</v>
      </c>
      <c r="I57" s="6">
        <v>10</v>
      </c>
      <c r="J57" s="6">
        <v>10</v>
      </c>
      <c r="K57" s="6">
        <v>10</v>
      </c>
      <c r="L57" s="6">
        <v>10</v>
      </c>
      <c r="M57" s="6">
        <v>10</v>
      </c>
      <c r="N57" s="6">
        <v>10</v>
      </c>
      <c r="O57" s="6">
        <v>10</v>
      </c>
      <c r="P57" s="6">
        <v>10</v>
      </c>
      <c r="Q57" s="6">
        <v>10</v>
      </c>
      <c r="R57" s="6">
        <v>10</v>
      </c>
      <c r="S57" s="6">
        <v>10</v>
      </c>
      <c r="T57" s="27">
        <v>10</v>
      </c>
    </row>
    <row r="58" spans="1:20" ht="15">
      <c r="A58" s="2" t="s">
        <v>98</v>
      </c>
      <c r="B58" s="26">
        <f aca="true" t="shared" si="23" ref="B58:T58">B56*B57/1000000</f>
        <v>0.23696</v>
      </c>
      <c r="C58" s="6">
        <f t="shared" si="23"/>
        <v>0.22461</v>
      </c>
      <c r="D58" s="6">
        <f t="shared" si="23"/>
        <v>0.2269575</v>
      </c>
      <c r="E58" s="6">
        <f t="shared" si="23"/>
        <v>0.229305</v>
      </c>
      <c r="F58" s="6">
        <f t="shared" si="23"/>
        <v>0.2316525</v>
      </c>
      <c r="G58" s="6">
        <f t="shared" si="23"/>
        <v>0.234</v>
      </c>
      <c r="H58" s="6">
        <f t="shared" si="23"/>
        <v>0.234</v>
      </c>
      <c r="I58" s="6">
        <f t="shared" si="23"/>
        <v>0.234</v>
      </c>
      <c r="J58" s="6">
        <f t="shared" si="23"/>
        <v>0.234</v>
      </c>
      <c r="K58" s="6">
        <f t="shared" si="23"/>
        <v>0.234</v>
      </c>
      <c r="L58" s="6">
        <f t="shared" si="23"/>
        <v>0.234</v>
      </c>
      <c r="M58" s="6">
        <f t="shared" si="23"/>
        <v>0.234</v>
      </c>
      <c r="N58" s="6">
        <f t="shared" si="23"/>
        <v>0.234</v>
      </c>
      <c r="O58" s="6">
        <f t="shared" si="23"/>
        <v>0.234</v>
      </c>
      <c r="P58" s="6">
        <f t="shared" si="23"/>
        <v>0.234</v>
      </c>
      <c r="Q58" s="6">
        <f t="shared" si="23"/>
        <v>0.234</v>
      </c>
      <c r="R58" s="6">
        <f t="shared" si="23"/>
        <v>0.234</v>
      </c>
      <c r="S58" s="6">
        <f t="shared" si="23"/>
        <v>0.234</v>
      </c>
      <c r="T58" s="27">
        <f t="shared" si="23"/>
        <v>0.234</v>
      </c>
    </row>
    <row r="59" spans="2:20" ht="15">
      <c r="B59" s="26"/>
      <c r="C59" s="1" t="s">
        <v>26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27"/>
    </row>
    <row r="60" spans="1:20" ht="15">
      <c r="A60" s="2" t="s">
        <v>99</v>
      </c>
      <c r="B60" s="26">
        <f aca="true" t="shared" si="24" ref="B60:T60">B54+B58</f>
        <v>1.43696</v>
      </c>
      <c r="C60" s="6">
        <f t="shared" si="24"/>
        <v>1.53</v>
      </c>
      <c r="D60" s="6">
        <f t="shared" si="24"/>
        <v>1.5269575</v>
      </c>
      <c r="E60" s="6">
        <f t="shared" si="24"/>
        <v>1.729305</v>
      </c>
      <c r="F60" s="6">
        <f t="shared" si="24"/>
        <v>1.694</v>
      </c>
      <c r="G60" s="6">
        <f t="shared" si="24"/>
        <v>1.791</v>
      </c>
      <c r="H60" s="6">
        <f t="shared" si="24"/>
        <v>1.711</v>
      </c>
      <c r="I60" s="6">
        <f t="shared" si="24"/>
        <v>1.81</v>
      </c>
      <c r="J60" s="6">
        <f t="shared" si="24"/>
        <v>1.8257245754102551</v>
      </c>
      <c r="K60" s="6">
        <f t="shared" si="24"/>
        <v>1.8257245754102551</v>
      </c>
      <c r="L60" s="6">
        <f t="shared" si="24"/>
        <v>1.8257245754102551</v>
      </c>
      <c r="M60" s="6">
        <f t="shared" si="24"/>
        <v>1.8257245754102551</v>
      </c>
      <c r="N60" s="6">
        <f t="shared" si="24"/>
        <v>1.8257245754102551</v>
      </c>
      <c r="O60" s="6">
        <f t="shared" si="24"/>
        <v>1.8257245754102551</v>
      </c>
      <c r="P60" s="6">
        <f t="shared" si="24"/>
        <v>1.8257245754102551</v>
      </c>
      <c r="Q60" s="6">
        <f t="shared" si="24"/>
        <v>1.8257245754102551</v>
      </c>
      <c r="R60" s="6">
        <f t="shared" si="24"/>
        <v>1.8257245754102551</v>
      </c>
      <c r="S60" s="6">
        <f t="shared" si="24"/>
        <v>1.8257245754102551</v>
      </c>
      <c r="T60" s="27">
        <f t="shared" si="24"/>
        <v>1.8257245754102551</v>
      </c>
    </row>
    <row r="63" spans="1:20" ht="15">
      <c r="A63" s="18" t="s">
        <v>27</v>
      </c>
      <c r="B63" s="19" t="s">
        <v>28</v>
      </c>
      <c r="C63" s="19" t="s">
        <v>29</v>
      </c>
      <c r="D63" s="19" t="s">
        <v>30</v>
      </c>
      <c r="E63" s="19" t="s">
        <v>31</v>
      </c>
      <c r="F63" s="19" t="s">
        <v>32</v>
      </c>
      <c r="G63" s="19" t="s">
        <v>33</v>
      </c>
      <c r="H63" s="19" t="s">
        <v>34</v>
      </c>
      <c r="I63" s="19" t="s">
        <v>35</v>
      </c>
      <c r="J63" s="19" t="s">
        <v>36</v>
      </c>
      <c r="K63" s="19" t="s">
        <v>37</v>
      </c>
      <c r="L63" s="19" t="s">
        <v>38</v>
      </c>
      <c r="M63" s="19" t="s">
        <v>39</v>
      </c>
      <c r="N63" s="19" t="s">
        <v>40</v>
      </c>
      <c r="O63" s="19" t="s">
        <v>41</v>
      </c>
      <c r="P63" s="19" t="s">
        <v>42</v>
      </c>
      <c r="Q63" s="19" t="s">
        <v>43</v>
      </c>
      <c r="R63" s="19" t="s">
        <v>44</v>
      </c>
      <c r="S63" s="19" t="s">
        <v>45</v>
      </c>
      <c r="T63" s="19" t="s">
        <v>46</v>
      </c>
    </row>
    <row r="64" spans="2:20" ht="15">
      <c r="B64" s="13"/>
      <c r="T64" s="15"/>
    </row>
    <row r="65" spans="2:20" ht="15">
      <c r="B65" s="13"/>
      <c r="C65" s="2" t="s">
        <v>26</v>
      </c>
      <c r="H65" s="6">
        <f>(Z31/5)*(H66/(H60+H66))</f>
        <v>0.007912555391432792</v>
      </c>
      <c r="I65" s="6">
        <f>(Z31/5)*(I66/(I60+I66))</f>
        <v>0.008362869198312237</v>
      </c>
      <c r="T65" s="15"/>
    </row>
    <row r="66" spans="1:20" ht="15">
      <c r="A66" s="2" t="s">
        <v>100</v>
      </c>
      <c r="B66" s="26">
        <v>0.76</v>
      </c>
      <c r="C66" s="6">
        <v>1</v>
      </c>
      <c r="D66" s="6">
        <v>1.4</v>
      </c>
      <c r="E66" s="6">
        <v>1.323</v>
      </c>
      <c r="F66" s="6">
        <v>1.483</v>
      </c>
      <c r="G66" s="6">
        <v>1.502</v>
      </c>
      <c r="H66" s="6">
        <v>1.674</v>
      </c>
      <c r="I66" s="6">
        <v>1.982</v>
      </c>
      <c r="J66" s="6">
        <f>((+G66+I66+H66+H65+I65)/3)*J14/I14</f>
        <v>1.7401539144878162</v>
      </c>
      <c r="K66" s="6">
        <f aca="true" t="shared" si="25" ref="K66:T66">J66*K14/J14</f>
        <v>1.755549354112384</v>
      </c>
      <c r="L66" s="6">
        <f t="shared" si="25"/>
        <v>1.7689784676310567</v>
      </c>
      <c r="M66" s="6">
        <f t="shared" si="25"/>
        <v>1.7824001329447827</v>
      </c>
      <c r="N66" s="6">
        <f t="shared" si="25"/>
        <v>1.7958217982585087</v>
      </c>
      <c r="O66" s="6">
        <f t="shared" si="25"/>
        <v>1.8092509117771813</v>
      </c>
      <c r="P66" s="6">
        <f t="shared" si="25"/>
        <v>1.8226725770909074</v>
      </c>
      <c r="Q66" s="6">
        <f t="shared" si="25"/>
        <v>1.8707432918160944</v>
      </c>
      <c r="R66" s="6">
        <f t="shared" si="25"/>
        <v>1.9188140065412815</v>
      </c>
      <c r="S66" s="6">
        <f t="shared" si="25"/>
        <v>1.9486678086333455</v>
      </c>
      <c r="T66" s="27">
        <f t="shared" si="25"/>
        <v>1.9509530108857474</v>
      </c>
    </row>
    <row r="67" spans="2:20" ht="15">
      <c r="B67" s="13"/>
      <c r="T67" s="15"/>
    </row>
    <row r="68" spans="1:20" ht="15">
      <c r="A68" s="2" t="s">
        <v>101</v>
      </c>
      <c r="B68" s="26">
        <f aca="true" t="shared" si="26" ref="B68:T68">B27+B39+B43+B44+B49+B50+B51+B60+B66</f>
        <v>29.701960000000003</v>
      </c>
      <c r="C68" s="6">
        <f t="shared" si="26"/>
        <v>31.546630000000004</v>
      </c>
      <c r="D68" s="6">
        <f t="shared" si="26"/>
        <v>31.2019575</v>
      </c>
      <c r="E68" s="6">
        <f t="shared" si="26"/>
        <v>29.670305</v>
      </c>
      <c r="F68" s="6">
        <f t="shared" si="26"/>
        <v>30.57354</v>
      </c>
      <c r="G68" s="6">
        <f t="shared" si="26"/>
        <v>31.394999999999996</v>
      </c>
      <c r="H68" s="6">
        <f t="shared" si="26"/>
        <v>30.76620491803278</v>
      </c>
      <c r="I68" s="6">
        <f t="shared" si="26"/>
        <v>32.79744380547945</v>
      </c>
      <c r="J68" s="6">
        <f t="shared" si="26"/>
        <v>33.052918751506986</v>
      </c>
      <c r="K68" s="6">
        <f t="shared" si="26"/>
        <v>33.48046134347875</v>
      </c>
      <c r="L68" s="6">
        <f t="shared" si="26"/>
        <v>33.85158782201679</v>
      </c>
      <c r="M68" s="6">
        <f t="shared" si="26"/>
        <v>34.12245500909811</v>
      </c>
      <c r="N68" s="6">
        <f t="shared" si="26"/>
        <v>34.366023993720944</v>
      </c>
      <c r="O68" s="6">
        <f t="shared" si="26"/>
        <v>34.61279798873885</v>
      </c>
      <c r="P68" s="6">
        <f t="shared" si="26"/>
        <v>34.880358088273134</v>
      </c>
      <c r="Q68" s="6">
        <f t="shared" si="26"/>
        <v>35.858666063900706</v>
      </c>
      <c r="R68" s="6">
        <f t="shared" si="26"/>
        <v>36.8320200689314</v>
      </c>
      <c r="S68" s="6">
        <f t="shared" si="26"/>
        <v>37.423381830901555</v>
      </c>
      <c r="T68" s="27">
        <f t="shared" si="26"/>
        <v>37.558154212373374</v>
      </c>
    </row>
    <row r="69" spans="1:21" ht="15">
      <c r="A69" s="8" t="s">
        <v>102</v>
      </c>
      <c r="B69" s="25"/>
      <c r="C69" s="9"/>
      <c r="D69" s="9"/>
      <c r="E69" s="9"/>
      <c r="F69" s="9"/>
      <c r="G69" s="9"/>
      <c r="H69" s="9">
        <f>H26+H34+H46+H52+H53+H65</f>
        <v>0.18399156480269827</v>
      </c>
      <c r="I69" s="9">
        <f>I26+I34+I46+I52+I53+I65</f>
        <v>0.1839915648026983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24"/>
      <c r="U69" s="9"/>
    </row>
    <row r="70" spans="1:20" ht="15">
      <c r="A70" s="2" t="s">
        <v>103</v>
      </c>
      <c r="B70" s="28">
        <v>0.169</v>
      </c>
      <c r="C70" s="7">
        <v>0.176</v>
      </c>
      <c r="D70" s="7">
        <v>0.15</v>
      </c>
      <c r="E70" s="7">
        <v>0.123</v>
      </c>
      <c r="F70" s="7">
        <v>0.116</v>
      </c>
      <c r="G70" s="7">
        <v>0.154</v>
      </c>
      <c r="H70" s="7">
        <v>0.161</v>
      </c>
      <c r="I70" s="7">
        <v>0.1647</v>
      </c>
      <c r="J70" s="7">
        <f aca="true" t="shared" si="27" ref="J70:T70">J9+0.018</f>
        <v>0.148</v>
      </c>
      <c r="K70" s="7">
        <f t="shared" si="27"/>
        <v>0.148</v>
      </c>
      <c r="L70" s="7">
        <f t="shared" si="27"/>
        <v>0.148</v>
      </c>
      <c r="M70" s="7">
        <f t="shared" si="27"/>
        <v>0.148</v>
      </c>
      <c r="N70" s="7">
        <f t="shared" si="27"/>
        <v>0.148</v>
      </c>
      <c r="O70" s="7">
        <f t="shared" si="27"/>
        <v>0.148</v>
      </c>
      <c r="P70" s="7">
        <f t="shared" si="27"/>
        <v>0.148</v>
      </c>
      <c r="Q70" s="7">
        <f t="shared" si="27"/>
        <v>0.148</v>
      </c>
      <c r="R70" s="7">
        <f t="shared" si="27"/>
        <v>0.148</v>
      </c>
      <c r="S70" s="7">
        <f t="shared" si="27"/>
        <v>0.148</v>
      </c>
      <c r="T70" s="29">
        <f t="shared" si="27"/>
        <v>0.148</v>
      </c>
    </row>
    <row r="71" spans="1:20" ht="15">
      <c r="A71" s="2" t="s">
        <v>104</v>
      </c>
      <c r="B71" s="26">
        <f aca="true" t="shared" si="28" ref="B71:T71">B68/(1-B70)-B68</f>
        <v>6.04047080625752</v>
      </c>
      <c r="C71" s="6">
        <f t="shared" si="28"/>
        <v>6.738115145631067</v>
      </c>
      <c r="D71" s="6">
        <f t="shared" si="28"/>
        <v>5.506227794117649</v>
      </c>
      <c r="E71" s="6">
        <f t="shared" si="28"/>
        <v>4.1612856499429896</v>
      </c>
      <c r="F71" s="6">
        <f t="shared" si="28"/>
        <v>4.011912488687784</v>
      </c>
      <c r="G71" s="6">
        <f t="shared" si="28"/>
        <v>5.714929078014187</v>
      </c>
      <c r="H71" s="6">
        <f t="shared" si="28"/>
        <v>5.903884376404388</v>
      </c>
      <c r="I71" s="6">
        <f t="shared" si="28"/>
        <v>6.466825086510795</v>
      </c>
      <c r="J71" s="6">
        <f t="shared" si="28"/>
        <v>5.7415868253791515</v>
      </c>
      <c r="K71" s="6">
        <f t="shared" si="28"/>
        <v>5.815854787364856</v>
      </c>
      <c r="L71" s="6">
        <f t="shared" si="28"/>
        <v>5.880322767204795</v>
      </c>
      <c r="M71" s="6">
        <f t="shared" si="28"/>
        <v>5.927374813786997</v>
      </c>
      <c r="N71" s="6">
        <f t="shared" si="28"/>
        <v>5.9696849190970696</v>
      </c>
      <c r="O71" s="6">
        <f t="shared" si="28"/>
        <v>6.012551763302056</v>
      </c>
      <c r="P71" s="6">
        <f t="shared" si="28"/>
        <v>6.059029339277494</v>
      </c>
      <c r="Q71" s="6">
        <f t="shared" si="28"/>
        <v>6.228970161334864</v>
      </c>
      <c r="R71" s="6">
        <f t="shared" si="28"/>
        <v>6.398050434509209</v>
      </c>
      <c r="S71" s="6">
        <f t="shared" si="28"/>
        <v>6.500775247621398</v>
      </c>
      <c r="T71" s="27">
        <f t="shared" si="28"/>
        <v>6.524186412478002</v>
      </c>
    </row>
    <row r="72" spans="1:20" ht="15">
      <c r="A72" s="2" t="s">
        <v>105</v>
      </c>
      <c r="B72" s="2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f>L72/5</f>
        <v>-0.18399156480269827</v>
      </c>
      <c r="I72" s="6">
        <f>H72+$L$72/5</f>
        <v>-0.36798312960539653</v>
      </c>
      <c r="J72" s="6">
        <f>I72+$L$72/5</f>
        <v>-0.5519746944080948</v>
      </c>
      <c r="K72" s="6">
        <f>J72+$L$72/5</f>
        <v>-0.7359662592107931</v>
      </c>
      <c r="L72" s="6">
        <f>-Z35</f>
        <v>-0.9199578240134914</v>
      </c>
      <c r="M72" s="6">
        <f>L72-($AA$35-$Z$35)/10</f>
        <v>-1.1054140855652008</v>
      </c>
      <c r="N72" s="6">
        <f>M72-($AA$35-$Z$35)/10</f>
        <v>-1.2908703471169103</v>
      </c>
      <c r="O72" s="6">
        <f>N72-($AA$35-$Z$35)/10</f>
        <v>-1.4763266086686198</v>
      </c>
      <c r="P72" s="6">
        <f>O72-($AA$35-$Z$35)/10</f>
        <v>-1.6617828702203292</v>
      </c>
      <c r="Q72" s="6">
        <f>P72-($AA$35-$Z$35)*5/10</f>
        <v>-2.5890641779788766</v>
      </c>
      <c r="R72" s="6">
        <f>Q72-($AA$35-$Z$35)*5/10</f>
        <v>-3.516345485737424</v>
      </c>
      <c r="S72" s="6">
        <f>R72</f>
        <v>-3.516345485737424</v>
      </c>
      <c r="T72" s="27">
        <f>R72</f>
        <v>-3.516345485737424</v>
      </c>
    </row>
    <row r="73" spans="1:20" ht="15">
      <c r="A73" s="2" t="s">
        <v>106</v>
      </c>
      <c r="B73" s="26">
        <f aca="true" t="shared" si="29" ref="B73:G73">B71+B68+B72</f>
        <v>35.742430806257524</v>
      </c>
      <c r="C73" s="6">
        <f t="shared" si="29"/>
        <v>38.28474514563107</v>
      </c>
      <c r="D73" s="6">
        <f t="shared" si="29"/>
        <v>36.70818529411765</v>
      </c>
      <c r="E73" s="6">
        <f t="shared" si="29"/>
        <v>33.83159064994299</v>
      </c>
      <c r="F73" s="6">
        <f t="shared" si="29"/>
        <v>34.585452488687785</v>
      </c>
      <c r="G73" s="6">
        <f t="shared" si="29"/>
        <v>37.10992907801418</v>
      </c>
      <c r="H73" s="6">
        <f>H71+H68</f>
        <v>36.67008929443717</v>
      </c>
      <c r="I73" s="6">
        <f aca="true" t="shared" si="30" ref="I73:T73">I71+I68+I72</f>
        <v>38.89628576238485</v>
      </c>
      <c r="J73" s="6">
        <f t="shared" si="30"/>
        <v>38.24253088247804</v>
      </c>
      <c r="K73" s="6">
        <f t="shared" si="30"/>
        <v>38.560349871632816</v>
      </c>
      <c r="L73" s="6">
        <f t="shared" si="30"/>
        <v>38.81195276520809</v>
      </c>
      <c r="M73" s="6">
        <f t="shared" si="30"/>
        <v>38.94441573731991</v>
      </c>
      <c r="N73" s="6">
        <f t="shared" si="30"/>
        <v>39.044838565701106</v>
      </c>
      <c r="O73" s="6">
        <f t="shared" si="30"/>
        <v>39.14902314337228</v>
      </c>
      <c r="P73" s="6">
        <f t="shared" si="30"/>
        <v>39.2776045573303</v>
      </c>
      <c r="Q73" s="6">
        <f t="shared" si="30"/>
        <v>39.498572047256694</v>
      </c>
      <c r="R73" s="6">
        <f t="shared" si="30"/>
        <v>39.71372501770318</v>
      </c>
      <c r="S73" s="6">
        <f t="shared" si="30"/>
        <v>40.40781159278553</v>
      </c>
      <c r="T73" s="27">
        <f t="shared" si="30"/>
        <v>40.56599513911395</v>
      </c>
    </row>
    <row r="74" spans="2:23" ht="15">
      <c r="B74" s="26"/>
      <c r="C74" s="6"/>
      <c r="D74" s="6"/>
      <c r="E74" s="6"/>
      <c r="F74" s="6"/>
      <c r="G74" s="6"/>
      <c r="H74" s="9">
        <f>(H26+H34+H46+H52+H53+H65)</f>
        <v>0.18399156480269827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27"/>
      <c r="V74" s="8" t="s">
        <v>107</v>
      </c>
      <c r="W74" s="9"/>
    </row>
    <row r="75" spans="1:23" ht="15">
      <c r="A75" s="2" t="s">
        <v>108</v>
      </c>
      <c r="B75" s="26">
        <f aca="true" t="shared" si="31" ref="B75:T75">(B73-B72)*$V$75+B72</f>
        <v>60.047283754512634</v>
      </c>
      <c r="C75" s="6">
        <f t="shared" si="31"/>
        <v>64.31837184466019</v>
      </c>
      <c r="D75" s="6">
        <f t="shared" si="31"/>
        <v>61.669751294117646</v>
      </c>
      <c r="E75" s="6">
        <f t="shared" si="31"/>
        <v>56.83707229190422</v>
      </c>
      <c r="F75" s="6">
        <f t="shared" si="31"/>
        <v>58.10356018099548</v>
      </c>
      <c r="G75" s="6">
        <f t="shared" si="31"/>
        <v>62.34468085106383</v>
      </c>
      <c r="H75" s="6">
        <f t="shared" si="31"/>
        <v>61.730864278720276</v>
      </c>
      <c r="I75" s="6">
        <f t="shared" si="31"/>
        <v>65.59598860893823</v>
      </c>
      <c r="J75" s="6">
        <f t="shared" si="31"/>
        <v>64.62279467476063</v>
      </c>
      <c r="K75" s="6">
        <f t="shared" si="31"/>
        <v>65.28184484060645</v>
      </c>
      <c r="L75" s="6">
        <f t="shared" si="31"/>
        <v>65.82965196587877</v>
      </c>
      <c r="M75" s="6">
        <f t="shared" si="31"/>
        <v>66.17830001688178</v>
      </c>
      <c r="N75" s="6">
        <f t="shared" si="31"/>
        <v>66.47312062641736</v>
      </c>
      <c r="O75" s="6">
        <f t="shared" si="31"/>
        <v>66.7742609747601</v>
      </c>
      <c r="P75" s="6">
        <f t="shared" si="31"/>
        <v>67.11638800806472</v>
      </c>
      <c r="Q75" s="6">
        <f t="shared" si="31"/>
        <v>68.11816468041687</v>
      </c>
      <c r="R75" s="6">
        <f t="shared" si="31"/>
        <v>69.1101729600428</v>
      </c>
      <c r="S75" s="6">
        <f t="shared" si="31"/>
        <v>70.27623840618114</v>
      </c>
      <c r="T75" s="27">
        <f t="shared" si="31"/>
        <v>70.54198676401289</v>
      </c>
      <c r="V75" s="9">
        <v>1.68</v>
      </c>
      <c r="W75" s="9"/>
    </row>
    <row r="76" spans="2:20" ht="15">
      <c r="B76" s="13"/>
      <c r="T76" s="15"/>
    </row>
    <row r="77" spans="1:20" ht="15">
      <c r="A77" s="2" t="s">
        <v>109</v>
      </c>
      <c r="B77" s="20">
        <v>57.47</v>
      </c>
      <c r="C77" s="4">
        <v>54.89</v>
      </c>
      <c r="D77" s="4">
        <v>63.91</v>
      </c>
      <c r="E77" s="4">
        <v>47.72</v>
      </c>
      <c r="F77" s="4">
        <v>58.52</v>
      </c>
      <c r="G77" s="4">
        <v>56.42</v>
      </c>
      <c r="H77" s="4">
        <v>47.22</v>
      </c>
      <c r="I77" s="4">
        <v>59.49</v>
      </c>
      <c r="T77" s="15"/>
    </row>
    <row r="78" spans="2:20" ht="15">
      <c r="B78" s="13"/>
      <c r="T78" s="15"/>
    </row>
    <row r="79" spans="1:20" ht="15">
      <c r="A79" s="2" t="s">
        <v>110</v>
      </c>
      <c r="B79" s="2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f aca="true" t="shared" si="32" ref="J79:T79">-J253</f>
        <v>-0.00672</v>
      </c>
      <c r="K79" s="6">
        <f t="shared" si="32"/>
        <v>-1.378829392205564</v>
      </c>
      <c r="L79" s="6">
        <f t="shared" si="32"/>
        <v>-1.5826985302456311</v>
      </c>
      <c r="M79" s="6">
        <f t="shared" si="32"/>
        <v>-1.914616109621942</v>
      </c>
      <c r="N79" s="6">
        <f t="shared" si="32"/>
        <v>-2.2661438881910883</v>
      </c>
      <c r="O79" s="6">
        <f t="shared" si="32"/>
        <v>-2.6076496174163566</v>
      </c>
      <c r="P79" s="6">
        <f t="shared" si="32"/>
        <v>-2.727683171005123</v>
      </c>
      <c r="Q79" s="6">
        <f t="shared" si="32"/>
        <v>-2.7904992525590315</v>
      </c>
      <c r="R79" s="6">
        <f t="shared" si="32"/>
        <v>-2.8293575613415167</v>
      </c>
      <c r="S79" s="6">
        <f t="shared" si="32"/>
        <v>-2.8529659482490795</v>
      </c>
      <c r="T79" s="27">
        <f t="shared" si="32"/>
        <v>-2.8583463409813383</v>
      </c>
    </row>
    <row r="80" spans="1:20" ht="15">
      <c r="A80" s="2" t="s">
        <v>106</v>
      </c>
      <c r="B80" s="26">
        <f aca="true" t="shared" si="33" ref="B80:T80">B73+B79</f>
        <v>35.742430806257524</v>
      </c>
      <c r="C80" s="6">
        <f t="shared" si="33"/>
        <v>38.28474514563107</v>
      </c>
      <c r="D80" s="6">
        <f t="shared" si="33"/>
        <v>36.70818529411765</v>
      </c>
      <c r="E80" s="6">
        <f t="shared" si="33"/>
        <v>33.83159064994299</v>
      </c>
      <c r="F80" s="6">
        <f t="shared" si="33"/>
        <v>34.585452488687785</v>
      </c>
      <c r="G80" s="6">
        <f t="shared" si="33"/>
        <v>37.10992907801418</v>
      </c>
      <c r="H80" s="6">
        <f t="shared" si="33"/>
        <v>36.67008929443717</v>
      </c>
      <c r="I80" s="6">
        <f t="shared" si="33"/>
        <v>38.89628576238485</v>
      </c>
      <c r="J80" s="6">
        <f t="shared" si="33"/>
        <v>38.23581088247804</v>
      </c>
      <c r="K80" s="6">
        <f t="shared" si="33"/>
        <v>37.18152047942725</v>
      </c>
      <c r="L80" s="6">
        <f t="shared" si="33"/>
        <v>37.22925423496246</v>
      </c>
      <c r="M80" s="6">
        <f t="shared" si="33"/>
        <v>37.02979962769797</v>
      </c>
      <c r="N80" s="6">
        <f t="shared" si="33"/>
        <v>36.77869467751002</v>
      </c>
      <c r="O80" s="6">
        <f t="shared" si="33"/>
        <v>36.541373525955926</v>
      </c>
      <c r="P80" s="6">
        <f t="shared" si="33"/>
        <v>36.549921386325174</v>
      </c>
      <c r="Q80" s="6">
        <f t="shared" si="33"/>
        <v>36.708072794697664</v>
      </c>
      <c r="R80" s="6">
        <f t="shared" si="33"/>
        <v>36.884367456361666</v>
      </c>
      <c r="S80" s="6">
        <f t="shared" si="33"/>
        <v>37.55484564453645</v>
      </c>
      <c r="T80" s="27">
        <f t="shared" si="33"/>
        <v>37.70764879813261</v>
      </c>
    </row>
    <row r="81" spans="2:20" ht="15">
      <c r="B81" s="13"/>
      <c r="T81" s="15"/>
    </row>
    <row r="82" spans="1:20" ht="15">
      <c r="A82" s="2" t="s">
        <v>111</v>
      </c>
      <c r="B82" s="26">
        <f aca="true" t="shared" si="34" ref="B82:T82">(B80-B79-B72-(B221+B249))*$V$75+B79+B72+(B221+B249)</f>
        <v>60.047283754512634</v>
      </c>
      <c r="C82" s="6">
        <f t="shared" si="34"/>
        <v>64.31837184466019</v>
      </c>
      <c r="D82" s="6">
        <f t="shared" si="34"/>
        <v>61.669751294117646</v>
      </c>
      <c r="E82" s="6">
        <f t="shared" si="34"/>
        <v>56.83707229190422</v>
      </c>
      <c r="F82" s="6">
        <f t="shared" si="34"/>
        <v>58.10356018099548</v>
      </c>
      <c r="G82" s="6">
        <f t="shared" si="34"/>
        <v>62.34468085106383</v>
      </c>
      <c r="H82" s="6">
        <f t="shared" si="34"/>
        <v>61.730864278720276</v>
      </c>
      <c r="I82" s="6">
        <f t="shared" si="34"/>
        <v>65.59598860893823</v>
      </c>
      <c r="J82" s="6">
        <f t="shared" si="34"/>
        <v>64.61607467476063</v>
      </c>
      <c r="K82" s="6">
        <f t="shared" si="34"/>
        <v>63.9017234484009</v>
      </c>
      <c r="L82" s="6">
        <f t="shared" si="34"/>
        <v>64.21674307563313</v>
      </c>
      <c r="M82" s="6">
        <f t="shared" si="34"/>
        <v>64.20610082725983</v>
      </c>
      <c r="N82" s="6">
        <f t="shared" si="34"/>
        <v>64.11556093822625</v>
      </c>
      <c r="O82" s="6">
        <f t="shared" si="34"/>
        <v>64.07366283734375</v>
      </c>
      <c r="P82" s="6">
        <f t="shared" si="34"/>
        <v>64.2957563170596</v>
      </c>
      <c r="Q82" s="6">
        <f t="shared" si="34"/>
        <v>65.23471690785784</v>
      </c>
      <c r="R82" s="6">
        <f t="shared" si="34"/>
        <v>66.1878668787013</v>
      </c>
      <c r="S82" s="6">
        <f t="shared" si="34"/>
        <v>67.33032393793206</v>
      </c>
      <c r="T82" s="27">
        <f t="shared" si="34"/>
        <v>67.59069190303155</v>
      </c>
    </row>
    <row r="83" spans="2:20" ht="15">
      <c r="B83" s="13"/>
      <c r="T83" s="15"/>
    </row>
    <row r="84" spans="1:20" ht="15">
      <c r="A84" s="2" t="s">
        <v>112</v>
      </c>
      <c r="B84" s="20">
        <v>1.6</v>
      </c>
      <c r="C84" s="6">
        <f aca="true" t="shared" si="35" ref="C84:J84">B84*C73/B73</f>
        <v>1.7138059961575287</v>
      </c>
      <c r="D84" s="6">
        <f t="shared" si="35"/>
        <v>1.6432317317462828</v>
      </c>
      <c r="E84" s="6">
        <f t="shared" si="35"/>
        <v>1.5144617704745476</v>
      </c>
      <c r="F84" s="6">
        <f t="shared" si="35"/>
        <v>1.5482081865627477</v>
      </c>
      <c r="G84" s="6">
        <f t="shared" si="35"/>
        <v>1.6612156807876532</v>
      </c>
      <c r="H84" s="6">
        <f t="shared" si="35"/>
        <v>1.641526374888514</v>
      </c>
      <c r="I84" s="6">
        <f t="shared" si="35"/>
        <v>1.7411814422235732</v>
      </c>
      <c r="J84" s="6">
        <f t="shared" si="35"/>
        <v>1.7119162863778281</v>
      </c>
      <c r="K84" s="6">
        <f aca="true" t="shared" si="36" ref="K84:P84">F84*K73/F73</f>
        <v>1.7261433652635376</v>
      </c>
      <c r="L84" s="6">
        <f t="shared" si="36"/>
        <v>1.7374062989991457</v>
      </c>
      <c r="M84" s="6">
        <f t="shared" si="36"/>
        <v>1.7433359672001625</v>
      </c>
      <c r="N84" s="6">
        <f t="shared" si="36"/>
        <v>1.747831367255096</v>
      </c>
      <c r="O84" s="6">
        <f t="shared" si="36"/>
        <v>1.7524951609734771</v>
      </c>
      <c r="P84" s="6">
        <f t="shared" si="36"/>
        <v>1.7582510723004932</v>
      </c>
      <c r="Q84" s="6">
        <f>P84*Q73/P73</f>
        <v>1.7681426206900988</v>
      </c>
      <c r="R84" s="6">
        <f>Q84*R73/Q73</f>
        <v>1.7777738837281492</v>
      </c>
      <c r="S84" s="6">
        <f>R84*S73/R73</f>
        <v>1.8088444767203113</v>
      </c>
      <c r="T84" s="27">
        <f>R84*T73/R73</f>
        <v>1.8159255192911812</v>
      </c>
    </row>
    <row r="85" spans="1:20" ht="15">
      <c r="A85" s="2" t="s">
        <v>113</v>
      </c>
      <c r="B85" s="20">
        <f>B84+B77</f>
        <v>59.07</v>
      </c>
      <c r="C85" s="6">
        <f>C84+C77</f>
        <v>56.60380599615753</v>
      </c>
      <c r="D85" s="6">
        <f>D84+D77</f>
        <v>65.55323173174628</v>
      </c>
      <c r="E85" s="6">
        <f>E77+E84</f>
        <v>49.234461770474546</v>
      </c>
      <c r="F85" s="6">
        <f>F77+F84</f>
        <v>60.06820818656275</v>
      </c>
      <c r="G85" s="6">
        <f>G77+G84</f>
        <v>58.08121568078766</v>
      </c>
      <c r="H85" s="6">
        <f>H77+H84</f>
        <v>48.86152637488851</v>
      </c>
      <c r="I85" s="6">
        <f>I77+I84</f>
        <v>61.23118144222357</v>
      </c>
      <c r="J85" s="6">
        <f aca="true" t="shared" si="37" ref="J85:T85">J82+J84</f>
        <v>66.32799096113845</v>
      </c>
      <c r="K85" s="6">
        <f t="shared" si="37"/>
        <v>65.62786681366444</v>
      </c>
      <c r="L85" s="6">
        <f t="shared" si="37"/>
        <v>65.95414937463228</v>
      </c>
      <c r="M85" s="6">
        <f t="shared" si="37"/>
        <v>65.94943679446</v>
      </c>
      <c r="N85" s="6">
        <f t="shared" si="37"/>
        <v>65.86339230548136</v>
      </c>
      <c r="O85" s="6">
        <f t="shared" si="37"/>
        <v>65.82615799831723</v>
      </c>
      <c r="P85" s="6">
        <f t="shared" si="37"/>
        <v>66.0540073893601</v>
      </c>
      <c r="Q85" s="6">
        <f t="shared" si="37"/>
        <v>67.00285952854794</v>
      </c>
      <c r="R85" s="6">
        <f t="shared" si="37"/>
        <v>67.96564076242944</v>
      </c>
      <c r="S85" s="6">
        <f t="shared" si="37"/>
        <v>69.13916841465237</v>
      </c>
      <c r="T85" s="27">
        <f t="shared" si="37"/>
        <v>69.40661742232274</v>
      </c>
    </row>
    <row r="86" spans="1:20" ht="15">
      <c r="A86" s="2" t="s">
        <v>114</v>
      </c>
      <c r="B86" s="20">
        <f aca="true" t="shared" si="38" ref="B86:G86">B85</f>
        <v>59.07</v>
      </c>
      <c r="C86" s="6">
        <f t="shared" si="38"/>
        <v>56.60380599615753</v>
      </c>
      <c r="D86" s="6">
        <f t="shared" si="38"/>
        <v>65.55323173174628</v>
      </c>
      <c r="E86" s="6">
        <f t="shared" si="38"/>
        <v>49.234461770474546</v>
      </c>
      <c r="F86" s="6">
        <f t="shared" si="38"/>
        <v>60.06820818656275</v>
      </c>
      <c r="G86" s="6">
        <f t="shared" si="38"/>
        <v>58.08121568078766</v>
      </c>
      <c r="H86" s="6">
        <v>63.53</v>
      </c>
      <c r="I86" s="6">
        <v>63.87</v>
      </c>
      <c r="J86" s="6">
        <v>64.67</v>
      </c>
      <c r="K86" s="6">
        <v>65.44</v>
      </c>
      <c r="L86" s="6">
        <v>65.71</v>
      </c>
      <c r="M86" s="6">
        <v>65.79</v>
      </c>
      <c r="N86" s="6">
        <v>65.88</v>
      </c>
      <c r="O86" s="6">
        <v>65.97</v>
      </c>
      <c r="P86" s="6">
        <v>65.81</v>
      </c>
      <c r="Q86" s="6">
        <v>65.91</v>
      </c>
      <c r="R86" s="6">
        <v>65.81</v>
      </c>
      <c r="S86" s="6">
        <v>66.81</v>
      </c>
      <c r="T86" s="27">
        <v>66.64</v>
      </c>
    </row>
    <row r="87" spans="1:20" ht="15">
      <c r="A87" s="2" t="s">
        <v>115</v>
      </c>
      <c r="T87" s="15"/>
    </row>
    <row r="88" ht="15">
      <c r="T88" s="15"/>
    </row>
    <row r="89" spans="1:20" ht="15">
      <c r="A89" s="2" t="s">
        <v>116</v>
      </c>
      <c r="T89" s="15"/>
    </row>
    <row r="90" ht="15">
      <c r="T90" s="15"/>
    </row>
    <row r="91" spans="1:20" ht="15">
      <c r="A91" s="30" t="s">
        <v>101</v>
      </c>
      <c r="B91" s="31">
        <f aca="true" t="shared" si="39" ref="B91:T91">B68*1.06</f>
        <v>31.484077600000006</v>
      </c>
      <c r="C91" s="32">
        <f t="shared" si="39"/>
        <v>33.439427800000004</v>
      </c>
      <c r="D91" s="32">
        <f t="shared" si="39"/>
        <v>33.07407495</v>
      </c>
      <c r="E91" s="32">
        <f t="shared" si="39"/>
        <v>31.4505233</v>
      </c>
      <c r="F91" s="32">
        <f t="shared" si="39"/>
        <v>32.407952400000006</v>
      </c>
      <c r="G91" s="32">
        <f t="shared" si="39"/>
        <v>33.2787</v>
      </c>
      <c r="H91" s="32">
        <f t="shared" si="39"/>
        <v>32.61217721311475</v>
      </c>
      <c r="I91" s="32">
        <f t="shared" si="39"/>
        <v>34.765290433808225</v>
      </c>
      <c r="J91" s="32">
        <f t="shared" si="39"/>
        <v>35.036093876597405</v>
      </c>
      <c r="K91" s="32">
        <f t="shared" si="39"/>
        <v>35.489289024087476</v>
      </c>
      <c r="L91" s="32">
        <f t="shared" si="39"/>
        <v>35.882683091337796</v>
      </c>
      <c r="M91" s="32">
        <f t="shared" si="39"/>
        <v>36.169802309644</v>
      </c>
      <c r="N91" s="32">
        <f t="shared" si="39"/>
        <v>36.427985433344205</v>
      </c>
      <c r="O91" s="32">
        <f t="shared" si="39"/>
        <v>36.68956586806318</v>
      </c>
      <c r="P91" s="32">
        <f t="shared" si="39"/>
        <v>36.973179573569524</v>
      </c>
      <c r="Q91" s="32">
        <f t="shared" si="39"/>
        <v>38.010186027734754</v>
      </c>
      <c r="R91" s="32">
        <f t="shared" si="39"/>
        <v>39.04194127306729</v>
      </c>
      <c r="S91" s="32">
        <f t="shared" si="39"/>
        <v>39.66878474075565</v>
      </c>
      <c r="T91" s="33">
        <f t="shared" si="39"/>
        <v>39.81164346511578</v>
      </c>
    </row>
    <row r="92" spans="2:20" ht="15">
      <c r="B92" s="2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27"/>
    </row>
    <row r="93" spans="1:20" ht="15">
      <c r="A93" s="2" t="s">
        <v>103</v>
      </c>
      <c r="B93" s="28">
        <f aca="true" t="shared" si="40" ref="B93:T93">B70</f>
        <v>0.169</v>
      </c>
      <c r="C93" s="7">
        <f t="shared" si="40"/>
        <v>0.176</v>
      </c>
      <c r="D93" s="7">
        <f t="shared" si="40"/>
        <v>0.15</v>
      </c>
      <c r="E93" s="7">
        <f t="shared" si="40"/>
        <v>0.123</v>
      </c>
      <c r="F93" s="7">
        <f t="shared" si="40"/>
        <v>0.116</v>
      </c>
      <c r="G93" s="7">
        <f t="shared" si="40"/>
        <v>0.154</v>
      </c>
      <c r="H93" s="7">
        <f t="shared" si="40"/>
        <v>0.161</v>
      </c>
      <c r="I93" s="7">
        <f t="shared" si="40"/>
        <v>0.1647</v>
      </c>
      <c r="J93" s="7">
        <f t="shared" si="40"/>
        <v>0.148</v>
      </c>
      <c r="K93" s="7">
        <f t="shared" si="40"/>
        <v>0.148</v>
      </c>
      <c r="L93" s="7">
        <f t="shared" si="40"/>
        <v>0.148</v>
      </c>
      <c r="M93" s="7">
        <f t="shared" si="40"/>
        <v>0.148</v>
      </c>
      <c r="N93" s="7">
        <f t="shared" si="40"/>
        <v>0.148</v>
      </c>
      <c r="O93" s="7">
        <f t="shared" si="40"/>
        <v>0.148</v>
      </c>
      <c r="P93" s="7">
        <f t="shared" si="40"/>
        <v>0.148</v>
      </c>
      <c r="Q93" s="7">
        <f t="shared" si="40"/>
        <v>0.148</v>
      </c>
      <c r="R93" s="7">
        <f t="shared" si="40"/>
        <v>0.148</v>
      </c>
      <c r="S93" s="7">
        <f t="shared" si="40"/>
        <v>0.148</v>
      </c>
      <c r="T93" s="29">
        <f t="shared" si="40"/>
        <v>0.148</v>
      </c>
    </row>
    <row r="94" spans="1:20" ht="15">
      <c r="A94" s="2" t="s">
        <v>104</v>
      </c>
      <c r="B94" s="26">
        <f aca="true" t="shared" si="41" ref="B94:T94">B91/(1-B93)-B91</f>
        <v>6.402899054632975</v>
      </c>
      <c r="C94" s="6">
        <f t="shared" si="41"/>
        <v>7.1424020543689295</v>
      </c>
      <c r="D94" s="6">
        <f t="shared" si="41"/>
        <v>5.836601461764708</v>
      </c>
      <c r="E94" s="6">
        <f t="shared" si="41"/>
        <v>4.410962788939564</v>
      </c>
      <c r="F94" s="6">
        <f t="shared" si="41"/>
        <v>4.2526272380090475</v>
      </c>
      <c r="G94" s="6">
        <f t="shared" si="41"/>
        <v>6.057824822695039</v>
      </c>
      <c r="H94" s="6">
        <f t="shared" si="41"/>
        <v>6.2581174389886485</v>
      </c>
      <c r="I94" s="6">
        <f t="shared" si="41"/>
        <v>6.854834591701447</v>
      </c>
      <c r="J94" s="6">
        <f t="shared" si="41"/>
        <v>6.086082034901899</v>
      </c>
      <c r="K94" s="6">
        <f t="shared" si="41"/>
        <v>6.164806074606744</v>
      </c>
      <c r="L94" s="6">
        <f t="shared" si="41"/>
        <v>6.233142133237081</v>
      </c>
      <c r="M94" s="6">
        <f t="shared" si="41"/>
        <v>6.283017302614219</v>
      </c>
      <c r="N94" s="6">
        <f t="shared" si="41"/>
        <v>6.327866014242893</v>
      </c>
      <c r="O94" s="6">
        <f t="shared" si="41"/>
        <v>6.373304869100174</v>
      </c>
      <c r="P94" s="6">
        <f t="shared" si="41"/>
        <v>6.4225710996341405</v>
      </c>
      <c r="Q94" s="6">
        <f t="shared" si="41"/>
        <v>6.6027083710149554</v>
      </c>
      <c r="R94" s="6">
        <f t="shared" si="41"/>
        <v>6.781933460579765</v>
      </c>
      <c r="S94" s="6">
        <f t="shared" si="41"/>
        <v>6.89082176247868</v>
      </c>
      <c r="T94" s="27">
        <f t="shared" si="41"/>
        <v>6.915637597226684</v>
      </c>
    </row>
    <row r="95" spans="1:20" ht="15">
      <c r="A95" s="2" t="s">
        <v>117</v>
      </c>
      <c r="B95" s="26">
        <f aca="true" t="shared" si="42" ref="B95:T95">B72</f>
        <v>0</v>
      </c>
      <c r="C95" s="6">
        <f t="shared" si="42"/>
        <v>0</v>
      </c>
      <c r="D95" s="6">
        <f t="shared" si="42"/>
        <v>0</v>
      </c>
      <c r="E95" s="6">
        <f t="shared" si="42"/>
        <v>0</v>
      </c>
      <c r="F95" s="6">
        <f t="shared" si="42"/>
        <v>0</v>
      </c>
      <c r="G95" s="6">
        <f t="shared" si="42"/>
        <v>0</v>
      </c>
      <c r="H95" s="6">
        <f t="shared" si="42"/>
        <v>-0.18399156480269827</v>
      </c>
      <c r="I95" s="6">
        <f t="shared" si="42"/>
        <v>-0.36798312960539653</v>
      </c>
      <c r="J95" s="6">
        <f t="shared" si="42"/>
        <v>-0.5519746944080948</v>
      </c>
      <c r="K95" s="6">
        <f t="shared" si="42"/>
        <v>-0.7359662592107931</v>
      </c>
      <c r="L95" s="6">
        <f t="shared" si="42"/>
        <v>-0.9199578240134914</v>
      </c>
      <c r="M95" s="6">
        <f t="shared" si="42"/>
        <v>-1.1054140855652008</v>
      </c>
      <c r="N95" s="6">
        <f t="shared" si="42"/>
        <v>-1.2908703471169103</v>
      </c>
      <c r="O95" s="6">
        <f t="shared" si="42"/>
        <v>-1.4763266086686198</v>
      </c>
      <c r="P95" s="6">
        <f t="shared" si="42"/>
        <v>-1.6617828702203292</v>
      </c>
      <c r="Q95" s="6">
        <f t="shared" si="42"/>
        <v>-2.5890641779788766</v>
      </c>
      <c r="R95" s="6">
        <f t="shared" si="42"/>
        <v>-3.516345485737424</v>
      </c>
      <c r="S95" s="6">
        <f t="shared" si="42"/>
        <v>-3.516345485737424</v>
      </c>
      <c r="T95" s="27">
        <f t="shared" si="42"/>
        <v>-3.516345485737424</v>
      </c>
    </row>
    <row r="96" spans="1:20" ht="15">
      <c r="A96" s="2" t="s">
        <v>106</v>
      </c>
      <c r="B96" s="26">
        <f aca="true" t="shared" si="43" ref="B96:G96">B91+B94+B95</f>
        <v>37.88697665463298</v>
      </c>
      <c r="C96" s="6">
        <f t="shared" si="43"/>
        <v>40.581829854368934</v>
      </c>
      <c r="D96" s="6">
        <f t="shared" si="43"/>
        <v>38.91067641176471</v>
      </c>
      <c r="E96" s="6">
        <f t="shared" si="43"/>
        <v>35.861486088939564</v>
      </c>
      <c r="F96" s="6">
        <f t="shared" si="43"/>
        <v>36.660579638009054</v>
      </c>
      <c r="G96" s="6">
        <f t="shared" si="43"/>
        <v>39.33652482269504</v>
      </c>
      <c r="H96" s="6">
        <f>H91+H94</f>
        <v>38.8702946521034</v>
      </c>
      <c r="I96" s="6">
        <f aca="true" t="shared" si="44" ref="I96:T96">I91+I94+I95</f>
        <v>41.25214189590427</v>
      </c>
      <c r="J96" s="6">
        <f t="shared" si="44"/>
        <v>40.57020121709121</v>
      </c>
      <c r="K96" s="6">
        <f t="shared" si="44"/>
        <v>40.91812883948343</v>
      </c>
      <c r="L96" s="6">
        <f t="shared" si="44"/>
        <v>41.19586740056138</v>
      </c>
      <c r="M96" s="6">
        <f t="shared" si="44"/>
        <v>41.34740552669302</v>
      </c>
      <c r="N96" s="6">
        <f t="shared" si="44"/>
        <v>41.46498110047019</v>
      </c>
      <c r="O96" s="6">
        <f t="shared" si="44"/>
        <v>41.58654412849473</v>
      </c>
      <c r="P96" s="6">
        <f t="shared" si="44"/>
        <v>41.73396780298334</v>
      </c>
      <c r="Q96" s="6">
        <f t="shared" si="44"/>
        <v>42.02383022077083</v>
      </c>
      <c r="R96" s="6">
        <f t="shared" si="44"/>
        <v>42.30752924790963</v>
      </c>
      <c r="S96" s="6">
        <f t="shared" si="44"/>
        <v>43.0432610174969</v>
      </c>
      <c r="T96" s="27">
        <f t="shared" si="44"/>
        <v>43.21093557660504</v>
      </c>
    </row>
    <row r="97" spans="2:20" ht="15">
      <c r="B97" s="13"/>
      <c r="T97" s="15"/>
    </row>
    <row r="98" spans="1:20" ht="15">
      <c r="A98" s="2" t="s">
        <v>108</v>
      </c>
      <c r="B98" s="26">
        <f aca="true" t="shared" si="45" ref="B98:T98">(B96-B95)*$V$75+B95</f>
        <v>63.65012077978341</v>
      </c>
      <c r="C98" s="6">
        <f t="shared" si="45"/>
        <v>68.17747415533981</v>
      </c>
      <c r="D98" s="6">
        <f t="shared" si="45"/>
        <v>65.36993637176471</v>
      </c>
      <c r="E98" s="6">
        <f t="shared" si="45"/>
        <v>60.247296629418464</v>
      </c>
      <c r="F98" s="6">
        <f t="shared" si="45"/>
        <v>61.58977379185521</v>
      </c>
      <c r="G98" s="6">
        <f t="shared" si="45"/>
        <v>66.08536170212767</v>
      </c>
      <c r="H98" s="6">
        <f t="shared" si="45"/>
        <v>65.42720927959954</v>
      </c>
      <c r="I98" s="6">
        <f t="shared" si="45"/>
        <v>69.55382691325086</v>
      </c>
      <c r="J98" s="6">
        <f t="shared" si="45"/>
        <v>68.53328083691075</v>
      </c>
      <c r="K98" s="6">
        <f t="shared" si="45"/>
        <v>69.24291350659549</v>
      </c>
      <c r="L98" s="6">
        <f t="shared" si="45"/>
        <v>69.8346285532723</v>
      </c>
      <c r="M98" s="6">
        <f t="shared" si="45"/>
        <v>70.2153228630286</v>
      </c>
      <c r="N98" s="6">
        <f t="shared" si="45"/>
        <v>70.53896008482941</v>
      </c>
      <c r="O98" s="6">
        <f t="shared" si="45"/>
        <v>70.86929622976581</v>
      </c>
      <c r="P98" s="6">
        <f t="shared" si="45"/>
        <v>71.24307826076182</v>
      </c>
      <c r="Q98" s="6">
        <f t="shared" si="45"/>
        <v>72.36059841192062</v>
      </c>
      <c r="R98" s="6">
        <f t="shared" si="45"/>
        <v>73.46776406678963</v>
      </c>
      <c r="S98" s="6">
        <f t="shared" si="45"/>
        <v>74.70379343969626</v>
      </c>
      <c r="T98" s="27">
        <f t="shared" si="45"/>
        <v>74.98548669899792</v>
      </c>
    </row>
    <row r="99" spans="2:20" ht="15">
      <c r="B99" s="13"/>
      <c r="T99" s="15"/>
    </row>
    <row r="100" spans="1:20" ht="15">
      <c r="A100" s="2" t="s">
        <v>118</v>
      </c>
      <c r="B100" s="20">
        <v>57.47</v>
      </c>
      <c r="C100" s="4">
        <v>54.89</v>
      </c>
      <c r="D100" s="4">
        <v>63.91</v>
      </c>
      <c r="E100" s="4">
        <v>47.72</v>
      </c>
      <c r="F100" s="4">
        <v>58.52</v>
      </c>
      <c r="G100" s="4">
        <v>56.42</v>
      </c>
      <c r="H100" s="4">
        <v>47.22</v>
      </c>
      <c r="I100" s="4">
        <v>59.49</v>
      </c>
      <c r="T100" s="15"/>
    </row>
    <row r="101" spans="2:20" ht="15">
      <c r="B101" s="13"/>
      <c r="T101" s="15"/>
    </row>
    <row r="102" spans="1:20" ht="15">
      <c r="A102" s="2" t="s">
        <v>110</v>
      </c>
      <c r="B102" s="2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f aca="true" t="shared" si="46" ref="J102:T102">-J253</f>
        <v>-0.00672</v>
      </c>
      <c r="K102" s="6">
        <f t="shared" si="46"/>
        <v>-1.378829392205564</v>
      </c>
      <c r="L102" s="6">
        <f t="shared" si="46"/>
        <v>-1.5826985302456311</v>
      </c>
      <c r="M102" s="6">
        <f t="shared" si="46"/>
        <v>-1.914616109621942</v>
      </c>
      <c r="N102" s="6">
        <f t="shared" si="46"/>
        <v>-2.2661438881910883</v>
      </c>
      <c r="O102" s="6">
        <f t="shared" si="46"/>
        <v>-2.6076496174163566</v>
      </c>
      <c r="P102" s="6">
        <f t="shared" si="46"/>
        <v>-2.727683171005123</v>
      </c>
      <c r="Q102" s="6">
        <f t="shared" si="46"/>
        <v>-2.7904992525590315</v>
      </c>
      <c r="R102" s="6">
        <f t="shared" si="46"/>
        <v>-2.8293575613415167</v>
      </c>
      <c r="S102" s="6">
        <f t="shared" si="46"/>
        <v>-2.8529659482490795</v>
      </c>
      <c r="T102" s="27">
        <f t="shared" si="46"/>
        <v>-2.8583463409813383</v>
      </c>
    </row>
    <row r="103" spans="1:20" ht="15">
      <c r="A103" s="2" t="s">
        <v>106</v>
      </c>
      <c r="B103" s="26">
        <f aca="true" t="shared" si="47" ref="B103:T103">B96+B102</f>
        <v>37.88697665463298</v>
      </c>
      <c r="C103" s="6">
        <f t="shared" si="47"/>
        <v>40.581829854368934</v>
      </c>
      <c r="D103" s="6">
        <f t="shared" si="47"/>
        <v>38.91067641176471</v>
      </c>
      <c r="E103" s="6">
        <f t="shared" si="47"/>
        <v>35.861486088939564</v>
      </c>
      <c r="F103" s="6">
        <f t="shared" si="47"/>
        <v>36.660579638009054</v>
      </c>
      <c r="G103" s="6">
        <f t="shared" si="47"/>
        <v>39.33652482269504</v>
      </c>
      <c r="H103" s="6">
        <f t="shared" si="47"/>
        <v>38.8702946521034</v>
      </c>
      <c r="I103" s="6">
        <f t="shared" si="47"/>
        <v>41.25214189590427</v>
      </c>
      <c r="J103" s="6">
        <f t="shared" si="47"/>
        <v>40.56348121709121</v>
      </c>
      <c r="K103" s="6">
        <f t="shared" si="47"/>
        <v>39.53929944727786</v>
      </c>
      <c r="L103" s="6">
        <f t="shared" si="47"/>
        <v>39.613168870315754</v>
      </c>
      <c r="M103" s="6">
        <f t="shared" si="47"/>
        <v>39.43278941707108</v>
      </c>
      <c r="N103" s="6">
        <f t="shared" si="47"/>
        <v>39.1988372122791</v>
      </c>
      <c r="O103" s="6">
        <f t="shared" si="47"/>
        <v>38.97889451107837</v>
      </c>
      <c r="P103" s="6">
        <f t="shared" si="47"/>
        <v>39.00628463197821</v>
      </c>
      <c r="Q103" s="6">
        <f t="shared" si="47"/>
        <v>39.2333309682118</v>
      </c>
      <c r="R103" s="6">
        <f t="shared" si="47"/>
        <v>39.47817168656811</v>
      </c>
      <c r="S103" s="6">
        <f t="shared" si="47"/>
        <v>40.190295069247824</v>
      </c>
      <c r="T103" s="27">
        <f t="shared" si="47"/>
        <v>40.3525892356237</v>
      </c>
    </row>
    <row r="104" spans="2:20" ht="15">
      <c r="B104" s="2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27"/>
    </row>
    <row r="105" spans="1:22" ht="15">
      <c r="A105" s="2" t="s">
        <v>119</v>
      </c>
      <c r="B105" s="22">
        <f aca="true" t="shared" si="48" ref="B105:T105">B103*$V105</f>
        <v>44.780815152756695</v>
      </c>
      <c r="C105" s="11">
        <f t="shared" si="48"/>
        <v>47.9660184510102</v>
      </c>
      <c r="D105" s="11">
        <f t="shared" si="48"/>
        <v>45.9907852702966</v>
      </c>
      <c r="E105" s="11">
        <f t="shared" si="48"/>
        <v>42.386770374710835</v>
      </c>
      <c r="F105" s="11">
        <f t="shared" si="48"/>
        <v>43.331265387781905</v>
      </c>
      <c r="G105" s="11">
        <f t="shared" si="48"/>
        <v>46.49412020638299</v>
      </c>
      <c r="H105" s="11">
        <f t="shared" si="48"/>
        <v>45.943055726410826</v>
      </c>
      <c r="I105" s="11">
        <f t="shared" si="48"/>
        <v>48.75829913099923</v>
      </c>
      <c r="J105" s="11">
        <f t="shared" si="48"/>
        <v>47.944331132390694</v>
      </c>
      <c r="K105" s="11">
        <f t="shared" si="48"/>
        <v>46.73379129610565</v>
      </c>
      <c r="L105" s="11">
        <f t="shared" si="48"/>
        <v>46.82110185162067</v>
      </c>
      <c r="M105" s="11">
        <f t="shared" si="48"/>
        <v>46.6079009138225</v>
      </c>
      <c r="N105" s="11">
        <f t="shared" si="48"/>
        <v>46.33137923375099</v>
      </c>
      <c r="O105" s="11">
        <f t="shared" si="48"/>
        <v>46.07141619852517</v>
      </c>
      <c r="P105" s="11">
        <f t="shared" si="48"/>
        <v>46.103790171043705</v>
      </c>
      <c r="Q105" s="11">
        <f t="shared" si="48"/>
        <v>46.372149404525686</v>
      </c>
      <c r="R105" s="11">
        <f t="shared" si="48"/>
        <v>46.661540850312676</v>
      </c>
      <c r="S105" s="11">
        <f t="shared" si="48"/>
        <v>47.503240779458025</v>
      </c>
      <c r="T105" s="23">
        <f t="shared" si="48"/>
        <v>47.695065667759316</v>
      </c>
      <c r="V105" s="9">
        <v>1.181958</v>
      </c>
    </row>
    <row r="106" spans="2:20" ht="15">
      <c r="B106" s="13"/>
      <c r="T106" s="15"/>
    </row>
    <row r="107" spans="1:20" ht="15">
      <c r="A107" s="2" t="s">
        <v>111</v>
      </c>
      <c r="B107" s="26">
        <f aca="true" t="shared" si="49" ref="B107:I107">(+B103-B102-B95)*$V$75+B102+B95</f>
        <v>63.65012077978341</v>
      </c>
      <c r="C107" s="6">
        <f t="shared" si="49"/>
        <v>68.17747415533981</v>
      </c>
      <c r="D107" s="6">
        <f t="shared" si="49"/>
        <v>65.36993637176471</v>
      </c>
      <c r="E107" s="6">
        <f t="shared" si="49"/>
        <v>60.247296629418464</v>
      </c>
      <c r="F107" s="6">
        <f t="shared" si="49"/>
        <v>61.58977379185521</v>
      </c>
      <c r="G107" s="6">
        <f t="shared" si="49"/>
        <v>66.08536170212767</v>
      </c>
      <c r="H107" s="6">
        <f t="shared" si="49"/>
        <v>65.42720927959954</v>
      </c>
      <c r="I107" s="6">
        <f t="shared" si="49"/>
        <v>69.55382691325086</v>
      </c>
      <c r="J107" s="6">
        <f aca="true" t="shared" si="50" ref="J107:T107">(+J103-J102-J95-(J221+J249))*$V$75+J102+J95+(J221+J249)</f>
        <v>68.52656083691075</v>
      </c>
      <c r="K107" s="6">
        <f t="shared" si="50"/>
        <v>67.86279211438993</v>
      </c>
      <c r="L107" s="6">
        <f t="shared" si="50"/>
        <v>68.22171966302666</v>
      </c>
      <c r="M107" s="6">
        <f t="shared" si="50"/>
        <v>68.24312367340666</v>
      </c>
      <c r="N107" s="6">
        <f t="shared" si="50"/>
        <v>68.18140039663831</v>
      </c>
      <c r="O107" s="6">
        <f t="shared" si="50"/>
        <v>68.16869809234946</v>
      </c>
      <c r="P107" s="6">
        <f t="shared" si="50"/>
        <v>68.4224465697567</v>
      </c>
      <c r="Q107" s="6">
        <f t="shared" si="50"/>
        <v>69.47715063936162</v>
      </c>
      <c r="R107" s="6">
        <f t="shared" si="50"/>
        <v>70.54545798544812</v>
      </c>
      <c r="S107" s="6">
        <f t="shared" si="50"/>
        <v>71.75787897144718</v>
      </c>
      <c r="T107" s="27">
        <f t="shared" si="50"/>
        <v>72.03419183801658</v>
      </c>
    </row>
    <row r="108" spans="2:20" ht="15">
      <c r="B108" s="13"/>
      <c r="T108" s="15"/>
    </row>
    <row r="109" spans="1:20" ht="15">
      <c r="A109" s="2" t="s">
        <v>112</v>
      </c>
      <c r="B109" s="20">
        <v>1.6</v>
      </c>
      <c r="C109" s="4">
        <v>1.6</v>
      </c>
      <c r="D109" s="4">
        <v>1.6</v>
      </c>
      <c r="E109" s="4">
        <v>1.6</v>
      </c>
      <c r="F109" s="4">
        <v>1.6</v>
      </c>
      <c r="G109" s="4">
        <v>1.6</v>
      </c>
      <c r="H109" s="4">
        <v>1.6</v>
      </c>
      <c r="I109" s="4">
        <v>1.6</v>
      </c>
      <c r="J109" s="4">
        <v>1.6</v>
      </c>
      <c r="K109" s="4">
        <v>1.6</v>
      </c>
      <c r="L109" s="4">
        <v>1.6</v>
      </c>
      <c r="M109" s="4">
        <v>1.6</v>
      </c>
      <c r="N109" s="4">
        <v>1.6</v>
      </c>
      <c r="O109" s="4">
        <v>1.6</v>
      </c>
      <c r="P109" s="4">
        <v>1.6</v>
      </c>
      <c r="Q109" s="4">
        <v>1.6</v>
      </c>
      <c r="R109" s="4">
        <v>1.6</v>
      </c>
      <c r="S109" s="4">
        <v>1.6</v>
      </c>
      <c r="T109" s="21">
        <v>1.6</v>
      </c>
    </row>
    <row r="110" spans="1:20" ht="15">
      <c r="A110" s="2" t="s">
        <v>113</v>
      </c>
      <c r="B110" s="20">
        <f aca="true" t="shared" si="51" ref="B110:I110">B109+B100</f>
        <v>59.07</v>
      </c>
      <c r="C110" s="4">
        <f t="shared" si="51"/>
        <v>56.49</v>
      </c>
      <c r="D110" s="4">
        <f t="shared" si="51"/>
        <v>65.50999999999999</v>
      </c>
      <c r="E110" s="4">
        <f t="shared" si="51"/>
        <v>49.32</v>
      </c>
      <c r="F110" s="4">
        <f t="shared" si="51"/>
        <v>60.120000000000005</v>
      </c>
      <c r="G110" s="4">
        <f t="shared" si="51"/>
        <v>58.02</v>
      </c>
      <c r="H110" s="4">
        <f t="shared" si="51"/>
        <v>48.82</v>
      </c>
      <c r="I110" s="4">
        <f t="shared" si="51"/>
        <v>61.09</v>
      </c>
      <c r="J110" s="6">
        <f aca="true" t="shared" si="52" ref="J110:T110">J109+J107</f>
        <v>70.12656083691074</v>
      </c>
      <c r="K110" s="6">
        <f t="shared" si="52"/>
        <v>69.46279211438993</v>
      </c>
      <c r="L110" s="6">
        <f t="shared" si="52"/>
        <v>69.82171966302666</v>
      </c>
      <c r="M110" s="6">
        <f t="shared" si="52"/>
        <v>69.84312367340665</v>
      </c>
      <c r="N110" s="6">
        <f t="shared" si="52"/>
        <v>69.7814003966383</v>
      </c>
      <c r="O110" s="6">
        <f t="shared" si="52"/>
        <v>69.76869809234945</v>
      </c>
      <c r="P110" s="6">
        <f t="shared" si="52"/>
        <v>70.0224465697567</v>
      </c>
      <c r="Q110" s="6">
        <f t="shared" si="52"/>
        <v>71.07715063936162</v>
      </c>
      <c r="R110" s="6">
        <f t="shared" si="52"/>
        <v>72.14545798544812</v>
      </c>
      <c r="S110" s="6">
        <f t="shared" si="52"/>
        <v>73.35787897144718</v>
      </c>
      <c r="T110" s="27">
        <f t="shared" si="52"/>
        <v>73.63419183801658</v>
      </c>
    </row>
    <row r="113" ht="15">
      <c r="A113" s="2" t="s">
        <v>120</v>
      </c>
    </row>
    <row r="114" spans="1:20" ht="15">
      <c r="A114" s="18" t="s">
        <v>121</v>
      </c>
      <c r="B114" s="19" t="s">
        <v>28</v>
      </c>
      <c r="C114" s="19" t="s">
        <v>29</v>
      </c>
      <c r="D114" s="19" t="s">
        <v>30</v>
      </c>
      <c r="E114" s="19" t="s">
        <v>31</v>
      </c>
      <c r="F114" s="19" t="s">
        <v>32</v>
      </c>
      <c r="G114" s="19" t="s">
        <v>33</v>
      </c>
      <c r="H114" s="19" t="s">
        <v>34</v>
      </c>
      <c r="I114" s="19" t="s">
        <v>35</v>
      </c>
      <c r="J114" s="19" t="s">
        <v>36</v>
      </c>
      <c r="K114" s="19" t="s">
        <v>37</v>
      </c>
      <c r="L114" s="19" t="s">
        <v>38</v>
      </c>
      <c r="M114" s="19" t="s">
        <v>39</v>
      </c>
      <c r="N114" s="19" t="s">
        <v>40</v>
      </c>
      <c r="O114" s="19" t="s">
        <v>41</v>
      </c>
      <c r="P114" s="19" t="s">
        <v>42</v>
      </c>
      <c r="Q114" s="19" t="s">
        <v>43</v>
      </c>
      <c r="R114" s="19" t="s">
        <v>44</v>
      </c>
      <c r="S114" s="19" t="s">
        <v>45</v>
      </c>
      <c r="T114" s="19" t="s">
        <v>46</v>
      </c>
    </row>
    <row r="115" spans="2:20" ht="15">
      <c r="B115" s="13"/>
      <c r="T115" s="15"/>
    </row>
    <row r="116" spans="1:20" ht="15">
      <c r="A116" s="2" t="s">
        <v>122</v>
      </c>
      <c r="B116" s="13"/>
      <c r="T116" s="15"/>
    </row>
    <row r="117" spans="1:20" ht="15">
      <c r="A117" s="2" t="s">
        <v>123</v>
      </c>
      <c r="B117" s="20">
        <v>18884</v>
      </c>
      <c r="C117" s="4">
        <v>19076</v>
      </c>
      <c r="D117" s="4">
        <v>19900</v>
      </c>
      <c r="E117" s="4">
        <v>19928</v>
      </c>
      <c r="F117" s="4">
        <v>19955</v>
      </c>
      <c r="G117" s="4">
        <v>20270</v>
      </c>
      <c r="H117" s="4">
        <v>20585</v>
      </c>
      <c r="I117" s="4">
        <v>20900</v>
      </c>
      <c r="J117" s="4">
        <v>21215</v>
      </c>
      <c r="K117" s="4">
        <v>21531</v>
      </c>
      <c r="L117" s="4">
        <v>21828</v>
      </c>
      <c r="M117" s="4">
        <v>22125</v>
      </c>
      <c r="N117" s="4">
        <v>22422</v>
      </c>
      <c r="O117" s="4">
        <v>22719</v>
      </c>
      <c r="P117" s="4">
        <v>23016</v>
      </c>
      <c r="Q117" s="4">
        <v>24129</v>
      </c>
      <c r="R117" s="4">
        <v>25243</v>
      </c>
      <c r="S117" s="4">
        <f>(+R117+T117)/2</f>
        <v>25868</v>
      </c>
      <c r="T117" s="21">
        <v>26493</v>
      </c>
    </row>
    <row r="118" spans="1:20" ht="15">
      <c r="A118" s="2" t="s">
        <v>124</v>
      </c>
      <c r="B118" s="22">
        <v>138</v>
      </c>
      <c r="C118" s="11">
        <v>137</v>
      </c>
      <c r="D118" s="11">
        <v>142</v>
      </c>
      <c r="E118" s="11">
        <v>139</v>
      </c>
      <c r="F118" s="11">
        <v>141</v>
      </c>
      <c r="G118" s="11">
        <v>142</v>
      </c>
      <c r="H118" s="11">
        <v>145</v>
      </c>
      <c r="I118" s="11">
        <f>H118*I117/H117</f>
        <v>147.21884867622055</v>
      </c>
      <c r="J118" s="11">
        <f>I118*J117/I117</f>
        <v>149.4376973524411</v>
      </c>
      <c r="K118" s="11">
        <f aca="true" t="shared" si="53" ref="K118:P118">F118*K117/F117</f>
        <v>152.13585567526937</v>
      </c>
      <c r="L118" s="11">
        <f t="shared" si="53"/>
        <v>152.91445485939812</v>
      </c>
      <c r="M118" s="11">
        <f t="shared" si="53"/>
        <v>155.84770463930047</v>
      </c>
      <c r="N118" s="11">
        <f t="shared" si="53"/>
        <v>157.9397619625941</v>
      </c>
      <c r="O118" s="11">
        <f t="shared" si="53"/>
        <v>160.0318192858878</v>
      </c>
      <c r="P118" s="11">
        <f t="shared" si="53"/>
        <v>162.62871460786772</v>
      </c>
      <c r="Q118" s="11">
        <f>P118*Q117/P117</f>
        <v>170.49305938361314</v>
      </c>
      <c r="R118" s="11">
        <f>Q118*R117/Q117</f>
        <v>178.36447005762966</v>
      </c>
      <c r="S118" s="11">
        <f>R118*S117/R117</f>
        <v>182.78065647707342</v>
      </c>
      <c r="T118" s="23">
        <f>R118*T117/R117</f>
        <v>187.19684289651715</v>
      </c>
    </row>
    <row r="119" spans="1:20" ht="15">
      <c r="A119" s="2" t="s">
        <v>125</v>
      </c>
      <c r="B119" s="26">
        <f aca="true" t="shared" si="54" ref="B119:T119">B22</f>
        <v>85.55167491950623</v>
      </c>
      <c r="C119" s="6">
        <f t="shared" si="54"/>
        <v>89.11282486935316</v>
      </c>
      <c r="D119" s="6">
        <f t="shared" si="54"/>
        <v>85.17398098669169</v>
      </c>
      <c r="E119" s="6">
        <f t="shared" si="54"/>
        <v>76.10277714508538</v>
      </c>
      <c r="F119" s="6">
        <f t="shared" si="54"/>
        <v>79.48640851422805</v>
      </c>
      <c r="G119" s="6">
        <f t="shared" si="54"/>
        <v>82.8781517958886</v>
      </c>
      <c r="H119" s="6">
        <f t="shared" si="54"/>
        <v>81.85265427154465</v>
      </c>
      <c r="I119" s="6">
        <f t="shared" si="54"/>
        <v>79.31773015667288</v>
      </c>
      <c r="J119" s="6">
        <f t="shared" si="54"/>
        <v>78.69386680038805</v>
      </c>
      <c r="K119" s="6">
        <f t="shared" si="54"/>
        <v>78.48737409390382</v>
      </c>
      <c r="L119" s="6">
        <f t="shared" si="54"/>
        <v>78.48737409390382</v>
      </c>
      <c r="M119" s="6">
        <f t="shared" si="54"/>
        <v>78.48737409390382</v>
      </c>
      <c r="N119" s="6">
        <f t="shared" si="54"/>
        <v>78.48737409390382</v>
      </c>
      <c r="O119" s="6">
        <f t="shared" si="54"/>
        <v>78.48737409390382</v>
      </c>
      <c r="P119" s="6">
        <f t="shared" si="54"/>
        <v>78.48737409390382</v>
      </c>
      <c r="Q119" s="6">
        <f t="shared" si="54"/>
        <v>78.48737409390382</v>
      </c>
      <c r="R119" s="6">
        <f t="shared" si="54"/>
        <v>78.48737409390382</v>
      </c>
      <c r="S119" s="6">
        <f t="shared" si="54"/>
        <v>78.48737409390382</v>
      </c>
      <c r="T119" s="27">
        <f t="shared" si="54"/>
        <v>78.48737409390382</v>
      </c>
    </row>
    <row r="120" spans="1:20" ht="15">
      <c r="A120" s="2" t="s">
        <v>126</v>
      </c>
      <c r="B120" s="26">
        <v>2.8</v>
      </c>
      <c r="C120" s="6">
        <v>2.8</v>
      </c>
      <c r="D120" s="6">
        <v>2.81</v>
      </c>
      <c r="E120" s="6">
        <f>(+F120+D120)/2</f>
        <v>2.785</v>
      </c>
      <c r="F120" s="6">
        <v>2.76</v>
      </c>
      <c r="G120" s="6">
        <f>(((+F120-K120)/5)*4)+K120</f>
        <v>2.738</v>
      </c>
      <c r="H120" s="6">
        <f>(((+F120-K120)/5)*3)+K120</f>
        <v>2.7159999999999997</v>
      </c>
      <c r="I120" s="6">
        <f>(((+F120-K120)/5)*2)+K120</f>
        <v>2.694</v>
      </c>
      <c r="J120" s="6">
        <f>(((+F120-K120)/5))+K120</f>
        <v>2.6719999999999997</v>
      </c>
      <c r="K120" s="6">
        <v>2.65</v>
      </c>
      <c r="L120" s="6">
        <f>(((+K120-P120)/5)*4)+P120</f>
        <v>2.632</v>
      </c>
      <c r="M120" s="6">
        <f>(((+K120-P120)/5)*3)+P120</f>
        <v>2.614</v>
      </c>
      <c r="N120" s="6">
        <f>(((+K120-P120)/5)*2)+P120</f>
        <v>2.596</v>
      </c>
      <c r="O120" s="6">
        <f>(((+K120-P120)/5))+P120</f>
        <v>2.578</v>
      </c>
      <c r="P120" s="6">
        <v>2.56</v>
      </c>
      <c r="Q120" s="6">
        <f>(+P120+R120)/2</f>
        <v>2.495</v>
      </c>
      <c r="R120" s="6">
        <v>2.43</v>
      </c>
      <c r="S120" s="6">
        <f>(+R120+T120)/2</f>
        <v>2.38</v>
      </c>
      <c r="T120" s="27">
        <v>2.33</v>
      </c>
    </row>
    <row r="121" spans="1:20" ht="15">
      <c r="A121" s="2" t="s">
        <v>26</v>
      </c>
      <c r="B121" s="13"/>
      <c r="F121" s="2" t="s">
        <v>26</v>
      </c>
      <c r="G121" s="2" t="s">
        <v>26</v>
      </c>
      <c r="H121" s="2" t="s">
        <v>26</v>
      </c>
      <c r="I121" s="2" t="s">
        <v>26</v>
      </c>
      <c r="J121" s="2" t="s">
        <v>26</v>
      </c>
      <c r="K121" s="2" t="s">
        <v>26</v>
      </c>
      <c r="L121" s="2" t="s">
        <v>26</v>
      </c>
      <c r="M121" s="2" t="s">
        <v>26</v>
      </c>
      <c r="N121" s="2" t="s">
        <v>26</v>
      </c>
      <c r="O121" s="2" t="s">
        <v>26</v>
      </c>
      <c r="P121" s="2" t="s">
        <v>26</v>
      </c>
      <c r="Q121" s="2" t="s">
        <v>26</v>
      </c>
      <c r="R121" s="2" t="s">
        <v>26</v>
      </c>
      <c r="S121" s="2" t="s">
        <v>26</v>
      </c>
      <c r="T121" s="34" t="s">
        <v>26</v>
      </c>
    </row>
    <row r="122" spans="1:20" ht="15">
      <c r="A122" s="18" t="s">
        <v>127</v>
      </c>
      <c r="B122" s="35">
        <f aca="true" t="shared" si="55" ref="B122:T122">B118*B119*B120/1000000</f>
        <v>0.0330571671888972</v>
      </c>
      <c r="C122" s="36">
        <f t="shared" si="55"/>
        <v>0.03418367961988387</v>
      </c>
      <c r="D122" s="36">
        <f t="shared" si="55"/>
        <v>0.03398612189330972</v>
      </c>
      <c r="E122" s="36">
        <f t="shared" si="55"/>
        <v>0.029460526574519728</v>
      </c>
      <c r="F122" s="36">
        <f t="shared" si="55"/>
        <v>0.03093293073739698</v>
      </c>
      <c r="G122" s="36">
        <f t="shared" si="55"/>
        <v>0.0322226939056343</v>
      </c>
      <c r="H122" s="36">
        <f t="shared" si="55"/>
        <v>0.03223521230521971</v>
      </c>
      <c r="I122" s="36">
        <f t="shared" si="55"/>
        <v>0.031458012876366945</v>
      </c>
      <c r="J122" s="36">
        <f t="shared" si="55"/>
        <v>0.031422266429094715</v>
      </c>
      <c r="K122" s="36">
        <f t="shared" si="55"/>
        <v>0.03164297111632472</v>
      </c>
      <c r="L122" s="36">
        <f t="shared" si="55"/>
        <v>0.031588879788312145</v>
      </c>
      <c r="M122" s="36">
        <f t="shared" si="55"/>
        <v>0.03197464952816243</v>
      </c>
      <c r="N122" s="36">
        <f t="shared" si="55"/>
        <v>0.0321807355630708</v>
      </c>
      <c r="O122" s="36">
        <f t="shared" si="55"/>
        <v>0.03238091039489184</v>
      </c>
      <c r="P122" s="36">
        <f t="shared" si="55"/>
        <v>0.0326766099503064</v>
      </c>
      <c r="Q122" s="36">
        <f t="shared" si="55"/>
        <v>0.033386973567978234</v>
      </c>
      <c r="R122" s="36">
        <f t="shared" si="55"/>
        <v>0.03401844209413204</v>
      </c>
      <c r="S122" s="36">
        <f t="shared" si="55"/>
        <v>0.034143417553668017</v>
      </c>
      <c r="T122" s="37">
        <f t="shared" si="55"/>
        <v>0.03423373152564688</v>
      </c>
    </row>
    <row r="123" spans="2:20" ht="15">
      <c r="B123" s="13"/>
      <c r="T123" s="15"/>
    </row>
    <row r="124" spans="1:20" ht="15">
      <c r="A124" s="2" t="s">
        <v>128</v>
      </c>
      <c r="B124" s="13"/>
      <c r="T124" s="15"/>
    </row>
    <row r="125" spans="1:20" ht="15">
      <c r="A125" s="2" t="s">
        <v>123</v>
      </c>
      <c r="B125" s="20">
        <v>22689</v>
      </c>
      <c r="C125" s="4">
        <v>23501</v>
      </c>
      <c r="D125" s="4">
        <v>22760</v>
      </c>
      <c r="E125" s="11">
        <f>(+D125+F125)/2</f>
        <v>23313.5</v>
      </c>
      <c r="F125" s="4">
        <v>23867</v>
      </c>
      <c r="G125" s="4">
        <v>24135</v>
      </c>
      <c r="H125" s="4">
        <v>24403</v>
      </c>
      <c r="I125" s="4">
        <v>24671</v>
      </c>
      <c r="J125" s="4">
        <v>24939</v>
      </c>
      <c r="K125" s="4">
        <v>25208</v>
      </c>
      <c r="L125" s="4">
        <v>25458</v>
      </c>
      <c r="M125" s="4">
        <v>25708</v>
      </c>
      <c r="N125" s="4">
        <v>25958</v>
      </c>
      <c r="O125" s="4">
        <v>26208</v>
      </c>
      <c r="P125" s="4">
        <v>26460</v>
      </c>
      <c r="Q125" s="4">
        <v>27432</v>
      </c>
      <c r="R125" s="4">
        <v>28405</v>
      </c>
      <c r="S125" s="4">
        <f>(+R125+T125)/2</f>
        <v>29033.5</v>
      </c>
      <c r="T125" s="21">
        <v>29662</v>
      </c>
    </row>
    <row r="126" spans="1:20" ht="15">
      <c r="A126" s="2" t="s">
        <v>124</v>
      </c>
      <c r="B126" s="22">
        <v>1055</v>
      </c>
      <c r="C126" s="11">
        <v>1149</v>
      </c>
      <c r="D126" s="11">
        <v>1287</v>
      </c>
      <c r="E126" s="11">
        <v>1373</v>
      </c>
      <c r="F126" s="11">
        <v>1446</v>
      </c>
      <c r="G126" s="11">
        <v>1507</v>
      </c>
      <c r="H126" s="11">
        <v>1571</v>
      </c>
      <c r="I126" s="11">
        <f>H126*1.04</f>
        <v>1633.8400000000001</v>
      </c>
      <c r="J126" s="11">
        <f>I126*1.04</f>
        <v>1699.1936000000003</v>
      </c>
      <c r="K126" s="11">
        <f aca="true" t="shared" si="56" ref="K126:T126">J126*K125/J125</f>
        <v>1717.5216435622922</v>
      </c>
      <c r="L126" s="11">
        <f t="shared" si="56"/>
        <v>1734.5551412967643</v>
      </c>
      <c r="M126" s="11">
        <f t="shared" si="56"/>
        <v>1751.5886390312364</v>
      </c>
      <c r="N126" s="11">
        <f t="shared" si="56"/>
        <v>1768.6221367657083</v>
      </c>
      <c r="O126" s="11">
        <f t="shared" si="56"/>
        <v>1785.6556345001804</v>
      </c>
      <c r="P126" s="11">
        <f t="shared" si="56"/>
        <v>1802.8254002165284</v>
      </c>
      <c r="Q126" s="11">
        <f t="shared" si="56"/>
        <v>1869.0516394081558</v>
      </c>
      <c r="R126" s="11">
        <f t="shared" si="56"/>
        <v>1935.346012590721</v>
      </c>
      <c r="S126" s="11">
        <f t="shared" si="56"/>
        <v>1978.168225895184</v>
      </c>
      <c r="T126" s="23">
        <f t="shared" si="56"/>
        <v>2020.9904391996467</v>
      </c>
    </row>
    <row r="127" spans="1:20" ht="15">
      <c r="A127" s="2" t="s">
        <v>125</v>
      </c>
      <c r="B127" s="26">
        <f aca="true" t="shared" si="57" ref="B127:T127">B22</f>
        <v>85.55167491950623</v>
      </c>
      <c r="C127" s="6">
        <f t="shared" si="57"/>
        <v>89.11282486935316</v>
      </c>
      <c r="D127" s="6">
        <f t="shared" si="57"/>
        <v>85.17398098669169</v>
      </c>
      <c r="E127" s="6">
        <f t="shared" si="57"/>
        <v>76.10277714508538</v>
      </c>
      <c r="F127" s="6">
        <f t="shared" si="57"/>
        <v>79.48640851422805</v>
      </c>
      <c r="G127" s="6">
        <f t="shared" si="57"/>
        <v>82.8781517958886</v>
      </c>
      <c r="H127" s="6">
        <f t="shared" si="57"/>
        <v>81.85265427154465</v>
      </c>
      <c r="I127" s="6">
        <f t="shared" si="57"/>
        <v>79.31773015667288</v>
      </c>
      <c r="J127" s="6">
        <f t="shared" si="57"/>
        <v>78.69386680038805</v>
      </c>
      <c r="K127" s="6">
        <f t="shared" si="57"/>
        <v>78.48737409390382</v>
      </c>
      <c r="L127" s="6">
        <f t="shared" si="57"/>
        <v>78.48737409390382</v>
      </c>
      <c r="M127" s="6">
        <f t="shared" si="57"/>
        <v>78.48737409390382</v>
      </c>
      <c r="N127" s="6">
        <f t="shared" si="57"/>
        <v>78.48737409390382</v>
      </c>
      <c r="O127" s="6">
        <f t="shared" si="57"/>
        <v>78.48737409390382</v>
      </c>
      <c r="P127" s="6">
        <f t="shared" si="57"/>
        <v>78.48737409390382</v>
      </c>
      <c r="Q127" s="6">
        <f t="shared" si="57"/>
        <v>78.48737409390382</v>
      </c>
      <c r="R127" s="6">
        <f t="shared" si="57"/>
        <v>78.48737409390382</v>
      </c>
      <c r="S127" s="6">
        <f t="shared" si="57"/>
        <v>78.48737409390382</v>
      </c>
      <c r="T127" s="27">
        <f t="shared" si="57"/>
        <v>78.48737409390382</v>
      </c>
    </row>
    <row r="128" spans="1:20" ht="15">
      <c r="A128" s="2" t="s">
        <v>126</v>
      </c>
      <c r="B128" s="26">
        <v>2.9</v>
      </c>
      <c r="C128" s="6">
        <v>2.9</v>
      </c>
      <c r="D128" s="6">
        <v>2.77</v>
      </c>
      <c r="E128" s="6">
        <f>(+F128+D128)/2</f>
        <v>2.755</v>
      </c>
      <c r="F128" s="6">
        <v>2.74</v>
      </c>
      <c r="G128" s="6">
        <f>(((+F128-K128)/5)*4)+K128</f>
        <v>2.728</v>
      </c>
      <c r="H128" s="6">
        <f>(((+F128-K128)/5)*3)+K128</f>
        <v>2.716</v>
      </c>
      <c r="I128" s="6">
        <f>(((+F128-K128)/5)*2)+K128</f>
        <v>2.704</v>
      </c>
      <c r="J128" s="6">
        <f>(((+F128-K128)/5))+K128</f>
        <v>2.692</v>
      </c>
      <c r="K128" s="6">
        <v>2.68</v>
      </c>
      <c r="L128" s="6">
        <f>(((+K128-P128)/5)*4)+P128</f>
        <v>2.664</v>
      </c>
      <c r="M128" s="6">
        <f>(((+K128-P128)/5)*3)+P128</f>
        <v>2.648</v>
      </c>
      <c r="N128" s="6">
        <f>(((+K128-P128)/5)*2)+P128</f>
        <v>2.632</v>
      </c>
      <c r="O128" s="6">
        <f>(((+K128-P128)/5))+P128</f>
        <v>2.616</v>
      </c>
      <c r="P128" s="6">
        <v>2.6</v>
      </c>
      <c r="Q128" s="6">
        <f>(+P128+R128)/2</f>
        <v>2.55</v>
      </c>
      <c r="R128" s="6">
        <v>2.5</v>
      </c>
      <c r="S128" s="6">
        <f>(+R128+T128)/2</f>
        <v>2.46</v>
      </c>
      <c r="T128" s="27">
        <v>2.42</v>
      </c>
    </row>
    <row r="129" spans="1:20" ht="15">
      <c r="A129" s="2" t="s">
        <v>26</v>
      </c>
      <c r="B129" s="13"/>
      <c r="T129" s="15"/>
    </row>
    <row r="130" spans="1:20" ht="15">
      <c r="A130" s="18" t="s">
        <v>129</v>
      </c>
      <c r="B130" s="35">
        <f aca="true" t="shared" si="58" ref="B130:T130">B126*B127*B128/1000000</f>
        <v>0.2617453494162293</v>
      </c>
      <c r="C130" s="36">
        <f t="shared" si="58"/>
        <v>0.2969328437471717</v>
      </c>
      <c r="D130" s="36">
        <f t="shared" si="58"/>
        <v>0.30364439047774605</v>
      </c>
      <c r="E130" s="36">
        <f t="shared" si="58"/>
        <v>0.2878675063706571</v>
      </c>
      <c r="F130" s="36">
        <f t="shared" si="58"/>
        <v>0.3149283299897121</v>
      </c>
      <c r="G130" s="36">
        <f t="shared" si="58"/>
        <v>0.34072003833547043</v>
      </c>
      <c r="H130" s="36">
        <f t="shared" si="58"/>
        <v>0.34925185194138053</v>
      </c>
      <c r="I130" s="36">
        <f t="shared" si="58"/>
        <v>0.3504180665667385</v>
      </c>
      <c r="J130" s="36">
        <f t="shared" si="58"/>
        <v>0.35996378111286226</v>
      </c>
      <c r="K130" s="36">
        <f t="shared" si="58"/>
        <v>0.3612740868571025</v>
      </c>
      <c r="L130" s="36">
        <f t="shared" si="58"/>
        <v>0.3626787668885384</v>
      </c>
      <c r="M130" s="36">
        <f t="shared" si="58"/>
        <v>0.36404066565569226</v>
      </c>
      <c r="N130" s="36">
        <f t="shared" si="58"/>
        <v>0.36535978315856404</v>
      </c>
      <c r="O130" s="36">
        <f t="shared" si="58"/>
        <v>0.3666361193971539</v>
      </c>
      <c r="P130" s="36">
        <f t="shared" si="58"/>
        <v>0.36789748219324503</v>
      </c>
      <c r="Q130" s="36">
        <f t="shared" si="58"/>
        <v>0.37407723581878294</v>
      </c>
      <c r="R130" s="36">
        <f t="shared" si="58"/>
        <v>0.3797505662283826</v>
      </c>
      <c r="S130" s="36">
        <f t="shared" si="58"/>
        <v>0.381942624733613</v>
      </c>
      <c r="T130" s="37">
        <f t="shared" si="58"/>
        <v>0.3838658029928309</v>
      </c>
    </row>
    <row r="131" spans="2:20" ht="15">
      <c r="B131" s="13"/>
      <c r="T131" s="15"/>
    </row>
    <row r="132" spans="1:20" ht="15">
      <c r="A132" s="2" t="s">
        <v>130</v>
      </c>
      <c r="B132" s="13"/>
      <c r="T132" s="15"/>
    </row>
    <row r="133" spans="1:20" ht="15">
      <c r="A133" s="2" t="s">
        <v>123</v>
      </c>
      <c r="B133" s="20">
        <v>19188</v>
      </c>
      <c r="C133" s="4">
        <v>19088</v>
      </c>
      <c r="D133" s="4">
        <v>18978</v>
      </c>
      <c r="E133" s="11">
        <v>19277</v>
      </c>
      <c r="F133" s="4">
        <v>19236</v>
      </c>
      <c r="G133" s="4">
        <v>19316</v>
      </c>
      <c r="H133" s="4">
        <v>19397</v>
      </c>
      <c r="I133" s="4">
        <v>19478</v>
      </c>
      <c r="J133" s="4">
        <v>19558</v>
      </c>
      <c r="K133" s="4">
        <v>19639</v>
      </c>
      <c r="L133" s="4">
        <v>19706</v>
      </c>
      <c r="M133" s="4">
        <v>19773</v>
      </c>
      <c r="N133" s="4">
        <v>19840</v>
      </c>
      <c r="O133" s="4">
        <v>19907</v>
      </c>
      <c r="P133" s="4">
        <v>19976</v>
      </c>
      <c r="Q133" s="4">
        <v>20238</v>
      </c>
      <c r="R133" s="4">
        <v>20500</v>
      </c>
      <c r="S133" s="4">
        <f>(+R133+T133)/2</f>
        <v>20700</v>
      </c>
      <c r="T133" s="21">
        <v>20900</v>
      </c>
    </row>
    <row r="134" spans="1:20" ht="15">
      <c r="A134" s="2" t="s">
        <v>124</v>
      </c>
      <c r="B134" s="22">
        <v>394</v>
      </c>
      <c r="C134" s="11">
        <v>391</v>
      </c>
      <c r="D134" s="11">
        <v>394</v>
      </c>
      <c r="E134" s="11">
        <v>407</v>
      </c>
      <c r="F134" s="11">
        <v>409</v>
      </c>
      <c r="G134" s="11">
        <v>419</v>
      </c>
      <c r="H134" s="11">
        <v>427</v>
      </c>
      <c r="I134" s="11">
        <f aca="true" t="shared" si="59" ref="I134:T134">H134*I133/H133</f>
        <v>428.7831107903284</v>
      </c>
      <c r="J134" s="11">
        <f t="shared" si="59"/>
        <v>430.54420786719595</v>
      </c>
      <c r="K134" s="11">
        <f t="shared" si="59"/>
        <v>432.32731865752436</v>
      </c>
      <c r="L134" s="11">
        <f t="shared" si="59"/>
        <v>433.802237459401</v>
      </c>
      <c r="M134" s="11">
        <f t="shared" si="59"/>
        <v>435.2771562612776</v>
      </c>
      <c r="N134" s="11">
        <f t="shared" si="59"/>
        <v>436.75207506315417</v>
      </c>
      <c r="O134" s="11">
        <f t="shared" si="59"/>
        <v>438.22699386503075</v>
      </c>
      <c r="P134" s="11">
        <f t="shared" si="59"/>
        <v>439.745940093829</v>
      </c>
      <c r="Q134" s="11">
        <f t="shared" si="59"/>
        <v>445.51353302057026</v>
      </c>
      <c r="R134" s="11">
        <f t="shared" si="59"/>
        <v>451.28112594731147</v>
      </c>
      <c r="S134" s="11">
        <f t="shared" si="59"/>
        <v>455.6838686394803</v>
      </c>
      <c r="T134" s="23">
        <f t="shared" si="59"/>
        <v>460.0866113316492</v>
      </c>
    </row>
    <row r="135" spans="1:20" ht="15">
      <c r="A135" s="2" t="s">
        <v>125</v>
      </c>
      <c r="B135" s="26">
        <f aca="true" t="shared" si="60" ref="B135:T135">B22</f>
        <v>85.55167491950623</v>
      </c>
      <c r="C135" s="6">
        <f t="shared" si="60"/>
        <v>89.11282486935316</v>
      </c>
      <c r="D135" s="6">
        <f t="shared" si="60"/>
        <v>85.17398098669169</v>
      </c>
      <c r="E135" s="6">
        <f t="shared" si="60"/>
        <v>76.10277714508538</v>
      </c>
      <c r="F135" s="6">
        <f t="shared" si="60"/>
        <v>79.48640851422805</v>
      </c>
      <c r="G135" s="6">
        <f t="shared" si="60"/>
        <v>82.8781517958886</v>
      </c>
      <c r="H135" s="6">
        <f t="shared" si="60"/>
        <v>81.85265427154465</v>
      </c>
      <c r="I135" s="6">
        <f t="shared" si="60"/>
        <v>79.31773015667288</v>
      </c>
      <c r="J135" s="6">
        <f t="shared" si="60"/>
        <v>78.69386680038805</v>
      </c>
      <c r="K135" s="6">
        <f t="shared" si="60"/>
        <v>78.48737409390382</v>
      </c>
      <c r="L135" s="6">
        <f t="shared" si="60"/>
        <v>78.48737409390382</v>
      </c>
      <c r="M135" s="6">
        <f t="shared" si="60"/>
        <v>78.48737409390382</v>
      </c>
      <c r="N135" s="6">
        <f t="shared" si="60"/>
        <v>78.48737409390382</v>
      </c>
      <c r="O135" s="6">
        <f t="shared" si="60"/>
        <v>78.48737409390382</v>
      </c>
      <c r="P135" s="6">
        <f t="shared" si="60"/>
        <v>78.48737409390382</v>
      </c>
      <c r="Q135" s="6">
        <f t="shared" si="60"/>
        <v>78.48737409390382</v>
      </c>
      <c r="R135" s="6">
        <f t="shared" si="60"/>
        <v>78.48737409390382</v>
      </c>
      <c r="S135" s="6">
        <f t="shared" si="60"/>
        <v>78.48737409390382</v>
      </c>
      <c r="T135" s="27">
        <f t="shared" si="60"/>
        <v>78.48737409390382</v>
      </c>
    </row>
    <row r="136" spans="1:20" ht="15">
      <c r="A136" s="2" t="s">
        <v>126</v>
      </c>
      <c r="B136" s="26">
        <v>2.7</v>
      </c>
      <c r="C136" s="6">
        <v>2.7</v>
      </c>
      <c r="D136" s="6">
        <v>2.73</v>
      </c>
      <c r="E136" s="6">
        <f>(+F136+D136)/2</f>
        <v>2.715</v>
      </c>
      <c r="F136" s="6">
        <v>2.7</v>
      </c>
      <c r="G136" s="6">
        <f>(((+F136-K136)/5)*4)+K136</f>
        <v>2.686</v>
      </c>
      <c r="H136" s="6">
        <f>(((+F136-K136)/5)*3)+K136</f>
        <v>2.672</v>
      </c>
      <c r="I136" s="6">
        <f>(((+F136-K136)/5)*2)+K136</f>
        <v>2.658</v>
      </c>
      <c r="J136" s="6">
        <f>(((+F136-K136)/5))+K136</f>
        <v>2.644</v>
      </c>
      <c r="K136" s="6">
        <v>2.63</v>
      </c>
      <c r="L136" s="6">
        <f>(((+K136-P136)/5)*4)+P136</f>
        <v>2.616</v>
      </c>
      <c r="M136" s="6">
        <f>(((+K136-P136)/5)*3)+P136</f>
        <v>2.602</v>
      </c>
      <c r="N136" s="6">
        <f>(((+K136-P136)/5)*2)+P136</f>
        <v>2.588</v>
      </c>
      <c r="O136" s="6">
        <f>(((+K136-P136)/5))+P136</f>
        <v>2.574</v>
      </c>
      <c r="P136" s="6">
        <v>2.56</v>
      </c>
      <c r="Q136" s="6">
        <f>(+P136+R136)/2</f>
        <v>2.505</v>
      </c>
      <c r="R136" s="6">
        <v>2.45</v>
      </c>
      <c r="S136" s="6">
        <f>(+R136+T136)/2</f>
        <v>2.4050000000000002</v>
      </c>
      <c r="T136" s="27">
        <v>2.36</v>
      </c>
    </row>
    <row r="137" spans="1:20" ht="15">
      <c r="A137" s="2" t="s">
        <v>26</v>
      </c>
      <c r="B137" s="13"/>
      <c r="T137" s="15"/>
    </row>
    <row r="138" spans="1:20" ht="15">
      <c r="A138" s="18" t="s">
        <v>131</v>
      </c>
      <c r="B138" s="35">
        <f aca="true" t="shared" si="61" ref="B138:T138">B134*B135*B136/1000000</f>
        <v>0.09100987177937073</v>
      </c>
      <c r="C138" s="36">
        <f t="shared" si="61"/>
        <v>0.09407640921457613</v>
      </c>
      <c r="D138" s="36">
        <f t="shared" si="61"/>
        <v>0.09161483742890532</v>
      </c>
      <c r="E138" s="36">
        <f t="shared" si="61"/>
        <v>0.08409394925920506</v>
      </c>
      <c r="F138" s="36">
        <f t="shared" si="61"/>
        <v>0.08777684092226204</v>
      </c>
      <c r="G138" s="36">
        <f t="shared" si="61"/>
        <v>0.0932738898882541</v>
      </c>
      <c r="H138" s="36">
        <f t="shared" si="61"/>
        <v>0.09338929477519324</v>
      </c>
      <c r="I138" s="36">
        <f t="shared" si="61"/>
        <v>0.09039885397974526</v>
      </c>
      <c r="J138" s="36">
        <f t="shared" si="61"/>
        <v>0.08958186251451274</v>
      </c>
      <c r="K138" s="36">
        <f t="shared" si="61"/>
        <v>0.08924178065498208</v>
      </c>
      <c r="L138" s="36">
        <f t="shared" si="61"/>
        <v>0.08906956406095409</v>
      </c>
      <c r="M138" s="36">
        <f t="shared" si="61"/>
        <v>0.08889410611682076</v>
      </c>
      <c r="N138" s="36">
        <f t="shared" si="61"/>
        <v>0.08871540682258217</v>
      </c>
      <c r="O138" s="36">
        <f t="shared" si="61"/>
        <v>0.08853346617823823</v>
      </c>
      <c r="P138" s="36">
        <f t="shared" si="61"/>
        <v>0.08835713051243464</v>
      </c>
      <c r="Q138" s="36">
        <f t="shared" si="61"/>
        <v>0.08759280426185609</v>
      </c>
      <c r="R138" s="36">
        <f t="shared" si="61"/>
        <v>0.08677868285667467</v>
      </c>
      <c r="S138" s="36">
        <f t="shared" si="61"/>
        <v>0.08601585979084644</v>
      </c>
      <c r="T138" s="37">
        <f t="shared" si="61"/>
        <v>0.08522193635087348</v>
      </c>
    </row>
    <row r="139" spans="2:20" ht="15">
      <c r="B139" s="13"/>
      <c r="T139" s="15"/>
    </row>
    <row r="140" spans="1:20" ht="15">
      <c r="A140" s="2" t="s">
        <v>132</v>
      </c>
      <c r="B140" s="13"/>
      <c r="T140" s="15"/>
    </row>
    <row r="141" spans="1:20" ht="15">
      <c r="A141" s="2" t="s">
        <v>123</v>
      </c>
      <c r="B141" s="20">
        <v>15722</v>
      </c>
      <c r="C141" s="4">
        <v>15907</v>
      </c>
      <c r="D141" s="4">
        <v>15887</v>
      </c>
      <c r="E141" s="11">
        <v>16195</v>
      </c>
      <c r="F141" s="4">
        <v>16248</v>
      </c>
      <c r="G141" s="4">
        <v>16387</v>
      </c>
      <c r="H141" s="4">
        <v>16526</v>
      </c>
      <c r="I141" s="4">
        <v>16665</v>
      </c>
      <c r="J141" s="4">
        <v>16804</v>
      </c>
      <c r="K141" s="4">
        <v>16943</v>
      </c>
      <c r="L141" s="4">
        <v>17073</v>
      </c>
      <c r="M141" s="4">
        <v>17204</v>
      </c>
      <c r="N141" s="4">
        <v>17335</v>
      </c>
      <c r="O141" s="4">
        <v>17465</v>
      </c>
      <c r="P141" s="4">
        <v>17596</v>
      </c>
      <c r="Q141" s="4">
        <v>18110</v>
      </c>
      <c r="R141" s="4">
        <v>18623</v>
      </c>
      <c r="S141" s="11">
        <f>(+R141+T141)/2</f>
        <v>18934.5</v>
      </c>
      <c r="T141" s="21">
        <v>19246</v>
      </c>
    </row>
    <row r="142" spans="1:20" ht="15">
      <c r="A142" s="2" t="s">
        <v>124</v>
      </c>
      <c r="B142" s="22">
        <v>73</v>
      </c>
      <c r="C142" s="11">
        <v>78</v>
      </c>
      <c r="D142" s="11">
        <v>80</v>
      </c>
      <c r="E142" s="11">
        <v>80</v>
      </c>
      <c r="F142" s="11">
        <v>80</v>
      </c>
      <c r="G142" s="11">
        <v>78</v>
      </c>
      <c r="H142" s="11">
        <v>79</v>
      </c>
      <c r="I142" s="11">
        <f>H142*I141/H141</f>
        <v>79.66446811085562</v>
      </c>
      <c r="J142" s="11">
        <f>I142*J141/I141</f>
        <v>80.32893622171125</v>
      </c>
      <c r="K142" s="11">
        <f aca="true" t="shared" si="62" ref="K142:P142">F142*K141/F141</f>
        <v>83.4219596258001</v>
      </c>
      <c r="L142" s="11">
        <f t="shared" si="62"/>
        <v>81.26527125160187</v>
      </c>
      <c r="M142" s="11">
        <f t="shared" si="62"/>
        <v>82.24107467021663</v>
      </c>
      <c r="N142" s="11">
        <f t="shared" si="62"/>
        <v>82.86730001210213</v>
      </c>
      <c r="O142" s="11">
        <f t="shared" si="62"/>
        <v>83.4887450078664</v>
      </c>
      <c r="P142" s="11">
        <f t="shared" si="62"/>
        <v>86.63712456917774</v>
      </c>
      <c r="Q142" s="11">
        <f>P142*Q141/P141</f>
        <v>89.16789758739537</v>
      </c>
      <c r="R142" s="11">
        <f>Q142*R141/Q141</f>
        <v>91.69374692269818</v>
      </c>
      <c r="S142" s="11">
        <f>R142*S141/R141</f>
        <v>93.2274741506647</v>
      </c>
      <c r="T142" s="23">
        <f>R142*T141/R141</f>
        <v>94.76120137863123</v>
      </c>
    </row>
    <row r="143" spans="1:20" ht="15">
      <c r="A143" s="2" t="s">
        <v>125</v>
      </c>
      <c r="B143" s="26">
        <f aca="true" t="shared" si="63" ref="B143:T143">B22</f>
        <v>85.55167491950623</v>
      </c>
      <c r="C143" s="6">
        <f t="shared" si="63"/>
        <v>89.11282486935316</v>
      </c>
      <c r="D143" s="6">
        <f t="shared" si="63"/>
        <v>85.17398098669169</v>
      </c>
      <c r="E143" s="6">
        <f t="shared" si="63"/>
        <v>76.10277714508538</v>
      </c>
      <c r="F143" s="6">
        <f t="shared" si="63"/>
        <v>79.48640851422805</v>
      </c>
      <c r="G143" s="6">
        <f t="shared" si="63"/>
        <v>82.8781517958886</v>
      </c>
      <c r="H143" s="6">
        <f t="shared" si="63"/>
        <v>81.85265427154465</v>
      </c>
      <c r="I143" s="6">
        <f t="shared" si="63"/>
        <v>79.31773015667288</v>
      </c>
      <c r="J143" s="6">
        <f t="shared" si="63"/>
        <v>78.69386680038805</v>
      </c>
      <c r="K143" s="6">
        <f t="shared" si="63"/>
        <v>78.48737409390382</v>
      </c>
      <c r="L143" s="6">
        <f t="shared" si="63"/>
        <v>78.48737409390382</v>
      </c>
      <c r="M143" s="6">
        <f t="shared" si="63"/>
        <v>78.48737409390382</v>
      </c>
      <c r="N143" s="6">
        <f t="shared" si="63"/>
        <v>78.48737409390382</v>
      </c>
      <c r="O143" s="6">
        <f t="shared" si="63"/>
        <v>78.48737409390382</v>
      </c>
      <c r="P143" s="6">
        <f t="shared" si="63"/>
        <v>78.48737409390382</v>
      </c>
      <c r="Q143" s="6">
        <f t="shared" si="63"/>
        <v>78.48737409390382</v>
      </c>
      <c r="R143" s="6">
        <f t="shared" si="63"/>
        <v>78.48737409390382</v>
      </c>
      <c r="S143" s="6">
        <f t="shared" si="63"/>
        <v>78.48737409390382</v>
      </c>
      <c r="T143" s="27">
        <f t="shared" si="63"/>
        <v>78.48737409390382</v>
      </c>
    </row>
    <row r="144" spans="1:20" ht="15">
      <c r="A144" s="2" t="s">
        <v>126</v>
      </c>
      <c r="B144" s="26">
        <v>2.7</v>
      </c>
      <c r="C144" s="6">
        <v>2.7</v>
      </c>
      <c r="D144" s="6">
        <v>2.71</v>
      </c>
      <c r="E144" s="6">
        <f>(+F144+D144)/2</f>
        <v>2.7</v>
      </c>
      <c r="F144" s="6">
        <v>2.69</v>
      </c>
      <c r="G144" s="6">
        <f>(((+F144-K144)/5)*4)+K144</f>
        <v>2.684</v>
      </c>
      <c r="H144" s="6">
        <f>(((+F144-K144)/5)*3)+K144</f>
        <v>2.678</v>
      </c>
      <c r="I144" s="6">
        <f>(((+F144-K144)/5)*2)+K144</f>
        <v>2.672</v>
      </c>
      <c r="J144" s="6">
        <f>(((+F144-K144)/5))+K144</f>
        <v>2.666</v>
      </c>
      <c r="K144" s="6">
        <v>2.66</v>
      </c>
      <c r="L144" s="6">
        <f>(((+K144-P144)/5)*4)+P144</f>
        <v>2.65</v>
      </c>
      <c r="M144" s="6">
        <f>(((+K144-P144)/5)*3)+P144</f>
        <v>2.64</v>
      </c>
      <c r="N144" s="6">
        <f>(((+K144-P144)/5)*2)+P144</f>
        <v>2.63</v>
      </c>
      <c r="O144" s="6">
        <f>(((+K144-P144)/5))+P144</f>
        <v>2.62</v>
      </c>
      <c r="P144" s="6">
        <v>2.61</v>
      </c>
      <c r="Q144" s="6">
        <f>(+P144+R144)/2</f>
        <v>2.565</v>
      </c>
      <c r="R144" s="6">
        <v>2.52</v>
      </c>
      <c r="S144" s="6">
        <f>(+R144+T144)/2</f>
        <v>2.4850000000000003</v>
      </c>
      <c r="T144" s="27">
        <v>2.45</v>
      </c>
    </row>
    <row r="145" spans="2:20" ht="15">
      <c r="B145" s="13"/>
      <c r="T145" s="15"/>
    </row>
    <row r="146" spans="1:20" ht="15">
      <c r="A146" s="18" t="s">
        <v>133</v>
      </c>
      <c r="B146" s="35">
        <f aca="true" t="shared" si="64" ref="B146:T146">B142*B143*B144/1000000</f>
        <v>0.016862235126634678</v>
      </c>
      <c r="C146" s="36">
        <f t="shared" si="64"/>
        <v>0.018767160917485776</v>
      </c>
      <c r="D146" s="36">
        <f t="shared" si="64"/>
        <v>0.018465719077914756</v>
      </c>
      <c r="E146" s="36">
        <f t="shared" si="64"/>
        <v>0.016438199863338443</v>
      </c>
      <c r="F146" s="36">
        <f t="shared" si="64"/>
        <v>0.017105475112261875</v>
      </c>
      <c r="G146" s="36">
        <f t="shared" si="64"/>
        <v>0.01735070683477287</v>
      </c>
      <c r="H146" s="36">
        <f t="shared" si="64"/>
        <v>0.017316911242996526</v>
      </c>
      <c r="I146" s="36">
        <f t="shared" si="64"/>
        <v>0.01688384638469627</v>
      </c>
      <c r="J146" s="36">
        <f t="shared" si="64"/>
        <v>0.01685283802292373</v>
      </c>
      <c r="K146" s="36">
        <f t="shared" si="64"/>
        <v>0.01741653767043926</v>
      </c>
      <c r="L146" s="36">
        <f t="shared" si="64"/>
        <v>0.016902489025752667</v>
      </c>
      <c r="M146" s="36">
        <f t="shared" si="64"/>
        <v>0.017040899022908566</v>
      </c>
      <c r="N146" s="36">
        <f t="shared" si="64"/>
        <v>0.017105616721410265</v>
      </c>
      <c r="O146" s="36">
        <f t="shared" si="64"/>
        <v>0.017168368388604943</v>
      </c>
      <c r="P146" s="36">
        <f t="shared" si="64"/>
        <v>0.01774779226091593</v>
      </c>
      <c r="Q146" s="36">
        <f t="shared" si="64"/>
        <v>0.017951291356554083</v>
      </c>
      <c r="R146" s="36">
        <f t="shared" si="64"/>
        <v>0.01813593957031976</v>
      </c>
      <c r="S146" s="36">
        <f t="shared" si="64"/>
        <v>0.018183191404140032</v>
      </c>
      <c r="T146" s="37">
        <f t="shared" si="64"/>
        <v>0.018222016762371344</v>
      </c>
    </row>
    <row r="147" spans="2:20" ht="15">
      <c r="B147" s="13"/>
      <c r="T147" s="15"/>
    </row>
    <row r="148" spans="1:20" ht="15">
      <c r="A148" s="2" t="s">
        <v>134</v>
      </c>
      <c r="B148" s="13"/>
      <c r="T148" s="15"/>
    </row>
    <row r="149" spans="1:20" ht="15">
      <c r="A149" s="2" t="s">
        <v>135</v>
      </c>
      <c r="B149" s="26">
        <f aca="true" t="shared" si="65" ref="B149:T149">B122+B130+B138+B146</f>
        <v>0.4026746235111318</v>
      </c>
      <c r="C149" s="6">
        <f t="shared" si="65"/>
        <v>0.44396009349911747</v>
      </c>
      <c r="D149" s="6">
        <f t="shared" si="65"/>
        <v>0.4477110688778759</v>
      </c>
      <c r="E149" s="6">
        <f t="shared" si="65"/>
        <v>0.41786018206772035</v>
      </c>
      <c r="F149" s="6">
        <f t="shared" si="65"/>
        <v>0.450743576761633</v>
      </c>
      <c r="G149" s="6">
        <f t="shared" si="65"/>
        <v>0.4835673289641317</v>
      </c>
      <c r="H149" s="6">
        <f t="shared" si="65"/>
        <v>0.49219327026479</v>
      </c>
      <c r="I149" s="6">
        <f t="shared" si="65"/>
        <v>0.489158779807547</v>
      </c>
      <c r="J149" s="6">
        <f t="shared" si="65"/>
        <v>0.49782074807939347</v>
      </c>
      <c r="K149" s="6">
        <f t="shared" si="65"/>
        <v>0.4995753762988486</v>
      </c>
      <c r="L149" s="6">
        <f t="shared" si="65"/>
        <v>0.5002396997635573</v>
      </c>
      <c r="M149" s="6">
        <f t="shared" si="65"/>
        <v>0.501950320323584</v>
      </c>
      <c r="N149" s="6">
        <f t="shared" si="65"/>
        <v>0.5033615422656273</v>
      </c>
      <c r="O149" s="6">
        <f t="shared" si="65"/>
        <v>0.5047188643588889</v>
      </c>
      <c r="P149" s="6">
        <f t="shared" si="65"/>
        <v>0.506679014916902</v>
      </c>
      <c r="Q149" s="6">
        <f t="shared" si="65"/>
        <v>0.5130083050051714</v>
      </c>
      <c r="R149" s="6">
        <f t="shared" si="65"/>
        <v>0.5186836307495091</v>
      </c>
      <c r="S149" s="6">
        <f t="shared" si="65"/>
        <v>0.5202850934822675</v>
      </c>
      <c r="T149" s="27">
        <f t="shared" si="65"/>
        <v>0.5215434876317226</v>
      </c>
    </row>
    <row r="150" spans="1:20" ht="15">
      <c r="A150" s="12"/>
      <c r="B150" s="1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6"/>
    </row>
    <row r="158" ht="15">
      <c r="A158" s="2" t="s">
        <v>136</v>
      </c>
    </row>
    <row r="159" ht="15">
      <c r="A159" s="2" t="s">
        <v>121</v>
      </c>
    </row>
    <row r="160" spans="1:20" ht="15">
      <c r="A160" s="12"/>
      <c r="B160" s="19" t="s">
        <v>28</v>
      </c>
      <c r="C160" s="19" t="s">
        <v>29</v>
      </c>
      <c r="D160" s="19" t="s">
        <v>30</v>
      </c>
      <c r="E160" s="19" t="s">
        <v>31</v>
      </c>
      <c r="F160" s="19" t="s">
        <v>32</v>
      </c>
      <c r="G160" s="19" t="s">
        <v>33</v>
      </c>
      <c r="H160" s="19" t="s">
        <v>34</v>
      </c>
      <c r="I160" s="19" t="s">
        <v>35</v>
      </c>
      <c r="J160" s="19" t="s">
        <v>36</v>
      </c>
      <c r="K160" s="19" t="s">
        <v>37</v>
      </c>
      <c r="L160" s="19" t="s">
        <v>38</v>
      </c>
      <c r="M160" s="19" t="s">
        <v>39</v>
      </c>
      <c r="N160" s="19" t="s">
        <v>40</v>
      </c>
      <c r="O160" s="19" t="s">
        <v>41</v>
      </c>
      <c r="P160" s="19" t="s">
        <v>42</v>
      </c>
      <c r="Q160" s="19" t="s">
        <v>43</v>
      </c>
      <c r="R160" s="19" t="s">
        <v>44</v>
      </c>
      <c r="S160" s="19" t="s">
        <v>45</v>
      </c>
      <c r="T160" s="19" t="s">
        <v>46</v>
      </c>
    </row>
    <row r="161" spans="2:20" ht="15">
      <c r="B161" s="13"/>
      <c r="T161" s="15"/>
    </row>
    <row r="162" spans="1:20" ht="15">
      <c r="A162" s="2" t="s">
        <v>137</v>
      </c>
      <c r="B162" s="13"/>
      <c r="T162" s="15"/>
    </row>
    <row r="163" spans="1:20" ht="15">
      <c r="A163" s="2" t="s">
        <v>138</v>
      </c>
      <c r="B163" s="20">
        <f aca="true" t="shared" si="66" ref="B163:T163">B117</f>
        <v>18884</v>
      </c>
      <c r="C163" s="4">
        <f t="shared" si="66"/>
        <v>19076</v>
      </c>
      <c r="D163" s="4">
        <f t="shared" si="66"/>
        <v>19900</v>
      </c>
      <c r="E163" s="4">
        <f t="shared" si="66"/>
        <v>19928</v>
      </c>
      <c r="F163" s="4">
        <f t="shared" si="66"/>
        <v>19955</v>
      </c>
      <c r="G163" s="4">
        <f t="shared" si="66"/>
        <v>20270</v>
      </c>
      <c r="H163" s="4">
        <f t="shared" si="66"/>
        <v>20585</v>
      </c>
      <c r="I163" s="4">
        <f t="shared" si="66"/>
        <v>20900</v>
      </c>
      <c r="J163" s="4">
        <f t="shared" si="66"/>
        <v>21215</v>
      </c>
      <c r="K163" s="4">
        <f t="shared" si="66"/>
        <v>21531</v>
      </c>
      <c r="L163" s="4">
        <f t="shared" si="66"/>
        <v>21828</v>
      </c>
      <c r="M163" s="4">
        <f t="shared" si="66"/>
        <v>22125</v>
      </c>
      <c r="N163" s="4">
        <f t="shared" si="66"/>
        <v>22422</v>
      </c>
      <c r="O163" s="4">
        <f t="shared" si="66"/>
        <v>22719</v>
      </c>
      <c r="P163" s="4">
        <f t="shared" si="66"/>
        <v>23016</v>
      </c>
      <c r="Q163" s="4">
        <f t="shared" si="66"/>
        <v>24129</v>
      </c>
      <c r="R163" s="4">
        <f t="shared" si="66"/>
        <v>25243</v>
      </c>
      <c r="S163" s="4">
        <f t="shared" si="66"/>
        <v>25868</v>
      </c>
      <c r="T163" s="21">
        <f t="shared" si="66"/>
        <v>26493</v>
      </c>
    </row>
    <row r="164" spans="1:20" ht="15">
      <c r="A164" s="2" t="s">
        <v>139</v>
      </c>
      <c r="B164" s="26">
        <v>0.16</v>
      </c>
      <c r="C164" s="6">
        <v>0.16563</v>
      </c>
      <c r="D164" s="6">
        <v>0.1</v>
      </c>
      <c r="E164" s="6">
        <v>0.1</v>
      </c>
      <c r="F164" s="6">
        <v>0.095</v>
      </c>
      <c r="G164" s="6">
        <v>0.106</v>
      </c>
      <c r="H164" s="6">
        <f>42271/1000/366</f>
        <v>0.11549453551912568</v>
      </c>
      <c r="I164" s="6">
        <f>60577*7.48/365/10000</f>
        <v>0.1241413589041096</v>
      </c>
      <c r="J164" s="6">
        <f aca="true" t="shared" si="67" ref="J164:T164">AVERAGE(E164:I164)*J163/I163</f>
        <v>0.10975684689176014</v>
      </c>
      <c r="K164" s="6">
        <f t="shared" si="67"/>
        <v>0.11171818160031269</v>
      </c>
      <c r="L164" s="6">
        <f t="shared" si="67"/>
        <v>0.1149867374984473</v>
      </c>
      <c r="M164" s="6">
        <f t="shared" si="67"/>
        <v>0.11678725248904469</v>
      </c>
      <c r="N164" s="6">
        <f t="shared" si="67"/>
        <v>0.1170282218458463</v>
      </c>
      <c r="O164" s="6">
        <f t="shared" si="67"/>
        <v>0.11556621731293389</v>
      </c>
      <c r="P164" s="6">
        <f t="shared" si="67"/>
        <v>0.11672353037495839</v>
      </c>
      <c r="Q164" s="6">
        <f t="shared" si="67"/>
        <v>0.12183844187771786</v>
      </c>
      <c r="R164" s="6">
        <f t="shared" si="67"/>
        <v>0.1230176294735824</v>
      </c>
      <c r="S164" s="6">
        <f t="shared" si="67"/>
        <v>0.12177707950413333</v>
      </c>
      <c r="T164" s="27">
        <f t="shared" si="67"/>
        <v>0.12267870999774497</v>
      </c>
    </row>
    <row r="165" spans="1:20" ht="15">
      <c r="A165" s="2" t="s">
        <v>26</v>
      </c>
      <c r="B165" s="13"/>
      <c r="T165" s="15"/>
    </row>
    <row r="166" spans="1:20" ht="15">
      <c r="A166" s="2" t="s">
        <v>26</v>
      </c>
      <c r="B166" s="13"/>
      <c r="F166" s="2" t="s">
        <v>26</v>
      </c>
      <c r="G166" s="2" t="s">
        <v>26</v>
      </c>
      <c r="H166" s="2" t="s">
        <v>26</v>
      </c>
      <c r="I166" s="2" t="s">
        <v>26</v>
      </c>
      <c r="J166" s="2" t="s">
        <v>26</v>
      </c>
      <c r="K166" s="2" t="s">
        <v>26</v>
      </c>
      <c r="L166" s="2" t="s">
        <v>26</v>
      </c>
      <c r="M166" s="2" t="s">
        <v>26</v>
      </c>
      <c r="N166" s="2" t="s">
        <v>26</v>
      </c>
      <c r="O166" s="2" t="s">
        <v>26</v>
      </c>
      <c r="P166" s="2" t="s">
        <v>26</v>
      </c>
      <c r="Q166" s="2" t="s">
        <v>26</v>
      </c>
      <c r="R166" s="2" t="s">
        <v>26</v>
      </c>
      <c r="S166" s="2" t="s">
        <v>26</v>
      </c>
      <c r="T166" s="34" t="s">
        <v>26</v>
      </c>
    </row>
    <row r="167" spans="1:20" ht="15">
      <c r="A167" s="18" t="s">
        <v>140</v>
      </c>
      <c r="B167" s="35">
        <f aca="true" t="shared" si="68" ref="B167:T167">B164</f>
        <v>0.16</v>
      </c>
      <c r="C167" s="36">
        <f t="shared" si="68"/>
        <v>0.16563</v>
      </c>
      <c r="D167" s="36">
        <f t="shared" si="68"/>
        <v>0.1</v>
      </c>
      <c r="E167" s="36">
        <f t="shared" si="68"/>
        <v>0.1</v>
      </c>
      <c r="F167" s="36">
        <f t="shared" si="68"/>
        <v>0.095</v>
      </c>
      <c r="G167" s="36">
        <f t="shared" si="68"/>
        <v>0.106</v>
      </c>
      <c r="H167" s="36">
        <f t="shared" si="68"/>
        <v>0.11549453551912568</v>
      </c>
      <c r="I167" s="36">
        <f t="shared" si="68"/>
        <v>0.1241413589041096</v>
      </c>
      <c r="J167" s="36">
        <f t="shared" si="68"/>
        <v>0.10975684689176014</v>
      </c>
      <c r="K167" s="36">
        <f t="shared" si="68"/>
        <v>0.11171818160031269</v>
      </c>
      <c r="L167" s="36">
        <f t="shared" si="68"/>
        <v>0.1149867374984473</v>
      </c>
      <c r="M167" s="36">
        <f t="shared" si="68"/>
        <v>0.11678725248904469</v>
      </c>
      <c r="N167" s="36">
        <f t="shared" si="68"/>
        <v>0.1170282218458463</v>
      </c>
      <c r="O167" s="36">
        <f t="shared" si="68"/>
        <v>0.11556621731293389</v>
      </c>
      <c r="P167" s="36">
        <f t="shared" si="68"/>
        <v>0.11672353037495839</v>
      </c>
      <c r="Q167" s="36">
        <f t="shared" si="68"/>
        <v>0.12183844187771786</v>
      </c>
      <c r="R167" s="36">
        <f t="shared" si="68"/>
        <v>0.1230176294735824</v>
      </c>
      <c r="S167" s="36">
        <f t="shared" si="68"/>
        <v>0.12177707950413333</v>
      </c>
      <c r="T167" s="37">
        <f t="shared" si="68"/>
        <v>0.12267870999774497</v>
      </c>
    </row>
    <row r="168" spans="2:20" ht="15">
      <c r="B168" s="13"/>
      <c r="T168" s="15"/>
    </row>
    <row r="169" spans="1:20" ht="15">
      <c r="A169" s="2" t="s">
        <v>141</v>
      </c>
      <c r="B169" s="13"/>
      <c r="T169" s="15"/>
    </row>
    <row r="170" spans="1:20" ht="15">
      <c r="A170" s="2" t="s">
        <v>138</v>
      </c>
      <c r="B170" s="20">
        <f aca="true" t="shared" si="69" ref="B170:T170">B117</f>
        <v>18884</v>
      </c>
      <c r="C170" s="4">
        <f t="shared" si="69"/>
        <v>19076</v>
      </c>
      <c r="D170" s="4">
        <f t="shared" si="69"/>
        <v>19900</v>
      </c>
      <c r="E170" s="4">
        <f t="shared" si="69"/>
        <v>19928</v>
      </c>
      <c r="F170" s="4">
        <f t="shared" si="69"/>
        <v>19955</v>
      </c>
      <c r="G170" s="4">
        <f t="shared" si="69"/>
        <v>20270</v>
      </c>
      <c r="H170" s="4">
        <f t="shared" si="69"/>
        <v>20585</v>
      </c>
      <c r="I170" s="4">
        <f t="shared" si="69"/>
        <v>20900</v>
      </c>
      <c r="J170" s="4">
        <f t="shared" si="69"/>
        <v>21215</v>
      </c>
      <c r="K170" s="4">
        <f t="shared" si="69"/>
        <v>21531</v>
      </c>
      <c r="L170" s="4">
        <f t="shared" si="69"/>
        <v>21828</v>
      </c>
      <c r="M170" s="4">
        <f t="shared" si="69"/>
        <v>22125</v>
      </c>
      <c r="N170" s="4">
        <f t="shared" si="69"/>
        <v>22422</v>
      </c>
      <c r="O170" s="4">
        <f t="shared" si="69"/>
        <v>22719</v>
      </c>
      <c r="P170" s="4">
        <f t="shared" si="69"/>
        <v>23016</v>
      </c>
      <c r="Q170" s="4">
        <f t="shared" si="69"/>
        <v>24129</v>
      </c>
      <c r="R170" s="4">
        <f t="shared" si="69"/>
        <v>25243</v>
      </c>
      <c r="S170" s="4">
        <f t="shared" si="69"/>
        <v>25868</v>
      </c>
      <c r="T170" s="21">
        <f t="shared" si="69"/>
        <v>26493</v>
      </c>
    </row>
    <row r="171" spans="1:20" ht="15">
      <c r="A171" s="2" t="s">
        <v>142</v>
      </c>
      <c r="B171" s="26"/>
      <c r="C171" s="6"/>
      <c r="D171" s="6"/>
      <c r="E171" s="6"/>
      <c r="F171" s="6"/>
      <c r="G171" s="6"/>
      <c r="H171" s="6"/>
      <c r="I171" s="6"/>
      <c r="J171" s="6">
        <v>2.7</v>
      </c>
      <c r="K171" s="6">
        <f aca="true" t="shared" si="70" ref="K171:T171">J171*K170/J170</f>
        <v>2.740216827716239</v>
      </c>
      <c r="L171" s="6">
        <f t="shared" si="70"/>
        <v>2.7780155550318173</v>
      </c>
      <c r="M171" s="6">
        <f t="shared" si="70"/>
        <v>2.8158142823473957</v>
      </c>
      <c r="N171" s="6">
        <f t="shared" si="70"/>
        <v>2.8536130096629746</v>
      </c>
      <c r="O171" s="6">
        <f t="shared" si="70"/>
        <v>2.891411736978553</v>
      </c>
      <c r="P171" s="6">
        <f t="shared" si="70"/>
        <v>2.929210464294132</v>
      </c>
      <c r="Q171" s="6">
        <f t="shared" si="70"/>
        <v>3.070860240395947</v>
      </c>
      <c r="R171" s="6">
        <f t="shared" si="70"/>
        <v>3.2126372849399014</v>
      </c>
      <c r="S171" s="6">
        <f t="shared" si="70"/>
        <v>3.2921800612773984</v>
      </c>
      <c r="T171" s="27">
        <f t="shared" si="70"/>
        <v>3.3717228376148953</v>
      </c>
    </row>
    <row r="172" spans="1:20" ht="15">
      <c r="A172" s="2" t="s">
        <v>26</v>
      </c>
      <c r="B172" s="13"/>
      <c r="T172" s="15"/>
    </row>
    <row r="173" spans="1:20" ht="15">
      <c r="A173" s="2" t="s">
        <v>143</v>
      </c>
      <c r="B173" s="26">
        <v>2.5</v>
      </c>
      <c r="C173" s="6">
        <v>2.5</v>
      </c>
      <c r="D173" s="6">
        <v>2.5</v>
      </c>
      <c r="E173" s="6">
        <v>2.5</v>
      </c>
      <c r="F173" s="6">
        <v>2.5</v>
      </c>
      <c r="G173" s="6">
        <v>2.5</v>
      </c>
      <c r="H173" s="6">
        <v>2.5</v>
      </c>
      <c r="I173" s="6">
        <v>2.5</v>
      </c>
      <c r="J173" s="6">
        <v>2.5</v>
      </c>
      <c r="K173" s="6">
        <v>2.5</v>
      </c>
      <c r="L173" s="6">
        <v>2.5</v>
      </c>
      <c r="M173" s="6">
        <v>2.5</v>
      </c>
      <c r="N173" s="6">
        <v>2.5</v>
      </c>
      <c r="O173" s="6">
        <v>2.5</v>
      </c>
      <c r="P173" s="6">
        <v>2.5</v>
      </c>
      <c r="Q173" s="6">
        <v>2.5</v>
      </c>
      <c r="R173" s="6">
        <v>2.5</v>
      </c>
      <c r="S173" s="6">
        <v>2.5</v>
      </c>
      <c r="T173" s="27">
        <v>2.5</v>
      </c>
    </row>
    <row r="174" spans="1:20" ht="15">
      <c r="A174" s="2" t="s">
        <v>139</v>
      </c>
      <c r="B174" s="26"/>
      <c r="C174" s="6"/>
      <c r="D174" s="6"/>
      <c r="E174" s="6"/>
      <c r="F174" s="6"/>
      <c r="G174" s="6"/>
      <c r="H174" s="6"/>
      <c r="I174" s="6"/>
      <c r="J174" s="6">
        <f aca="true" t="shared" si="71" ref="J174:T174">J171-J173</f>
        <v>0.20000000000000018</v>
      </c>
      <c r="K174" s="6">
        <f t="shared" si="71"/>
        <v>0.24021682771623887</v>
      </c>
      <c r="L174" s="6">
        <f t="shared" si="71"/>
        <v>0.2780155550318173</v>
      </c>
      <c r="M174" s="6">
        <f t="shared" si="71"/>
        <v>0.3158142823473957</v>
      </c>
      <c r="N174" s="6">
        <f t="shared" si="71"/>
        <v>0.3536130096629746</v>
      </c>
      <c r="O174" s="6">
        <f t="shared" si="71"/>
        <v>0.391411736978553</v>
      </c>
      <c r="P174" s="6">
        <f t="shared" si="71"/>
        <v>0.4292104642941319</v>
      </c>
      <c r="Q174" s="6">
        <f t="shared" si="71"/>
        <v>0.5708602403959468</v>
      </c>
      <c r="R174" s="6">
        <f t="shared" si="71"/>
        <v>0.7126372849399014</v>
      </c>
      <c r="S174" s="6">
        <f t="shared" si="71"/>
        <v>0.7921800612773984</v>
      </c>
      <c r="T174" s="27">
        <f t="shared" si="71"/>
        <v>0.8717228376148953</v>
      </c>
    </row>
    <row r="175" spans="1:20" ht="15">
      <c r="A175" s="2" t="s">
        <v>144</v>
      </c>
      <c r="B175" s="13"/>
      <c r="T175" s="15"/>
    </row>
    <row r="176" spans="2:20" ht="15">
      <c r="B176" s="13"/>
      <c r="T176" s="15"/>
    </row>
    <row r="177" spans="1:20" ht="15">
      <c r="A177" s="2" t="s">
        <v>26</v>
      </c>
      <c r="B177" s="13"/>
      <c r="F177" s="2" t="s">
        <v>26</v>
      </c>
      <c r="G177" s="2" t="s">
        <v>26</v>
      </c>
      <c r="H177" s="2" t="s">
        <v>26</v>
      </c>
      <c r="I177" s="2" t="s">
        <v>26</v>
      </c>
      <c r="J177" s="2" t="s">
        <v>26</v>
      </c>
      <c r="K177" s="2" t="s">
        <v>26</v>
      </c>
      <c r="L177" s="2" t="s">
        <v>26</v>
      </c>
      <c r="M177" s="2" t="s">
        <v>26</v>
      </c>
      <c r="N177" s="2" t="s">
        <v>26</v>
      </c>
      <c r="O177" s="2" t="s">
        <v>26</v>
      </c>
      <c r="P177" s="2" t="s">
        <v>26</v>
      </c>
      <c r="Q177" s="2" t="s">
        <v>26</v>
      </c>
      <c r="R177" s="2" t="s">
        <v>26</v>
      </c>
      <c r="S177" s="2" t="s">
        <v>26</v>
      </c>
      <c r="T177" s="34" t="s">
        <v>26</v>
      </c>
    </row>
    <row r="178" spans="1:20" ht="15">
      <c r="A178" s="18" t="s">
        <v>145</v>
      </c>
      <c r="B178" s="35">
        <f>B174</f>
        <v>0</v>
      </c>
      <c r="C178" s="36">
        <v>0.13</v>
      </c>
      <c r="D178" s="36">
        <v>0.07</v>
      </c>
      <c r="E178" s="36">
        <v>0.03</v>
      </c>
      <c r="F178" s="36">
        <v>0.05</v>
      </c>
      <c r="G178" s="36">
        <v>0.072</v>
      </c>
      <c r="H178" s="36">
        <f>6590/1000/366</f>
        <v>0.018005464480874315</v>
      </c>
      <c r="I178" s="36">
        <f>64977*7.48/365/10000</f>
        <v>0.13315834520547945</v>
      </c>
      <c r="J178" s="36">
        <f aca="true" t="shared" si="72" ref="J178:T178">J174</f>
        <v>0.20000000000000018</v>
      </c>
      <c r="K178" s="36">
        <f t="shared" si="72"/>
        <v>0.24021682771623887</v>
      </c>
      <c r="L178" s="36">
        <f t="shared" si="72"/>
        <v>0.2780155550318173</v>
      </c>
      <c r="M178" s="36">
        <f t="shared" si="72"/>
        <v>0.3158142823473957</v>
      </c>
      <c r="N178" s="36">
        <f t="shared" si="72"/>
        <v>0.3536130096629746</v>
      </c>
      <c r="O178" s="36">
        <f t="shared" si="72"/>
        <v>0.391411736978553</v>
      </c>
      <c r="P178" s="36">
        <f t="shared" si="72"/>
        <v>0.4292104642941319</v>
      </c>
      <c r="Q178" s="36">
        <f t="shared" si="72"/>
        <v>0.5708602403959468</v>
      </c>
      <c r="R178" s="36">
        <f t="shared" si="72"/>
        <v>0.7126372849399014</v>
      </c>
      <c r="S178" s="36">
        <f t="shared" si="72"/>
        <v>0.7921800612773984</v>
      </c>
      <c r="T178" s="37">
        <f t="shared" si="72"/>
        <v>0.8717228376148953</v>
      </c>
    </row>
    <row r="179" spans="2:20" ht="15">
      <c r="B179" s="13"/>
      <c r="T179" s="15"/>
    </row>
    <row r="180" spans="1:20" ht="15">
      <c r="A180" s="2" t="s">
        <v>146</v>
      </c>
      <c r="B180" s="13"/>
      <c r="T180" s="15"/>
    </row>
    <row r="181" spans="1:20" ht="15">
      <c r="A181" s="2" t="s">
        <v>147</v>
      </c>
      <c r="B181" s="20">
        <v>28911</v>
      </c>
      <c r="C181" s="4">
        <v>29338</v>
      </c>
      <c r="D181" s="4">
        <v>30610</v>
      </c>
      <c r="E181" s="4">
        <f>(+D181+F181)/2</f>
        <v>30559</v>
      </c>
      <c r="F181" s="4">
        <v>30508</v>
      </c>
      <c r="G181" s="4">
        <v>31016</v>
      </c>
      <c r="H181" s="4">
        <v>31524</v>
      </c>
      <c r="I181" s="4">
        <v>32032</v>
      </c>
      <c r="J181" s="4">
        <v>32540</v>
      </c>
      <c r="K181" s="4">
        <v>33049</v>
      </c>
      <c r="L181" s="4">
        <v>33495</v>
      </c>
      <c r="M181" s="4">
        <v>33941</v>
      </c>
      <c r="N181" s="4">
        <v>34387</v>
      </c>
      <c r="O181" s="4">
        <v>34833</v>
      </c>
      <c r="P181" s="4">
        <v>35277</v>
      </c>
      <c r="Q181" s="4">
        <v>37017</v>
      </c>
      <c r="R181" s="4">
        <v>38756</v>
      </c>
      <c r="S181" s="4">
        <f>(+R181+T181)/2</f>
        <v>39792</v>
      </c>
      <c r="T181" s="21">
        <v>40828</v>
      </c>
    </row>
    <row r="182" spans="1:20" ht="15">
      <c r="A182" s="2" t="s">
        <v>148</v>
      </c>
      <c r="B182" s="26">
        <v>0.12</v>
      </c>
      <c r="C182" s="6">
        <v>0.149</v>
      </c>
      <c r="D182" s="6">
        <v>0.15</v>
      </c>
      <c r="E182" s="6">
        <v>0.11</v>
      </c>
      <c r="F182" s="6">
        <v>0.11</v>
      </c>
      <c r="G182" s="6">
        <v>0.117</v>
      </c>
      <c r="H182" s="6">
        <f>50427/1000/366</f>
        <v>0.13777868852459016</v>
      </c>
      <c r="I182" s="6">
        <f>62868*7.48/365/10000</f>
        <v>0.1288363397260274</v>
      </c>
      <c r="J182" s="6">
        <f aca="true" t="shared" si="73" ref="J182:P182">AVERAGE(E182:I182)*J181/I181</f>
        <v>0.12263756880166767</v>
      </c>
      <c r="K182" s="6">
        <f t="shared" si="73"/>
        <v>0.12517843933608466</v>
      </c>
      <c r="L182" s="6">
        <f t="shared" si="73"/>
        <v>0.1279904539552086</v>
      </c>
      <c r="M182" s="6">
        <f t="shared" si="73"/>
        <v>0.1301951204881409</v>
      </c>
      <c r="N182" s="6">
        <f t="shared" si="73"/>
        <v>0.12863599560634778</v>
      </c>
      <c r="O182" s="6">
        <f t="shared" si="73"/>
        <v>0.12857376776690863</v>
      </c>
      <c r="P182" s="6">
        <f t="shared" si="73"/>
        <v>0.1297477744473084</v>
      </c>
      <c r="Q182" s="6">
        <f>P182*Q181/P181</f>
        <v>0.1361474435670838</v>
      </c>
      <c r="R182" s="6">
        <f>Q182*R181/Q181</f>
        <v>0.1425434347161007</v>
      </c>
      <c r="S182" s="6">
        <f>R182*S181/R181</f>
        <v>0.14635381242189802</v>
      </c>
      <c r="T182" s="27">
        <f>S182*T181/S181</f>
        <v>0.15016419012769533</v>
      </c>
    </row>
    <row r="183" spans="2:20" ht="15">
      <c r="B183" s="13"/>
      <c r="T183" s="15"/>
    </row>
    <row r="184" spans="2:20" ht="15">
      <c r="B184" s="13"/>
      <c r="T184" s="15"/>
    </row>
    <row r="185" spans="1:20" ht="15">
      <c r="A185" s="18" t="s">
        <v>149</v>
      </c>
      <c r="B185" s="35">
        <f aca="true" t="shared" si="74" ref="B185:T185">B182</f>
        <v>0.12</v>
      </c>
      <c r="C185" s="36">
        <f t="shared" si="74"/>
        <v>0.149</v>
      </c>
      <c r="D185" s="36">
        <f t="shared" si="74"/>
        <v>0.15</v>
      </c>
      <c r="E185" s="36">
        <f t="shared" si="74"/>
        <v>0.11</v>
      </c>
      <c r="F185" s="36">
        <f t="shared" si="74"/>
        <v>0.11</v>
      </c>
      <c r="G185" s="36">
        <f t="shared" si="74"/>
        <v>0.117</v>
      </c>
      <c r="H185" s="36">
        <f t="shared" si="74"/>
        <v>0.13777868852459016</v>
      </c>
      <c r="I185" s="36">
        <f t="shared" si="74"/>
        <v>0.1288363397260274</v>
      </c>
      <c r="J185" s="36">
        <f t="shared" si="74"/>
        <v>0.12263756880166767</v>
      </c>
      <c r="K185" s="36">
        <f t="shared" si="74"/>
        <v>0.12517843933608466</v>
      </c>
      <c r="L185" s="36">
        <f t="shared" si="74"/>
        <v>0.1279904539552086</v>
      </c>
      <c r="M185" s="36">
        <f t="shared" si="74"/>
        <v>0.1301951204881409</v>
      </c>
      <c r="N185" s="36">
        <f t="shared" si="74"/>
        <v>0.12863599560634778</v>
      </c>
      <c r="O185" s="36">
        <f t="shared" si="74"/>
        <v>0.12857376776690863</v>
      </c>
      <c r="P185" s="36">
        <f t="shared" si="74"/>
        <v>0.1297477744473084</v>
      </c>
      <c r="Q185" s="36">
        <f t="shared" si="74"/>
        <v>0.1361474435670838</v>
      </c>
      <c r="R185" s="36">
        <f t="shared" si="74"/>
        <v>0.1425434347161007</v>
      </c>
      <c r="S185" s="36">
        <f t="shared" si="74"/>
        <v>0.14635381242189802</v>
      </c>
      <c r="T185" s="37">
        <f t="shared" si="74"/>
        <v>0.15016419012769533</v>
      </c>
    </row>
    <row r="186" spans="2:20" ht="15">
      <c r="B186" s="13"/>
      <c r="T186" s="15"/>
    </row>
    <row r="187" spans="1:20" ht="15">
      <c r="A187" s="2" t="s">
        <v>150</v>
      </c>
      <c r="B187" s="13"/>
      <c r="T187" s="15"/>
    </row>
    <row r="188" spans="1:20" ht="15">
      <c r="A188" s="2" t="s">
        <v>147</v>
      </c>
      <c r="B188" s="20">
        <f aca="true" t="shared" si="75" ref="B188:T188">B181</f>
        <v>28911</v>
      </c>
      <c r="C188" s="4">
        <f t="shared" si="75"/>
        <v>29338</v>
      </c>
      <c r="D188" s="4">
        <f t="shared" si="75"/>
        <v>30610</v>
      </c>
      <c r="E188" s="4">
        <f t="shared" si="75"/>
        <v>30559</v>
      </c>
      <c r="F188" s="4">
        <f t="shared" si="75"/>
        <v>30508</v>
      </c>
      <c r="G188" s="4">
        <f t="shared" si="75"/>
        <v>31016</v>
      </c>
      <c r="H188" s="4">
        <f t="shared" si="75"/>
        <v>31524</v>
      </c>
      <c r="I188" s="4">
        <f t="shared" si="75"/>
        <v>32032</v>
      </c>
      <c r="J188" s="4">
        <f t="shared" si="75"/>
        <v>32540</v>
      </c>
      <c r="K188" s="4">
        <f t="shared" si="75"/>
        <v>33049</v>
      </c>
      <c r="L188" s="4">
        <f t="shared" si="75"/>
        <v>33495</v>
      </c>
      <c r="M188" s="4">
        <f t="shared" si="75"/>
        <v>33941</v>
      </c>
      <c r="N188" s="4">
        <f t="shared" si="75"/>
        <v>34387</v>
      </c>
      <c r="O188" s="4">
        <f t="shared" si="75"/>
        <v>34833</v>
      </c>
      <c r="P188" s="4">
        <f t="shared" si="75"/>
        <v>35277</v>
      </c>
      <c r="Q188" s="4">
        <f t="shared" si="75"/>
        <v>37017</v>
      </c>
      <c r="R188" s="4">
        <f t="shared" si="75"/>
        <v>38756</v>
      </c>
      <c r="S188" s="4">
        <f t="shared" si="75"/>
        <v>39792</v>
      </c>
      <c r="T188" s="21">
        <f t="shared" si="75"/>
        <v>40828</v>
      </c>
    </row>
    <row r="189" spans="1:20" ht="15">
      <c r="A189" s="2" t="s">
        <v>148</v>
      </c>
      <c r="B189" s="26">
        <v>0.25</v>
      </c>
      <c r="C189" s="6">
        <v>0.327</v>
      </c>
      <c r="D189" s="6">
        <v>0.41</v>
      </c>
      <c r="E189" s="6">
        <v>0.37</v>
      </c>
      <c r="F189" s="6">
        <v>0.32</v>
      </c>
      <c r="G189" s="6">
        <v>0.347</v>
      </c>
      <c r="H189" s="6">
        <f>130635/1000/366</f>
        <v>0.3569262295081967</v>
      </c>
      <c r="I189" s="6">
        <f>(170430+22346)*7.48/365/10000</f>
        <v>0.39505876164383563</v>
      </c>
      <c r="J189" s="6">
        <f aca="true" t="shared" si="76" ref="J189:P189">AVERAGE(E189:I189)*J188/I188</f>
        <v>0.3634713512243202</v>
      </c>
      <c r="K189" s="6">
        <f t="shared" si="76"/>
        <v>0.3620676070018198</v>
      </c>
      <c r="L189" s="6">
        <f t="shared" si="76"/>
        <v>0.36982922136477275</v>
      </c>
      <c r="M189" s="6">
        <f t="shared" si="76"/>
        <v>0.37439029089826126</v>
      </c>
      <c r="N189" s="6">
        <f t="shared" si="76"/>
        <v>0.377864353798402</v>
      </c>
      <c r="O189" s="6">
        <f t="shared" si="76"/>
        <v>0.37431730501881016</v>
      </c>
      <c r="P189" s="6">
        <f t="shared" si="76"/>
        <v>0.3764315625091209</v>
      </c>
      <c r="Q189" s="6">
        <f>P189*Q188/P188</f>
        <v>0.3949986435751376</v>
      </c>
      <c r="R189" s="6">
        <f>Q189*R188/Q188</f>
        <v>0.41355505390490943</v>
      </c>
      <c r="S189" s="6">
        <f>R189*S188/R188</f>
        <v>0.42460993665456076</v>
      </c>
      <c r="T189" s="27">
        <f>S189*T188/S188</f>
        <v>0.4356648194042121</v>
      </c>
    </row>
    <row r="190" spans="2:20" ht="15">
      <c r="B190" s="13"/>
      <c r="T190" s="15"/>
    </row>
    <row r="191" spans="2:20" ht="15">
      <c r="B191" s="13"/>
      <c r="T191" s="15"/>
    </row>
    <row r="192" spans="1:20" ht="15">
      <c r="A192" s="18" t="s">
        <v>151</v>
      </c>
      <c r="B192" s="35">
        <f aca="true" t="shared" si="77" ref="B192:T192">B189</f>
        <v>0.25</v>
      </c>
      <c r="C192" s="36">
        <f t="shared" si="77"/>
        <v>0.327</v>
      </c>
      <c r="D192" s="36">
        <f t="shared" si="77"/>
        <v>0.41</v>
      </c>
      <c r="E192" s="36">
        <f t="shared" si="77"/>
        <v>0.37</v>
      </c>
      <c r="F192" s="36">
        <f t="shared" si="77"/>
        <v>0.32</v>
      </c>
      <c r="G192" s="36">
        <f t="shared" si="77"/>
        <v>0.347</v>
      </c>
      <c r="H192" s="36">
        <f t="shared" si="77"/>
        <v>0.3569262295081967</v>
      </c>
      <c r="I192" s="36">
        <f t="shared" si="77"/>
        <v>0.39505876164383563</v>
      </c>
      <c r="J192" s="36">
        <f t="shared" si="77"/>
        <v>0.3634713512243202</v>
      </c>
      <c r="K192" s="36">
        <f t="shared" si="77"/>
        <v>0.3620676070018198</v>
      </c>
      <c r="L192" s="36">
        <f t="shared" si="77"/>
        <v>0.36982922136477275</v>
      </c>
      <c r="M192" s="36">
        <f t="shared" si="77"/>
        <v>0.37439029089826126</v>
      </c>
      <c r="N192" s="36">
        <f t="shared" si="77"/>
        <v>0.377864353798402</v>
      </c>
      <c r="O192" s="36">
        <f t="shared" si="77"/>
        <v>0.37431730501881016</v>
      </c>
      <c r="P192" s="36">
        <f t="shared" si="77"/>
        <v>0.3764315625091209</v>
      </c>
      <c r="Q192" s="36">
        <f t="shared" si="77"/>
        <v>0.3949986435751376</v>
      </c>
      <c r="R192" s="36">
        <f t="shared" si="77"/>
        <v>0.41355505390490943</v>
      </c>
      <c r="S192" s="36">
        <f t="shared" si="77"/>
        <v>0.42460993665456076</v>
      </c>
      <c r="T192" s="37">
        <f t="shared" si="77"/>
        <v>0.4356648194042121</v>
      </c>
    </row>
    <row r="193" spans="2:20" ht="15">
      <c r="B193" s="13"/>
      <c r="T193" s="15"/>
    </row>
    <row r="194" spans="1:20" ht="15">
      <c r="A194" s="2" t="s">
        <v>152</v>
      </c>
      <c r="B194" s="13"/>
      <c r="T194" s="15"/>
    </row>
    <row r="195" spans="1:20" ht="15">
      <c r="A195" s="2" t="s">
        <v>153</v>
      </c>
      <c r="B195" s="20">
        <f aca="true" t="shared" si="78" ref="B195:T195">B133</f>
        <v>19188</v>
      </c>
      <c r="C195" s="4">
        <f t="shared" si="78"/>
        <v>19088</v>
      </c>
      <c r="D195" s="4">
        <f t="shared" si="78"/>
        <v>18978</v>
      </c>
      <c r="E195" s="4">
        <f t="shared" si="78"/>
        <v>19277</v>
      </c>
      <c r="F195" s="4">
        <f t="shared" si="78"/>
        <v>19236</v>
      </c>
      <c r="G195" s="4">
        <f t="shared" si="78"/>
        <v>19316</v>
      </c>
      <c r="H195" s="4">
        <f t="shared" si="78"/>
        <v>19397</v>
      </c>
      <c r="I195" s="4">
        <f t="shared" si="78"/>
        <v>19478</v>
      </c>
      <c r="J195" s="4">
        <f t="shared" si="78"/>
        <v>19558</v>
      </c>
      <c r="K195" s="4">
        <f t="shared" si="78"/>
        <v>19639</v>
      </c>
      <c r="L195" s="4">
        <f t="shared" si="78"/>
        <v>19706</v>
      </c>
      <c r="M195" s="4">
        <f t="shared" si="78"/>
        <v>19773</v>
      </c>
      <c r="N195" s="4">
        <f t="shared" si="78"/>
        <v>19840</v>
      </c>
      <c r="O195" s="4">
        <f t="shared" si="78"/>
        <v>19907</v>
      </c>
      <c r="P195" s="4">
        <f t="shared" si="78"/>
        <v>19976</v>
      </c>
      <c r="Q195" s="4">
        <f t="shared" si="78"/>
        <v>20238</v>
      </c>
      <c r="R195" s="4">
        <f t="shared" si="78"/>
        <v>20500</v>
      </c>
      <c r="S195" s="4">
        <f t="shared" si="78"/>
        <v>20700</v>
      </c>
      <c r="T195" s="21">
        <f t="shared" si="78"/>
        <v>20900</v>
      </c>
    </row>
    <row r="196" spans="1:20" ht="15">
      <c r="A196" s="2" t="s">
        <v>148</v>
      </c>
      <c r="B196" s="2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0.06</v>
      </c>
      <c r="K196" s="6">
        <f>J196*K195/J195</f>
        <v>0.060248491665814495</v>
      </c>
      <c r="L196" s="6">
        <f>AVERAGE(J196:K196)*L195/K195</f>
        <v>0.060329364447439804</v>
      </c>
      <c r="M196" s="6">
        <f>AVERAGE(J196:L196)*M195/L195</f>
        <v>0.0603972723862001</v>
      </c>
      <c r="N196" s="6">
        <f>AVERAGE(J196:M196)*N195/M195</f>
        <v>0.06044791571118666</v>
      </c>
      <c r="O196" s="6">
        <f aca="true" t="shared" si="79" ref="O196:T196">AVERAGE(J196:N196)*O195/N195</f>
        <v>0.06048819093852049</v>
      </c>
      <c r="P196" s="6">
        <f t="shared" si="79"/>
        <v>0.06059153898969862</v>
      </c>
      <c r="Q196" s="6">
        <f t="shared" si="79"/>
        <v>0.06124371414386762</v>
      </c>
      <c r="R196" s="6">
        <f t="shared" si="79"/>
        <v>0.06141868721686141</v>
      </c>
      <c r="S196" s="6">
        <f t="shared" si="79"/>
        <v>0.06143155095514917</v>
      </c>
      <c r="T196" s="27">
        <f t="shared" si="79"/>
        <v>0.061624444047358784</v>
      </c>
    </row>
    <row r="197" spans="2:20" ht="15">
      <c r="B197" s="2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27"/>
    </row>
    <row r="198" spans="2:20" ht="15">
      <c r="B198" s="2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27"/>
    </row>
    <row r="199" spans="1:20" ht="15">
      <c r="A199" s="18" t="s">
        <v>154</v>
      </c>
      <c r="B199" s="35">
        <f aca="true" t="shared" si="80" ref="B199:T199">B196</f>
        <v>0</v>
      </c>
      <c r="C199" s="36">
        <f t="shared" si="80"/>
        <v>0</v>
      </c>
      <c r="D199" s="36">
        <f t="shared" si="80"/>
        <v>0</v>
      </c>
      <c r="E199" s="36">
        <f t="shared" si="80"/>
        <v>0</v>
      </c>
      <c r="F199" s="36">
        <f t="shared" si="80"/>
        <v>0</v>
      </c>
      <c r="G199" s="36">
        <f t="shared" si="80"/>
        <v>0</v>
      </c>
      <c r="H199" s="36">
        <f t="shared" si="80"/>
        <v>0</v>
      </c>
      <c r="I199" s="36">
        <f t="shared" si="80"/>
        <v>0</v>
      </c>
      <c r="J199" s="36">
        <f t="shared" si="80"/>
        <v>0.06</v>
      </c>
      <c r="K199" s="36">
        <f t="shared" si="80"/>
        <v>0.060248491665814495</v>
      </c>
      <c r="L199" s="36">
        <f t="shared" si="80"/>
        <v>0.060329364447439804</v>
      </c>
      <c r="M199" s="36">
        <f t="shared" si="80"/>
        <v>0.0603972723862001</v>
      </c>
      <c r="N199" s="36">
        <f t="shared" si="80"/>
        <v>0.06044791571118666</v>
      </c>
      <c r="O199" s="36">
        <f t="shared" si="80"/>
        <v>0.06048819093852049</v>
      </c>
      <c r="P199" s="36">
        <f t="shared" si="80"/>
        <v>0.06059153898969862</v>
      </c>
      <c r="Q199" s="36">
        <f t="shared" si="80"/>
        <v>0.06124371414386762</v>
      </c>
      <c r="R199" s="36">
        <f t="shared" si="80"/>
        <v>0.06141868721686141</v>
      </c>
      <c r="S199" s="36">
        <f t="shared" si="80"/>
        <v>0.06143155095514917</v>
      </c>
      <c r="T199" s="37">
        <f t="shared" si="80"/>
        <v>0.061624444047358784</v>
      </c>
    </row>
    <row r="200" spans="2:20" ht="15">
      <c r="B200" s="13"/>
      <c r="T200" s="15"/>
    </row>
    <row r="201" spans="1:20" ht="15">
      <c r="A201" s="2" t="s">
        <v>155</v>
      </c>
      <c r="B201" s="13"/>
      <c r="T201" s="15"/>
    </row>
    <row r="202" spans="1:20" ht="15">
      <c r="A202" s="2" t="s">
        <v>135</v>
      </c>
      <c r="B202" s="26">
        <f aca="true" t="shared" si="81" ref="B202:T202">B167+B178+B185+B192+B199</f>
        <v>0.53</v>
      </c>
      <c r="C202" s="6">
        <f t="shared" si="81"/>
        <v>0.77163</v>
      </c>
      <c r="D202" s="6">
        <f t="shared" si="81"/>
        <v>0.73</v>
      </c>
      <c r="E202" s="6">
        <f t="shared" si="81"/>
        <v>0.61</v>
      </c>
      <c r="F202" s="6">
        <f t="shared" si="81"/>
        <v>0.575</v>
      </c>
      <c r="G202" s="6">
        <f t="shared" si="81"/>
        <v>0.6419999999999999</v>
      </c>
      <c r="H202" s="6">
        <f t="shared" si="81"/>
        <v>0.6282049180327869</v>
      </c>
      <c r="I202" s="6">
        <f t="shared" si="81"/>
        <v>0.781194805479452</v>
      </c>
      <c r="J202" s="6">
        <f t="shared" si="81"/>
        <v>0.8558657669177483</v>
      </c>
      <c r="K202" s="6">
        <f t="shared" si="81"/>
        <v>0.8994295473202704</v>
      </c>
      <c r="L202" s="6">
        <f t="shared" si="81"/>
        <v>0.9511513322976859</v>
      </c>
      <c r="M202" s="6">
        <f t="shared" si="81"/>
        <v>0.9975842186090427</v>
      </c>
      <c r="N202" s="6">
        <f t="shared" si="81"/>
        <v>1.0375894966247572</v>
      </c>
      <c r="O202" s="6">
        <f t="shared" si="81"/>
        <v>1.0703572180157261</v>
      </c>
      <c r="P202" s="6">
        <f t="shared" si="81"/>
        <v>1.1127048706152185</v>
      </c>
      <c r="Q202" s="6">
        <f t="shared" si="81"/>
        <v>1.2850884835597536</v>
      </c>
      <c r="R202" s="6">
        <f t="shared" si="81"/>
        <v>1.4531720902513552</v>
      </c>
      <c r="S202" s="6">
        <f t="shared" si="81"/>
        <v>1.5463524408131395</v>
      </c>
      <c r="T202" s="27">
        <f t="shared" si="81"/>
        <v>1.6418550011919064</v>
      </c>
    </row>
    <row r="203" spans="1:20" ht="15">
      <c r="A203" s="12"/>
      <c r="B203" s="1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6"/>
    </row>
    <row r="206" ht="15">
      <c r="A206" s="2" t="s">
        <v>156</v>
      </c>
    </row>
    <row r="207" spans="2:20" ht="15">
      <c r="B207" s="10" t="s">
        <v>28</v>
      </c>
      <c r="C207" s="10" t="s">
        <v>29</v>
      </c>
      <c r="D207" s="10" t="s">
        <v>30</v>
      </c>
      <c r="E207" s="10" t="s">
        <v>31</v>
      </c>
      <c r="F207" s="10" t="s">
        <v>32</v>
      </c>
      <c r="G207" s="10" t="s">
        <v>33</v>
      </c>
      <c r="H207" s="10" t="s">
        <v>34</v>
      </c>
      <c r="I207" s="10" t="s">
        <v>35</v>
      </c>
      <c r="J207" s="10" t="s">
        <v>36</v>
      </c>
      <c r="K207" s="10" t="s">
        <v>37</v>
      </c>
      <c r="L207" s="10" t="s">
        <v>38</v>
      </c>
      <c r="M207" s="10" t="s">
        <v>39</v>
      </c>
      <c r="N207" s="10" t="s">
        <v>40</v>
      </c>
      <c r="O207" s="10" t="s">
        <v>41</v>
      </c>
      <c r="P207" s="10" t="s">
        <v>42</v>
      </c>
      <c r="Q207" s="10" t="s">
        <v>43</v>
      </c>
      <c r="R207" s="10" t="s">
        <v>44</v>
      </c>
      <c r="S207" s="10" t="s">
        <v>45</v>
      </c>
      <c r="T207" s="10" t="s">
        <v>46</v>
      </c>
    </row>
    <row r="208" spans="1:20" ht="15">
      <c r="A208" s="17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3"/>
    </row>
    <row r="209" spans="1:20" ht="15">
      <c r="A209" s="2" t="s">
        <v>157</v>
      </c>
      <c r="B209" s="2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27"/>
    </row>
    <row r="210" spans="1:20" ht="15">
      <c r="A210" s="2" t="s">
        <v>158</v>
      </c>
      <c r="B210" s="26"/>
      <c r="C210" s="6"/>
      <c r="D210" s="6"/>
      <c r="E210" s="6"/>
      <c r="F210" s="6"/>
      <c r="G210" s="6"/>
      <c r="H210" s="6"/>
      <c r="I210" s="6"/>
      <c r="J210" s="6">
        <v>22.4</v>
      </c>
      <c r="K210" s="6">
        <v>22.4</v>
      </c>
      <c r="L210" s="6">
        <v>22.4</v>
      </c>
      <c r="M210" s="6">
        <v>22.4</v>
      </c>
      <c r="N210" s="6">
        <v>22.4</v>
      </c>
      <c r="O210" s="6">
        <v>22.4</v>
      </c>
      <c r="P210" s="6"/>
      <c r="Q210" s="6"/>
      <c r="R210" s="6"/>
      <c r="S210" s="6"/>
      <c r="T210" s="27"/>
    </row>
    <row r="211" spans="1:20" ht="15">
      <c r="A211" s="2" t="s">
        <v>159</v>
      </c>
      <c r="B211" s="26"/>
      <c r="C211" s="6"/>
      <c r="D211" s="6"/>
      <c r="E211" s="6"/>
      <c r="F211" s="6"/>
      <c r="G211" s="6"/>
      <c r="H211" s="6"/>
      <c r="I211" s="6"/>
      <c r="J211" s="11">
        <v>300</v>
      </c>
      <c r="K211" s="11">
        <v>1500</v>
      </c>
      <c r="L211" s="11">
        <v>2000</v>
      </c>
      <c r="M211" s="11">
        <v>2500</v>
      </c>
      <c r="N211" s="11">
        <v>3000</v>
      </c>
      <c r="O211" s="11">
        <v>3500</v>
      </c>
      <c r="P211" s="11">
        <v>0</v>
      </c>
      <c r="Q211" s="11">
        <v>0</v>
      </c>
      <c r="R211" s="11">
        <v>0</v>
      </c>
      <c r="S211" s="11">
        <v>0</v>
      </c>
      <c r="T211" s="23">
        <v>0</v>
      </c>
    </row>
    <row r="212" spans="1:20" ht="15">
      <c r="A212" s="2" t="s">
        <v>160</v>
      </c>
      <c r="B212" s="26">
        <v>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f aca="true" t="shared" si="82" ref="J212:O212">J210*J211/1000000</f>
        <v>0.00672</v>
      </c>
      <c r="K212" s="6">
        <f t="shared" si="82"/>
        <v>0.0336</v>
      </c>
      <c r="L212" s="6">
        <f t="shared" si="82"/>
        <v>0.0448</v>
      </c>
      <c r="M212" s="6">
        <f t="shared" si="82"/>
        <v>0.056</v>
      </c>
      <c r="N212" s="6">
        <f t="shared" si="82"/>
        <v>0.0672</v>
      </c>
      <c r="O212" s="6">
        <f t="shared" si="82"/>
        <v>0.0784</v>
      </c>
      <c r="P212" s="6">
        <v>0</v>
      </c>
      <c r="Q212" s="6">
        <v>0</v>
      </c>
      <c r="R212" s="6">
        <v>0</v>
      </c>
      <c r="S212" s="6">
        <v>0</v>
      </c>
      <c r="T212" s="27">
        <v>0</v>
      </c>
    </row>
    <row r="213" spans="2:20" ht="15">
      <c r="B213" s="2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27"/>
    </row>
    <row r="214" spans="1:20" ht="15">
      <c r="A214" s="18" t="s">
        <v>161</v>
      </c>
      <c r="B214" s="35">
        <f aca="true" t="shared" si="83" ref="B214:T214">A214+B212</f>
        <v>0</v>
      </c>
      <c r="C214" s="36">
        <f t="shared" si="83"/>
        <v>0</v>
      </c>
      <c r="D214" s="36">
        <f t="shared" si="83"/>
        <v>0</v>
      </c>
      <c r="E214" s="36">
        <f t="shared" si="83"/>
        <v>0</v>
      </c>
      <c r="F214" s="36">
        <f t="shared" si="83"/>
        <v>0</v>
      </c>
      <c r="G214" s="36">
        <f t="shared" si="83"/>
        <v>0</v>
      </c>
      <c r="H214" s="36">
        <f t="shared" si="83"/>
        <v>0</v>
      </c>
      <c r="I214" s="36">
        <f t="shared" si="83"/>
        <v>0</v>
      </c>
      <c r="J214" s="36">
        <f t="shared" si="83"/>
        <v>0.00672</v>
      </c>
      <c r="K214" s="36">
        <f t="shared" si="83"/>
        <v>0.040319999999999995</v>
      </c>
      <c r="L214" s="36">
        <f t="shared" si="83"/>
        <v>0.08512</v>
      </c>
      <c r="M214" s="36">
        <f t="shared" si="83"/>
        <v>0.14112</v>
      </c>
      <c r="N214" s="36">
        <f t="shared" si="83"/>
        <v>0.20832</v>
      </c>
      <c r="O214" s="36">
        <f t="shared" si="83"/>
        <v>0.28672</v>
      </c>
      <c r="P214" s="36">
        <f t="shared" si="83"/>
        <v>0.28672</v>
      </c>
      <c r="Q214" s="36">
        <f t="shared" si="83"/>
        <v>0.28672</v>
      </c>
      <c r="R214" s="36">
        <f t="shared" si="83"/>
        <v>0.28672</v>
      </c>
      <c r="S214" s="36">
        <f t="shared" si="83"/>
        <v>0.28672</v>
      </c>
      <c r="T214" s="37">
        <f t="shared" si="83"/>
        <v>0.28672</v>
      </c>
    </row>
    <row r="215" spans="2:20" ht="15">
      <c r="B215" s="2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27"/>
    </row>
    <row r="216" spans="1:20" ht="15">
      <c r="A216" s="2" t="s">
        <v>162</v>
      </c>
      <c r="B216" s="2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27"/>
    </row>
    <row r="217" spans="1:20" ht="15">
      <c r="A217" s="2" t="s">
        <v>158</v>
      </c>
      <c r="B217" s="26"/>
      <c r="C217" s="6"/>
      <c r="D217" s="6"/>
      <c r="E217" s="6"/>
      <c r="F217" s="6"/>
      <c r="G217" s="6"/>
      <c r="H217" s="6"/>
      <c r="I217" s="6"/>
      <c r="J217" s="6"/>
      <c r="K217" s="6">
        <v>3.8</v>
      </c>
      <c r="L217" s="6">
        <v>3.8</v>
      </c>
      <c r="M217" s="6">
        <v>3.8</v>
      </c>
      <c r="N217" s="6">
        <v>3.8</v>
      </c>
      <c r="O217" s="6"/>
      <c r="P217" s="6"/>
      <c r="Q217" s="6"/>
      <c r="R217" s="6"/>
      <c r="S217" s="6"/>
      <c r="T217" s="27"/>
    </row>
    <row r="218" spans="1:20" ht="15">
      <c r="A218" s="2" t="s">
        <v>159</v>
      </c>
      <c r="B218" s="26"/>
      <c r="C218" s="6"/>
      <c r="D218" s="6"/>
      <c r="E218" s="6"/>
      <c r="F218" s="6"/>
      <c r="G218" s="6"/>
      <c r="H218" s="6"/>
      <c r="I218" s="6"/>
      <c r="J218" s="11"/>
      <c r="K218" s="11">
        <v>500</v>
      </c>
      <c r="L218" s="11">
        <v>3000</v>
      </c>
      <c r="M218" s="11">
        <v>10000</v>
      </c>
      <c r="N218" s="11">
        <v>12500</v>
      </c>
      <c r="O218" s="6"/>
      <c r="P218" s="6"/>
      <c r="Q218" s="6"/>
      <c r="R218" s="6"/>
      <c r="S218" s="6"/>
      <c r="T218" s="27"/>
    </row>
    <row r="219" spans="1:20" ht="15">
      <c r="A219" s="2" t="s">
        <v>160</v>
      </c>
      <c r="B219" s="26">
        <v>0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f>K217*K218/1000000</f>
        <v>0.0019</v>
      </c>
      <c r="L219" s="6">
        <f>L217*L218/1000000</f>
        <v>0.0114</v>
      </c>
      <c r="M219" s="6">
        <f>M217*M218/1000000</f>
        <v>0.038</v>
      </c>
      <c r="N219" s="6">
        <f>N217*N218/1000000</f>
        <v>0.0475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27">
        <v>0</v>
      </c>
    </row>
    <row r="220" spans="2:20" ht="15">
      <c r="B220" s="2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27"/>
    </row>
    <row r="221" spans="1:20" ht="15">
      <c r="A221" s="18" t="s">
        <v>161</v>
      </c>
      <c r="B221" s="35">
        <f aca="true" t="shared" si="84" ref="B221:T221">A221+B219</f>
        <v>0</v>
      </c>
      <c r="C221" s="36">
        <f t="shared" si="84"/>
        <v>0</v>
      </c>
      <c r="D221" s="36">
        <f t="shared" si="84"/>
        <v>0</v>
      </c>
      <c r="E221" s="36">
        <f t="shared" si="84"/>
        <v>0</v>
      </c>
      <c r="F221" s="36">
        <f t="shared" si="84"/>
        <v>0</v>
      </c>
      <c r="G221" s="36">
        <f t="shared" si="84"/>
        <v>0</v>
      </c>
      <c r="H221" s="36">
        <f t="shared" si="84"/>
        <v>0</v>
      </c>
      <c r="I221" s="36">
        <f t="shared" si="84"/>
        <v>0</v>
      </c>
      <c r="J221" s="36">
        <f t="shared" si="84"/>
        <v>0</v>
      </c>
      <c r="K221" s="36">
        <f t="shared" si="84"/>
        <v>0.0019</v>
      </c>
      <c r="L221" s="36">
        <f t="shared" si="84"/>
        <v>0.013300000000000001</v>
      </c>
      <c r="M221" s="36">
        <f t="shared" si="84"/>
        <v>0.0513</v>
      </c>
      <c r="N221" s="36">
        <f t="shared" si="84"/>
        <v>0.0988</v>
      </c>
      <c r="O221" s="36">
        <f t="shared" si="84"/>
        <v>0.0988</v>
      </c>
      <c r="P221" s="36">
        <f t="shared" si="84"/>
        <v>0.0988</v>
      </c>
      <c r="Q221" s="36">
        <f t="shared" si="84"/>
        <v>0.0988</v>
      </c>
      <c r="R221" s="36">
        <f t="shared" si="84"/>
        <v>0.0988</v>
      </c>
      <c r="S221" s="36">
        <f t="shared" si="84"/>
        <v>0.0988</v>
      </c>
      <c r="T221" s="37">
        <f t="shared" si="84"/>
        <v>0.0988</v>
      </c>
    </row>
    <row r="222" spans="2:20" ht="15">
      <c r="B222" s="2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27"/>
    </row>
    <row r="223" spans="1:20" ht="15">
      <c r="A223" s="2" t="s">
        <v>163</v>
      </c>
      <c r="B223" s="2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27"/>
    </row>
    <row r="224" spans="1:20" ht="15">
      <c r="A224" s="2" t="s">
        <v>158</v>
      </c>
      <c r="B224" s="26"/>
      <c r="C224" s="6"/>
      <c r="D224" s="6"/>
      <c r="E224" s="6"/>
      <c r="F224" s="6"/>
      <c r="G224" s="6"/>
      <c r="H224" s="6"/>
      <c r="I224" s="6"/>
      <c r="J224" s="6"/>
      <c r="K224" s="6"/>
      <c r="L224" s="6">
        <v>23.76</v>
      </c>
      <c r="M224" s="6">
        <v>23.76</v>
      </c>
      <c r="N224" s="6">
        <v>23.76</v>
      </c>
      <c r="O224" s="6">
        <v>23.76</v>
      </c>
      <c r="P224" s="6">
        <v>23.76</v>
      </c>
      <c r="Q224" s="6">
        <v>23.76</v>
      </c>
      <c r="R224" s="6"/>
      <c r="S224" s="6"/>
      <c r="T224" s="27"/>
    </row>
    <row r="225" spans="1:20" ht="15">
      <c r="A225" s="2" t="s">
        <v>159</v>
      </c>
      <c r="B225" s="26"/>
      <c r="C225" s="6"/>
      <c r="D225" s="6"/>
      <c r="E225" s="6"/>
      <c r="F225" s="6"/>
      <c r="G225" s="6"/>
      <c r="H225" s="6"/>
      <c r="I225" s="6"/>
      <c r="J225" s="6"/>
      <c r="K225" s="6"/>
      <c r="L225" s="11">
        <v>200</v>
      </c>
      <c r="M225" s="11">
        <v>200</v>
      </c>
      <c r="N225" s="11">
        <v>200</v>
      </c>
      <c r="O225" s="11">
        <v>200</v>
      </c>
      <c r="P225" s="11">
        <v>200</v>
      </c>
      <c r="Q225" s="11">
        <v>200</v>
      </c>
      <c r="R225" s="6"/>
      <c r="S225" s="6"/>
      <c r="T225" s="27"/>
    </row>
    <row r="226" spans="1:20" ht="15">
      <c r="A226" s="2" t="s">
        <v>160</v>
      </c>
      <c r="B226" s="26">
        <v>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f aca="true" t="shared" si="85" ref="L226:Q226">L224*L225/1000000</f>
        <v>0.004752</v>
      </c>
      <c r="M226" s="6">
        <f t="shared" si="85"/>
        <v>0.004752</v>
      </c>
      <c r="N226" s="6">
        <f t="shared" si="85"/>
        <v>0.004752</v>
      </c>
      <c r="O226" s="6">
        <f t="shared" si="85"/>
        <v>0.004752</v>
      </c>
      <c r="P226" s="6">
        <f t="shared" si="85"/>
        <v>0.004752</v>
      </c>
      <c r="Q226" s="6">
        <f t="shared" si="85"/>
        <v>0.004752</v>
      </c>
      <c r="R226" s="6">
        <v>0</v>
      </c>
      <c r="S226" s="6">
        <v>0</v>
      </c>
      <c r="T226" s="27">
        <v>0</v>
      </c>
    </row>
    <row r="227" spans="2:20" ht="15">
      <c r="B227" s="2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27"/>
    </row>
    <row r="228" spans="1:20" ht="15">
      <c r="A228" s="18" t="s">
        <v>161</v>
      </c>
      <c r="B228" s="35">
        <f aca="true" t="shared" si="86" ref="B228:P228">A228+B226</f>
        <v>0</v>
      </c>
      <c r="C228" s="36">
        <f t="shared" si="86"/>
        <v>0</v>
      </c>
      <c r="D228" s="36">
        <f t="shared" si="86"/>
        <v>0</v>
      </c>
      <c r="E228" s="36">
        <f t="shared" si="86"/>
        <v>0</v>
      </c>
      <c r="F228" s="36">
        <f t="shared" si="86"/>
        <v>0</v>
      </c>
      <c r="G228" s="36">
        <f t="shared" si="86"/>
        <v>0</v>
      </c>
      <c r="H228" s="36">
        <f t="shared" si="86"/>
        <v>0</v>
      </c>
      <c r="I228" s="36">
        <f t="shared" si="86"/>
        <v>0</v>
      </c>
      <c r="J228" s="36">
        <f t="shared" si="86"/>
        <v>0</v>
      </c>
      <c r="K228" s="36">
        <f t="shared" si="86"/>
        <v>0</v>
      </c>
      <c r="L228" s="36">
        <f t="shared" si="86"/>
        <v>0.004752</v>
      </c>
      <c r="M228" s="36">
        <f t="shared" si="86"/>
        <v>0.009504</v>
      </c>
      <c r="N228" s="36">
        <f t="shared" si="86"/>
        <v>0.014256000000000001</v>
      </c>
      <c r="O228" s="36">
        <f t="shared" si="86"/>
        <v>0.019008</v>
      </c>
      <c r="P228" s="36">
        <f t="shared" si="86"/>
        <v>0.02376</v>
      </c>
      <c r="Q228" s="36">
        <f>P228+Q226+(4*200*23.76/1000000)</f>
        <v>0.04752</v>
      </c>
      <c r="R228" s="36">
        <f>Q228+R226</f>
        <v>0.04752</v>
      </c>
      <c r="S228" s="36">
        <f>R228+S226</f>
        <v>0.04752</v>
      </c>
      <c r="T228" s="37">
        <f>S228+T226</f>
        <v>0.04752</v>
      </c>
    </row>
    <row r="229" spans="2:20" ht="15">
      <c r="B229" s="2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27"/>
    </row>
    <row r="230" spans="1:20" ht="15">
      <c r="A230" s="2" t="s">
        <v>164</v>
      </c>
      <c r="B230" s="2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27"/>
    </row>
    <row r="231" spans="1:20" ht="15">
      <c r="A231" s="2" t="s">
        <v>165</v>
      </c>
      <c r="B231" s="26"/>
      <c r="C231" s="6"/>
      <c r="D231" s="6"/>
      <c r="E231" s="6"/>
      <c r="F231" s="6"/>
      <c r="G231" s="6"/>
      <c r="H231" s="6"/>
      <c r="I231" s="6"/>
      <c r="J231" s="6"/>
      <c r="K231" s="6"/>
      <c r="L231" s="11">
        <v>523</v>
      </c>
      <c r="M231" s="11">
        <v>523</v>
      </c>
      <c r="N231" s="11">
        <v>523</v>
      </c>
      <c r="O231" s="11">
        <v>523</v>
      </c>
      <c r="P231" s="11">
        <v>523</v>
      </c>
      <c r="Q231" s="6"/>
      <c r="R231" s="6"/>
      <c r="S231" s="6"/>
      <c r="T231" s="27"/>
    </row>
    <row r="232" spans="1:20" ht="15">
      <c r="A232" s="2" t="s">
        <v>166</v>
      </c>
      <c r="B232" s="26"/>
      <c r="C232" s="6"/>
      <c r="D232" s="6"/>
      <c r="E232" s="6"/>
      <c r="F232" s="6"/>
      <c r="G232" s="6"/>
      <c r="H232" s="6"/>
      <c r="I232" s="6"/>
      <c r="J232" s="6"/>
      <c r="K232" s="6"/>
      <c r="L232" s="11">
        <v>50</v>
      </c>
      <c r="M232" s="11">
        <v>150</v>
      </c>
      <c r="N232" s="11">
        <v>150</v>
      </c>
      <c r="O232" s="11">
        <v>200</v>
      </c>
      <c r="P232" s="11">
        <v>200</v>
      </c>
      <c r="Q232" s="6"/>
      <c r="R232" s="6"/>
      <c r="S232" s="6"/>
      <c r="T232" s="27"/>
    </row>
    <row r="233" spans="1:20" ht="15">
      <c r="A233" s="2" t="s">
        <v>160</v>
      </c>
      <c r="B233" s="26">
        <v>0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f>L231*L232/1000000</f>
        <v>0.02615</v>
      </c>
      <c r="M233" s="6">
        <f>M231*M232/1000000</f>
        <v>0.07845</v>
      </c>
      <c r="N233" s="6">
        <f>N231*N232/1000000</f>
        <v>0.07845</v>
      </c>
      <c r="O233" s="6">
        <f>O231*O232/1000000</f>
        <v>0.1046</v>
      </c>
      <c r="P233" s="6">
        <f>P231*P232/1000000</f>
        <v>0.1046</v>
      </c>
      <c r="Q233" s="6">
        <v>0</v>
      </c>
      <c r="R233" s="6">
        <v>0</v>
      </c>
      <c r="S233" s="6">
        <v>0</v>
      </c>
      <c r="T233" s="27">
        <v>0</v>
      </c>
    </row>
    <row r="234" spans="2:20" ht="15">
      <c r="B234" s="2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27"/>
    </row>
    <row r="235" spans="1:20" ht="15">
      <c r="A235" s="2" t="s">
        <v>167</v>
      </c>
      <c r="B235" s="26"/>
      <c r="C235" s="6"/>
      <c r="D235" s="6"/>
      <c r="E235" s="6"/>
      <c r="F235" s="6"/>
      <c r="G235" s="6"/>
      <c r="H235" s="6"/>
      <c r="I235" s="6"/>
      <c r="J235" s="6"/>
      <c r="K235" s="6"/>
      <c r="L235" s="11">
        <v>70824</v>
      </c>
      <c r="M235" s="11">
        <v>70824</v>
      </c>
      <c r="N235" s="11">
        <v>70824</v>
      </c>
      <c r="O235" s="11">
        <v>70824</v>
      </c>
      <c r="P235" s="6"/>
      <c r="Q235" s="6"/>
      <c r="R235" s="6"/>
      <c r="S235" s="6"/>
      <c r="T235" s="27"/>
    </row>
    <row r="236" spans="1:20" ht="15">
      <c r="A236" s="2" t="s">
        <v>166</v>
      </c>
      <c r="B236" s="26"/>
      <c r="C236" s="6"/>
      <c r="D236" s="6"/>
      <c r="E236" s="6"/>
      <c r="F236" s="6"/>
      <c r="G236" s="6"/>
      <c r="H236" s="6"/>
      <c r="I236" s="6"/>
      <c r="J236" s="6"/>
      <c r="K236" s="6"/>
      <c r="L236" s="11">
        <v>1</v>
      </c>
      <c r="M236" s="11">
        <v>2</v>
      </c>
      <c r="N236" s="11">
        <v>2</v>
      </c>
      <c r="O236" s="11">
        <v>2</v>
      </c>
      <c r="P236" s="6"/>
      <c r="Q236" s="6"/>
      <c r="R236" s="6"/>
      <c r="S236" s="6"/>
      <c r="T236" s="27"/>
    </row>
    <row r="237" spans="1:20" ht="15">
      <c r="A237" s="2" t="s">
        <v>160</v>
      </c>
      <c r="B237" s="2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f>L235*L236/1000000</f>
        <v>0.070824</v>
      </c>
      <c r="M237" s="6">
        <f>M235*M236/1000000</f>
        <v>0.141648</v>
      </c>
      <c r="N237" s="6">
        <f>N235*N236/1000000</f>
        <v>0.141648</v>
      </c>
      <c r="O237" s="6">
        <f>O235*O236/1000000</f>
        <v>0.141648</v>
      </c>
      <c r="P237" s="6">
        <v>0</v>
      </c>
      <c r="Q237" s="6">
        <v>0</v>
      </c>
      <c r="R237" s="6">
        <v>0</v>
      </c>
      <c r="S237" s="6">
        <v>0</v>
      </c>
      <c r="T237" s="27">
        <v>0</v>
      </c>
    </row>
    <row r="238" spans="2:20" ht="15">
      <c r="B238" s="2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27"/>
    </row>
    <row r="239" spans="1:20" ht="15">
      <c r="A239" s="18" t="s">
        <v>161</v>
      </c>
      <c r="B239" s="35">
        <f aca="true" t="shared" si="87" ref="B239:T239">A239+B233+B237</f>
        <v>0</v>
      </c>
      <c r="C239" s="36">
        <f t="shared" si="87"/>
        <v>0</v>
      </c>
      <c r="D239" s="36">
        <f t="shared" si="87"/>
        <v>0</v>
      </c>
      <c r="E239" s="36">
        <f t="shared" si="87"/>
        <v>0</v>
      </c>
      <c r="F239" s="36">
        <f t="shared" si="87"/>
        <v>0</v>
      </c>
      <c r="G239" s="36">
        <f t="shared" si="87"/>
        <v>0</v>
      </c>
      <c r="H239" s="36">
        <f t="shared" si="87"/>
        <v>0</v>
      </c>
      <c r="I239" s="36">
        <f t="shared" si="87"/>
        <v>0</v>
      </c>
      <c r="J239" s="36">
        <f t="shared" si="87"/>
        <v>0</v>
      </c>
      <c r="K239" s="36">
        <f t="shared" si="87"/>
        <v>0</v>
      </c>
      <c r="L239" s="36">
        <f t="shared" si="87"/>
        <v>0.096974</v>
      </c>
      <c r="M239" s="36">
        <f t="shared" si="87"/>
        <v>0.317072</v>
      </c>
      <c r="N239" s="36">
        <f t="shared" si="87"/>
        <v>0.53717</v>
      </c>
      <c r="O239" s="36">
        <f t="shared" si="87"/>
        <v>0.7834180000000001</v>
      </c>
      <c r="P239" s="36">
        <f t="shared" si="87"/>
        <v>0.8880180000000001</v>
      </c>
      <c r="Q239" s="36">
        <f t="shared" si="87"/>
        <v>0.8880180000000001</v>
      </c>
      <c r="R239" s="36">
        <f t="shared" si="87"/>
        <v>0.8880180000000001</v>
      </c>
      <c r="S239" s="36">
        <f t="shared" si="87"/>
        <v>0.8880180000000001</v>
      </c>
      <c r="T239" s="37">
        <f t="shared" si="87"/>
        <v>0.8880180000000001</v>
      </c>
    </row>
    <row r="240" spans="2:20" ht="15">
      <c r="B240" s="2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27"/>
    </row>
    <row r="241" spans="1:20" ht="15">
      <c r="A241" s="2" t="s">
        <v>168</v>
      </c>
      <c r="B241" s="2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27"/>
    </row>
    <row r="242" spans="2:20" ht="15">
      <c r="B242" s="2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27"/>
    </row>
    <row r="243" spans="1:20" ht="15">
      <c r="A243" s="2" t="s">
        <v>169</v>
      </c>
      <c r="B243" s="26">
        <v>0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0.03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27">
        <v>0</v>
      </c>
    </row>
    <row r="244" spans="2:20" ht="15">
      <c r="B244" s="2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27"/>
    </row>
    <row r="245" spans="1:20" ht="15">
      <c r="A245" s="2" t="s">
        <v>167</v>
      </c>
      <c r="B245" s="26"/>
      <c r="C245" s="6"/>
      <c r="D245" s="6"/>
      <c r="E245" s="6"/>
      <c r="F245" s="6"/>
      <c r="G245" s="6"/>
      <c r="H245" s="6"/>
      <c r="I245" s="6"/>
      <c r="J245" s="6"/>
      <c r="K245" s="6"/>
      <c r="L245" s="11">
        <v>1127</v>
      </c>
      <c r="M245" s="11">
        <v>1127</v>
      </c>
      <c r="N245" s="11">
        <v>1127</v>
      </c>
      <c r="O245" s="11">
        <v>1127</v>
      </c>
      <c r="P245" s="6"/>
      <c r="Q245" s="6"/>
      <c r="R245" s="6"/>
      <c r="S245" s="6"/>
      <c r="T245" s="27"/>
    </row>
    <row r="246" spans="1:20" ht="15">
      <c r="A246" s="2" t="s">
        <v>166</v>
      </c>
      <c r="B246" s="26"/>
      <c r="C246" s="6"/>
      <c r="D246" s="6"/>
      <c r="E246" s="6"/>
      <c r="F246" s="6"/>
      <c r="G246" s="6"/>
      <c r="H246" s="6"/>
      <c r="I246" s="6"/>
      <c r="J246" s="6"/>
      <c r="K246" s="6"/>
      <c r="L246" s="11">
        <v>1</v>
      </c>
      <c r="M246" s="11">
        <v>2</v>
      </c>
      <c r="N246" s="11">
        <v>2</v>
      </c>
      <c r="O246" s="11">
        <v>2</v>
      </c>
      <c r="P246" s="6"/>
      <c r="Q246" s="6"/>
      <c r="R246" s="6"/>
      <c r="S246" s="6"/>
      <c r="T246" s="27"/>
    </row>
    <row r="247" spans="1:20" ht="15">
      <c r="A247" s="2" t="s">
        <v>160</v>
      </c>
      <c r="B247" s="2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f>L245*L246/1000000</f>
        <v>0.001127</v>
      </c>
      <c r="M247" s="6">
        <f>M245*M246/1000000</f>
        <v>0.002254</v>
      </c>
      <c r="N247" s="6">
        <f>N245*N246/1000000</f>
        <v>0.002254</v>
      </c>
      <c r="O247" s="6">
        <f>O245*O246/1000000</f>
        <v>0.002254</v>
      </c>
      <c r="P247" s="6">
        <v>0</v>
      </c>
      <c r="Q247" s="6">
        <v>0</v>
      </c>
      <c r="R247" s="6">
        <v>0</v>
      </c>
      <c r="S247" s="6">
        <v>0</v>
      </c>
      <c r="T247" s="27">
        <v>0</v>
      </c>
    </row>
    <row r="248" spans="2:20" ht="15">
      <c r="B248" s="2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27"/>
    </row>
    <row r="249" spans="1:20" ht="15">
      <c r="A249" s="18" t="s">
        <v>161</v>
      </c>
      <c r="B249" s="35">
        <f aca="true" t="shared" si="88" ref="B249:T249">A249+B243+B247</f>
        <v>0</v>
      </c>
      <c r="C249" s="36">
        <f t="shared" si="88"/>
        <v>0</v>
      </c>
      <c r="D249" s="36">
        <f t="shared" si="88"/>
        <v>0</v>
      </c>
      <c r="E249" s="36">
        <f t="shared" si="88"/>
        <v>0</v>
      </c>
      <c r="F249" s="36">
        <f t="shared" si="88"/>
        <v>0</v>
      </c>
      <c r="G249" s="36">
        <f t="shared" si="88"/>
        <v>0</v>
      </c>
      <c r="H249" s="36">
        <f t="shared" si="88"/>
        <v>0</v>
      </c>
      <c r="I249" s="36">
        <f t="shared" si="88"/>
        <v>0</v>
      </c>
      <c r="J249" s="36">
        <f t="shared" si="88"/>
        <v>0</v>
      </c>
      <c r="K249" s="36">
        <f t="shared" si="88"/>
        <v>0</v>
      </c>
      <c r="L249" s="36">
        <f t="shared" si="88"/>
        <v>0.031127</v>
      </c>
      <c r="M249" s="36">
        <f t="shared" si="88"/>
        <v>0.033381</v>
      </c>
      <c r="N249" s="36">
        <f t="shared" si="88"/>
        <v>0.035635</v>
      </c>
      <c r="O249" s="36">
        <f t="shared" si="88"/>
        <v>0.037889</v>
      </c>
      <c r="P249" s="36">
        <f t="shared" si="88"/>
        <v>0.037889</v>
      </c>
      <c r="Q249" s="36">
        <f t="shared" si="88"/>
        <v>0.037889</v>
      </c>
      <c r="R249" s="36">
        <f t="shared" si="88"/>
        <v>0.037889</v>
      </c>
      <c r="S249" s="36">
        <f t="shared" si="88"/>
        <v>0.037889</v>
      </c>
      <c r="T249" s="37">
        <f t="shared" si="88"/>
        <v>0.037889</v>
      </c>
    </row>
    <row r="250" spans="1:20" ht="15">
      <c r="A250" s="1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27"/>
    </row>
    <row r="251" spans="1:20" ht="15">
      <c r="A251" s="38" t="s">
        <v>170</v>
      </c>
      <c r="B251" s="36">
        <v>0</v>
      </c>
      <c r="C251" s="36">
        <v>0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f aca="true" t="shared" si="89" ref="K251:T251">K71-(K68/(1-(0.1+0.018))-K68)</f>
        <v>1.3366093922055668</v>
      </c>
      <c r="L251" s="36">
        <f t="shared" si="89"/>
        <v>1.3514255302456348</v>
      </c>
      <c r="M251" s="36">
        <f t="shared" si="89"/>
        <v>1.362239109621946</v>
      </c>
      <c r="N251" s="36">
        <f t="shared" si="89"/>
        <v>1.3719628881910921</v>
      </c>
      <c r="O251" s="36">
        <f t="shared" si="89"/>
        <v>1.3818146174163601</v>
      </c>
      <c r="P251" s="36">
        <f t="shared" si="89"/>
        <v>1.3924961710051278</v>
      </c>
      <c r="Q251" s="36">
        <f t="shared" si="89"/>
        <v>1.4315522525590296</v>
      </c>
      <c r="R251" s="36">
        <f t="shared" si="89"/>
        <v>1.4704105613415166</v>
      </c>
      <c r="S251" s="36">
        <f t="shared" si="89"/>
        <v>1.494018948249078</v>
      </c>
      <c r="T251" s="37">
        <f t="shared" si="89"/>
        <v>1.4993993409813413</v>
      </c>
    </row>
    <row r="252" spans="2:20" ht="15"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27"/>
    </row>
    <row r="253" spans="1:20" ht="15">
      <c r="A253" s="18" t="s">
        <v>171</v>
      </c>
      <c r="B253" s="35">
        <f aca="true" t="shared" si="90" ref="B253:T253">B214+B221+B228+B239+B249+B251</f>
        <v>0</v>
      </c>
      <c r="C253" s="36">
        <f t="shared" si="90"/>
        <v>0</v>
      </c>
      <c r="D253" s="36">
        <f t="shared" si="90"/>
        <v>0</v>
      </c>
      <c r="E253" s="36">
        <f t="shared" si="90"/>
        <v>0</v>
      </c>
      <c r="F253" s="36">
        <f t="shared" si="90"/>
        <v>0</v>
      </c>
      <c r="G253" s="36">
        <f t="shared" si="90"/>
        <v>0</v>
      </c>
      <c r="H253" s="36">
        <f t="shared" si="90"/>
        <v>0</v>
      </c>
      <c r="I253" s="36">
        <f t="shared" si="90"/>
        <v>0</v>
      </c>
      <c r="J253" s="36">
        <f t="shared" si="90"/>
        <v>0.00672</v>
      </c>
      <c r="K253" s="36">
        <f t="shared" si="90"/>
        <v>1.3788293922055668</v>
      </c>
      <c r="L253" s="36">
        <f t="shared" si="90"/>
        <v>1.582698530245635</v>
      </c>
      <c r="M253" s="36">
        <f t="shared" si="90"/>
        <v>1.9146161096219458</v>
      </c>
      <c r="N253" s="36">
        <f t="shared" si="90"/>
        <v>2.2661438881910922</v>
      </c>
      <c r="O253" s="36">
        <f t="shared" si="90"/>
        <v>2.60764961741636</v>
      </c>
      <c r="P253" s="36">
        <f t="shared" si="90"/>
        <v>2.727683171005128</v>
      </c>
      <c r="Q253" s="36">
        <f t="shared" si="90"/>
        <v>2.7904992525590298</v>
      </c>
      <c r="R253" s="36">
        <f t="shared" si="90"/>
        <v>2.8293575613415167</v>
      </c>
      <c r="S253" s="36">
        <f t="shared" si="90"/>
        <v>2.852965948249078</v>
      </c>
      <c r="T253" s="37">
        <f t="shared" si="90"/>
        <v>2.8583463409813414</v>
      </c>
    </row>
    <row r="254" ht="15">
      <c r="T254" s="15"/>
    </row>
    <row r="255" spans="1:12" ht="15">
      <c r="A255" s="2" t="s">
        <v>172</v>
      </c>
      <c r="L255" s="2" t="s">
        <v>173</v>
      </c>
    </row>
    <row r="256" spans="1:12" ht="15">
      <c r="A256" s="2" t="s">
        <v>174</v>
      </c>
      <c r="L256" s="2" t="s">
        <v>175</v>
      </c>
    </row>
    <row r="257" spans="1:12" ht="15">
      <c r="A257" s="2" t="s">
        <v>176</v>
      </c>
      <c r="L257" s="2" t="s">
        <v>177</v>
      </c>
    </row>
    <row r="259" spans="1:12" ht="15">
      <c r="A259" s="2" t="s">
        <v>172</v>
      </c>
      <c r="L259" s="2" t="s">
        <v>173</v>
      </c>
    </row>
    <row r="260" spans="1:12" ht="15">
      <c r="A260" s="2" t="s">
        <v>174</v>
      </c>
      <c r="L260" s="2" t="s">
        <v>175</v>
      </c>
    </row>
    <row r="261" spans="1:12" ht="15">
      <c r="A261" s="2" t="s">
        <v>176</v>
      </c>
      <c r="L261" s="2" t="s">
        <v>178</v>
      </c>
    </row>
    <row r="263" spans="1:12" ht="15">
      <c r="A263" s="2" t="s">
        <v>172</v>
      </c>
      <c r="L263" s="2" t="s">
        <v>173</v>
      </c>
    </row>
    <row r="264" spans="1:12" ht="15">
      <c r="A264" s="2" t="s">
        <v>174</v>
      </c>
      <c r="L264" s="2" t="s">
        <v>175</v>
      </c>
    </row>
    <row r="265" spans="1:12" ht="15">
      <c r="A265" s="2" t="s">
        <v>176</v>
      </c>
      <c r="L265" s="2" t="s">
        <v>179</v>
      </c>
    </row>
    <row r="267" spans="1:12" ht="15">
      <c r="A267" s="2" t="s">
        <v>172</v>
      </c>
      <c r="L267" s="2" t="s">
        <v>173</v>
      </c>
    </row>
    <row r="268" spans="1:12" ht="15">
      <c r="A268" s="2" t="s">
        <v>174</v>
      </c>
      <c r="L268" s="2" t="s">
        <v>175</v>
      </c>
    </row>
    <row r="269" spans="1:12" ht="15">
      <c r="A269" s="2" t="s">
        <v>176</v>
      </c>
      <c r="L269" s="2" t="s">
        <v>180</v>
      </c>
    </row>
    <row r="271" spans="1:12" ht="15">
      <c r="A271" s="2" t="s">
        <v>172</v>
      </c>
      <c r="L271" s="2" t="s">
        <v>173</v>
      </c>
    </row>
    <row r="272" spans="1:12" ht="15">
      <c r="A272" s="2" t="s">
        <v>174</v>
      </c>
      <c r="L272" s="2" t="s">
        <v>175</v>
      </c>
    </row>
    <row r="273" spans="1:12" ht="15">
      <c r="A273" s="2" t="s">
        <v>176</v>
      </c>
      <c r="L273" s="2" t="s">
        <v>181</v>
      </c>
    </row>
    <row r="277" ht="15">
      <c r="L277" s="2" t="s">
        <v>182</v>
      </c>
    </row>
    <row r="278" ht="15">
      <c r="L278" s="2" t="s">
        <v>183</v>
      </c>
    </row>
    <row r="279" ht="15">
      <c r="L279" s="2" t="s">
        <v>184</v>
      </c>
    </row>
    <row r="280" ht="15">
      <c r="L280" s="2" t="s">
        <v>185</v>
      </c>
    </row>
    <row r="281" ht="15">
      <c r="L281" s="2" t="s">
        <v>186</v>
      </c>
    </row>
    <row r="283" ht="15">
      <c r="L283" s="2" t="s">
        <v>187</v>
      </c>
    </row>
    <row r="284" ht="15">
      <c r="L284" s="2" t="s">
        <v>182</v>
      </c>
    </row>
    <row r="285" ht="15">
      <c r="L285" s="2" t="s">
        <v>183</v>
      </c>
    </row>
    <row r="286" ht="15">
      <c r="L286" s="2" t="s">
        <v>184</v>
      </c>
    </row>
    <row r="287" ht="15">
      <c r="L287" s="2" t="s">
        <v>185</v>
      </c>
    </row>
    <row r="288" ht="15">
      <c r="L288" s="2" t="s">
        <v>188</v>
      </c>
    </row>
    <row r="290" ht="15">
      <c r="L290" s="2" t="s">
        <v>187</v>
      </c>
    </row>
    <row r="291" ht="15">
      <c r="L291" s="2" t="s">
        <v>182</v>
      </c>
    </row>
    <row r="292" ht="15">
      <c r="L292" s="2" t="s">
        <v>183</v>
      </c>
    </row>
    <row r="293" ht="15">
      <c r="L293" s="2" t="s">
        <v>184</v>
      </c>
    </row>
    <row r="294" ht="15">
      <c r="L294" s="2" t="s">
        <v>185</v>
      </c>
    </row>
    <row r="295" ht="15">
      <c r="L295" s="2" t="s">
        <v>189</v>
      </c>
    </row>
    <row r="297" ht="15">
      <c r="L297" s="2" t="s">
        <v>187</v>
      </c>
    </row>
    <row r="298" ht="15">
      <c r="L298" s="2" t="s">
        <v>182</v>
      </c>
    </row>
    <row r="299" ht="15">
      <c r="L299" s="2" t="s">
        <v>183</v>
      </c>
    </row>
    <row r="300" ht="15">
      <c r="L300" s="2" t="s">
        <v>184</v>
      </c>
    </row>
    <row r="301" ht="15">
      <c r="L301" s="2" t="s">
        <v>185</v>
      </c>
    </row>
    <row r="302" ht="15">
      <c r="L302" s="2" t="s">
        <v>190</v>
      </c>
    </row>
  </sheetData>
  <printOptions/>
  <pageMargins left="0.5" right="0.5" top="1" bottom="1" header="0.5" footer="0.5"/>
  <pageSetup fitToHeight="5" fitToWidth="1" horizontalDpi="600" verticalDpi="600" orientation="landscape" scale="37" r:id="rId1"/>
  <headerFooter alignWithMargins="0">
    <oddFooter>&amp;L&amp;F &amp;A
&amp;D 
&amp;P of &amp;N</oddFooter>
  </headerFooter>
  <rowBreaks count="3" manualBreakCount="3">
    <brk id="99" max="255" man="1"/>
    <brk id="198" max="255" man="1"/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American Water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bridwelc</dc:creator>
  <cp:keywords/>
  <dc:description/>
  <cp:lastModifiedBy>ox </cp:lastModifiedBy>
  <cp:lastPrinted>2002-02-15T00:36:19Z</cp:lastPrinted>
  <dcterms:created xsi:type="dcterms:W3CDTF">2002-02-14T16:34:22Z</dcterms:created>
  <dcterms:modified xsi:type="dcterms:W3CDTF">2002-02-15T00:36:22Z</dcterms:modified>
  <cp:category/>
  <cp:version/>
  <cp:contentType/>
  <cp:contentStatus/>
</cp:coreProperties>
</file>