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dehinton_ky_gov/Documents/Documents/"/>
    </mc:Choice>
  </mc:AlternateContent>
  <xr:revisionPtr revIDLastSave="0" documentId="8_{DF1C6066-589B-4CD8-83E1-1637EAC033E4}" xr6:coauthVersionLast="47" xr6:coauthVersionMax="47" xr10:uidLastSave="{00000000-0000-0000-0000-000000000000}"/>
  <bookViews>
    <workbookView xWindow="-120" yWindow="-120" windowWidth="29040" windowHeight="15840" tabRatio="813" xr2:uid="{00000000-000D-0000-FFFF-FFFF00000000}"/>
  </bookViews>
  <sheets>
    <sheet name="PPA Form 1.0" sheetId="1" r:id="rId1"/>
    <sheet name="PPA Form 2.0" sheetId="22" r:id="rId2"/>
    <sheet name="PPA Form 3.0" sheetId="21" r:id="rId3"/>
    <sheet name="PPA Form 3.0a" sheetId="19" r:id="rId4"/>
    <sheet name="PPA Form 4.0" sheetId="5" r:id="rId5"/>
    <sheet name="PPA Form 5.0" sheetId="6" r:id="rId6"/>
    <sheet name="Input Sheet" sheetId="10" r:id="rId7"/>
    <sheet name="GRCF" sheetId="11" r:id="rId8"/>
    <sheet name="Tariff CC" sheetId="20" r:id="rId9"/>
    <sheet name="Rockport Deferral" sheetId="12" r:id="rId10"/>
    <sheet name="Rockport Savings-Offset" sheetId="9" r:id="rId11"/>
    <sheet name="Retail vs TO" sheetId="7" r:id="rId12"/>
    <sheet name="Ln 13" sheetId="14" r:id="rId13"/>
  </sheets>
  <externalReferences>
    <externalReference r:id="rId14"/>
  </externalReferences>
  <definedNames>
    <definedName name="Katy" localSheetId="9">#REF!</definedName>
    <definedName name="Katy">#REF!</definedName>
    <definedName name="Marshall_Rate">'[1]Property Tax'!$B$2</definedName>
    <definedName name="PC_Percent">'[1]Property Tax'!$B$6</definedName>
    <definedName name="_xlnm.Print_Area" localSheetId="7">GRCF!$A$1:$S$38</definedName>
    <definedName name="_xlnm.Print_Area" localSheetId="6">'Input Sheet'!#REF!</definedName>
    <definedName name="_xlnm.Print_Area" localSheetId="0">'PPA Form 1.0'!$A$1:$F$47</definedName>
    <definedName name="_xlnm.Print_Area" localSheetId="1">'PPA Form 2.0'!$B$1:$N$30</definedName>
    <definedName name="_xlnm.Print_Area" localSheetId="2">'PPA Form 3.0'!$A$1:$G$39</definedName>
    <definedName name="_xlnm.Print_Area" localSheetId="3">'PPA Form 3.0a'!$A$1:$P$60</definedName>
    <definedName name="_xlnm.Print_Area" localSheetId="4">'PPA Form 4.0'!#REF!</definedName>
    <definedName name="_xlnm.Print_Area" localSheetId="5">'PPA Form 5.0'!$A$1:$F$29</definedName>
    <definedName name="_xlnm.Print_Area" localSheetId="11">'Retail vs TO'!$A$1:$G$37</definedName>
    <definedName name="_xlnm.Print_Area" localSheetId="9">'Rockport Deferral'!$A$2:$L$134</definedName>
    <definedName name="_xlnm.Print_Area" localSheetId="10">'Rockport Savings-Offset'!$A$1:$I$31</definedName>
    <definedName name="_xlnm.Print_Titles" localSheetId="9">'Rockport Deferral'!$2:$9</definedName>
    <definedName name="tim" localSheetId="7">#REF!</definedName>
    <definedName name="tim" localSheetId="9">#REF!</definedName>
    <definedName name="tim">#REF!</definedName>
    <definedName name="WV_List">'[1]Property Tax'!$B$4</definedName>
    <definedName name="Z_0BD4BC22_E7A2_4140_8384_5A5B3339DEED_.wvu.PrintArea" localSheetId="7" hidden="1">GRCF!$A$1:$S$38</definedName>
    <definedName name="Z_0BD4BC22_E7A2_4140_8384_5A5B3339DEED_.wvu.PrintArea" localSheetId="6" hidden="1">'Input Sheet'!#REF!</definedName>
    <definedName name="Z_0BD4BC22_E7A2_4140_8384_5A5B3339DEED_.wvu.PrintArea" localSheetId="0" hidden="1">'PPA Form 1.0'!$A$1:$F$47</definedName>
    <definedName name="Z_0BD4BC22_E7A2_4140_8384_5A5B3339DEED_.wvu.PrintArea" localSheetId="1" hidden="1">'PPA Form 2.0'!$B$1:$N$28</definedName>
    <definedName name="Z_0BD4BC22_E7A2_4140_8384_5A5B3339DEED_.wvu.PrintArea" localSheetId="2" hidden="1">'PPA Form 3.0'!$A$1:$G$36</definedName>
    <definedName name="Z_0BD4BC22_E7A2_4140_8384_5A5B3339DEED_.wvu.PrintArea" localSheetId="3" hidden="1">'PPA Form 3.0a'!$A$1:$P$60</definedName>
    <definedName name="Z_0BD4BC22_E7A2_4140_8384_5A5B3339DEED_.wvu.PrintArea" localSheetId="4" hidden="1">'PPA Form 4.0'!#REF!</definedName>
    <definedName name="Z_0BD4BC22_E7A2_4140_8384_5A5B3339DEED_.wvu.PrintArea" localSheetId="5" hidden="1">'PPA Form 5.0'!$A$1:$F$29</definedName>
    <definedName name="Z_0BD4BC22_E7A2_4140_8384_5A5B3339DEED_.wvu.PrintArea" localSheetId="11" hidden="1">'Retail vs TO'!$A$1:$E$20</definedName>
    <definedName name="Z_0BD4BC22_E7A2_4140_8384_5A5B3339DEED_.wvu.PrintArea" localSheetId="9" hidden="1">'Rockport Deferral'!$A$2:$L$134</definedName>
    <definedName name="Z_0BD4BC22_E7A2_4140_8384_5A5B3339DEED_.wvu.PrintArea" localSheetId="10" hidden="1">'Rockport Savings-Offset'!$A$1:$I$31</definedName>
    <definedName name="Z_0BD4BC22_E7A2_4140_8384_5A5B3339DEED_.wvu.PrintTitles" localSheetId="9" hidden="1">'Rockport Deferral'!$2:$9</definedName>
    <definedName name="Z_0BD4BC22_E7A2_4140_8384_5A5B3339DEED_.wvu.Rows" localSheetId="7" hidden="1">GRCF!$17:$18</definedName>
    <definedName name="Z_4EF176FC_448F_4BD8_8859_C810312E84E7_.wvu.PrintArea" localSheetId="7" hidden="1">GRCF!$A$1:$S$38</definedName>
    <definedName name="Z_4EF176FC_448F_4BD8_8859_C810312E84E7_.wvu.PrintArea" localSheetId="6" hidden="1">'Input Sheet'!#REF!</definedName>
    <definedName name="Z_4EF176FC_448F_4BD8_8859_C810312E84E7_.wvu.PrintArea" localSheetId="0" hidden="1">'PPA Form 1.0'!$A$1:$F$47</definedName>
    <definedName name="Z_4EF176FC_448F_4BD8_8859_C810312E84E7_.wvu.PrintArea" localSheetId="1" hidden="1">'PPA Form 2.0'!$B$1:$N$28</definedName>
    <definedName name="Z_4EF176FC_448F_4BD8_8859_C810312E84E7_.wvu.PrintArea" localSheetId="2" hidden="1">'PPA Form 3.0'!$A$1:$G$36</definedName>
    <definedName name="Z_4EF176FC_448F_4BD8_8859_C810312E84E7_.wvu.PrintArea" localSheetId="3" hidden="1">'PPA Form 3.0a'!$A$1:$P$60</definedName>
    <definedName name="Z_4EF176FC_448F_4BD8_8859_C810312E84E7_.wvu.PrintArea" localSheetId="4" hidden="1">'PPA Form 4.0'!#REF!</definedName>
    <definedName name="Z_4EF176FC_448F_4BD8_8859_C810312E84E7_.wvu.PrintArea" localSheetId="5" hidden="1">'PPA Form 5.0'!$A$1:$F$29</definedName>
    <definedName name="Z_4EF176FC_448F_4BD8_8859_C810312E84E7_.wvu.PrintArea" localSheetId="11" hidden="1">'Retail vs TO'!$A$1:$E$20</definedName>
    <definedName name="Z_4EF176FC_448F_4BD8_8859_C810312E84E7_.wvu.PrintArea" localSheetId="9" hidden="1">'Rockport Deferral'!$A$2:$L$134</definedName>
    <definedName name="Z_4EF176FC_448F_4BD8_8859_C810312E84E7_.wvu.PrintArea" localSheetId="10" hidden="1">'Rockport Savings-Offset'!$A$1:$I$31</definedName>
    <definedName name="Z_4EF176FC_448F_4BD8_8859_C810312E84E7_.wvu.PrintTitles" localSheetId="9" hidden="1">'Rockport Deferral'!$2:$9</definedName>
    <definedName name="Z_4EF176FC_448F_4BD8_8859_C810312E84E7_.wvu.Rows" localSheetId="7" hidden="1">GRCF!$17:$18</definedName>
    <definedName name="Z_4EF176FC_448F_4BD8_8859_C810312E84E7_.wvu.Rows" localSheetId="9" hidden="1">'Rockport Deferral'!$81:$132</definedName>
    <definedName name="Z_567BA860_460A_4CE0_A629_0EA7372574F1_.wvu.PrintArea" localSheetId="7" hidden="1">GRCF!$A$1:$S$38</definedName>
    <definedName name="Z_567BA860_460A_4CE0_A629_0EA7372574F1_.wvu.PrintArea" localSheetId="6" hidden="1">'Input Sheet'!#REF!</definedName>
    <definedName name="Z_567BA860_460A_4CE0_A629_0EA7372574F1_.wvu.PrintArea" localSheetId="0" hidden="1">'PPA Form 1.0'!$A$1:$F$47</definedName>
    <definedName name="Z_567BA860_460A_4CE0_A629_0EA7372574F1_.wvu.PrintArea" localSheetId="1" hidden="1">'PPA Form 2.0'!$B$1:$N$28</definedName>
    <definedName name="Z_567BA860_460A_4CE0_A629_0EA7372574F1_.wvu.PrintArea" localSheetId="2" hidden="1">'PPA Form 3.0'!$A$1:$G$36</definedName>
    <definedName name="Z_567BA860_460A_4CE0_A629_0EA7372574F1_.wvu.PrintArea" localSheetId="3" hidden="1">'PPA Form 3.0a'!$A$1:$P$60</definedName>
    <definedName name="Z_567BA860_460A_4CE0_A629_0EA7372574F1_.wvu.PrintArea" localSheetId="4" hidden="1">'PPA Form 4.0'!#REF!</definedName>
    <definedName name="Z_567BA860_460A_4CE0_A629_0EA7372574F1_.wvu.PrintArea" localSheetId="5" hidden="1">'PPA Form 5.0'!$A$1:$F$29</definedName>
    <definedName name="Z_567BA860_460A_4CE0_A629_0EA7372574F1_.wvu.PrintArea" localSheetId="11" hidden="1">'Retail vs TO'!$A$1:$E$20</definedName>
    <definedName name="Z_567BA860_460A_4CE0_A629_0EA7372574F1_.wvu.PrintArea" localSheetId="9" hidden="1">'Rockport Deferral'!$A$2:$L$134</definedName>
    <definedName name="Z_567BA860_460A_4CE0_A629_0EA7372574F1_.wvu.PrintArea" localSheetId="10" hidden="1">'Rockport Savings-Offset'!$A$1:$I$31</definedName>
    <definedName name="Z_567BA860_460A_4CE0_A629_0EA7372574F1_.wvu.PrintTitles" localSheetId="9" hidden="1">'Rockport Deferral'!$2:$9</definedName>
    <definedName name="Z_567BA860_460A_4CE0_A629_0EA7372574F1_.wvu.Rows" localSheetId="7" hidden="1">GRCF!$17:$18</definedName>
    <definedName name="Z_567BA860_460A_4CE0_A629_0EA7372574F1_.wvu.Rows" localSheetId="9" hidden="1">'Rockport Deferral'!$81:$132</definedName>
  </definedNames>
  <calcPr calcId="191029"/>
  <customWorkbookViews>
    <customWorkbookView name="s203707 - Personal View" guid="{0BD4BC22-E7A2-4140-8384-5A5B3339DEED}" mergeInterval="0" personalView="1" maximized="1" xWindow="2869" yWindow="-11" windowWidth="2902" windowHeight="1582" tabRatio="813" activeSheetId="8"/>
    <customWorkbookView name="s207409 - Personal View" guid="{567BA860-460A-4CE0-A629-0EA7372574F1}" mergeInterval="0" personalView="1" maximized="1" windowWidth="1600" windowHeight="675" tabRatio="813" activeSheetId="1"/>
    <customWorkbookView name="s290792 - Personal View" guid="{4EF176FC-448F-4BD8-8859-C810312E84E7}" mergeInterval="0" personalView="1" maximized="1" xWindow="-8" yWindow="-8" windowWidth="1936" windowHeight="1056" tabRatio="813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0" l="1"/>
  <c r="J8" i="10"/>
  <c r="L8" i="10"/>
  <c r="D102" i="6" l="1"/>
  <c r="D104" i="6" s="1"/>
  <c r="D99" i="6"/>
  <c r="A97" i="6"/>
  <c r="D89" i="6"/>
  <c r="D91" i="6" s="1"/>
  <c r="A80" i="6"/>
  <c r="A81" i="6" s="1"/>
  <c r="A82" i="6" s="1"/>
  <c r="A83" i="6" s="1"/>
  <c r="A84" i="6" s="1"/>
  <c r="A85" i="6" s="1"/>
  <c r="A86" i="6" s="1"/>
  <c r="A87" i="6" s="1"/>
  <c r="A88" i="6" s="1"/>
  <c r="A89" i="6" s="1"/>
  <c r="A93" i="6" s="1"/>
  <c r="A95" i="6" s="1"/>
  <c r="L6" i="10" l="1"/>
  <c r="C20" i="22" l="1"/>
  <c r="C21" i="22"/>
  <c r="C22" i="22"/>
  <c r="C23" i="22"/>
  <c r="C24" i="22"/>
  <c r="C25" i="22"/>
  <c r="C26" i="22"/>
  <c r="C19" i="22"/>
  <c r="L7" i="10" l="1"/>
  <c r="D21" i="22"/>
  <c r="L9" i="10"/>
  <c r="L10" i="10"/>
  <c r="L11" i="10"/>
  <c r="L12" i="10"/>
  <c r="L13" i="10"/>
  <c r="I15" i="10"/>
  <c r="D23" i="22" l="1"/>
  <c r="J15" i="10"/>
  <c r="C11" i="14" l="1"/>
  <c r="C9" i="14"/>
  <c r="C7" i="14"/>
  <c r="C5" i="14"/>
  <c r="I26" i="22"/>
  <c r="F26" i="22"/>
  <c r="I25" i="22"/>
  <c r="F25" i="22"/>
  <c r="I24" i="22"/>
  <c r="F24" i="22"/>
  <c r="F23" i="22"/>
  <c r="I22" i="22"/>
  <c r="E22" i="22"/>
  <c r="F21" i="22"/>
  <c r="I20" i="22"/>
  <c r="F20" i="22"/>
  <c r="I19" i="22"/>
  <c r="F19" i="22"/>
  <c r="L44" i="19"/>
  <c r="M44" i="19"/>
  <c r="N44" i="19"/>
  <c r="O44" i="19"/>
  <c r="K44" i="19"/>
  <c r="J44" i="19"/>
  <c r="J34" i="19"/>
  <c r="C129" i="7"/>
  <c r="C122" i="7"/>
  <c r="C125" i="7" s="1"/>
  <c r="D5" i="14" l="1"/>
  <c r="F22" i="22"/>
  <c r="F28" i="22" s="1"/>
  <c r="C28" i="22"/>
  <c r="D28" i="22"/>
  <c r="C131" i="7"/>
  <c r="C133" i="7" s="1"/>
  <c r="C135" i="7" s="1"/>
  <c r="J30" i="19" s="1"/>
  <c r="J11" i="19"/>
  <c r="G14" i="1" l="1"/>
  <c r="O49" i="19" l="1"/>
  <c r="N49" i="19"/>
  <c r="M49" i="19"/>
  <c r="L49" i="19"/>
  <c r="K49" i="19"/>
  <c r="K51" i="19" s="1"/>
  <c r="J49" i="19"/>
  <c r="J51" i="19" s="1"/>
  <c r="I49" i="19"/>
  <c r="I51" i="19" s="1"/>
  <c r="H49" i="19"/>
  <c r="H51" i="19" s="1"/>
  <c r="G49" i="19"/>
  <c r="G51" i="19" s="1"/>
  <c r="F49" i="19"/>
  <c r="F51" i="19" s="1"/>
  <c r="E49" i="19"/>
  <c r="E51" i="19" s="1"/>
  <c r="D49" i="19"/>
  <c r="D51" i="19" s="1"/>
  <c r="P42" i="19"/>
  <c r="C25" i="21" s="1"/>
  <c r="P40" i="19"/>
  <c r="P38" i="19"/>
  <c r="P34" i="19"/>
  <c r="P32" i="19"/>
  <c r="P30" i="19"/>
  <c r="C28" i="21" s="1"/>
  <c r="O25" i="19"/>
  <c r="O27" i="19" s="1"/>
  <c r="O28" i="19" s="1"/>
  <c r="N25" i="19"/>
  <c r="N27" i="19" s="1"/>
  <c r="N28" i="19" s="1"/>
  <c r="M25" i="19"/>
  <c r="M27" i="19" s="1"/>
  <c r="M28" i="19" s="1"/>
  <c r="L25" i="19"/>
  <c r="L27" i="19" s="1"/>
  <c r="L28" i="19" s="1"/>
  <c r="K25" i="19"/>
  <c r="K27" i="19" s="1"/>
  <c r="K28" i="19" s="1"/>
  <c r="J25" i="19"/>
  <c r="J27" i="19" s="1"/>
  <c r="J28" i="19" s="1"/>
  <c r="I25" i="19"/>
  <c r="I27" i="19" s="1"/>
  <c r="I28" i="19" s="1"/>
  <c r="H25" i="19"/>
  <c r="H27" i="19" s="1"/>
  <c r="H28" i="19" s="1"/>
  <c r="G25" i="19"/>
  <c r="G27" i="19" s="1"/>
  <c r="G28" i="19" s="1"/>
  <c r="F25" i="19"/>
  <c r="F27" i="19" s="1"/>
  <c r="F28" i="19" s="1"/>
  <c r="E25" i="19"/>
  <c r="E27" i="19" s="1"/>
  <c r="E28" i="19" s="1"/>
  <c r="D25" i="19"/>
  <c r="D27" i="19" s="1"/>
  <c r="D28" i="19" s="1"/>
  <c r="P24" i="19"/>
  <c r="C15" i="21" s="1"/>
  <c r="P23" i="19"/>
  <c r="C14" i="21" s="1"/>
  <c r="P22" i="19"/>
  <c r="C13" i="21" s="1"/>
  <c r="P21" i="19"/>
  <c r="C12" i="21" s="1"/>
  <c r="P20" i="19"/>
  <c r="C11" i="21" s="1"/>
  <c r="P19" i="19"/>
  <c r="C10" i="21" s="1"/>
  <c r="P18" i="19"/>
  <c r="P17" i="19"/>
  <c r="C9" i="21" s="1"/>
  <c r="P16" i="19"/>
  <c r="C8" i="21" s="1"/>
  <c r="P15" i="19"/>
  <c r="C17" i="21" s="1"/>
  <c r="P14" i="19"/>
  <c r="C16" i="21" s="1"/>
  <c r="P11" i="19"/>
  <c r="G20" i="21" s="1"/>
  <c r="O9" i="19"/>
  <c r="N9" i="19"/>
  <c r="M9" i="19"/>
  <c r="L9" i="19"/>
  <c r="K9" i="19"/>
  <c r="J9" i="19"/>
  <c r="I9" i="19"/>
  <c r="H9" i="19"/>
  <c r="G9" i="19"/>
  <c r="F9" i="19"/>
  <c r="E9" i="19"/>
  <c r="D9" i="19"/>
  <c r="P8" i="19"/>
  <c r="P7" i="19"/>
  <c r="F16" i="5"/>
  <c r="A8" i="5"/>
  <c r="A9" i="5" s="1"/>
  <c r="A10" i="5" s="1"/>
  <c r="A11" i="5" s="1"/>
  <c r="A12" i="5" s="1"/>
  <c r="A13" i="5" s="1"/>
  <c r="A14" i="5" s="1"/>
  <c r="A16" i="5" s="1"/>
  <c r="D53" i="19" l="1"/>
  <c r="F53" i="19"/>
  <c r="F55" i="19" s="1"/>
  <c r="L51" i="19"/>
  <c r="J53" i="19"/>
  <c r="J55" i="19" s="1"/>
  <c r="K53" i="19"/>
  <c r="K55" i="19" s="1"/>
  <c r="H53" i="19"/>
  <c r="H55" i="19" s="1"/>
  <c r="I53" i="19"/>
  <c r="I55" i="19" s="1"/>
  <c r="P9" i="19"/>
  <c r="E53" i="19"/>
  <c r="E55" i="19" s="1"/>
  <c r="G53" i="19"/>
  <c r="G55" i="19" s="1"/>
  <c r="P27" i="19"/>
  <c r="G21" i="21" s="1"/>
  <c r="P25" i="19"/>
  <c r="O51" i="19"/>
  <c r="P49" i="19"/>
  <c r="C26" i="21" s="1"/>
  <c r="F18" i="5" l="1"/>
  <c r="F20" i="5" s="1"/>
  <c r="G32" i="1" s="1"/>
  <c r="P44" i="19"/>
  <c r="C27" i="21" s="1"/>
  <c r="N51" i="19"/>
  <c r="M51" i="19"/>
  <c r="P28" i="19"/>
  <c r="D55" i="19" l="1"/>
  <c r="D58" i="19" s="1"/>
  <c r="P51" i="19"/>
  <c r="E58" i="19" l="1"/>
  <c r="F58" i="19" l="1"/>
  <c r="O108" i="11"/>
  <c r="O118" i="11" s="1"/>
  <c r="S106" i="11"/>
  <c r="S104" i="11"/>
  <c r="S102" i="11"/>
  <c r="F94" i="11"/>
  <c r="B90" i="11"/>
  <c r="B91" i="11" s="1"/>
  <c r="B92" i="11" s="1"/>
  <c r="B94" i="11" s="1"/>
  <c r="H92" i="11" l="1"/>
  <c r="M92" i="11" s="1"/>
  <c r="H89" i="11"/>
  <c r="H91" i="11"/>
  <c r="M91" i="11" s="1"/>
  <c r="H90" i="11"/>
  <c r="M90" i="11" s="1"/>
  <c r="O91" i="11"/>
  <c r="O90" i="11"/>
  <c r="O89" i="11"/>
  <c r="G58" i="19"/>
  <c r="S108" i="11"/>
  <c r="S110" i="11" s="1"/>
  <c r="S91" i="11" l="1"/>
  <c r="S90" i="11"/>
  <c r="S112" i="11"/>
  <c r="S114" i="11" s="1"/>
  <c r="S116" i="11" s="1"/>
  <c r="S118" i="11" s="1"/>
  <c r="H94" i="11"/>
  <c r="M89" i="11"/>
  <c r="H58" i="19"/>
  <c r="O92" i="11" l="1"/>
  <c r="S92" i="11" s="1"/>
  <c r="M94" i="11"/>
  <c r="S89" i="11"/>
  <c r="I58" i="19"/>
  <c r="D15" i="10"/>
  <c r="C15" i="10"/>
  <c r="D23" i="9"/>
  <c r="D27" i="9" s="1"/>
  <c r="D29" i="9" s="1"/>
  <c r="E31" i="9" s="1"/>
  <c r="E23" i="9"/>
  <c r="E27" i="9" s="1"/>
  <c r="E16" i="9"/>
  <c r="E35" i="9" l="1"/>
  <c r="G28" i="1"/>
  <c r="L36" i="19"/>
  <c r="L53" i="19" s="1"/>
  <c r="M36" i="19"/>
  <c r="M53" i="19" s="1"/>
  <c r="M55" i="19" s="1"/>
  <c r="N36" i="19"/>
  <c r="N53" i="19" s="1"/>
  <c r="N55" i="19" s="1"/>
  <c r="O36" i="19"/>
  <c r="O53" i="19" s="1"/>
  <c r="O55" i="19" s="1"/>
  <c r="S94" i="11"/>
  <c r="J58" i="19"/>
  <c r="K58" i="19" s="1"/>
  <c r="P36" i="19" l="1"/>
  <c r="L55" i="19"/>
  <c r="P55" i="19" s="1"/>
  <c r="P53" i="19"/>
  <c r="L58" i="19" l="1"/>
  <c r="M58" i="19" s="1"/>
  <c r="N58" i="19" s="1"/>
  <c r="O58" i="19" s="1"/>
  <c r="O62" i="19" s="1"/>
  <c r="C110" i="7" l="1"/>
  <c r="C103" i="7"/>
  <c r="C106" i="7" s="1"/>
  <c r="C112" i="7" l="1"/>
  <c r="C114" i="7" s="1"/>
  <c r="C116" i="7" s="1"/>
  <c r="G25" i="21" l="1"/>
  <c r="B35" i="21" s="1"/>
  <c r="C48" i="12" l="1"/>
  <c r="C49" i="12" s="1"/>
  <c r="C50" i="12" s="1"/>
  <c r="C35" i="12"/>
  <c r="C36" i="12" s="1"/>
  <c r="C37" i="12" s="1"/>
  <c r="C23" i="12"/>
  <c r="C24" i="12" s="1"/>
  <c r="C25" i="12" s="1"/>
  <c r="C12" i="12"/>
  <c r="C13" i="12" s="1"/>
  <c r="C14" i="12" s="1"/>
  <c r="C11" i="12"/>
  <c r="I10" i="12"/>
  <c r="T6" i="12"/>
  <c r="P6" i="12"/>
  <c r="T5" i="12"/>
  <c r="P5" i="12"/>
  <c r="D4" i="12"/>
  <c r="D127" i="12" s="1"/>
  <c r="E127" i="12" s="1"/>
  <c r="D2" i="12"/>
  <c r="D3" i="12" s="1"/>
  <c r="D75" i="12" l="1"/>
  <c r="E75" i="12" s="1"/>
  <c r="D83" i="12"/>
  <c r="E83" i="12" s="1"/>
  <c r="D86" i="12"/>
  <c r="E86" i="12" s="1"/>
  <c r="D87" i="12"/>
  <c r="E87" i="12" s="1"/>
  <c r="D103" i="12"/>
  <c r="E103" i="12" s="1"/>
  <c r="E23" i="12"/>
  <c r="G23" i="12" s="1"/>
  <c r="E35" i="12"/>
  <c r="G35" i="12" s="1"/>
  <c r="D119" i="12"/>
  <c r="E119" i="12" s="1"/>
  <c r="E13" i="12"/>
  <c r="G13" i="12" s="1"/>
  <c r="D72" i="12"/>
  <c r="E72" i="12" s="1"/>
  <c r="E11" i="12"/>
  <c r="C26" i="12"/>
  <c r="E25" i="12"/>
  <c r="C51" i="12"/>
  <c r="E50" i="12"/>
  <c r="C15" i="12"/>
  <c r="E14" i="12"/>
  <c r="C38" i="12"/>
  <c r="E37" i="12"/>
  <c r="E36" i="12"/>
  <c r="D132" i="12"/>
  <c r="E132" i="12" s="1"/>
  <c r="D128" i="12"/>
  <c r="E128" i="12" s="1"/>
  <c r="D124" i="12"/>
  <c r="E124" i="12" s="1"/>
  <c r="D120" i="12"/>
  <c r="E120" i="12" s="1"/>
  <c r="D116" i="12"/>
  <c r="E116" i="12" s="1"/>
  <c r="D112" i="12"/>
  <c r="E112" i="12" s="1"/>
  <c r="D108" i="12"/>
  <c r="E108" i="12" s="1"/>
  <c r="D104" i="12"/>
  <c r="E104" i="12" s="1"/>
  <c r="D100" i="12"/>
  <c r="E100" i="12" s="1"/>
  <c r="D96" i="12"/>
  <c r="E96" i="12" s="1"/>
  <c r="D92" i="12"/>
  <c r="E92" i="12" s="1"/>
  <c r="D88" i="12"/>
  <c r="E88" i="12" s="1"/>
  <c r="D129" i="12"/>
  <c r="E129" i="12" s="1"/>
  <c r="D125" i="12"/>
  <c r="E125" i="12" s="1"/>
  <c r="D121" i="12"/>
  <c r="E121" i="12" s="1"/>
  <c r="D117" i="12"/>
  <c r="E117" i="12" s="1"/>
  <c r="D113" i="12"/>
  <c r="E113" i="12" s="1"/>
  <c r="D109" i="12"/>
  <c r="E109" i="12" s="1"/>
  <c r="D105" i="12"/>
  <c r="E105" i="12" s="1"/>
  <c r="D101" i="12"/>
  <c r="E101" i="12" s="1"/>
  <c r="D97" i="12"/>
  <c r="E97" i="12" s="1"/>
  <c r="D93" i="12"/>
  <c r="E93" i="12" s="1"/>
  <c r="D89" i="12"/>
  <c r="E89" i="12" s="1"/>
  <c r="D130" i="12"/>
  <c r="E130" i="12" s="1"/>
  <c r="D122" i="12"/>
  <c r="E122" i="12" s="1"/>
  <c r="D114" i="12"/>
  <c r="E114" i="12" s="1"/>
  <c r="D106" i="12"/>
  <c r="E106" i="12" s="1"/>
  <c r="D98" i="12"/>
  <c r="E98" i="12" s="1"/>
  <c r="D90" i="12"/>
  <c r="E90" i="12" s="1"/>
  <c r="D82" i="12"/>
  <c r="E82" i="12" s="1"/>
  <c r="D78" i="12"/>
  <c r="E78" i="12" s="1"/>
  <c r="D74" i="12"/>
  <c r="E74" i="12" s="1"/>
  <c r="D126" i="12"/>
  <c r="E126" i="12" s="1"/>
  <c r="D123" i="12"/>
  <c r="E123" i="12" s="1"/>
  <c r="D111" i="12"/>
  <c r="E111" i="12" s="1"/>
  <c r="D94" i="12"/>
  <c r="E94" i="12" s="1"/>
  <c r="D91" i="12"/>
  <c r="E91" i="12" s="1"/>
  <c r="D79" i="12"/>
  <c r="E79" i="12" s="1"/>
  <c r="D76" i="12"/>
  <c r="E76" i="12" s="1"/>
  <c r="D73" i="12"/>
  <c r="E73" i="12" s="1"/>
  <c r="D118" i="12"/>
  <c r="E118" i="12" s="1"/>
  <c r="D110" i="12"/>
  <c r="E110" i="12" s="1"/>
  <c r="D102" i="12"/>
  <c r="E102" i="12" s="1"/>
  <c r="D115" i="12"/>
  <c r="E115" i="12" s="1"/>
  <c r="D107" i="12"/>
  <c r="E107" i="12" s="1"/>
  <c r="D99" i="12"/>
  <c r="E99" i="12" s="1"/>
  <c r="D84" i="12"/>
  <c r="E84" i="12" s="1"/>
  <c r="D80" i="12"/>
  <c r="E80" i="12" s="1"/>
  <c r="D131" i="12"/>
  <c r="E131" i="12" s="1"/>
  <c r="D85" i="12"/>
  <c r="E85" i="12" s="1"/>
  <c r="D81" i="12"/>
  <c r="E81" i="12" s="1"/>
  <c r="D77" i="12"/>
  <c r="E77" i="12" s="1"/>
  <c r="E12" i="12"/>
  <c r="E24" i="12"/>
  <c r="E48" i="12"/>
  <c r="E49" i="12"/>
  <c r="D95" i="12"/>
  <c r="E95" i="12" s="1"/>
  <c r="G50" i="12" l="1"/>
  <c r="G49" i="12"/>
  <c r="C52" i="12"/>
  <c r="E51" i="12"/>
  <c r="G14" i="12"/>
  <c r="G11" i="12"/>
  <c r="F11" i="12"/>
  <c r="F12" i="12" s="1"/>
  <c r="L11" i="12"/>
  <c r="G12" i="12"/>
  <c r="C39" i="12"/>
  <c r="E38" i="12"/>
  <c r="G25" i="12"/>
  <c r="D133" i="12"/>
  <c r="C27" i="12"/>
  <c r="E26" i="12"/>
  <c r="G48" i="12"/>
  <c r="G24" i="12"/>
  <c r="G36" i="12"/>
  <c r="G37" i="12"/>
  <c r="C16" i="12"/>
  <c r="E15" i="12"/>
  <c r="C17" i="12" l="1"/>
  <c r="E16" i="12"/>
  <c r="H11" i="12"/>
  <c r="I11" i="12" s="1"/>
  <c r="F13" i="12"/>
  <c r="C28" i="12"/>
  <c r="E27" i="12"/>
  <c r="G38" i="12"/>
  <c r="G26" i="12"/>
  <c r="G51" i="12"/>
  <c r="C53" i="12"/>
  <c r="E52" i="12"/>
  <c r="G15" i="12"/>
  <c r="C40" i="12"/>
  <c r="E39" i="12"/>
  <c r="J12" i="12"/>
  <c r="H12" i="12" l="1"/>
  <c r="H13" i="12" s="1"/>
  <c r="H14" i="12" s="1"/>
  <c r="H15" i="12" s="1"/>
  <c r="E53" i="12"/>
  <c r="C54" i="12"/>
  <c r="G27" i="12"/>
  <c r="G39" i="12"/>
  <c r="C41" i="12"/>
  <c r="E40" i="12"/>
  <c r="G16" i="12"/>
  <c r="L12" i="12"/>
  <c r="C29" i="12"/>
  <c r="E28" i="12"/>
  <c r="G52" i="12"/>
  <c r="F14" i="12"/>
  <c r="C18" i="12"/>
  <c r="E17" i="12"/>
  <c r="I12" i="12" l="1"/>
  <c r="J13" i="12" s="1"/>
  <c r="L13" i="12" s="1"/>
  <c r="I13" i="12"/>
  <c r="J14" i="12" s="1"/>
  <c r="G28" i="12"/>
  <c r="H16" i="12"/>
  <c r="C30" i="12"/>
  <c r="E29" i="12"/>
  <c r="C42" i="12"/>
  <c r="E41" i="12"/>
  <c r="C55" i="12"/>
  <c r="E54" i="12"/>
  <c r="I14" i="12"/>
  <c r="J15" i="12" s="1"/>
  <c r="F15" i="12"/>
  <c r="G53" i="12"/>
  <c r="G17" i="12"/>
  <c r="G40" i="12"/>
  <c r="C19" i="12"/>
  <c r="E18" i="12"/>
  <c r="L14" i="12" l="1"/>
  <c r="L15" i="12" s="1"/>
  <c r="E55" i="12"/>
  <c r="C56" i="12"/>
  <c r="G18" i="12"/>
  <c r="I15" i="12"/>
  <c r="J16" i="12" s="1"/>
  <c r="F16" i="12"/>
  <c r="G29" i="12"/>
  <c r="C20" i="12"/>
  <c r="E19" i="12"/>
  <c r="G41" i="12"/>
  <c r="C31" i="12"/>
  <c r="E30" i="12"/>
  <c r="G54" i="12"/>
  <c r="C43" i="12"/>
  <c r="E42" i="12"/>
  <c r="H17" i="12"/>
  <c r="G19" i="12" l="1"/>
  <c r="I16" i="12"/>
  <c r="J17" i="12" s="1"/>
  <c r="F17" i="12"/>
  <c r="G42" i="12"/>
  <c r="C21" i="12"/>
  <c r="E20" i="12"/>
  <c r="C57" i="12"/>
  <c r="E56" i="12"/>
  <c r="C44" i="12"/>
  <c r="E43" i="12"/>
  <c r="L16" i="12"/>
  <c r="G55" i="12"/>
  <c r="C32" i="12"/>
  <c r="E31" i="12"/>
  <c r="H18" i="12"/>
  <c r="G30" i="12"/>
  <c r="L17" i="12" l="1"/>
  <c r="G56" i="12"/>
  <c r="G20" i="12"/>
  <c r="C33" i="12"/>
  <c r="E32" i="12"/>
  <c r="G43" i="12"/>
  <c r="E57" i="12"/>
  <c r="C58" i="12"/>
  <c r="C22" i="12"/>
  <c r="E22" i="12" s="1"/>
  <c r="E21" i="12"/>
  <c r="H19" i="12"/>
  <c r="G31" i="12"/>
  <c r="C45" i="12"/>
  <c r="E44" i="12"/>
  <c r="I17" i="12"/>
  <c r="J18" i="12" s="1"/>
  <c r="F18" i="12"/>
  <c r="L18" i="12" l="1"/>
  <c r="C46" i="12"/>
  <c r="E46" i="12" s="1"/>
  <c r="E45" i="12"/>
  <c r="G22" i="12"/>
  <c r="G32" i="12"/>
  <c r="G57" i="12"/>
  <c r="E33" i="12"/>
  <c r="C34" i="12"/>
  <c r="E34" i="12" s="1"/>
  <c r="C59" i="12"/>
  <c r="E58" i="12"/>
  <c r="I18" i="12"/>
  <c r="J19" i="12" s="1"/>
  <c r="F19" i="12"/>
  <c r="G44" i="12"/>
  <c r="G21" i="12"/>
  <c r="H20" i="12"/>
  <c r="L19" i="12" l="1"/>
  <c r="G58" i="12"/>
  <c r="H21" i="12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I19" i="12"/>
  <c r="J20" i="12" s="1"/>
  <c r="F20" i="12"/>
  <c r="E59" i="12"/>
  <c r="C60" i="12"/>
  <c r="G46" i="12"/>
  <c r="G34" i="12"/>
  <c r="G33" i="12"/>
  <c r="G45" i="12"/>
  <c r="L20" i="12" l="1"/>
  <c r="I20" i="12"/>
  <c r="J21" i="12" s="1"/>
  <c r="F21" i="12"/>
  <c r="H33" i="12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E60" i="12"/>
  <c r="C61" i="12"/>
  <c r="G59" i="12"/>
  <c r="L21" i="12" l="1"/>
  <c r="G60" i="12"/>
  <c r="H59" i="12"/>
  <c r="E61" i="12"/>
  <c r="C62" i="12"/>
  <c r="I21" i="12"/>
  <c r="J22" i="12" s="1"/>
  <c r="F22" i="12"/>
  <c r="L22" i="12" l="1"/>
  <c r="I22" i="12"/>
  <c r="J23" i="12" s="1"/>
  <c r="F23" i="12"/>
  <c r="H60" i="12"/>
  <c r="E62" i="12"/>
  <c r="C63" i="12"/>
  <c r="G61" i="12"/>
  <c r="L23" i="12" l="1"/>
  <c r="H61" i="12"/>
  <c r="I23" i="12"/>
  <c r="J24" i="12" s="1"/>
  <c r="F24" i="12"/>
  <c r="E63" i="12"/>
  <c r="C64" i="12"/>
  <c r="G62" i="12"/>
  <c r="L24" i="12" l="1"/>
  <c r="H62" i="12"/>
  <c r="I24" i="12"/>
  <c r="J25" i="12" s="1"/>
  <c r="F25" i="12"/>
  <c r="E64" i="12"/>
  <c r="C65" i="12"/>
  <c r="G63" i="12"/>
  <c r="L25" i="12" l="1"/>
  <c r="H63" i="12"/>
  <c r="G64" i="12"/>
  <c r="I25" i="12"/>
  <c r="J26" i="12" s="1"/>
  <c r="F26" i="12"/>
  <c r="C66" i="12"/>
  <c r="E65" i="12"/>
  <c r="L26" i="12" l="1"/>
  <c r="H64" i="12"/>
  <c r="E66" i="12"/>
  <c r="C67" i="12"/>
  <c r="G65" i="12"/>
  <c r="I26" i="12"/>
  <c r="J27" i="12" s="1"/>
  <c r="F27" i="12"/>
  <c r="L27" i="12" l="1"/>
  <c r="H65" i="12"/>
  <c r="G66" i="12"/>
  <c r="I27" i="12"/>
  <c r="J28" i="12" s="1"/>
  <c r="F28" i="12"/>
  <c r="E67" i="12"/>
  <c r="C68" i="12"/>
  <c r="L28" i="12" l="1"/>
  <c r="H66" i="12"/>
  <c r="G67" i="12"/>
  <c r="I28" i="12"/>
  <c r="J29" i="12" s="1"/>
  <c r="F29" i="12"/>
  <c r="E68" i="12"/>
  <c r="C69" i="12"/>
  <c r="L29" i="12" l="1"/>
  <c r="H67" i="12"/>
  <c r="G68" i="12"/>
  <c r="I29" i="12"/>
  <c r="J30" i="12" s="1"/>
  <c r="F30" i="12"/>
  <c r="E69" i="12"/>
  <c r="C70" i="12"/>
  <c r="L30" i="12" l="1"/>
  <c r="H68" i="12"/>
  <c r="G69" i="12"/>
  <c r="I30" i="12"/>
  <c r="J31" i="12" s="1"/>
  <c r="F31" i="12"/>
  <c r="E70" i="12"/>
  <c r="C71" i="12"/>
  <c r="L31" i="12" l="1"/>
  <c r="H69" i="12"/>
  <c r="E71" i="12"/>
  <c r="C133" i="12"/>
  <c r="G70" i="12"/>
  <c r="I31" i="12"/>
  <c r="J32" i="12" s="1"/>
  <c r="F32" i="12"/>
  <c r="L32" i="12" l="1"/>
  <c r="H70" i="12"/>
  <c r="G71" i="12"/>
  <c r="E133" i="12"/>
  <c r="I32" i="12"/>
  <c r="J33" i="12" s="1"/>
  <c r="F33" i="12"/>
  <c r="L33" i="12" l="1"/>
  <c r="H71" i="12"/>
  <c r="G82" i="12"/>
  <c r="G124" i="12"/>
  <c r="G106" i="12"/>
  <c r="G125" i="12"/>
  <c r="G120" i="12"/>
  <c r="G104" i="12"/>
  <c r="G110" i="12"/>
  <c r="G118" i="12"/>
  <c r="G76" i="12"/>
  <c r="G96" i="12"/>
  <c r="G128" i="12"/>
  <c r="G90" i="12"/>
  <c r="G109" i="12"/>
  <c r="G129" i="12"/>
  <c r="G97" i="12"/>
  <c r="G91" i="12"/>
  <c r="G95" i="12"/>
  <c r="G80" i="12"/>
  <c r="G122" i="12"/>
  <c r="G111" i="12"/>
  <c r="G84" i="12"/>
  <c r="G72" i="12"/>
  <c r="G100" i="12"/>
  <c r="G127" i="12"/>
  <c r="G116" i="12"/>
  <c r="G92" i="12"/>
  <c r="G126" i="12"/>
  <c r="G74" i="12"/>
  <c r="G107" i="12"/>
  <c r="G87" i="12"/>
  <c r="G83" i="12"/>
  <c r="G103" i="12"/>
  <c r="G123" i="12"/>
  <c r="G113" i="12"/>
  <c r="G121" i="12"/>
  <c r="G88" i="12"/>
  <c r="G119" i="12"/>
  <c r="G86" i="12"/>
  <c r="G73" i="12"/>
  <c r="G101" i="12"/>
  <c r="G77" i="12"/>
  <c r="G98" i="12"/>
  <c r="G117" i="12"/>
  <c r="G102" i="12"/>
  <c r="G75" i="12"/>
  <c r="G112" i="12"/>
  <c r="G78" i="12"/>
  <c r="G89" i="12"/>
  <c r="G85" i="12"/>
  <c r="G115" i="12"/>
  <c r="G105" i="12"/>
  <c r="G81" i="12"/>
  <c r="G99" i="12"/>
  <c r="G130" i="12"/>
  <c r="G79" i="12"/>
  <c r="G93" i="12"/>
  <c r="G114" i="12"/>
  <c r="G132" i="12"/>
  <c r="G94" i="12"/>
  <c r="G131" i="12"/>
  <c r="G108" i="12"/>
  <c r="I33" i="12"/>
  <c r="J34" i="12" s="1"/>
  <c r="F34" i="12"/>
  <c r="L34" i="12" l="1"/>
  <c r="H72" i="12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110" i="12" s="1"/>
  <c r="H111" i="12" s="1"/>
  <c r="H112" i="12" s="1"/>
  <c r="H113" i="12" s="1"/>
  <c r="H114" i="12" s="1"/>
  <c r="H115" i="12" s="1"/>
  <c r="H116" i="12" s="1"/>
  <c r="H117" i="12" s="1"/>
  <c r="H118" i="12" s="1"/>
  <c r="H119" i="12" s="1"/>
  <c r="H120" i="12" s="1"/>
  <c r="H121" i="12" s="1"/>
  <c r="H122" i="12" s="1"/>
  <c r="H123" i="12" s="1"/>
  <c r="H124" i="12" s="1"/>
  <c r="H125" i="12" s="1"/>
  <c r="H126" i="12" s="1"/>
  <c r="H127" i="12" s="1"/>
  <c r="H128" i="12" s="1"/>
  <c r="H129" i="12" s="1"/>
  <c r="H130" i="12" s="1"/>
  <c r="H131" i="12" s="1"/>
  <c r="H132" i="12" s="1"/>
  <c r="G133" i="12"/>
  <c r="I34" i="12"/>
  <c r="J35" i="12" s="1"/>
  <c r="F35" i="12"/>
  <c r="L35" i="12" l="1"/>
  <c r="I35" i="12"/>
  <c r="J36" i="12" s="1"/>
  <c r="F36" i="12"/>
  <c r="L36" i="12" l="1"/>
  <c r="I36" i="12"/>
  <c r="J37" i="12" s="1"/>
  <c r="F37" i="12"/>
  <c r="L37" i="12" l="1"/>
  <c r="I37" i="12"/>
  <c r="J38" i="12" s="1"/>
  <c r="F38" i="12"/>
  <c r="L38" i="12" l="1"/>
  <c r="I38" i="12"/>
  <c r="J39" i="12" s="1"/>
  <c r="F39" i="12"/>
  <c r="L39" i="12" l="1"/>
  <c r="I39" i="12"/>
  <c r="J40" i="12" s="1"/>
  <c r="F40" i="12"/>
  <c r="L40" i="12" l="1"/>
  <c r="I40" i="12"/>
  <c r="J41" i="12" s="1"/>
  <c r="F41" i="12"/>
  <c r="L41" i="12" l="1"/>
  <c r="I41" i="12"/>
  <c r="J42" i="12" s="1"/>
  <c r="F42" i="12"/>
  <c r="L42" i="12" l="1"/>
  <c r="I42" i="12"/>
  <c r="J43" i="12" s="1"/>
  <c r="F43" i="12"/>
  <c r="L43" i="12" l="1"/>
  <c r="I43" i="12"/>
  <c r="J44" i="12" s="1"/>
  <c r="F44" i="12"/>
  <c r="L44" i="12" l="1"/>
  <c r="I44" i="12"/>
  <c r="J45" i="12" s="1"/>
  <c r="F45" i="12"/>
  <c r="L45" i="12" l="1"/>
  <c r="I45" i="12"/>
  <c r="J46" i="12" s="1"/>
  <c r="F46" i="12"/>
  <c r="L46" i="12" l="1"/>
  <c r="I46" i="12"/>
  <c r="F48" i="12"/>
  <c r="I48" i="12" l="1"/>
  <c r="J49" i="12" s="1"/>
  <c r="F49" i="12"/>
  <c r="J48" i="12"/>
  <c r="J47" i="12"/>
  <c r="L47" i="12" s="1"/>
  <c r="L48" i="12" l="1"/>
  <c r="L49" i="12" s="1"/>
  <c r="I49" i="12"/>
  <c r="J50" i="12" s="1"/>
  <c r="F50" i="12"/>
  <c r="L50" i="12" l="1"/>
  <c r="I50" i="12"/>
  <c r="J51" i="12" s="1"/>
  <c r="F51" i="12"/>
  <c r="L51" i="12" l="1"/>
  <c r="I51" i="12"/>
  <c r="J52" i="12" s="1"/>
  <c r="F52" i="12"/>
  <c r="L52" i="12" l="1"/>
  <c r="I52" i="12"/>
  <c r="J53" i="12" s="1"/>
  <c r="F53" i="12"/>
  <c r="L53" i="12" l="1"/>
  <c r="I53" i="12"/>
  <c r="J54" i="12" s="1"/>
  <c r="F54" i="12"/>
  <c r="L54" i="12" l="1"/>
  <c r="I54" i="12"/>
  <c r="J55" i="12" s="1"/>
  <c r="F55" i="12"/>
  <c r="L55" i="12" l="1"/>
  <c r="I55" i="12"/>
  <c r="J56" i="12" s="1"/>
  <c r="F56" i="12"/>
  <c r="L56" i="12" l="1"/>
  <c r="I56" i="12"/>
  <c r="J57" i="12" s="1"/>
  <c r="F57" i="12"/>
  <c r="L57" i="12" l="1"/>
  <c r="I57" i="12"/>
  <c r="J58" i="12" s="1"/>
  <c r="F58" i="12"/>
  <c r="L58" i="12" l="1"/>
  <c r="I58" i="12"/>
  <c r="J59" i="12" s="1"/>
  <c r="F59" i="12"/>
  <c r="L59" i="12" l="1"/>
  <c r="I59" i="12"/>
  <c r="J60" i="12" s="1"/>
  <c r="F60" i="12"/>
  <c r="L60" i="12" l="1"/>
  <c r="I60" i="12"/>
  <c r="J61" i="12" s="1"/>
  <c r="F61" i="12"/>
  <c r="L61" i="12" l="1"/>
  <c r="I61" i="12"/>
  <c r="J62" i="12" s="1"/>
  <c r="F62" i="12"/>
  <c r="L62" i="12" l="1"/>
  <c r="I62" i="12"/>
  <c r="J63" i="12" s="1"/>
  <c r="F63" i="12"/>
  <c r="L63" i="12" l="1"/>
  <c r="I63" i="12"/>
  <c r="J64" i="12" s="1"/>
  <c r="F64" i="12"/>
  <c r="L64" i="12" l="1"/>
  <c r="I64" i="12"/>
  <c r="J65" i="12" s="1"/>
  <c r="F65" i="12"/>
  <c r="L65" i="12" l="1"/>
  <c r="I65" i="12"/>
  <c r="J66" i="12" s="1"/>
  <c r="F66" i="12"/>
  <c r="L66" i="12" l="1"/>
  <c r="I66" i="12"/>
  <c r="J67" i="12" s="1"/>
  <c r="F67" i="12"/>
  <c r="L67" i="12" l="1"/>
  <c r="I67" i="12"/>
  <c r="J68" i="12" s="1"/>
  <c r="F68" i="12"/>
  <c r="L68" i="12" l="1"/>
  <c r="I68" i="12"/>
  <c r="J69" i="12" s="1"/>
  <c r="F69" i="12"/>
  <c r="L69" i="12" l="1"/>
  <c r="I69" i="12"/>
  <c r="J70" i="12" s="1"/>
  <c r="F70" i="12"/>
  <c r="L70" i="12" l="1"/>
  <c r="I70" i="12"/>
  <c r="J71" i="12" s="1"/>
  <c r="J133" i="12" s="1"/>
  <c r="F71" i="12"/>
  <c r="I71" i="12" s="1"/>
  <c r="L71" i="12" l="1"/>
  <c r="K72" i="12" l="1"/>
  <c r="L72" i="12" l="1"/>
  <c r="K73" i="12" l="1"/>
  <c r="L73" i="12" s="1"/>
  <c r="I72" i="12"/>
  <c r="K74" i="12" l="1"/>
  <c r="L74" i="12" s="1"/>
  <c r="I73" i="12"/>
  <c r="K75" i="12" l="1"/>
  <c r="L75" i="12" s="1"/>
  <c r="I74" i="12"/>
  <c r="K76" i="12" l="1"/>
  <c r="L76" i="12" s="1"/>
  <c r="I75" i="12"/>
  <c r="I76" i="12" l="1"/>
  <c r="K77" i="12"/>
  <c r="L77" i="12" s="1"/>
  <c r="I77" i="12" l="1"/>
  <c r="K78" i="12"/>
  <c r="L78" i="12" s="1"/>
  <c r="K79" i="12" l="1"/>
  <c r="L79" i="12" s="1"/>
  <c r="I78" i="12"/>
  <c r="I79" i="12" l="1"/>
  <c r="K80" i="12"/>
  <c r="L80" i="12" s="1"/>
  <c r="I80" i="12" l="1"/>
  <c r="K81" i="12"/>
  <c r="L81" i="12" s="1"/>
  <c r="I81" i="12" l="1"/>
  <c r="K82" i="12"/>
  <c r="L82" i="12" s="1"/>
  <c r="K83" i="12" l="1"/>
  <c r="L83" i="12" s="1"/>
  <c r="I82" i="12"/>
  <c r="I83" i="12" l="1"/>
  <c r="K84" i="12"/>
  <c r="L84" i="12" s="1"/>
  <c r="K85" i="12" l="1"/>
  <c r="L85" i="12" s="1"/>
  <c r="I84" i="12"/>
  <c r="K86" i="12" l="1"/>
  <c r="L86" i="12" s="1"/>
  <c r="I85" i="12"/>
  <c r="K87" i="12" l="1"/>
  <c r="L87" i="12" s="1"/>
  <c r="I86" i="12"/>
  <c r="I87" i="12" l="1"/>
  <c r="K88" i="12"/>
  <c r="L88" i="12" s="1"/>
  <c r="K89" i="12" l="1"/>
  <c r="L89" i="12" s="1"/>
  <c r="I88" i="12"/>
  <c r="K90" i="12" l="1"/>
  <c r="L90" i="12" s="1"/>
  <c r="I89" i="12"/>
  <c r="K91" i="12" l="1"/>
  <c r="L91" i="12" s="1"/>
  <c r="I90" i="12"/>
  <c r="K92" i="12" l="1"/>
  <c r="L92" i="12" s="1"/>
  <c r="I91" i="12"/>
  <c r="K93" i="12" l="1"/>
  <c r="L93" i="12" s="1"/>
  <c r="I92" i="12"/>
  <c r="K94" i="12" l="1"/>
  <c r="L94" i="12" s="1"/>
  <c r="I93" i="12"/>
  <c r="K95" i="12" l="1"/>
  <c r="L95" i="12" s="1"/>
  <c r="I94" i="12"/>
  <c r="I95" i="12" l="1"/>
  <c r="K96" i="12"/>
  <c r="L96" i="12" s="1"/>
  <c r="K97" i="12" l="1"/>
  <c r="L97" i="12" s="1"/>
  <c r="I96" i="12"/>
  <c r="K98" i="12" l="1"/>
  <c r="L98" i="12" s="1"/>
  <c r="I97" i="12"/>
  <c r="I98" i="12" l="1"/>
  <c r="K99" i="12"/>
  <c r="L99" i="12" s="1"/>
  <c r="K100" i="12" l="1"/>
  <c r="L100" i="12" s="1"/>
  <c r="I99" i="12"/>
  <c r="K101" i="12" l="1"/>
  <c r="L101" i="12" s="1"/>
  <c r="I100" i="12"/>
  <c r="K102" i="12" l="1"/>
  <c r="L102" i="12" s="1"/>
  <c r="I101" i="12"/>
  <c r="K103" i="12" l="1"/>
  <c r="L103" i="12" s="1"/>
  <c r="I102" i="12"/>
  <c r="K104" i="12" l="1"/>
  <c r="L104" i="12" s="1"/>
  <c r="I103" i="12"/>
  <c r="K105" i="12" l="1"/>
  <c r="L105" i="12" s="1"/>
  <c r="I104" i="12"/>
  <c r="K106" i="12" l="1"/>
  <c r="L106" i="12" s="1"/>
  <c r="I105" i="12"/>
  <c r="K107" i="12" l="1"/>
  <c r="L107" i="12" s="1"/>
  <c r="I106" i="12"/>
  <c r="I107" i="12" l="1"/>
  <c r="K108" i="12"/>
  <c r="L108" i="12" s="1"/>
  <c r="K109" i="12" l="1"/>
  <c r="L109" i="12" s="1"/>
  <c r="I108" i="12"/>
  <c r="K110" i="12" l="1"/>
  <c r="L110" i="12" s="1"/>
  <c r="I109" i="12"/>
  <c r="K111" i="12" l="1"/>
  <c r="L111" i="12" s="1"/>
  <c r="I110" i="12"/>
  <c r="K112" i="12" l="1"/>
  <c r="L112" i="12" s="1"/>
  <c r="I111" i="12"/>
  <c r="K113" i="12" l="1"/>
  <c r="L113" i="12" s="1"/>
  <c r="I112" i="12"/>
  <c r="K114" i="12" l="1"/>
  <c r="L114" i="12" s="1"/>
  <c r="I113" i="12"/>
  <c r="I114" i="12" l="1"/>
  <c r="K115" i="12"/>
  <c r="L115" i="12" s="1"/>
  <c r="I115" i="12" l="1"/>
  <c r="K116" i="12"/>
  <c r="L116" i="12" s="1"/>
  <c r="K117" i="12" l="1"/>
  <c r="L117" i="12" s="1"/>
  <c r="I116" i="12"/>
  <c r="K118" i="12" l="1"/>
  <c r="L118" i="12" s="1"/>
  <c r="I117" i="12"/>
  <c r="K119" i="12" l="1"/>
  <c r="L119" i="12" s="1"/>
  <c r="I118" i="12"/>
  <c r="K120" i="12" l="1"/>
  <c r="L120" i="12" s="1"/>
  <c r="I119" i="12"/>
  <c r="K121" i="12" l="1"/>
  <c r="L121" i="12" s="1"/>
  <c r="I120" i="12"/>
  <c r="K122" i="12" l="1"/>
  <c r="L122" i="12" s="1"/>
  <c r="I121" i="12"/>
  <c r="I122" i="12" l="1"/>
  <c r="K123" i="12"/>
  <c r="L123" i="12" s="1"/>
  <c r="K124" i="12" l="1"/>
  <c r="L124" i="12" s="1"/>
  <c r="I123" i="12"/>
  <c r="K125" i="12" l="1"/>
  <c r="L125" i="12" s="1"/>
  <c r="I124" i="12"/>
  <c r="K126" i="12" l="1"/>
  <c r="L126" i="12" s="1"/>
  <c r="I125" i="12"/>
  <c r="K127" i="12" l="1"/>
  <c r="L127" i="12" s="1"/>
  <c r="I126" i="12"/>
  <c r="I127" i="12" l="1"/>
  <c r="K128" i="12"/>
  <c r="L128" i="12" s="1"/>
  <c r="K129" i="12" l="1"/>
  <c r="L129" i="12" s="1"/>
  <c r="I128" i="12"/>
  <c r="K130" i="12" l="1"/>
  <c r="L130" i="12" s="1"/>
  <c r="I129" i="12"/>
  <c r="I130" i="12" l="1"/>
  <c r="K131" i="12"/>
  <c r="L131" i="12" s="1"/>
  <c r="K132" i="12" l="1"/>
  <c r="K133" i="12" s="1"/>
  <c r="I131" i="12"/>
  <c r="L132" i="12" l="1"/>
  <c r="I132" i="12" s="1"/>
  <c r="C90" i="7" l="1"/>
  <c r="C83" i="7"/>
  <c r="C86" i="7" s="1"/>
  <c r="C92" i="7" l="1"/>
  <c r="C94" i="7" s="1"/>
  <c r="C96" i="7" s="1"/>
  <c r="O65" i="11" l="1"/>
  <c r="O75" i="11" s="1"/>
  <c r="O48" i="11" s="1"/>
  <c r="S63" i="11"/>
  <c r="S61" i="11"/>
  <c r="S59" i="11"/>
  <c r="H51" i="11"/>
  <c r="F51" i="11"/>
  <c r="M49" i="11"/>
  <c r="M48" i="11"/>
  <c r="M47" i="11"/>
  <c r="B47" i="11"/>
  <c r="B48" i="11" s="1"/>
  <c r="B49" i="11" s="1"/>
  <c r="B51" i="11" s="1"/>
  <c r="M46" i="11"/>
  <c r="S65" i="11" l="1"/>
  <c r="S67" i="11" s="1"/>
  <c r="S69" i="11" s="1"/>
  <c r="S48" i="11"/>
  <c r="O46" i="11"/>
  <c r="S46" i="11" s="1"/>
  <c r="O47" i="11"/>
  <c r="S47" i="11" s="1"/>
  <c r="S71" i="11" l="1"/>
  <c r="S73" i="11" s="1"/>
  <c r="S75" i="11" s="1"/>
  <c r="O49" i="11" s="1"/>
  <c r="S49" i="11" s="1"/>
  <c r="S51" i="11" s="1"/>
  <c r="C70" i="7" l="1"/>
  <c r="C63" i="7"/>
  <c r="C66" i="7" s="1"/>
  <c r="D61" i="6"/>
  <c r="D54" i="6"/>
  <c r="D64" i="6" s="1"/>
  <c r="D66" i="6" s="1"/>
  <c r="D56" i="6" l="1"/>
  <c r="C72" i="7"/>
  <c r="C74" i="7" s="1"/>
  <c r="C76" i="7" s="1"/>
  <c r="A45" i="6" l="1"/>
  <c r="A46" i="6" s="1"/>
  <c r="A47" i="6" s="1"/>
  <c r="A48" i="6" s="1"/>
  <c r="A49" i="6" s="1"/>
  <c r="A50" i="6" s="1"/>
  <c r="A51" i="6" s="1"/>
  <c r="A52" i="6" l="1"/>
  <c r="A53" i="6" s="1"/>
  <c r="A54" i="6" s="1"/>
  <c r="A58" i="6" s="1"/>
  <c r="A60" i="6" s="1"/>
  <c r="G27" i="21" l="1"/>
  <c r="G10" i="1" s="1"/>
  <c r="G28" i="21" l="1"/>
  <c r="C50" i="7" l="1"/>
  <c r="C43" i="7"/>
  <c r="C46" i="7" s="1"/>
  <c r="C52" i="7" l="1"/>
  <c r="C54" i="7" s="1"/>
  <c r="C56" i="7" s="1"/>
  <c r="D22" i="6" l="1"/>
  <c r="D15" i="6" l="1"/>
  <c r="D17" i="6" l="1"/>
  <c r="D25" i="6" l="1"/>
  <c r="D27" i="6" s="1"/>
  <c r="D16" i="9" l="1"/>
  <c r="C31" i="7" l="1"/>
  <c r="C24" i="7"/>
  <c r="C27" i="7" s="1"/>
  <c r="C33" i="7" l="1"/>
  <c r="C35" i="7" s="1"/>
  <c r="C37" i="7" s="1"/>
  <c r="G15" i="21" l="1"/>
  <c r="G8" i="21"/>
  <c r="G9" i="21"/>
  <c r="G10" i="21"/>
  <c r="G11" i="21"/>
  <c r="G12" i="21"/>
  <c r="G13" i="21"/>
  <c r="G14" i="21"/>
  <c r="G16" i="21"/>
  <c r="G17" i="21" l="1"/>
  <c r="G19" i="21" s="1"/>
  <c r="G26" i="21" l="1"/>
  <c r="E36" i="21" s="1"/>
  <c r="G8" i="1" l="1"/>
  <c r="B36" i="21"/>
  <c r="G12" i="1" l="1"/>
  <c r="G20" i="1" l="1"/>
  <c r="G30" i="21"/>
  <c r="G22" i="1" l="1"/>
  <c r="G30" i="1"/>
  <c r="G50" i="1" s="1"/>
  <c r="A11" i="9"/>
  <c r="A8" i="6" l="1"/>
  <c r="A9" i="6" s="1"/>
  <c r="A10" i="6" s="1"/>
  <c r="A11" i="6" s="1"/>
  <c r="A12" i="6" s="1"/>
  <c r="A13" i="6" s="1"/>
  <c r="A14" i="6" s="1"/>
  <c r="A15" i="6" s="1"/>
  <c r="A19" i="6" s="1"/>
  <c r="E35" i="21" l="1"/>
  <c r="E37" i="21" s="1"/>
  <c r="C13" i="7"/>
  <c r="C6" i="7"/>
  <c r="C9" i="7" s="1"/>
  <c r="C36" i="21" l="1"/>
  <c r="C35" i="21"/>
  <c r="C15" i="7"/>
  <c r="C17" i="7" s="1"/>
  <c r="C19" i="7" s="1"/>
  <c r="A10" i="1" l="1"/>
  <c r="A12" i="1" s="1"/>
  <c r="A14" i="1" s="1"/>
  <c r="A22" i="1" s="1"/>
  <c r="A24" i="1" s="1"/>
  <c r="A26" i="1" s="1"/>
  <c r="A28" i="1" s="1"/>
  <c r="A30" i="1" s="1"/>
  <c r="A32" i="1" s="1"/>
  <c r="A34" i="1" l="1"/>
  <c r="A36" i="1" s="1"/>
  <c r="A46" i="1"/>
  <c r="A48" i="1" s="1"/>
  <c r="A50" i="1" s="1"/>
  <c r="A21" i="6" l="1"/>
  <c r="B34" i="11"/>
  <c r="B36" i="11" s="1"/>
  <c r="B38" i="11" s="1"/>
  <c r="O28" i="11"/>
  <c r="O38" i="11" s="1"/>
  <c r="S26" i="11"/>
  <c r="S24" i="11"/>
  <c r="S22" i="11"/>
  <c r="F14" i="11"/>
  <c r="M11" i="11"/>
  <c r="M10" i="11"/>
  <c r="B10" i="11"/>
  <c r="B11" i="11" s="1"/>
  <c r="B12" i="11" s="1"/>
  <c r="B14" i="11" s="1"/>
  <c r="H12" i="11" l="1"/>
  <c r="M12" i="11" s="1"/>
  <c r="H9" i="11"/>
  <c r="M9" i="11" s="1"/>
  <c r="S28" i="11"/>
  <c r="S30" i="11" s="1"/>
  <c r="S32" i="11" s="1"/>
  <c r="S34" i="11" s="1"/>
  <c r="O11" i="11"/>
  <c r="S11" i="11" s="1"/>
  <c r="O9" i="11"/>
  <c r="O10" i="11"/>
  <c r="S10" i="11" s="1"/>
  <c r="H14" i="11" l="1"/>
  <c r="S9" i="11"/>
  <c r="S36" i="11"/>
  <c r="S38" i="11" s="1"/>
  <c r="O12" i="11" s="1"/>
  <c r="S12" i="11" s="1"/>
  <c r="S14" i="11" l="1"/>
  <c r="D7" i="14" l="1"/>
  <c r="D9" i="14" l="1"/>
  <c r="D11" i="14" l="1"/>
  <c r="D13" i="14" s="1"/>
  <c r="G34" i="1" s="1"/>
  <c r="G36" i="1" s="1"/>
  <c r="G54" i="1"/>
  <c r="G55" i="1"/>
  <c r="G56" i="1" l="1"/>
  <c r="G39" i="1" l="1"/>
  <c r="G8" i="22" s="1"/>
  <c r="G40" i="1"/>
  <c r="G41" i="1" l="1"/>
  <c r="H8" i="22"/>
  <c r="I8" i="22" s="1"/>
  <c r="G22" i="22"/>
  <c r="G25" i="22"/>
  <c r="G26" i="22"/>
  <c r="G21" i="22"/>
  <c r="I21" i="22" s="1"/>
  <c r="G24" i="22"/>
  <c r="G23" i="22"/>
  <c r="I23" i="22" s="1"/>
  <c r="G20" i="22"/>
  <c r="G19" i="22"/>
  <c r="G28" i="22" l="1"/>
  <c r="H21" i="22"/>
  <c r="K21" i="22" s="1"/>
  <c r="M21" i="22" s="1"/>
  <c r="N21" i="22" s="1"/>
  <c r="H19" i="22"/>
  <c r="H25" i="22"/>
  <c r="K25" i="22" s="1"/>
  <c r="M25" i="22" s="1"/>
  <c r="N25" i="22" s="1"/>
  <c r="H24" i="22"/>
  <c r="K24" i="22" s="1"/>
  <c r="M24" i="22" s="1"/>
  <c r="N24" i="22" s="1"/>
  <c r="H23" i="22"/>
  <c r="K23" i="22" s="1"/>
  <c r="M23" i="22" s="1"/>
  <c r="N23" i="22" s="1"/>
  <c r="H22" i="22"/>
  <c r="K22" i="22" s="1"/>
  <c r="M22" i="22" s="1"/>
  <c r="N22" i="22" s="1"/>
  <c r="H26" i="22"/>
  <c r="K26" i="22" s="1"/>
  <c r="M26" i="22" s="1"/>
  <c r="N26" i="22" s="1"/>
  <c r="H20" i="22"/>
  <c r="K20" i="22" s="1"/>
  <c r="M20" i="22" s="1"/>
  <c r="N20" i="22" s="1"/>
  <c r="K19" i="22" l="1"/>
  <c r="M19" i="22" s="1"/>
  <c r="H28" i="22"/>
  <c r="N19" i="22" l="1"/>
  <c r="N28" i="22" s="1"/>
  <c r="M28" i="22"/>
</calcChain>
</file>

<file path=xl/sharedStrings.xml><?xml version="1.0" encoding="utf-8"?>
<sst xmlns="http://schemas.openxmlformats.org/spreadsheetml/2006/main" count="821" uniqueCount="335">
  <si>
    <t>Kentucky Power Company</t>
  </si>
  <si>
    <t>Tariff Class</t>
  </si>
  <si>
    <t>Description</t>
  </si>
  <si>
    <t>Demand</t>
  </si>
  <si>
    <t>Total Revenue Collected</t>
  </si>
  <si>
    <t>Energy</t>
  </si>
  <si>
    <t>Total</t>
  </si>
  <si>
    <t>Revenue Requirement</t>
  </si>
  <si>
    <t>a.)</t>
  </si>
  <si>
    <t>b.)</t>
  </si>
  <si>
    <t>KY Retail Jurisdiction</t>
  </si>
  <si>
    <t>CP</t>
  </si>
  <si>
    <t>Allocated</t>
  </si>
  <si>
    <t>Test Year</t>
  </si>
  <si>
    <t>Billing</t>
  </si>
  <si>
    <t>CP / kWh</t>
  </si>
  <si>
    <t>Allocation</t>
  </si>
  <si>
    <t>Related</t>
  </si>
  <si>
    <t>$ / kW</t>
  </si>
  <si>
    <t>$ / kWh</t>
  </si>
  <si>
    <t>Revenue</t>
  </si>
  <si>
    <t>Class</t>
  </si>
  <si>
    <t>Ratio</t>
  </si>
  <si>
    <t>Factor</t>
  </si>
  <si>
    <t>Costs</t>
  </si>
  <si>
    <t>Rate</t>
  </si>
  <si>
    <t>Verification</t>
  </si>
  <si>
    <t>Difference</t>
  </si>
  <si>
    <t>(5) = (2) x (4)</t>
  </si>
  <si>
    <t>(8) = (6) / (3)</t>
  </si>
  <si>
    <t>(9) = (7) / (2)</t>
  </si>
  <si>
    <t>(11) =</t>
  </si>
  <si>
    <t>on (5)</t>
  </si>
  <si>
    <t>on (2)</t>
  </si>
  <si>
    <t>(10) - (6) - (7)</t>
  </si>
  <si>
    <t>RES</t>
  </si>
  <si>
    <t>LGS</t>
  </si>
  <si>
    <t>LGS  LMTOD</t>
  </si>
  <si>
    <t>MW</t>
  </si>
  <si>
    <t>OL</t>
  </si>
  <si>
    <t>SL</t>
  </si>
  <si>
    <t>Class Billing Determinants</t>
  </si>
  <si>
    <t>LGS LMTOD</t>
  </si>
  <si>
    <t>Total for Over/Under</t>
  </si>
  <si>
    <t xml:space="preserve"> </t>
  </si>
  <si>
    <t>LINE NO.</t>
  </si>
  <si>
    <t>Component</t>
  </si>
  <si>
    <t>Balances</t>
  </si>
  <si>
    <t>Cap.                                Structure</t>
  </si>
  <si>
    <t>Cost                                                Rates</t>
  </si>
  <si>
    <t>WACC                                              (Net of Tax)</t>
  </si>
  <si>
    <t>GRCF</t>
  </si>
  <si>
    <t>WACC       (PRE-TAX)</t>
  </si>
  <si>
    <t>L/T DEBT</t>
  </si>
  <si>
    <t>S/T DEBT</t>
  </si>
  <si>
    <t>ACCTS REC FINANCING</t>
  </si>
  <si>
    <t>C EQUITY</t>
  </si>
  <si>
    <t>**</t>
  </si>
  <si>
    <t>TOTAL</t>
  </si>
  <si>
    <t>Debt</t>
  </si>
  <si>
    <t>Equity</t>
  </si>
  <si>
    <t>Operating Revenues</t>
  </si>
  <si>
    <t>Less Uncollectible Accounts Expense</t>
  </si>
  <si>
    <t>KPSC Maintenance Assessment Fee</t>
  </si>
  <si>
    <t>Income Before Income Taxes</t>
  </si>
  <si>
    <t>Less State Income Taxes (Ln 4 x 5.7348)</t>
  </si>
  <si>
    <t>Income Before Federal Income Taxes</t>
  </si>
  <si>
    <t>Operating  Income Percentage</t>
  </si>
  <si>
    <t>Gross Up Factor  (100.00/Ln 9)</t>
  </si>
  <si>
    <t>Rate of Return on Common Equity as authorized by the Public Service Commission in Order Dated June 22, 2015 in Case No. 2014-00396.</t>
  </si>
  <si>
    <t xml:space="preserve">KENTUCKY POWER COMPANY </t>
  </si>
  <si>
    <t>PPA Rider Base Rate Amounts</t>
  </si>
  <si>
    <t>KPCo KY Retail Jurisdiction</t>
  </si>
  <si>
    <t>PJM LSE OATT Base Amount</t>
  </si>
  <si>
    <t>Total PPA Base Amount</t>
  </si>
  <si>
    <t>PJM Affiliated Trans NITS Cost</t>
  </si>
  <si>
    <t>PJM Affiliated Trans TO Cost</t>
  </si>
  <si>
    <t>Affil PJM Trans Enhancmnt Cost</t>
  </si>
  <si>
    <t>PJM Trans Enhancement Charge</t>
  </si>
  <si>
    <t>PJM NITS Expense - Affiliated</t>
  </si>
  <si>
    <t>Affil PJM Trans Enhncement Exp</t>
  </si>
  <si>
    <t>Account</t>
  </si>
  <si>
    <t>Adjusted Test Year Total</t>
  </si>
  <si>
    <t>CS IRP Credits Base Amount - Acct 44X</t>
  </si>
  <si>
    <t>Classification</t>
  </si>
  <si>
    <t>Actual Period Total</t>
  </si>
  <si>
    <t>Total Demand</t>
  </si>
  <si>
    <t>Total Energy</t>
  </si>
  <si>
    <t>$</t>
  </si>
  <si>
    <t>%</t>
  </si>
  <si>
    <t>GS (SGS/MGS)</t>
  </si>
  <si>
    <t xml:space="preserve">IGS </t>
  </si>
  <si>
    <t>As of                                           2/28/2017*</t>
  </si>
  <si>
    <t>12 Months Ended February 28, 2017</t>
  </si>
  <si>
    <t>Retail Total</t>
  </si>
  <si>
    <t xml:space="preserve">PJM LSE OATT </t>
  </si>
  <si>
    <t>Line</t>
  </si>
  <si>
    <t>PPA - Form 5.0</t>
  </si>
  <si>
    <t xml:space="preserve">Gross Revenue Conversion </t>
  </si>
  <si>
    <t>GS (Includes SGS-TOD and MGS-TOD)</t>
  </si>
  <si>
    <t>4561035-LSE</t>
  </si>
  <si>
    <t>4561036-LSE</t>
  </si>
  <si>
    <t>4561060-LSE</t>
  </si>
  <si>
    <t xml:space="preserve">Prior Period PPA Revenue Target - Previous PPA Update Filing </t>
  </si>
  <si>
    <t>FERC vs KY Retail ROE Delta Return Calculation</t>
  </si>
  <si>
    <t>Source</t>
  </si>
  <si>
    <t>a</t>
  </si>
  <si>
    <t>TO Transmission Rate Base</t>
  </si>
  <si>
    <t>b</t>
  </si>
  <si>
    <t>KY Juris Retail Demand Factor</t>
  </si>
  <si>
    <t>2017-00179  Section V, Allocation Factors</t>
  </si>
  <si>
    <t>c = a*b</t>
  </si>
  <si>
    <t>KY Retail TO Trans Rate Base</t>
  </si>
  <si>
    <t>calculation</t>
  </si>
  <si>
    <t>d</t>
  </si>
  <si>
    <t>Base Rate KY Retail Trans Rate Base</t>
  </si>
  <si>
    <t>2017-00179 Class Cost of Service</t>
  </si>
  <si>
    <t>e = c-d</t>
  </si>
  <si>
    <t xml:space="preserve">Difference </t>
  </si>
  <si>
    <t>f</t>
  </si>
  <si>
    <t>g</t>
  </si>
  <si>
    <t>h = f-g</t>
  </si>
  <si>
    <t>j = e*h</t>
  </si>
  <si>
    <t>TO Return Delta</t>
  </si>
  <si>
    <t>k</t>
  </si>
  <si>
    <t>2018 Tariff PPA Revenue Credit</t>
  </si>
  <si>
    <t>l= j*k</t>
  </si>
  <si>
    <t>m</t>
  </si>
  <si>
    <t>Monthly Amount to be used for Periods less than 12 months (Line 11/12)</t>
  </si>
  <si>
    <t>PJM Point to Point Trans Svc</t>
  </si>
  <si>
    <t>RTO Formation Cost Recovery</t>
  </si>
  <si>
    <t>WACC</t>
  </si>
  <si>
    <t>Monthly</t>
  </si>
  <si>
    <t>Monthly Payment</t>
  </si>
  <si>
    <t>Retail Revenue Requirement</t>
  </si>
  <si>
    <t>Month</t>
  </si>
  <si>
    <t>Additions</t>
  </si>
  <si>
    <t>Levelized Payment</t>
  </si>
  <si>
    <t>Calculated Change in RA</t>
  </si>
  <si>
    <t>Month End Reg Asset Balance Excl. CC</t>
  </si>
  <si>
    <t>ADIT on RA</t>
  </si>
  <si>
    <t>ADIT Balance</t>
  </si>
  <si>
    <t>Balance of Components Subject to WACC</t>
  </si>
  <si>
    <t>Carrying Charges on Principal net of ADIT only</t>
  </si>
  <si>
    <t>Carrying Charges on Total Reg Asset net of ADIT</t>
  </si>
  <si>
    <t>Month End Reg Asset Balance</t>
  </si>
  <si>
    <t>Totals</t>
  </si>
  <si>
    <t>Amount to Be Recovered Through Tariff PPA</t>
  </si>
  <si>
    <t>= g</t>
  </si>
  <si>
    <t>Calculation</t>
  </si>
  <si>
    <t>g = e*f</t>
  </si>
  <si>
    <t>Gross Revenue Conversion Factor</t>
  </si>
  <si>
    <t>e = (b*d)-a</t>
  </si>
  <si>
    <t>If D &gt; C, Continue to Part e</t>
  </si>
  <si>
    <t>If D &lt; C, Stop</t>
  </si>
  <si>
    <t>Kentucky Power Allowed Retail ROE</t>
  </si>
  <si>
    <t>Return on Common Equity</t>
  </si>
  <si>
    <t>c = a/b</t>
  </si>
  <si>
    <t>13 Month Average Common Equity</t>
  </si>
  <si>
    <t xml:space="preserve">Kentucky Power Company </t>
  </si>
  <si>
    <t>Non-Rockport PPA Base Rate Amount - Form 5.0 (Based on No. of Months)</t>
  </si>
  <si>
    <t xml:space="preserve"> 2023 Rockport Offset Calculation</t>
  </si>
  <si>
    <t>Net GAAP Income Increase Required to Earn Allowed Retail ROE</t>
  </si>
  <si>
    <t>12 Month Net GAAP Income</t>
  </si>
  <si>
    <t>Rockport Fixed Cost Savings</t>
  </si>
  <si>
    <t>Estimated</t>
  </si>
  <si>
    <t>Rockport Offset</t>
  </si>
  <si>
    <t>2024 Rockport Offset True-up (Actual - Estimate)</t>
  </si>
  <si>
    <t>Rockport Offset True-Up (2024)</t>
  </si>
  <si>
    <t>PPA Revenue Requirement before Prior Period Over/Under (Line 6 + Line 7 + Line 8 + Line 9 + Line 10)</t>
  </si>
  <si>
    <t>Amount of Rockport Fixed Cost in Base Rates</t>
  </si>
  <si>
    <t>Subtotal (Line 3 + Line 4 + Line 5)</t>
  </si>
  <si>
    <t>Dec 1 - Dec 8, 2022</t>
  </si>
  <si>
    <t>Dec 9 - Dec 31, 2022</t>
  </si>
  <si>
    <t>Dec 1 - Dec 8, 2027</t>
  </si>
  <si>
    <t>*</t>
  </si>
  <si>
    <t>TO WACC @ 9.70 ROE</t>
  </si>
  <si>
    <t>TO WACC @ 10.35 ROE</t>
  </si>
  <si>
    <t>Forced Outage Purchase Power Limitation Base Amount - Acct 555</t>
  </si>
  <si>
    <t>PJM LSE OATT Monthly Base Amount</t>
  </si>
  <si>
    <t>Non-PJM LSE OATT Monthly Base Amount</t>
  </si>
  <si>
    <t>KPCo</t>
  </si>
  <si>
    <t>PPA Rider Over Under Recovery</t>
  </si>
  <si>
    <t>Per Books</t>
  </si>
  <si>
    <t>January</t>
  </si>
  <si>
    <t>February</t>
  </si>
  <si>
    <t>March</t>
  </si>
  <si>
    <t>April</t>
  </si>
  <si>
    <t>May</t>
  </si>
  <si>
    <t>June</t>
  </si>
  <si>
    <t>Revenue:</t>
  </si>
  <si>
    <t>Adjustments</t>
  </si>
  <si>
    <t>Base Rates:</t>
  </si>
  <si>
    <t>Monthly Approved PPA Base Amount included in Base Rates</t>
  </si>
  <si>
    <t>Expense:</t>
  </si>
  <si>
    <t xml:space="preserve">Account No. </t>
  </si>
  <si>
    <t>Account Description</t>
  </si>
  <si>
    <t>PJM NITS Expense - Non-Affiliated</t>
  </si>
  <si>
    <t>PJM TO Serv Expense - Affiliated</t>
  </si>
  <si>
    <t>Firm and Non-Firm Point to Point Transmision Revenues</t>
  </si>
  <si>
    <t>RTO Formation Costs</t>
  </si>
  <si>
    <t>Network Integrated Transmission Service</t>
  </si>
  <si>
    <t>Schedule 1a Charges</t>
  </si>
  <si>
    <t>Transmission Enhancement Charges</t>
  </si>
  <si>
    <t>PJM NITS Expense - Affilated</t>
  </si>
  <si>
    <t xml:space="preserve">(Over) Under Recovery of PJM OATT LSE Charges </t>
  </si>
  <si>
    <t>Non-OATT LSE amount in base rates</t>
  </si>
  <si>
    <t>Total Non-OATT LSE at 100%</t>
  </si>
  <si>
    <t>Total Non-OATT LSE at 100% less amount in Base Rates</t>
  </si>
  <si>
    <t>(Over) Under Recovery of Base Rates (Step 1)</t>
  </si>
  <si>
    <t>Current month (Over) Under Recovery of Base Rates</t>
  </si>
  <si>
    <t>Cummulative Balance in Regulatory Asset/(Liability)</t>
  </si>
  <si>
    <t>Review Period Total</t>
  </si>
  <si>
    <t>Allocated Monthly</t>
  </si>
  <si>
    <t>Actual Forced Outage Related Purchase Power and CS IRP Credits Paid</t>
  </si>
  <si>
    <t>Forced Outage Related Purchase Power and CS IRP Credits in Base Rates</t>
  </si>
  <si>
    <t>Less Federal Income Taxes (Ln 13*21%)</t>
  </si>
  <si>
    <t xml:space="preserve">FERC Return in excess of Kentucky Retail Return </t>
  </si>
  <si>
    <t>(9a)*</t>
  </si>
  <si>
    <t>(11a)*</t>
  </si>
  <si>
    <t>(12)*</t>
  </si>
  <si>
    <t>*Separated the monthly base amount to properly account for the 80% incremental recovery of PJM LSE OATT Costs</t>
  </si>
  <si>
    <t>December</t>
  </si>
  <si>
    <t>November</t>
  </si>
  <si>
    <t>October</t>
  </si>
  <si>
    <t>September</t>
  </si>
  <si>
    <t>August</t>
  </si>
  <si>
    <t>July</t>
  </si>
  <si>
    <t>2019 OATT TCOS</t>
  </si>
  <si>
    <t xml:space="preserve">2019 OATT TCOS </t>
  </si>
  <si>
    <t>2018 OATT TCOS</t>
  </si>
  <si>
    <t>ESTIMATE - Day 3 - 100% of Interruptible Service Credits &amp; Forced Outage Related Purchase Power Expense</t>
  </si>
  <si>
    <t>Reversal of Day 3 estimates</t>
  </si>
  <si>
    <t>ACTUALS - Post Close - True up of Prior Month 100% of Interruptible Service Credits &amp; FO Expense</t>
  </si>
  <si>
    <t>Subtotal - Billed Revenue</t>
  </si>
  <si>
    <t>Estimated, Unbilled &amp; Gross-up</t>
  </si>
  <si>
    <t>Billed &amp; Accrued Revenue</t>
  </si>
  <si>
    <t>2019 Tariff PPA Revenue Credit</t>
  </si>
  <si>
    <t>Calculated Going Level PPA Revenue Requirement (Line 11 - Line 12 + Line 13)</t>
  </si>
  <si>
    <t>accounting file</t>
  </si>
  <si>
    <t>2020 OATT TCOS</t>
  </si>
  <si>
    <t xml:space="preserve">2020 OATT TCOS </t>
  </si>
  <si>
    <t>2020 Tariff PPA Revenue Credit</t>
  </si>
  <si>
    <t>12 Months Ended March 31, 2020</t>
  </si>
  <si>
    <t>(11a)</t>
  </si>
  <si>
    <t>(13a)</t>
  </si>
  <si>
    <t>2021 OATT TCOS</t>
  </si>
  <si>
    <t>2020-00174  Section V, Allocation Factors</t>
  </si>
  <si>
    <t>2020-00174 Class Cost of Service</t>
  </si>
  <si>
    <t>TO WACC @ 9.30 ROE</t>
  </si>
  <si>
    <t xml:space="preserve">2021 OATT TCOS </t>
  </si>
  <si>
    <t>Previously 80%, now 100% above or below recovery in base rates allowable for recovery</t>
  </si>
  <si>
    <t>Less State Income Taxes (Ln 4 x 5.8545)</t>
  </si>
  <si>
    <t>Taxable Income for Federal Income Taxes</t>
  </si>
  <si>
    <t>Less Federal Income Taxes (Ln 11*21%)</t>
  </si>
  <si>
    <t xml:space="preserve">                   3/31/2020*</t>
  </si>
  <si>
    <t>As provided in Appendix A, Page 3 of 3, by the Public Service Commission in Order dated January 13, 2021 in Case No. 2020-00174 and as amended by the March 17, 2021 Order.</t>
  </si>
  <si>
    <t>2021 Tariff PPA Revenue Credit</t>
  </si>
  <si>
    <t>Purchase Power VCS Credit</t>
  </si>
  <si>
    <t>Billing Energy</t>
  </si>
  <si>
    <t>Non-Rockport Current Period Revenue Requirement - Form 3.0</t>
  </si>
  <si>
    <r>
      <t>Monthly PPA Base Amount to be used for Periods less than 12 months (Line</t>
    </r>
    <r>
      <rPr>
        <sz val="10"/>
        <rFont val="Times New Roman"/>
        <family val="1"/>
      </rPr>
      <t xml:space="preserve"> 12</t>
    </r>
    <r>
      <rPr>
        <sz val="10"/>
        <color theme="1"/>
        <rFont val="Times New Roman"/>
        <family val="1"/>
      </rPr>
      <t>/12)</t>
    </r>
  </si>
  <si>
    <r>
      <t xml:space="preserve">2018 OATT TCOS - </t>
    </r>
    <r>
      <rPr>
        <sz val="10"/>
        <color rgb="FFFF0000"/>
        <rFont val="Times New Roman"/>
        <family val="1"/>
      </rPr>
      <t>Updated for settlement in docket EL17-13</t>
    </r>
  </si>
  <si>
    <r>
      <t xml:space="preserve">2018 OATT TCOS - </t>
    </r>
    <r>
      <rPr>
        <sz val="10"/>
        <color rgb="FFFF0000"/>
        <rFont val="Times New Roman"/>
        <family val="1"/>
      </rPr>
      <t>Updated for PSC Order</t>
    </r>
  </si>
  <si>
    <r>
      <t>2018 OATT TCOS -</t>
    </r>
    <r>
      <rPr>
        <sz val="10"/>
        <color rgb="FFFF0000"/>
        <rFont val="Times New Roman"/>
        <family val="1"/>
      </rPr>
      <t xml:space="preserve"> Updated for 21% FIT Rate</t>
    </r>
  </si>
  <si>
    <t>Billing Demand</t>
  </si>
  <si>
    <t>N/A</t>
  </si>
  <si>
    <t>2022 OATT TCOS</t>
  </si>
  <si>
    <t xml:space="preserve">2022 OATT TCOS </t>
  </si>
  <si>
    <t>Rockport Savings-Offset</t>
  </si>
  <si>
    <t xml:space="preserve">Estimate - Q2 2022 Per Books as Reported SEC Kentucky Power Company
Actual - Q4 2023 Per Books as Reported SEC Kentucky Power Company </t>
  </si>
  <si>
    <t>Commission Order in Case No. 2020-00174</t>
  </si>
  <si>
    <t>Jan 2018 - Jan 13 2021</t>
  </si>
  <si>
    <t>Jan 14 2021 - Current</t>
  </si>
  <si>
    <t>Monthly WACC</t>
  </si>
  <si>
    <t>January  2021 Prorate</t>
  </si>
  <si>
    <t>Actual Non-Rockport PPA Costs - Form 3.0</t>
  </si>
  <si>
    <t>Line is no longer applicable.</t>
  </si>
  <si>
    <t>Actual PPA Revenue Collected - Form 4.0</t>
  </si>
  <si>
    <t>Recovery of Rockport Deferral (Dec 9 2022 through Dec 8 2027)</t>
  </si>
  <si>
    <t>Refund of Rockport Fixed Cost Savings (Dec 9 2022 until date reflected in base rates, expected January 2024)</t>
  </si>
  <si>
    <t>Capacity Charges in 5550004/5550023</t>
  </si>
  <si>
    <t>variance</t>
  </si>
  <si>
    <t>Line 13</t>
  </si>
  <si>
    <t>Prior Period PPA Revenue Target</t>
  </si>
  <si>
    <t>Capacity Charges</t>
  </si>
  <si>
    <t>(5)a</t>
  </si>
  <si>
    <t>(5)b</t>
  </si>
  <si>
    <t>Actual*</t>
  </si>
  <si>
    <t xml:space="preserve">Reflects preliminary, unaudited financial results as of 2023-year end. </t>
  </si>
  <si>
    <t>Estimate - Commission Order in Case No. 2020-00174
Actual - Commission Order in Case No. 2023-00159</t>
  </si>
  <si>
    <t>12 -Month Period ended June 30, 2024</t>
  </si>
  <si>
    <t xml:space="preserve">                   3/31/2023</t>
  </si>
  <si>
    <t>Less State Income Taxes (Ln 4 x 5.0065)</t>
  </si>
  <si>
    <t>Final (over)/Under recovery balance</t>
  </si>
  <si>
    <t>2024 OATT TCOS</t>
  </si>
  <si>
    <t>2020-00174</t>
  </si>
  <si>
    <t xml:space="preserve">2024 OATT TCOS </t>
  </si>
  <si>
    <t>Recovery of Estimated Rockport Offset, Rockport True-up Beginning March 2024</t>
  </si>
  <si>
    <t>Monthly = line 31/12</t>
  </si>
  <si>
    <t>Actual Operating Expenses for the 12 Month period ended June 30, 2024</t>
  </si>
  <si>
    <t>Revenue Requirement for 12 Months' Ended June 2024 Filing</t>
  </si>
  <si>
    <t>July 23 - June 24</t>
  </si>
  <si>
    <t>Revenue Requirement at Aug 2023 Filing (for Oct 2023 - Jan 16 2024)</t>
  </si>
  <si>
    <t>Revenue Requirement at Nov 2022 Filing (for Jul 2023 - Sept 2023)</t>
  </si>
  <si>
    <t>Revenue Requirement at Jan 2024 Filing (for Jan 16, 24 - Feb 2024)</t>
  </si>
  <si>
    <t>Revenue Requirement at Feb 2024 Filing (for Mar 24 - Jun 24)</t>
  </si>
  <si>
    <t>Gross-Up (Line 6 X .005523)</t>
  </si>
  <si>
    <t>Actual</t>
  </si>
  <si>
    <t>Forecast</t>
  </si>
  <si>
    <t>As determined by the Public Service Commission in Order dated January 19, 2023 in Case No. 2023-00159.</t>
  </si>
  <si>
    <t>Forecast Compared toActual</t>
  </si>
  <si>
    <t>Tariff Capacity Charge - Final Remaining (Over)/Under to be Credited or Collected from Customers</t>
  </si>
  <si>
    <t>12 Months Ended March 31, 2023</t>
  </si>
  <si>
    <t>(14a)</t>
  </si>
  <si>
    <t>Line no longer used</t>
  </si>
  <si>
    <t>Based on 12 -Month Period ended June 30, 2024</t>
  </si>
  <si>
    <t>Lines no longer used, previously included: Recovery of Declining Deferral of Rockport Costs (through Dec 2022) and Recovery of Amortization of Interest Expense Deferral (October 2021-September 2022)</t>
  </si>
  <si>
    <t>Line is no longer applicable*</t>
  </si>
  <si>
    <t>*No longer considered for inclusion in PPA, lines previously included:</t>
  </si>
  <si>
    <t>Incremental PJM LSE OATT to be included in PPA</t>
  </si>
  <si>
    <t>Forecasted - 12 month Period ended September 2025</t>
  </si>
  <si>
    <t>Actual June 2024 Over/Under Recovery Balance - Form 3.0a (Excluding amount to be securitized)</t>
  </si>
  <si>
    <t>Line 4 - Tariff CC final (Over)/Under Balance to be recovered in Tariff PPA per Settlement Agreement in Case No. 2017-00179</t>
  </si>
  <si>
    <t>Lines 5, 8 and 9 no longer used, previously included: Rockport Fixed Cost Savings, Rockport Deferral, and the 2023 Estimated Rockport Offset Amount</t>
  </si>
  <si>
    <t>***</t>
  </si>
  <si>
    <t>Lines 13 &amp; 14 proposed methodology is subject to rehearing. Additionally, the current PPA underrecovery balance (shown on Form 3.0a, row 58)  is subject to securitization.</t>
  </si>
  <si>
    <t>Billing units are 12 months</t>
  </si>
  <si>
    <t>For October 2024 through September 2025 Billing</t>
  </si>
  <si>
    <t>12 -Month Period Ended June 30, 2024</t>
  </si>
  <si>
    <t xml:space="preserve">Form 1.0 - Purchase Power Adjustment </t>
  </si>
  <si>
    <t>Form 2.0 - Purchase Power Adjustment Rate Design</t>
  </si>
  <si>
    <t>Form 3.0 - PPA Costs</t>
  </si>
  <si>
    <t>Form 4.0 - PPA Revenue Collected</t>
  </si>
  <si>
    <t>Demonstration of Company's proposal on rehearing in Case No. 2023-00318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</si>
</sst>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_);\(0\)"/>
    <numFmt numFmtId="167" formatCode="0.0000000%"/>
    <numFmt numFmtId="168" formatCode="&quot;$&quot;#,##0.00000"/>
    <numFmt numFmtId="169" formatCode="&quot;$&quot;#,##0"/>
    <numFmt numFmtId="170" formatCode="0.000000_);\(0.000000\)"/>
    <numFmt numFmtId="171" formatCode="_(&quot;$&quot;* #,##0_);_(&quot;$&quot;* \(#,##0\);_(&quot;$&quot;* &quot;-&quot;??_);_(@_)"/>
    <numFmt numFmtId="172" formatCode="&quot;$&quot;#,##0.00000_);\(&quot;$&quot;#,##0.00000\)"/>
    <numFmt numFmtId="173" formatCode="0.000%"/>
    <numFmt numFmtId="174" formatCode="0.0000%"/>
    <numFmt numFmtId="175" formatCode="0.000000"/>
    <numFmt numFmtId="176" formatCode="#,##0.0000_);\(#,##0.0000\)"/>
    <numFmt numFmtId="177" formatCode="_(* #,##0.0000_);_(* \(#,##0.0000\);_(* &quot;-&quot;??_);_(@_)"/>
    <numFmt numFmtId="178" formatCode="0.0000"/>
    <numFmt numFmtId="179" formatCode="0.000"/>
    <numFmt numFmtId="180" formatCode="[$-409]mmmm\-yy;@"/>
    <numFmt numFmtId="181" formatCode="_(&quot;$&quot;* #,##0_);_(&quot;$&quot;* \(#,##0\);_(&quot;$&quot;* &quot;-&quot;????_);_(@_)"/>
    <numFmt numFmtId="182" formatCode="0.00000%"/>
    <numFmt numFmtId="183" formatCode="&quot;$&quot;#,##0.00"/>
    <numFmt numFmtId="184" formatCode="_(&quot;$&quot;* #,##0.0_);_(&quot;$&quot;* \(#,##0.0\);_(&quot;$&quot;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name val="Arial Unicode MS"/>
      <family val="2"/>
    </font>
    <font>
      <b/>
      <sz val="14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color rgb="FFFF0000"/>
      <name val="Times New Roman"/>
      <family val="1"/>
    </font>
    <font>
      <b/>
      <i/>
      <u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trike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b/>
      <i/>
      <u/>
      <sz val="10"/>
      <name val="Times New Roman"/>
      <family val="1"/>
    </font>
    <font>
      <sz val="8"/>
      <name val="Calibri"/>
      <family val="2"/>
      <scheme val="minor"/>
    </font>
    <font>
      <i/>
      <sz val="10"/>
      <color theme="1"/>
      <name val="Times New Roman"/>
      <family val="1"/>
    </font>
    <font>
      <u/>
      <sz val="10"/>
      <name val="Times New Roman"/>
      <family val="1"/>
    </font>
    <font>
      <u/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8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5" fillId="0" borderId="9">
      <alignment horizontal="center"/>
    </xf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1" applyNumberFormat="0" applyAlignment="0" applyProtection="0"/>
    <xf numFmtId="0" fontId="10" fillId="22" borderId="12" applyNumberFormat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1" applyNumberFormat="0" applyAlignment="0" applyProtection="0"/>
    <xf numFmtId="0" fontId="17" fillId="0" borderId="16" applyNumberFormat="0" applyFill="0" applyAlignment="0" applyProtection="0"/>
    <xf numFmtId="0" fontId="18" fillId="23" borderId="0" applyNumberFormat="0" applyBorder="0" applyAlignment="0" applyProtection="0"/>
    <xf numFmtId="0" fontId="3" fillId="24" borderId="17" applyNumberFormat="0" applyFont="0" applyAlignment="0" applyProtection="0"/>
    <xf numFmtId="0" fontId="19" fillId="21" borderId="18" applyNumberFormat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27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8" fillId="0" borderId="0"/>
  </cellStyleXfs>
  <cellXfs count="357">
    <xf numFmtId="0" fontId="0" fillId="0" borderId="0" xfId="0"/>
    <xf numFmtId="0" fontId="30" fillId="25" borderId="0" xfId="0" applyFont="1" applyFill="1" applyAlignment="1">
      <alignment horizontal="center"/>
    </xf>
    <xf numFmtId="0" fontId="30" fillId="25" borderId="0" xfId="0" applyFont="1" applyFill="1"/>
    <xf numFmtId="165" fontId="30" fillId="25" borderId="0" xfId="1" applyNumberFormat="1" applyFont="1" applyFill="1" applyAlignment="1">
      <alignment horizontal="right"/>
    </xf>
    <xf numFmtId="166" fontId="31" fillId="25" borderId="0" xfId="0" applyNumberFormat="1" applyFont="1" applyFill="1" applyAlignment="1">
      <alignment horizontal="center"/>
    </xf>
    <xf numFmtId="0" fontId="30" fillId="25" borderId="0" xfId="0" applyFont="1" applyFill="1" applyAlignment="1">
      <alignment horizontal="left"/>
    </xf>
    <xf numFmtId="0" fontId="35" fillId="0" borderId="0" xfId="11" applyFont="1" applyFill="1" applyAlignment="1">
      <alignment horizontal="center"/>
    </xf>
    <xf numFmtId="0" fontId="31" fillId="25" borderId="0" xfId="0" applyFont="1" applyFill="1"/>
    <xf numFmtId="171" fontId="30" fillId="25" borderId="0" xfId="54" applyNumberFormat="1" applyFont="1" applyFill="1"/>
    <xf numFmtId="0" fontId="31" fillId="25" borderId="1" xfId="0" applyFont="1" applyFill="1" applyBorder="1" applyAlignment="1">
      <alignment horizontal="center"/>
    </xf>
    <xf numFmtId="0" fontId="37" fillId="25" borderId="0" xfId="0" applyFont="1" applyFill="1" applyAlignment="1">
      <alignment horizontal="center"/>
    </xf>
    <xf numFmtId="0" fontId="30" fillId="25" borderId="1" xfId="0" applyFont="1" applyFill="1" applyBorder="1"/>
    <xf numFmtId="171" fontId="30" fillId="25" borderId="0" xfId="0" applyNumberFormat="1" applyFont="1" applyFill="1"/>
    <xf numFmtId="0" fontId="38" fillId="25" borderId="0" xfId="0" applyFont="1" applyFill="1" applyBorder="1"/>
    <xf numFmtId="10" fontId="30" fillId="0" borderId="0" xfId="785" applyNumberFormat="1" applyFont="1" applyFill="1"/>
    <xf numFmtId="0" fontId="30" fillId="0" borderId="0" xfId="0" applyFont="1" applyFill="1" applyAlignment="1">
      <alignment horizontal="right"/>
    </xf>
    <xf numFmtId="0" fontId="30" fillId="0" borderId="0" xfId="0" applyFont="1" applyFill="1"/>
    <xf numFmtId="0" fontId="30" fillId="0" borderId="0" xfId="0" applyFont="1" applyFill="1" applyAlignment="1">
      <alignment horizontal="center"/>
    </xf>
    <xf numFmtId="165" fontId="30" fillId="0" borderId="0" xfId="1" applyNumberFormat="1" applyFont="1" applyFill="1" applyAlignment="1">
      <alignment horizontal="right"/>
    </xf>
    <xf numFmtId="165" fontId="30" fillId="0" borderId="0" xfId="1" applyNumberFormat="1" applyFont="1" applyFill="1"/>
    <xf numFmtId="0" fontId="32" fillId="0" borderId="0" xfId="0" applyFont="1" applyFill="1" applyAlignment="1">
      <alignment horizontal="center"/>
    </xf>
    <xf numFmtId="166" fontId="31" fillId="0" borderId="0" xfId="0" applyNumberFormat="1" applyFont="1" applyFill="1" applyAlignment="1">
      <alignment horizontal="center"/>
    </xf>
    <xf numFmtId="164" fontId="30" fillId="0" borderId="0" xfId="0" applyNumberFormat="1" applyFont="1" applyFill="1"/>
    <xf numFmtId="165" fontId="30" fillId="0" borderId="0" xfId="0" applyNumberFormat="1" applyFont="1" applyFill="1"/>
    <xf numFmtId="0" fontId="31" fillId="0" borderId="0" xfId="0" applyFont="1" applyFill="1"/>
    <xf numFmtId="164" fontId="31" fillId="0" borderId="0" xfId="0" applyNumberFormat="1" applyFont="1" applyFill="1"/>
    <xf numFmtId="0" fontId="31" fillId="25" borderId="1" xfId="0" applyFont="1" applyFill="1" applyBorder="1"/>
    <xf numFmtId="6" fontId="30" fillId="25" borderId="0" xfId="0" applyNumberFormat="1" applyFont="1" applyFill="1"/>
    <xf numFmtId="6" fontId="30" fillId="25" borderId="1" xfId="0" applyNumberFormat="1" applyFont="1" applyFill="1" applyBorder="1"/>
    <xf numFmtId="8" fontId="30" fillId="25" borderId="0" xfId="0" applyNumberFormat="1" applyFont="1" applyFill="1"/>
    <xf numFmtId="6" fontId="31" fillId="25" borderId="0" xfId="0" applyNumberFormat="1" applyFont="1" applyFill="1"/>
    <xf numFmtId="0" fontId="39" fillId="25" borderId="0" xfId="0" applyFont="1" applyFill="1"/>
    <xf numFmtId="171" fontId="31" fillId="25" borderId="0" xfId="54" applyNumberFormat="1" applyFont="1" applyFill="1"/>
    <xf numFmtId="171" fontId="31" fillId="25" borderId="27" xfId="0" applyNumberFormat="1" applyFont="1" applyFill="1" applyBorder="1"/>
    <xf numFmtId="6" fontId="31" fillId="25" borderId="28" xfId="0" applyNumberFormat="1" applyFont="1" applyFill="1" applyBorder="1"/>
    <xf numFmtId="0" fontId="34" fillId="25" borderId="0" xfId="0" applyFont="1" applyFill="1" applyAlignment="1">
      <alignment horizontal="left"/>
    </xf>
    <xf numFmtId="0" fontId="30" fillId="26" borderId="0" xfId="0" applyFont="1" applyFill="1" applyAlignment="1">
      <alignment horizontal="center"/>
    </xf>
    <xf numFmtId="0" fontId="30" fillId="26" borderId="0" xfId="0" applyFont="1" applyFill="1"/>
    <xf numFmtId="6" fontId="30" fillId="25" borderId="0" xfId="0" applyNumberFormat="1" applyFont="1" applyFill="1" applyBorder="1"/>
    <xf numFmtId="6" fontId="30" fillId="0" borderId="0" xfId="0" applyNumberFormat="1" applyFont="1" applyFill="1"/>
    <xf numFmtId="0" fontId="40" fillId="25" borderId="0" xfId="0" applyFont="1" applyFill="1"/>
    <xf numFmtId="173" fontId="30" fillId="25" borderId="0" xfId="785" applyNumberFormat="1" applyFont="1" applyFill="1"/>
    <xf numFmtId="0" fontId="40" fillId="25" borderId="1" xfId="0" applyFont="1" applyFill="1" applyBorder="1"/>
    <xf numFmtId="173" fontId="30" fillId="25" borderId="1" xfId="785" applyNumberFormat="1" applyFont="1" applyFill="1" applyBorder="1"/>
    <xf numFmtId="174" fontId="30" fillId="25" borderId="0" xfId="0" applyNumberFormat="1" applyFont="1" applyFill="1"/>
    <xf numFmtId="178" fontId="30" fillId="25" borderId="1" xfId="0" applyNumberFormat="1" applyFont="1" applyFill="1" applyBorder="1"/>
    <xf numFmtId="0" fontId="30" fillId="25" borderId="0" xfId="0" quotePrefix="1" applyFont="1" applyFill="1"/>
    <xf numFmtId="171" fontId="38" fillId="25" borderId="0" xfId="0" applyNumberFormat="1" applyFont="1" applyFill="1"/>
    <xf numFmtId="166" fontId="30" fillId="25" borderId="0" xfId="0" applyNumberFormat="1" applyFont="1" applyFill="1" applyAlignment="1">
      <alignment horizontal="left"/>
    </xf>
    <xf numFmtId="6" fontId="30" fillId="26" borderId="0" xfId="0" applyNumberFormat="1" applyFont="1" applyFill="1"/>
    <xf numFmtId="0" fontId="30" fillId="0" borderId="0" xfId="0" applyFont="1" applyFill="1" applyAlignment="1"/>
    <xf numFmtId="0" fontId="30" fillId="0" borderId="0" xfId="0" applyFont="1" applyFill="1" applyAlignment="1">
      <alignment horizontal="center" wrapText="1"/>
    </xf>
    <xf numFmtId="165" fontId="30" fillId="0" borderId="0" xfId="1" applyNumberFormat="1" applyFont="1" applyFill="1" applyBorder="1" applyAlignment="1"/>
    <xf numFmtId="165" fontId="30" fillId="0" borderId="0" xfId="0" applyNumberFormat="1" applyFont="1" applyFill="1" applyAlignment="1"/>
    <xf numFmtId="0" fontId="30" fillId="0" borderId="0" xfId="0" applyFont="1" applyFill="1" applyAlignment="1">
      <alignment horizontal="left"/>
    </xf>
    <xf numFmtId="43" fontId="30" fillId="0" borderId="0" xfId="0" applyNumberFormat="1" applyFont="1" applyFill="1" applyAlignment="1"/>
    <xf numFmtId="5" fontId="30" fillId="0" borderId="0" xfId="0" applyNumberFormat="1" applyFont="1" applyFill="1" applyBorder="1"/>
    <xf numFmtId="0" fontId="30" fillId="0" borderId="0" xfId="0" applyFont="1" applyFill="1" applyBorder="1"/>
    <xf numFmtId="5" fontId="30" fillId="0" borderId="0" xfId="0" applyNumberFormat="1" applyFont="1" applyFill="1"/>
    <xf numFmtId="0" fontId="33" fillId="0" borderId="0" xfId="2" applyFont="1" applyFill="1"/>
    <xf numFmtId="172" fontId="30" fillId="0" borderId="0" xfId="1" applyNumberFormat="1" applyFont="1" applyFill="1"/>
    <xf numFmtId="0" fontId="34" fillId="0" borderId="0" xfId="11" applyFont="1" applyFill="1"/>
    <xf numFmtId="0" fontId="33" fillId="0" borderId="0" xfId="11" applyFont="1" applyFill="1"/>
    <xf numFmtId="165" fontId="33" fillId="0" borderId="0" xfId="4" applyNumberFormat="1" applyFont="1" applyFill="1"/>
    <xf numFmtId="3" fontId="30" fillId="0" borderId="0" xfId="0" applyNumberFormat="1" applyFont="1" applyFill="1"/>
    <xf numFmtId="165" fontId="34" fillId="0" borderId="0" xfId="11" applyNumberFormat="1" applyFont="1" applyFill="1"/>
    <xf numFmtId="0" fontId="33" fillId="0" borderId="0" xfId="0" applyFont="1" applyFill="1"/>
    <xf numFmtId="173" fontId="33" fillId="0" borderId="0" xfId="785" applyNumberFormat="1" applyFont="1" applyFill="1"/>
    <xf numFmtId="0" fontId="43" fillId="0" borderId="0" xfId="0" applyFont="1" applyFill="1"/>
    <xf numFmtId="38" fontId="33" fillId="0" borderId="0" xfId="0" applyNumberFormat="1" applyFont="1" applyFill="1"/>
    <xf numFmtId="166" fontId="43" fillId="0" borderId="0" xfId="0" applyNumberFormat="1" applyFont="1" applyFill="1"/>
    <xf numFmtId="6" fontId="33" fillId="0" borderId="0" xfId="0" applyNumberFormat="1" applyFont="1" applyFill="1"/>
    <xf numFmtId="165" fontId="1" fillId="0" borderId="0" xfId="214" applyNumberFormat="1" applyFont="1" applyFill="1"/>
    <xf numFmtId="0" fontId="1" fillId="0" borderId="0" xfId="408" applyFill="1"/>
    <xf numFmtId="0" fontId="29" fillId="0" borderId="0" xfId="408" applyFont="1" applyFill="1"/>
    <xf numFmtId="0" fontId="23" fillId="0" borderId="0" xfId="408" applyFont="1" applyFill="1"/>
    <xf numFmtId="0" fontId="23" fillId="0" borderId="0" xfId="408" applyFont="1" applyFill="1" applyAlignment="1">
      <alignment horizontal="right"/>
    </xf>
    <xf numFmtId="165" fontId="1" fillId="0" borderId="0" xfId="1" applyNumberFormat="1" applyFill="1"/>
    <xf numFmtId="10" fontId="1" fillId="0" borderId="0" xfId="539" applyNumberFormat="1" applyFont="1" applyFill="1"/>
    <xf numFmtId="174" fontId="1" fillId="0" borderId="0" xfId="539" applyNumberFormat="1" applyFont="1" applyFill="1"/>
    <xf numFmtId="10" fontId="1" fillId="0" borderId="0" xfId="785" applyNumberFormat="1" applyFill="1"/>
    <xf numFmtId="6" fontId="1" fillId="0" borderId="0" xfId="214" applyNumberFormat="1" applyFont="1" applyFill="1"/>
    <xf numFmtId="43" fontId="1" fillId="0" borderId="0" xfId="214" applyFont="1" applyFill="1"/>
    <xf numFmtId="174" fontId="1" fillId="0" borderId="0" xfId="785" applyNumberFormat="1" applyFill="1"/>
    <xf numFmtId="43" fontId="1" fillId="0" borderId="0" xfId="408" applyNumberFormat="1" applyFill="1" applyAlignment="1">
      <alignment horizontal="center"/>
    </xf>
    <xf numFmtId="165" fontId="1" fillId="0" borderId="0" xfId="408" applyNumberFormat="1" applyFill="1" applyAlignment="1">
      <alignment horizontal="center"/>
    </xf>
    <xf numFmtId="0" fontId="1" fillId="0" borderId="0" xfId="408" applyFill="1" applyAlignment="1">
      <alignment horizontal="center"/>
    </xf>
    <xf numFmtId="0" fontId="23" fillId="0" borderId="0" xfId="408" applyFont="1" applyFill="1" applyAlignment="1">
      <alignment horizontal="center"/>
    </xf>
    <xf numFmtId="174" fontId="1" fillId="0" borderId="0" xfId="539" applyNumberFormat="1" applyFont="1" applyFill="1" applyAlignment="1">
      <alignment horizontal="center"/>
    </xf>
    <xf numFmtId="0" fontId="1" fillId="0" borderId="0" xfId="408" applyFill="1" applyAlignment="1">
      <alignment horizontal="center" wrapText="1"/>
    </xf>
    <xf numFmtId="0" fontId="24" fillId="0" borderId="0" xfId="408" applyFont="1" applyFill="1" applyAlignment="1">
      <alignment horizontal="center" wrapText="1"/>
    </xf>
    <xf numFmtId="180" fontId="1" fillId="0" borderId="0" xfId="408" applyNumberFormat="1" applyFill="1"/>
    <xf numFmtId="165" fontId="24" fillId="0" borderId="0" xfId="214" applyNumberFormat="1" applyFont="1" applyFill="1"/>
    <xf numFmtId="165" fontId="1" fillId="0" borderId="0" xfId="214" applyNumberFormat="1" applyFont="1" applyFill="1" applyBorder="1"/>
    <xf numFmtId="165" fontId="1" fillId="0" borderId="0" xfId="786" applyNumberFormat="1" applyFont="1" applyFill="1"/>
    <xf numFmtId="165" fontId="1" fillId="0" borderId="0" xfId="408" applyNumberFormat="1" applyFill="1"/>
    <xf numFmtId="180" fontId="1" fillId="0" borderId="0" xfId="408" applyNumberFormat="1" applyFill="1" applyAlignment="1">
      <alignment horizontal="right"/>
    </xf>
    <xf numFmtId="0" fontId="36" fillId="0" borderId="0" xfId="0" applyFont="1" applyFill="1"/>
    <xf numFmtId="171" fontId="30" fillId="0" borderId="0" xfId="54" applyNumberFormat="1" applyFont="1" applyFill="1"/>
    <xf numFmtId="0" fontId="37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71" fontId="30" fillId="0" borderId="0" xfId="54" applyNumberFormat="1" applyFont="1" applyFill="1" applyAlignment="1">
      <alignment vertical="center"/>
    </xf>
    <xf numFmtId="0" fontId="30" fillId="0" borderId="1" xfId="0" applyFont="1" applyFill="1" applyBorder="1" applyAlignment="1">
      <alignment vertical="center"/>
    </xf>
    <xf numFmtId="171" fontId="30" fillId="0" borderId="1" xfId="54" applyNumberFormat="1" applyFont="1" applyFill="1" applyBorder="1" applyAlignment="1">
      <alignment vertical="center"/>
    </xf>
    <xf numFmtId="171" fontId="30" fillId="0" borderId="0" xfId="0" applyNumberFormat="1" applyFont="1" applyFill="1"/>
    <xf numFmtId="0" fontId="41" fillId="0" borderId="0" xfId="0" applyFont="1" applyFill="1"/>
    <xf numFmtId="44" fontId="30" fillId="0" borderId="0" xfId="54" applyFont="1" applyFill="1"/>
    <xf numFmtId="10" fontId="30" fillId="0" borderId="0" xfId="785" applyNumberFormat="1" applyFont="1" applyFill="1" applyBorder="1"/>
    <xf numFmtId="10" fontId="30" fillId="0" borderId="0" xfId="0" applyNumberFormat="1" applyFont="1" applyFill="1" applyBorder="1"/>
    <xf numFmtId="0" fontId="30" fillId="0" borderId="1" xfId="0" applyFont="1" applyFill="1" applyBorder="1" applyAlignment="1">
      <alignment horizontal="center" wrapText="1"/>
    </xf>
    <xf numFmtId="171" fontId="30" fillId="0" borderId="1" xfId="0" applyNumberFormat="1" applyFont="1" applyFill="1" applyBorder="1"/>
    <xf numFmtId="171" fontId="30" fillId="0" borderId="0" xfId="0" applyNumberFormat="1" applyFont="1" applyFill="1" applyBorder="1"/>
    <xf numFmtId="0" fontId="30" fillId="0" borderId="0" xfId="0" quotePrefix="1" applyFont="1" applyFill="1" applyAlignment="1">
      <alignment horizontal="center"/>
    </xf>
    <xf numFmtId="0" fontId="38" fillId="0" borderId="0" xfId="0" applyFont="1" applyFill="1" applyBorder="1"/>
    <xf numFmtId="171" fontId="38" fillId="0" borderId="0" xfId="0" applyNumberFormat="1" applyFont="1" applyFill="1" applyBorder="1"/>
    <xf numFmtId="181" fontId="30" fillId="0" borderId="0" xfId="0" applyNumberFormat="1" applyFont="1" applyFill="1"/>
    <xf numFmtId="0" fontId="38" fillId="0" borderId="1" xfId="0" applyFont="1" applyFill="1" applyBorder="1"/>
    <xf numFmtId="181" fontId="38" fillId="0" borderId="1" xfId="0" applyNumberFormat="1" applyFont="1" applyFill="1" applyBorder="1"/>
    <xf numFmtId="181" fontId="38" fillId="0" borderId="0" xfId="0" applyNumberFormat="1" applyFont="1" applyFill="1" applyBorder="1"/>
    <xf numFmtId="0" fontId="30" fillId="0" borderId="0" xfId="0" applyFont="1"/>
    <xf numFmtId="6" fontId="30" fillId="0" borderId="0" xfId="0" applyNumberFormat="1" applyFont="1"/>
    <xf numFmtId="0" fontId="40" fillId="0" borderId="0" xfId="0" applyFont="1" applyFill="1" applyAlignment="1"/>
    <xf numFmtId="14" fontId="30" fillId="0" borderId="0" xfId="0" applyNumberFormat="1" applyFont="1" applyAlignment="1">
      <alignment horizontal="left"/>
    </xf>
    <xf numFmtId="0" fontId="31" fillId="0" borderId="1" xfId="0" applyFont="1" applyFill="1" applyBorder="1"/>
    <xf numFmtId="0" fontId="31" fillId="0" borderId="1" xfId="0" applyFont="1" applyBorder="1"/>
    <xf numFmtId="0" fontId="33" fillId="25" borderId="0" xfId="55" applyFont="1" applyFill="1"/>
    <xf numFmtId="0" fontId="33" fillId="25" borderId="0" xfId="55" applyFont="1" applyFill="1" applyAlignment="1">
      <alignment horizontal="center"/>
    </xf>
    <xf numFmtId="0" fontId="33" fillId="25" borderId="0" xfId="55" applyFont="1" applyFill="1" applyBorder="1" applyAlignment="1">
      <alignment horizontal="center"/>
    </xf>
    <xf numFmtId="0" fontId="33" fillId="25" borderId="0" xfId="55" applyFont="1" applyFill="1" applyBorder="1"/>
    <xf numFmtId="49" fontId="33" fillId="25" borderId="22" xfId="56" applyNumberFormat="1" applyFont="1" applyFill="1" applyBorder="1" applyAlignment="1">
      <alignment horizontal="center" wrapText="1"/>
    </xf>
    <xf numFmtId="49" fontId="33" fillId="25" borderId="4" xfId="56" applyNumberFormat="1" applyFont="1" applyFill="1" applyBorder="1" applyAlignment="1">
      <alignment wrapText="1"/>
    </xf>
    <xf numFmtId="49" fontId="33" fillId="25" borderId="20" xfId="56" applyNumberFormat="1" applyFont="1" applyFill="1" applyBorder="1" applyAlignment="1">
      <alignment horizontal="center" wrapText="1"/>
    </xf>
    <xf numFmtId="49" fontId="33" fillId="25" borderId="23" xfId="56" applyNumberFormat="1" applyFont="1" applyFill="1" applyBorder="1" applyAlignment="1">
      <alignment wrapText="1"/>
    </xf>
    <xf numFmtId="49" fontId="33" fillId="25" borderId="23" xfId="56" applyNumberFormat="1" applyFont="1" applyFill="1" applyBorder="1" applyAlignment="1">
      <alignment horizontal="center" wrapText="1"/>
    </xf>
    <xf numFmtId="49" fontId="33" fillId="25" borderId="22" xfId="56" applyNumberFormat="1" applyFont="1" applyFill="1" applyBorder="1" applyAlignment="1">
      <alignment wrapText="1"/>
    </xf>
    <xf numFmtId="0" fontId="33" fillId="25" borderId="23" xfId="56" applyFont="1" applyFill="1" applyBorder="1"/>
    <xf numFmtId="0" fontId="33" fillId="25" borderId="23" xfId="56" applyFont="1" applyFill="1" applyBorder="1" applyAlignment="1">
      <alignment horizontal="center"/>
    </xf>
    <xf numFmtId="49" fontId="33" fillId="25" borderId="21" xfId="56" applyNumberFormat="1" applyFont="1" applyFill="1" applyBorder="1" applyAlignment="1">
      <alignment horizontal="center" wrapText="1"/>
    </xf>
    <xf numFmtId="49" fontId="33" fillId="25" borderId="0" xfId="55" applyNumberFormat="1" applyFont="1" applyFill="1" applyBorder="1" applyAlignment="1">
      <alignment horizontal="center" wrapText="1"/>
    </xf>
    <xf numFmtId="49" fontId="33" fillId="25" borderId="6" xfId="56" applyNumberFormat="1" applyFont="1" applyFill="1" applyBorder="1" applyAlignment="1">
      <alignment horizontal="center" wrapText="1"/>
    </xf>
    <xf numFmtId="49" fontId="33" fillId="25" borderId="0" xfId="56" applyNumberFormat="1" applyFont="1" applyFill="1" applyBorder="1" applyAlignment="1">
      <alignment wrapText="1"/>
    </xf>
    <xf numFmtId="49" fontId="33" fillId="25" borderId="0" xfId="56" applyNumberFormat="1" applyFont="1" applyFill="1" applyBorder="1" applyAlignment="1">
      <alignment horizontal="center" wrapText="1"/>
    </xf>
    <xf numFmtId="49" fontId="44" fillId="25" borderId="0" xfId="56" applyNumberFormat="1" applyFont="1" applyFill="1" applyBorder="1" applyAlignment="1">
      <alignment horizontal="center" wrapText="1"/>
    </xf>
    <xf numFmtId="49" fontId="33" fillId="25" borderId="24" xfId="56" applyNumberFormat="1" applyFont="1" applyFill="1" applyBorder="1" applyAlignment="1">
      <alignment wrapText="1"/>
    </xf>
    <xf numFmtId="0" fontId="33" fillId="25" borderId="0" xfId="56" applyFont="1" applyFill="1" applyBorder="1"/>
    <xf numFmtId="0" fontId="33" fillId="25" borderId="0" xfId="56" applyFont="1" applyFill="1" applyBorder="1" applyAlignment="1">
      <alignment horizontal="center"/>
    </xf>
    <xf numFmtId="49" fontId="33" fillId="25" borderId="7" xfId="56" applyNumberFormat="1" applyFont="1" applyFill="1" applyBorder="1" applyAlignment="1">
      <alignment horizontal="center" wrapText="1"/>
    </xf>
    <xf numFmtId="0" fontId="33" fillId="25" borderId="25" xfId="56" applyFont="1" applyFill="1" applyBorder="1" applyAlignment="1">
      <alignment horizontal="center"/>
    </xf>
    <xf numFmtId="0" fontId="33" fillId="25" borderId="4" xfId="56" applyFont="1" applyFill="1" applyBorder="1"/>
    <xf numFmtId="0" fontId="33" fillId="25" borderId="25" xfId="56" applyFont="1" applyFill="1" applyBorder="1"/>
    <xf numFmtId="0" fontId="33" fillId="25" borderId="5" xfId="56" applyFont="1" applyFill="1" applyBorder="1"/>
    <xf numFmtId="0" fontId="42" fillId="25" borderId="24" xfId="56" applyFont="1" applyFill="1" applyBorder="1" applyAlignment="1">
      <alignment horizontal="center"/>
    </xf>
    <xf numFmtId="5" fontId="45" fillId="25" borderId="0" xfId="56" applyNumberFormat="1" applyFont="1" applyFill="1" applyBorder="1"/>
    <xf numFmtId="10" fontId="33" fillId="25" borderId="0" xfId="56" applyNumberFormat="1" applyFont="1" applyFill="1" applyBorder="1"/>
    <xf numFmtId="10" fontId="45" fillId="25" borderId="0" xfId="56" applyNumberFormat="1" applyFont="1" applyFill="1" applyBorder="1"/>
    <xf numFmtId="0" fontId="33" fillId="25" borderId="24" xfId="56" applyFont="1" applyFill="1" applyBorder="1"/>
    <xf numFmtId="175" fontId="33" fillId="25" borderId="0" xfId="56" applyNumberFormat="1" applyFont="1" applyFill="1" applyBorder="1" applyAlignment="1">
      <alignment horizontal="center"/>
    </xf>
    <xf numFmtId="0" fontId="42" fillId="25" borderId="0" xfId="56" applyFont="1" applyFill="1" applyBorder="1"/>
    <xf numFmtId="10" fontId="33" fillId="25" borderId="7" xfId="56" applyNumberFormat="1" applyFont="1" applyFill="1" applyBorder="1"/>
    <xf numFmtId="10" fontId="33" fillId="25" borderId="0" xfId="55" applyNumberFormat="1" applyFont="1" applyFill="1" applyBorder="1"/>
    <xf numFmtId="10" fontId="44" fillId="25" borderId="0" xfId="56" applyNumberFormat="1" applyFont="1" applyFill="1" applyBorder="1"/>
    <xf numFmtId="0" fontId="33" fillId="25" borderId="24" xfId="56" applyFont="1" applyFill="1" applyBorder="1" applyAlignment="1">
      <alignment horizontal="center"/>
    </xf>
    <xf numFmtId="175" fontId="44" fillId="25" borderId="0" xfId="56" applyNumberFormat="1" applyFont="1" applyFill="1" applyBorder="1" applyAlignment="1">
      <alignment horizontal="center"/>
    </xf>
    <xf numFmtId="0" fontId="42" fillId="25" borderId="0" xfId="56" applyFont="1" applyFill="1" applyBorder="1" applyAlignment="1">
      <alignment horizontal="center"/>
    </xf>
    <xf numFmtId="173" fontId="33" fillId="25" borderId="0" xfId="56" applyNumberFormat="1" applyFont="1" applyFill="1" applyBorder="1"/>
    <xf numFmtId="173" fontId="46" fillId="25" borderId="0" xfId="56" applyNumberFormat="1" applyFont="1" applyFill="1" applyBorder="1"/>
    <xf numFmtId="176" fontId="33" fillId="25" borderId="7" xfId="56" applyNumberFormat="1" applyFont="1" applyFill="1" applyBorder="1"/>
    <xf numFmtId="176" fontId="33" fillId="25" borderId="0" xfId="55" applyNumberFormat="1" applyFont="1" applyFill="1" applyBorder="1"/>
    <xf numFmtId="5" fontId="47" fillId="25" borderId="0" xfId="56" applyNumberFormat="1" applyFont="1" applyFill="1" applyBorder="1"/>
    <xf numFmtId="10" fontId="34" fillId="25" borderId="0" xfId="56" applyNumberFormat="1" applyFont="1" applyFill="1" applyBorder="1"/>
    <xf numFmtId="10" fontId="34" fillId="25" borderId="7" xfId="56" applyNumberFormat="1" applyFont="1" applyFill="1" applyBorder="1" applyAlignment="1">
      <alignment horizontal="right" wrapText="1"/>
    </xf>
    <xf numFmtId="10" fontId="34" fillId="25" borderId="0" xfId="55" applyNumberFormat="1" applyFont="1" applyFill="1" applyBorder="1" applyAlignment="1">
      <alignment horizontal="center" wrapText="1"/>
    </xf>
    <xf numFmtId="0" fontId="33" fillId="25" borderId="7" xfId="56" applyFont="1" applyFill="1" applyBorder="1"/>
    <xf numFmtId="0" fontId="42" fillId="25" borderId="26" xfId="56" applyFont="1" applyFill="1" applyBorder="1" applyAlignment="1">
      <alignment horizontal="center"/>
    </xf>
    <xf numFmtId="0" fontId="33" fillId="25" borderId="9" xfId="56" applyFont="1" applyFill="1" applyBorder="1"/>
    <xf numFmtId="0" fontId="33" fillId="25" borderId="26" xfId="56" applyFont="1" applyFill="1" applyBorder="1"/>
    <xf numFmtId="0" fontId="33" fillId="25" borderId="10" xfId="56" applyFont="1" applyFill="1" applyBorder="1"/>
    <xf numFmtId="0" fontId="33" fillId="25" borderId="6" xfId="55" applyFont="1" applyFill="1" applyBorder="1" applyAlignment="1">
      <alignment horizontal="center"/>
    </xf>
    <xf numFmtId="0" fontId="33" fillId="25" borderId="7" xfId="55" applyFont="1" applyFill="1" applyBorder="1"/>
    <xf numFmtId="0" fontId="35" fillId="25" borderId="0" xfId="55" applyFont="1" applyFill="1" applyBorder="1" applyAlignment="1">
      <alignment horizontal="center"/>
    </xf>
    <xf numFmtId="177" fontId="33" fillId="25" borderId="0" xfId="57" applyNumberFormat="1" applyFont="1" applyFill="1" applyBorder="1"/>
    <xf numFmtId="177" fontId="33" fillId="25" borderId="0" xfId="57" applyNumberFormat="1" applyFont="1" applyFill="1" applyBorder="1" applyAlignment="1">
      <alignment horizontal="right"/>
    </xf>
    <xf numFmtId="0" fontId="33" fillId="25" borderId="0" xfId="56" applyFont="1" applyFill="1"/>
    <xf numFmtId="177" fontId="33" fillId="25" borderId="0" xfId="57" applyNumberFormat="1" applyFont="1" applyFill="1" applyAlignment="1">
      <alignment horizontal="right"/>
    </xf>
    <xf numFmtId="0" fontId="42" fillId="25" borderId="0" xfId="56" applyFont="1" applyFill="1"/>
    <xf numFmtId="178" fontId="33" fillId="25" borderId="0" xfId="56" applyNumberFormat="1" applyFont="1" applyFill="1"/>
    <xf numFmtId="0" fontId="33" fillId="25" borderId="0" xfId="56" applyFont="1" applyFill="1" applyAlignment="1">
      <alignment horizontal="center"/>
    </xf>
    <xf numFmtId="177" fontId="33" fillId="25" borderId="0" xfId="57" applyNumberFormat="1" applyFont="1" applyFill="1" applyAlignment="1">
      <alignment horizontal="right" vertical="center"/>
    </xf>
    <xf numFmtId="0" fontId="33" fillId="25" borderId="0" xfId="56" applyFont="1" applyFill="1" applyAlignment="1">
      <alignment horizontal="right"/>
    </xf>
    <xf numFmtId="175" fontId="33" fillId="25" borderId="0" xfId="56" applyNumberFormat="1" applyFont="1" applyFill="1"/>
    <xf numFmtId="178" fontId="33" fillId="25" borderId="0" xfId="56" applyNumberFormat="1" applyFont="1" applyFill="1" applyAlignment="1">
      <alignment horizontal="right"/>
    </xf>
    <xf numFmtId="0" fontId="33" fillId="26" borderId="0" xfId="55" applyFont="1" applyFill="1"/>
    <xf numFmtId="0" fontId="33" fillId="26" borderId="0" xfId="56" applyFont="1" applyFill="1" applyAlignment="1">
      <alignment horizontal="center"/>
    </xf>
    <xf numFmtId="0" fontId="33" fillId="26" borderId="0" xfId="56" applyFont="1" applyFill="1"/>
    <xf numFmtId="0" fontId="33" fillId="26" borderId="0" xfId="56" applyFont="1" applyFill="1" applyAlignment="1">
      <alignment horizontal="right"/>
    </xf>
    <xf numFmtId="0" fontId="34" fillId="25" borderId="0" xfId="56" applyFont="1" applyFill="1" applyBorder="1" applyAlignment="1">
      <alignment horizontal="center"/>
    </xf>
    <xf numFmtId="37" fontId="33" fillId="25" borderId="0" xfId="56" applyNumberFormat="1" applyFont="1" applyFill="1" applyBorder="1" applyAlignment="1">
      <alignment horizontal="center"/>
    </xf>
    <xf numFmtId="10" fontId="34" fillId="25" borderId="7" xfId="56" quotePrefix="1" applyNumberFormat="1" applyFont="1" applyFill="1" applyBorder="1" applyAlignment="1">
      <alignment horizontal="right" wrapText="1"/>
    </xf>
    <xf numFmtId="177" fontId="33" fillId="25" borderId="0" xfId="57" applyNumberFormat="1" applyFont="1" applyFill="1"/>
    <xf numFmtId="177" fontId="33" fillId="25" borderId="0" xfId="57" applyNumberFormat="1" applyFont="1" applyFill="1" applyAlignment="1">
      <alignment vertical="center"/>
    </xf>
    <xf numFmtId="0" fontId="33" fillId="25" borderId="0" xfId="55" applyFont="1" applyFill="1" applyAlignment="1">
      <alignment horizontal="center" vertical="center"/>
    </xf>
    <xf numFmtId="166" fontId="31" fillId="0" borderId="0" xfId="0" quotePrefix="1" applyNumberFormat="1" applyFont="1" applyFill="1" applyAlignment="1">
      <alignment horizontal="center"/>
    </xf>
    <xf numFmtId="0" fontId="30" fillId="0" borderId="0" xfId="0" applyFont="1" applyFill="1" applyAlignment="1">
      <alignment horizontal="left" wrapText="1"/>
    </xf>
    <xf numFmtId="0" fontId="31" fillId="0" borderId="0" xfId="0" applyFont="1" applyFill="1" applyAlignment="1">
      <alignment horizontal="center"/>
    </xf>
    <xf numFmtId="0" fontId="30" fillId="27" borderId="0" xfId="0" applyFont="1" applyFill="1" applyAlignment="1">
      <alignment horizontal="center"/>
    </xf>
    <xf numFmtId="0" fontId="30" fillId="27" borderId="0" xfId="0" applyFont="1" applyFill="1"/>
    <xf numFmtId="5" fontId="30" fillId="27" borderId="0" xfId="0" applyNumberFormat="1" applyFont="1" applyFill="1"/>
    <xf numFmtId="0" fontId="33" fillId="27" borderId="0" xfId="2" applyFont="1" applyFill="1"/>
    <xf numFmtId="172" fontId="30" fillId="27" borderId="0" xfId="1" applyNumberFormat="1" applyFont="1" applyFill="1"/>
    <xf numFmtId="165" fontId="30" fillId="0" borderId="1" xfId="1" applyNumberFormat="1" applyFont="1" applyFill="1" applyBorder="1" applyAlignment="1"/>
    <xf numFmtId="165" fontId="30" fillId="0" borderId="28" xfId="1" applyNumberFormat="1" applyFont="1" applyFill="1" applyBorder="1" applyAlignment="1"/>
    <xf numFmtId="165" fontId="30" fillId="0" borderId="0" xfId="0" applyNumberFormat="1" applyFont="1" applyFill="1" applyBorder="1"/>
    <xf numFmtId="165" fontId="30" fillId="0" borderId="1" xfId="0" applyNumberFormat="1" applyFont="1" applyFill="1" applyBorder="1"/>
    <xf numFmtId="0" fontId="31" fillId="0" borderId="0" xfId="0" applyFont="1" applyFill="1" applyBorder="1" applyAlignment="1">
      <alignment horizontal="center"/>
    </xf>
    <xf numFmtId="171" fontId="30" fillId="0" borderId="0" xfId="54" applyNumberFormat="1" applyFont="1" applyFill="1" applyBorder="1" applyAlignment="1">
      <alignment vertical="center"/>
    </xf>
    <xf numFmtId="171" fontId="31" fillId="0" borderId="0" xfId="54" applyNumberFormat="1" applyFont="1" applyFill="1" applyBorder="1"/>
    <xf numFmtId="0" fontId="32" fillId="0" borderId="0" xfId="0" applyFont="1" applyFill="1" applyAlignment="1">
      <alignment horizontal="center" wrapText="1"/>
    </xf>
    <xf numFmtId="175" fontId="41" fillId="0" borderId="0" xfId="0" applyNumberFormat="1" applyFont="1" applyFill="1"/>
    <xf numFmtId="178" fontId="33" fillId="25" borderId="0" xfId="56" applyNumberFormat="1" applyFont="1" applyFill="1" applyBorder="1" applyAlignment="1">
      <alignment horizontal="center"/>
    </xf>
    <xf numFmtId="178" fontId="44" fillId="25" borderId="0" xfId="56" applyNumberFormat="1" applyFont="1" applyFill="1" applyBorder="1" applyAlignment="1">
      <alignment horizontal="center"/>
    </xf>
    <xf numFmtId="0" fontId="41" fillId="0" borderId="0" xfId="0" applyFont="1" applyAlignment="1" applyProtection="1">
      <alignment vertical="center"/>
      <protection locked="0"/>
    </xf>
    <xf numFmtId="174" fontId="41" fillId="0" borderId="0" xfId="0" applyNumberFormat="1" applyFont="1" applyFill="1" applyAlignment="1" applyProtection="1">
      <alignment horizontal="right" vertical="center"/>
      <protection locked="0"/>
    </xf>
    <xf numFmtId="44" fontId="30" fillId="0" borderId="0" xfId="0" applyNumberFormat="1" applyFont="1" applyFill="1"/>
    <xf numFmtId="0" fontId="33" fillId="0" borderId="0" xfId="11" applyFont="1" applyFill="1" applyAlignment="1">
      <alignment horizontal="center"/>
    </xf>
    <xf numFmtId="0" fontId="30" fillId="0" borderId="0" xfId="0" applyFont="1" applyFill="1" applyAlignment="1">
      <alignment horizontal="left" wrapText="1"/>
    </xf>
    <xf numFmtId="0" fontId="30" fillId="25" borderId="0" xfId="0" applyFont="1" applyFill="1" applyAlignment="1">
      <alignment horizontal="center"/>
    </xf>
    <xf numFmtId="0" fontId="30" fillId="0" borderId="0" xfId="0" applyFont="1" applyFill="1" applyAlignment="1">
      <alignment horizontal="left" wrapText="1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34" fillId="0" borderId="0" xfId="11" applyFont="1" applyFill="1" applyAlignment="1">
      <alignment horizontal="center" wrapText="1"/>
    </xf>
    <xf numFmtId="0" fontId="31" fillId="0" borderId="1" xfId="0" applyFont="1" applyFill="1" applyBorder="1" applyAlignment="1">
      <alignment horizontal="center"/>
    </xf>
    <xf numFmtId="0" fontId="33" fillId="0" borderId="0" xfId="0" applyFont="1" applyFill="1" applyAlignment="1"/>
    <xf numFmtId="165" fontId="31" fillId="0" borderId="0" xfId="0" applyNumberFormat="1" applyFont="1" applyFill="1"/>
    <xf numFmtId="0" fontId="50" fillId="27" borderId="0" xfId="0" applyFont="1" applyFill="1" applyAlignment="1">
      <alignment horizontal="left"/>
    </xf>
    <xf numFmtId="165" fontId="50" fillId="0" borderId="0" xfId="0" applyNumberFormat="1" applyFont="1" applyFill="1" applyAlignment="1"/>
    <xf numFmtId="165" fontId="30" fillId="0" borderId="0" xfId="1" applyNumberFormat="1" applyFont="1" applyFill="1" applyAlignment="1">
      <alignment horizontal="left"/>
    </xf>
    <xf numFmtId="0" fontId="40" fillId="0" borderId="0" xfId="0" applyFont="1" applyFill="1" applyAlignment="1">
      <alignment horizontal="left"/>
    </xf>
    <xf numFmtId="0" fontId="30" fillId="27" borderId="0" xfId="0" applyFont="1" applyFill="1" applyAlignment="1">
      <alignment horizontal="left"/>
    </xf>
    <xf numFmtId="10" fontId="30" fillId="0" borderId="0" xfId="785" applyNumberFormat="1" applyFont="1" applyFill="1" applyAlignment="1">
      <alignment horizontal="center"/>
    </xf>
    <xf numFmtId="0" fontId="48" fillId="0" borderId="0" xfId="0" applyFont="1" applyFill="1" applyAlignment="1">
      <alignment horizontal="center"/>
    </xf>
    <xf numFmtId="0" fontId="30" fillId="0" borderId="0" xfId="0" applyFont="1" applyFill="1" applyAlignment="1">
      <alignment vertical="top" wrapText="1"/>
    </xf>
    <xf numFmtId="0" fontId="30" fillId="0" borderId="1" xfId="0" applyFont="1" applyBorder="1"/>
    <xf numFmtId="8" fontId="30" fillId="0" borderId="0" xfId="0" applyNumberFormat="1" applyFont="1"/>
    <xf numFmtId="179" fontId="30" fillId="0" borderId="0" xfId="0" applyNumberFormat="1" applyFont="1"/>
    <xf numFmtId="0" fontId="33" fillId="0" borderId="0" xfId="0" applyFont="1" applyFill="1" applyAlignment="1">
      <alignment horizontal="left"/>
    </xf>
    <xf numFmtId="0" fontId="40" fillId="0" borderId="0" xfId="0" applyFont="1" applyFill="1"/>
    <xf numFmtId="0" fontId="33" fillId="0" borderId="3" xfId="0" applyFont="1" applyFill="1" applyBorder="1" applyAlignment="1"/>
    <xf numFmtId="0" fontId="33" fillId="0" borderId="4" xfId="0" applyFont="1" applyFill="1" applyBorder="1"/>
    <xf numFmtId="0" fontId="51" fillId="0" borderId="4" xfId="0" applyFont="1" applyFill="1" applyBorder="1" applyAlignment="1">
      <alignment horizontal="center"/>
    </xf>
    <xf numFmtId="0" fontId="51" fillId="0" borderId="5" xfId="0" applyFont="1" applyFill="1" applyBorder="1" applyAlignment="1">
      <alignment horizontal="center"/>
    </xf>
    <xf numFmtId="0" fontId="33" fillId="0" borderId="6" xfId="0" applyFont="1" applyFill="1" applyBorder="1" applyAlignment="1"/>
    <xf numFmtId="0" fontId="33" fillId="0" borderId="0" xfId="0" applyFont="1" applyFill="1" applyBorder="1"/>
    <xf numFmtId="0" fontId="51" fillId="0" borderId="0" xfId="0" applyFont="1" applyFill="1" applyBorder="1" applyAlignment="1">
      <alignment horizontal="center"/>
    </xf>
    <xf numFmtId="0" fontId="51" fillId="0" borderId="7" xfId="0" applyFont="1" applyFill="1" applyBorder="1" applyAlignment="1">
      <alignment horizontal="center"/>
    </xf>
    <xf numFmtId="0" fontId="33" fillId="0" borderId="8" xfId="0" applyFont="1" applyFill="1" applyBorder="1" applyAlignment="1"/>
    <xf numFmtId="0" fontId="33" fillId="0" borderId="9" xfId="0" applyFont="1" applyFill="1" applyBorder="1"/>
    <xf numFmtId="5" fontId="33" fillId="0" borderId="9" xfId="0" applyNumberFormat="1" applyFont="1" applyFill="1" applyBorder="1"/>
    <xf numFmtId="5" fontId="33" fillId="0" borderId="10" xfId="0" applyNumberFormat="1" applyFont="1" applyFill="1" applyBorder="1" applyAlignment="1"/>
    <xf numFmtId="37" fontId="33" fillId="0" borderId="0" xfId="0" applyNumberFormat="1" applyFont="1" applyFill="1" applyAlignment="1"/>
    <xf numFmtId="0" fontId="33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166" fontId="33" fillId="0" borderId="0" xfId="0" applyNumberFormat="1" applyFont="1" applyFill="1" applyAlignment="1">
      <alignment horizontal="center"/>
    </xf>
    <xf numFmtId="166" fontId="33" fillId="0" borderId="0" xfId="0" quotePrefix="1" applyNumberFormat="1" applyFont="1" applyFill="1" applyAlignment="1">
      <alignment horizontal="center"/>
    </xf>
    <xf numFmtId="165" fontId="33" fillId="0" borderId="0" xfId="1" applyNumberFormat="1" applyFont="1" applyFill="1"/>
    <xf numFmtId="167" fontId="33" fillId="0" borderId="0" xfId="0" applyNumberFormat="1" applyFont="1" applyFill="1"/>
    <xf numFmtId="6" fontId="33" fillId="0" borderId="0" xfId="382" applyNumberFormat="1" applyFont="1" applyFill="1"/>
    <xf numFmtId="44" fontId="33" fillId="0" borderId="0" xfId="382" applyNumberFormat="1" applyFont="1" applyFill="1"/>
    <xf numFmtId="168" fontId="33" fillId="0" borderId="0" xfId="382" applyNumberFormat="1" applyFont="1" applyFill="1"/>
    <xf numFmtId="169" fontId="33" fillId="0" borderId="0" xfId="382" applyNumberFormat="1" applyFont="1" applyFill="1"/>
    <xf numFmtId="183" fontId="33" fillId="0" borderId="0" xfId="0" applyNumberFormat="1" applyFont="1" applyFill="1"/>
    <xf numFmtId="38" fontId="33" fillId="0" borderId="0" xfId="382" applyNumberFormat="1" applyFont="1" applyFill="1"/>
    <xf numFmtId="170" fontId="33" fillId="0" borderId="0" xfId="0" applyNumberFormat="1" applyFont="1" applyFill="1"/>
    <xf numFmtId="3" fontId="33" fillId="0" borderId="0" xfId="0" applyNumberFormat="1" applyFont="1" applyFill="1"/>
    <xf numFmtId="0" fontId="33" fillId="0" borderId="2" xfId="0" applyFont="1" applyFill="1" applyBorder="1"/>
    <xf numFmtId="38" fontId="33" fillId="0" borderId="2" xfId="0" applyNumberFormat="1" applyFont="1" applyFill="1" applyBorder="1"/>
    <xf numFmtId="3" fontId="33" fillId="0" borderId="2" xfId="0" applyNumberFormat="1" applyFont="1" applyFill="1" applyBorder="1"/>
    <xf numFmtId="6" fontId="33" fillId="0" borderId="2" xfId="0" applyNumberFormat="1" applyFont="1" applyFill="1" applyBorder="1"/>
    <xf numFmtId="165" fontId="33" fillId="0" borderId="0" xfId="58" applyNumberFormat="1" applyFont="1" applyFill="1"/>
    <xf numFmtId="37" fontId="33" fillId="0" borderId="0" xfId="0" applyNumberFormat="1" applyFont="1" applyFill="1"/>
    <xf numFmtId="171" fontId="33" fillId="0" borderId="0" xfId="382" applyNumberFormat="1" applyFont="1" applyFill="1" applyAlignment="1">
      <alignment horizontal="right"/>
    </xf>
    <xf numFmtId="38" fontId="30" fillId="0" borderId="0" xfId="0" applyNumberFormat="1" applyFont="1" applyFill="1"/>
    <xf numFmtId="0" fontId="31" fillId="0" borderId="0" xfId="0" applyFont="1" applyFill="1" applyAlignment="1">
      <alignment wrapText="1"/>
    </xf>
    <xf numFmtId="171" fontId="30" fillId="0" borderId="0" xfId="54" applyNumberFormat="1" applyFont="1" applyFill="1" applyBorder="1" applyAlignment="1">
      <alignment horizontal="center"/>
    </xf>
    <xf numFmtId="2" fontId="30" fillId="0" borderId="0" xfId="0" applyNumberFormat="1" applyFont="1" applyFill="1"/>
    <xf numFmtId="2" fontId="30" fillId="0" borderId="0" xfId="0" applyNumberFormat="1" applyFont="1" applyFill="1" applyBorder="1"/>
    <xf numFmtId="171" fontId="30" fillId="0" borderId="0" xfId="54" applyNumberFormat="1" applyFont="1" applyFill="1" applyBorder="1"/>
    <xf numFmtId="171" fontId="31" fillId="0" borderId="0" xfId="0" applyNumberFormat="1" applyFont="1" applyFill="1"/>
    <xf numFmtId="2" fontId="31" fillId="0" borderId="0" xfId="0" applyNumberFormat="1" applyFont="1" applyFill="1"/>
    <xf numFmtId="171" fontId="31" fillId="0" borderId="27" xfId="0" applyNumberFormat="1" applyFont="1" applyFill="1" applyBorder="1"/>
    <xf numFmtId="171" fontId="31" fillId="0" borderId="0" xfId="54" applyNumberFormat="1" applyFont="1" applyFill="1"/>
    <xf numFmtId="171" fontId="30" fillId="0" borderId="27" xfId="0" applyNumberFormat="1" applyFont="1" applyFill="1" applyBorder="1"/>
    <xf numFmtId="44" fontId="31" fillId="0" borderId="0" xfId="0" applyNumberFormat="1" applyFont="1" applyFill="1"/>
    <xf numFmtId="6" fontId="31" fillId="0" borderId="0" xfId="0" applyNumberFormat="1" applyFont="1" applyFill="1"/>
    <xf numFmtId="171" fontId="33" fillId="0" borderId="0" xfId="0" applyNumberFormat="1" applyFont="1" applyFill="1"/>
    <xf numFmtId="4" fontId="30" fillId="0" borderId="0" xfId="0" applyNumberFormat="1" applyFont="1" applyFill="1"/>
    <xf numFmtId="0" fontId="30" fillId="0" borderId="0" xfId="0" applyFont="1" applyFill="1" applyBorder="1" applyAlignment="1">
      <alignment horizontal="center"/>
    </xf>
    <xf numFmtId="6" fontId="30" fillId="0" borderId="0" xfId="0" applyNumberFormat="1" applyFont="1" applyFill="1" applyBorder="1"/>
    <xf numFmtId="179" fontId="30" fillId="0" borderId="0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32" fillId="0" borderId="0" xfId="0" applyFont="1" applyFill="1"/>
    <xf numFmtId="0" fontId="34" fillId="0" borderId="0" xfId="0" applyFont="1" applyFill="1"/>
    <xf numFmtId="43" fontId="33" fillId="0" borderId="0" xfId="0" applyNumberFormat="1" applyFont="1" applyFill="1"/>
    <xf numFmtId="0" fontId="36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35" fillId="0" borderId="0" xfId="0" applyFont="1" applyFill="1"/>
    <xf numFmtId="0" fontId="35" fillId="0" borderId="0" xfId="0" applyFont="1" applyFill="1" applyAlignment="1">
      <alignment horizontal="center"/>
    </xf>
    <xf numFmtId="38" fontId="33" fillId="0" borderId="1" xfId="0" applyNumberFormat="1" applyFont="1" applyFill="1" applyBorder="1"/>
    <xf numFmtId="165" fontId="33" fillId="0" borderId="2" xfId="0" applyNumberFormat="1" applyFont="1" applyFill="1" applyBorder="1"/>
    <xf numFmtId="0" fontId="34" fillId="0" borderId="0" xfId="787" applyFont="1" applyFill="1"/>
    <xf numFmtId="38" fontId="33" fillId="0" borderId="0" xfId="0" applyNumberFormat="1" applyFont="1" applyFill="1" applyBorder="1"/>
    <xf numFmtId="40" fontId="33" fillId="0" borderId="0" xfId="788" applyNumberFormat="1" applyFont="1" applyFill="1" applyBorder="1"/>
    <xf numFmtId="40" fontId="35" fillId="0" borderId="0" xfId="0" applyNumberFormat="1" applyFont="1" applyFill="1" applyAlignment="1">
      <alignment horizontal="center"/>
    </xf>
    <xf numFmtId="165" fontId="33" fillId="0" borderId="0" xfId="1" applyNumberFormat="1" applyFont="1" applyFill="1" applyBorder="1" applyAlignment="1">
      <alignment horizontal="right"/>
    </xf>
    <xf numFmtId="165" fontId="33" fillId="0" borderId="0" xfId="3" applyNumberFormat="1" applyFont="1" applyFill="1" applyBorder="1"/>
    <xf numFmtId="165" fontId="33" fillId="0" borderId="2" xfId="54" applyNumberFormat="1" applyFont="1" applyFill="1" applyBorder="1"/>
    <xf numFmtId="9" fontId="33" fillId="0" borderId="0" xfId="0" applyNumberFormat="1" applyFont="1" applyFill="1" applyAlignment="1">
      <alignment horizontal="left"/>
    </xf>
    <xf numFmtId="44" fontId="33" fillId="0" borderId="0" xfId="3" applyFont="1" applyFill="1" applyBorder="1"/>
    <xf numFmtId="171" fontId="33" fillId="0" borderId="0" xfId="54" applyNumberFormat="1" applyFont="1" applyFill="1" applyBorder="1"/>
    <xf numFmtId="171" fontId="33" fillId="0" borderId="0" xfId="0" applyNumberFormat="1" applyFont="1" applyFill="1" applyBorder="1"/>
    <xf numFmtId="0" fontId="34" fillId="0" borderId="0" xfId="787" applyFont="1" applyFill="1" applyAlignment="1">
      <alignment horizontal="right"/>
    </xf>
    <xf numFmtId="44" fontId="33" fillId="0" borderId="0" xfId="0" applyNumberFormat="1" applyFont="1" applyFill="1" applyBorder="1"/>
    <xf numFmtId="184" fontId="33" fillId="0" borderId="0" xfId="0" applyNumberFormat="1" applyFont="1" applyFill="1" applyBorder="1"/>
    <xf numFmtId="171" fontId="33" fillId="0" borderId="0" xfId="3" applyNumberFormat="1" applyFont="1" applyFill="1" applyBorder="1"/>
    <xf numFmtId="171" fontId="33" fillId="0" borderId="1" xfId="3" applyNumberFormat="1" applyFont="1" applyFill="1" applyBorder="1"/>
    <xf numFmtId="44" fontId="33" fillId="0" borderId="0" xfId="0" applyNumberFormat="1" applyFont="1" applyFill="1"/>
    <xf numFmtId="40" fontId="33" fillId="0" borderId="27" xfId="0" applyNumberFormat="1" applyFont="1" applyFill="1" applyBorder="1"/>
    <xf numFmtId="0" fontId="33" fillId="0" borderId="2" xfId="787" applyFont="1" applyFill="1" applyBorder="1"/>
    <xf numFmtId="43" fontId="33" fillId="0" borderId="2" xfId="0" applyNumberFormat="1" applyFont="1" applyFill="1" applyBorder="1"/>
    <xf numFmtId="171" fontId="33" fillId="0" borderId="0" xfId="1" applyNumberFormat="1" applyFont="1" applyFill="1"/>
    <xf numFmtId="0" fontId="33" fillId="0" borderId="0" xfId="787" applyFont="1" applyFill="1" applyBorder="1"/>
    <xf numFmtId="43" fontId="33" fillId="0" borderId="0" xfId="0" applyNumberFormat="1" applyFont="1" applyFill="1" applyBorder="1"/>
    <xf numFmtId="43" fontId="33" fillId="0" borderId="0" xfId="1" applyFont="1" applyFill="1"/>
    <xf numFmtId="43" fontId="40" fillId="0" borderId="0" xfId="1" applyFont="1" applyFill="1" applyAlignment="1">
      <alignment wrapText="1"/>
    </xf>
    <xf numFmtId="40" fontId="33" fillId="0" borderId="0" xfId="0" applyNumberFormat="1" applyFont="1" applyFill="1"/>
    <xf numFmtId="171" fontId="33" fillId="0" borderId="0" xfId="54" applyNumberFormat="1" applyFont="1" applyFill="1"/>
    <xf numFmtId="0" fontId="33" fillId="0" borderId="0" xfId="0" applyFont="1" applyFill="1" applyAlignment="1">
      <alignment horizontal="right"/>
    </xf>
    <xf numFmtId="182" fontId="33" fillId="0" borderId="0" xfId="785" applyNumberFormat="1" applyFont="1" applyFill="1"/>
    <xf numFmtId="0" fontId="32" fillId="0" borderId="1" xfId="0" applyFont="1" applyFill="1" applyBorder="1" applyAlignment="1">
      <alignment horizontal="center"/>
    </xf>
    <xf numFmtId="0" fontId="52" fillId="0" borderId="1" xfId="0" applyFont="1" applyFill="1" applyBorder="1"/>
    <xf numFmtId="0" fontId="30" fillId="0" borderId="1" xfId="0" applyFont="1" applyFill="1" applyBorder="1"/>
    <xf numFmtId="44" fontId="30" fillId="0" borderId="0" xfId="54" applyFont="1"/>
    <xf numFmtId="0" fontId="30" fillId="0" borderId="0" xfId="0" applyFont="1" applyFill="1" applyAlignment="1">
      <alignment horizontal="left" wrapText="1"/>
    </xf>
    <xf numFmtId="0" fontId="31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vertical="top" wrapText="1"/>
    </xf>
    <xf numFmtId="0" fontId="34" fillId="0" borderId="0" xfId="11" applyFont="1" applyFill="1" applyAlignment="1">
      <alignment horizontal="center" wrapText="1"/>
    </xf>
    <xf numFmtId="0" fontId="34" fillId="0" borderId="0" xfId="11" applyFont="1" applyFill="1" applyAlignment="1">
      <alignment horizontal="center"/>
    </xf>
    <xf numFmtId="49" fontId="33" fillId="25" borderId="0" xfId="55" applyNumberFormat="1" applyFont="1" applyFill="1" applyAlignment="1">
      <alignment horizontal="center"/>
    </xf>
    <xf numFmtId="0" fontId="33" fillId="25" borderId="0" xfId="55" applyFont="1" applyFill="1" applyAlignment="1">
      <alignment horizontal="center" wrapText="1"/>
    </xf>
    <xf numFmtId="0" fontId="33" fillId="25" borderId="0" xfId="55" applyFont="1" applyFill="1" applyAlignment="1">
      <alignment horizontal="left" wrapText="1"/>
    </xf>
    <xf numFmtId="0" fontId="33" fillId="0" borderId="0" xfId="55" applyFont="1" applyFill="1" applyAlignment="1">
      <alignment horizontal="left" wrapText="1"/>
    </xf>
    <xf numFmtId="0" fontId="1" fillId="0" borderId="0" xfId="408" applyFill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0" fillId="25" borderId="0" xfId="0" applyFont="1" applyFill="1" applyAlignment="1">
      <alignment horizontal="center"/>
    </xf>
  </cellXfs>
  <cellStyles count="789">
    <cellStyle name="20% - Accent1 2" xfId="12" xr:uid="{00000000-0005-0000-0000-000000000000}"/>
    <cellStyle name="20% - Accent2 2" xfId="13" xr:uid="{00000000-0005-0000-0000-000001000000}"/>
    <cellStyle name="20% - Accent3 2" xfId="14" xr:uid="{00000000-0005-0000-0000-000002000000}"/>
    <cellStyle name="20% - Accent4 2" xfId="15" xr:uid="{00000000-0005-0000-0000-000003000000}"/>
    <cellStyle name="20% - Accent5 2" xfId="16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19" xr:uid="{00000000-0005-0000-0000-000007000000}"/>
    <cellStyle name="40% - Accent3 2" xfId="20" xr:uid="{00000000-0005-0000-0000-000008000000}"/>
    <cellStyle name="40% - Accent4 2" xfId="21" xr:uid="{00000000-0005-0000-0000-000009000000}"/>
    <cellStyle name="40% - Accent5 2" xfId="22" xr:uid="{00000000-0005-0000-0000-00000A000000}"/>
    <cellStyle name="40% - Accent6 2" xfId="23" xr:uid="{00000000-0005-0000-0000-00000B000000}"/>
    <cellStyle name="60% - Accent1 2" xfId="24" xr:uid="{00000000-0005-0000-0000-00000C000000}"/>
    <cellStyle name="60% - Accent2 2" xfId="25" xr:uid="{00000000-0005-0000-0000-00000D000000}"/>
    <cellStyle name="60% - Accent3 2" xfId="26" xr:uid="{00000000-0005-0000-0000-00000E000000}"/>
    <cellStyle name="60% - Accent4 2" xfId="27" xr:uid="{00000000-0005-0000-0000-00000F000000}"/>
    <cellStyle name="60% - Accent5 2" xfId="28" xr:uid="{00000000-0005-0000-0000-000010000000}"/>
    <cellStyle name="60% - Accent6 2" xfId="29" xr:uid="{00000000-0005-0000-0000-000011000000}"/>
    <cellStyle name="Accent1 2" xfId="30" xr:uid="{00000000-0005-0000-0000-000012000000}"/>
    <cellStyle name="Accent2 2" xfId="31" xr:uid="{00000000-0005-0000-0000-000013000000}"/>
    <cellStyle name="Accent3 2" xfId="32" xr:uid="{00000000-0005-0000-0000-000014000000}"/>
    <cellStyle name="Accent4 2" xfId="33" xr:uid="{00000000-0005-0000-0000-000015000000}"/>
    <cellStyle name="Accent5 2" xfId="34" xr:uid="{00000000-0005-0000-0000-000016000000}"/>
    <cellStyle name="Accent6 2" xfId="35" xr:uid="{00000000-0005-0000-0000-000017000000}"/>
    <cellStyle name="Bad 2" xfId="36" xr:uid="{00000000-0005-0000-0000-000018000000}"/>
    <cellStyle name="Calculation 2" xfId="37" xr:uid="{00000000-0005-0000-0000-000019000000}"/>
    <cellStyle name="Check Cell 2" xfId="38" xr:uid="{00000000-0005-0000-0000-00001A000000}"/>
    <cellStyle name="Comma" xfId="1" builtinId="3"/>
    <cellStyle name="Comma 10" xfId="58" xr:uid="{00000000-0005-0000-0000-00001C000000}"/>
    <cellStyle name="Comma 10 2" xfId="59" xr:uid="{00000000-0005-0000-0000-00001D000000}"/>
    <cellStyle name="Comma 10 3" xfId="60" xr:uid="{00000000-0005-0000-0000-00001E000000}"/>
    <cellStyle name="Comma 10 3 2" xfId="61" xr:uid="{00000000-0005-0000-0000-00001F000000}"/>
    <cellStyle name="Comma 10 3 3" xfId="62" xr:uid="{00000000-0005-0000-0000-000020000000}"/>
    <cellStyle name="Comma 10 4" xfId="63" xr:uid="{00000000-0005-0000-0000-000021000000}"/>
    <cellStyle name="Comma 10 4 2" xfId="64" xr:uid="{00000000-0005-0000-0000-000022000000}"/>
    <cellStyle name="Comma 10 4 3" xfId="65" xr:uid="{00000000-0005-0000-0000-000023000000}"/>
    <cellStyle name="Comma 10 4 4" xfId="66" xr:uid="{00000000-0005-0000-0000-000024000000}"/>
    <cellStyle name="Comma 10 5" xfId="67" xr:uid="{00000000-0005-0000-0000-000025000000}"/>
    <cellStyle name="Comma 10 5 2" xfId="68" xr:uid="{00000000-0005-0000-0000-000026000000}"/>
    <cellStyle name="Comma 10 5 2 2" xfId="69" xr:uid="{00000000-0005-0000-0000-000027000000}"/>
    <cellStyle name="Comma 10 5 2 3" xfId="70" xr:uid="{00000000-0005-0000-0000-000028000000}"/>
    <cellStyle name="Comma 10 5 2 3 2" xfId="71" xr:uid="{00000000-0005-0000-0000-000029000000}"/>
    <cellStyle name="Comma 10 5 3" xfId="72" xr:uid="{00000000-0005-0000-0000-00002A000000}"/>
    <cellStyle name="Comma 10 6" xfId="73" xr:uid="{00000000-0005-0000-0000-00002B000000}"/>
    <cellStyle name="Comma 10 6 2" xfId="74" xr:uid="{00000000-0005-0000-0000-00002C000000}"/>
    <cellStyle name="Comma 10 6 3" xfId="75" xr:uid="{00000000-0005-0000-0000-00002D000000}"/>
    <cellStyle name="Comma 10 6 3 2" xfId="76" xr:uid="{00000000-0005-0000-0000-00002E000000}"/>
    <cellStyle name="Comma 10 7" xfId="77" xr:uid="{00000000-0005-0000-0000-00002F000000}"/>
    <cellStyle name="Comma 10 8" xfId="78" xr:uid="{00000000-0005-0000-0000-000030000000}"/>
    <cellStyle name="Comma 10 8 2" xfId="79" xr:uid="{00000000-0005-0000-0000-000031000000}"/>
    <cellStyle name="Comma 11" xfId="80" xr:uid="{00000000-0005-0000-0000-000032000000}"/>
    <cellStyle name="Comma 11 10" xfId="81" xr:uid="{00000000-0005-0000-0000-000033000000}"/>
    <cellStyle name="Comma 11 11" xfId="82" xr:uid="{00000000-0005-0000-0000-000034000000}"/>
    <cellStyle name="Comma 11 11 2" xfId="83" xr:uid="{00000000-0005-0000-0000-000035000000}"/>
    <cellStyle name="Comma 11 11 2 2" xfId="84" xr:uid="{00000000-0005-0000-0000-000036000000}"/>
    <cellStyle name="Comma 11 11 2 3" xfId="85" xr:uid="{00000000-0005-0000-0000-000037000000}"/>
    <cellStyle name="Comma 11 11 2 3 2" xfId="86" xr:uid="{00000000-0005-0000-0000-000038000000}"/>
    <cellStyle name="Comma 11 12" xfId="87" xr:uid="{00000000-0005-0000-0000-000039000000}"/>
    <cellStyle name="Comma 11 13" xfId="88" xr:uid="{00000000-0005-0000-0000-00003A000000}"/>
    <cellStyle name="Comma 11 13 2" xfId="89" xr:uid="{00000000-0005-0000-0000-00003B000000}"/>
    <cellStyle name="Comma 11 13 2 2" xfId="90" xr:uid="{00000000-0005-0000-0000-00003C000000}"/>
    <cellStyle name="Comma 11 13 2 3" xfId="91" xr:uid="{00000000-0005-0000-0000-00003D000000}"/>
    <cellStyle name="Comma 11 13 2 3 2" xfId="92" xr:uid="{00000000-0005-0000-0000-00003E000000}"/>
    <cellStyle name="Comma 11 2" xfId="93" xr:uid="{00000000-0005-0000-0000-00003F000000}"/>
    <cellStyle name="Comma 11 3" xfId="94" xr:uid="{00000000-0005-0000-0000-000040000000}"/>
    <cellStyle name="Comma 11 4" xfId="95" xr:uid="{00000000-0005-0000-0000-000041000000}"/>
    <cellStyle name="Comma 11 5" xfId="96" xr:uid="{00000000-0005-0000-0000-000042000000}"/>
    <cellStyle name="Comma 11 6" xfId="97" xr:uid="{00000000-0005-0000-0000-000043000000}"/>
    <cellStyle name="Comma 11 7" xfId="98" xr:uid="{00000000-0005-0000-0000-000044000000}"/>
    <cellStyle name="Comma 11 7 2" xfId="99" xr:uid="{00000000-0005-0000-0000-000045000000}"/>
    <cellStyle name="Comma 11 7 2 2" xfId="100" xr:uid="{00000000-0005-0000-0000-000046000000}"/>
    <cellStyle name="Comma 11 7 2 3" xfId="101" xr:uid="{00000000-0005-0000-0000-000047000000}"/>
    <cellStyle name="Comma 11 8" xfId="102" xr:uid="{00000000-0005-0000-0000-000048000000}"/>
    <cellStyle name="Comma 11 9" xfId="103" xr:uid="{00000000-0005-0000-0000-000049000000}"/>
    <cellStyle name="Comma 12" xfId="104" xr:uid="{00000000-0005-0000-0000-00004A000000}"/>
    <cellStyle name="Comma 12 10" xfId="105" xr:uid="{00000000-0005-0000-0000-00004B000000}"/>
    <cellStyle name="Comma 12 10 2" xfId="106" xr:uid="{00000000-0005-0000-0000-00004C000000}"/>
    <cellStyle name="Comma 12 10 2 2" xfId="107" xr:uid="{00000000-0005-0000-0000-00004D000000}"/>
    <cellStyle name="Comma 12 10 2 3" xfId="108" xr:uid="{00000000-0005-0000-0000-00004E000000}"/>
    <cellStyle name="Comma 12 10 2 3 2" xfId="109" xr:uid="{00000000-0005-0000-0000-00004F000000}"/>
    <cellStyle name="Comma 12 11" xfId="110" xr:uid="{00000000-0005-0000-0000-000050000000}"/>
    <cellStyle name="Comma 12 12" xfId="111" xr:uid="{00000000-0005-0000-0000-000051000000}"/>
    <cellStyle name="Comma 12 12 2" xfId="112" xr:uid="{00000000-0005-0000-0000-000052000000}"/>
    <cellStyle name="Comma 12 12 2 2" xfId="113" xr:uid="{00000000-0005-0000-0000-000053000000}"/>
    <cellStyle name="Comma 12 12 2 3" xfId="114" xr:uid="{00000000-0005-0000-0000-000054000000}"/>
    <cellStyle name="Comma 12 12 2 3 2" xfId="115" xr:uid="{00000000-0005-0000-0000-000055000000}"/>
    <cellStyle name="Comma 12 2" xfId="116" xr:uid="{00000000-0005-0000-0000-000056000000}"/>
    <cellStyle name="Comma 12 3" xfId="117" xr:uid="{00000000-0005-0000-0000-000057000000}"/>
    <cellStyle name="Comma 12 4" xfId="118" xr:uid="{00000000-0005-0000-0000-000058000000}"/>
    <cellStyle name="Comma 12 5" xfId="119" xr:uid="{00000000-0005-0000-0000-000059000000}"/>
    <cellStyle name="Comma 12 6" xfId="120" xr:uid="{00000000-0005-0000-0000-00005A000000}"/>
    <cellStyle name="Comma 12 6 2" xfId="121" xr:uid="{00000000-0005-0000-0000-00005B000000}"/>
    <cellStyle name="Comma 12 6 2 2" xfId="122" xr:uid="{00000000-0005-0000-0000-00005C000000}"/>
    <cellStyle name="Comma 12 6 2 3" xfId="123" xr:uid="{00000000-0005-0000-0000-00005D000000}"/>
    <cellStyle name="Comma 12 7" xfId="124" xr:uid="{00000000-0005-0000-0000-00005E000000}"/>
    <cellStyle name="Comma 12 8" xfId="125" xr:uid="{00000000-0005-0000-0000-00005F000000}"/>
    <cellStyle name="Comma 12 9" xfId="126" xr:uid="{00000000-0005-0000-0000-000060000000}"/>
    <cellStyle name="Comma 13" xfId="127" xr:uid="{00000000-0005-0000-0000-000061000000}"/>
    <cellStyle name="Comma 13 2" xfId="128" xr:uid="{00000000-0005-0000-0000-000062000000}"/>
    <cellStyle name="Comma 13 3" xfId="129" xr:uid="{00000000-0005-0000-0000-000063000000}"/>
    <cellStyle name="Comma 13 4" xfId="130" xr:uid="{00000000-0005-0000-0000-000064000000}"/>
    <cellStyle name="Comma 13 5" xfId="131" xr:uid="{00000000-0005-0000-0000-000065000000}"/>
    <cellStyle name="Comma 13 6" xfId="132" xr:uid="{00000000-0005-0000-0000-000066000000}"/>
    <cellStyle name="Comma 14" xfId="133" xr:uid="{00000000-0005-0000-0000-000067000000}"/>
    <cellStyle name="Comma 14 2" xfId="134" xr:uid="{00000000-0005-0000-0000-000068000000}"/>
    <cellStyle name="Comma 14 3" xfId="135" xr:uid="{00000000-0005-0000-0000-000069000000}"/>
    <cellStyle name="Comma 14 4" xfId="136" xr:uid="{00000000-0005-0000-0000-00006A000000}"/>
    <cellStyle name="Comma 14 5" xfId="137" xr:uid="{00000000-0005-0000-0000-00006B000000}"/>
    <cellStyle name="Comma 15" xfId="138" xr:uid="{00000000-0005-0000-0000-00006C000000}"/>
    <cellStyle name="Comma 15 2" xfId="139" xr:uid="{00000000-0005-0000-0000-00006D000000}"/>
    <cellStyle name="Comma 15 3" xfId="140" xr:uid="{00000000-0005-0000-0000-00006E000000}"/>
    <cellStyle name="Comma 15 4" xfId="141" xr:uid="{00000000-0005-0000-0000-00006F000000}"/>
    <cellStyle name="Comma 15 5" xfId="142" xr:uid="{00000000-0005-0000-0000-000070000000}"/>
    <cellStyle name="Comma 16" xfId="143" xr:uid="{00000000-0005-0000-0000-000071000000}"/>
    <cellStyle name="Comma 16 2" xfId="144" xr:uid="{00000000-0005-0000-0000-000072000000}"/>
    <cellStyle name="Comma 16 3" xfId="145" xr:uid="{00000000-0005-0000-0000-000073000000}"/>
    <cellStyle name="Comma 16 3 2" xfId="146" xr:uid="{00000000-0005-0000-0000-000074000000}"/>
    <cellStyle name="Comma 16 3 3" xfId="147" xr:uid="{00000000-0005-0000-0000-000075000000}"/>
    <cellStyle name="Comma 16 3 3 2" xfId="148" xr:uid="{00000000-0005-0000-0000-000076000000}"/>
    <cellStyle name="Comma 17" xfId="149" xr:uid="{00000000-0005-0000-0000-000077000000}"/>
    <cellStyle name="Comma 17 2" xfId="150" xr:uid="{00000000-0005-0000-0000-000078000000}"/>
    <cellStyle name="Comma 17 3" xfId="151" xr:uid="{00000000-0005-0000-0000-000079000000}"/>
    <cellStyle name="Comma 17 3 2" xfId="152" xr:uid="{00000000-0005-0000-0000-00007A000000}"/>
    <cellStyle name="Comma 17 4" xfId="786" xr:uid="{00000000-0005-0000-0000-00007B000000}"/>
    <cellStyle name="Comma 18" xfId="153" xr:uid="{00000000-0005-0000-0000-00007C000000}"/>
    <cellStyle name="Comma 18 2" xfId="154" xr:uid="{00000000-0005-0000-0000-00007D000000}"/>
    <cellStyle name="Comma 18 3" xfId="155" xr:uid="{00000000-0005-0000-0000-00007E000000}"/>
    <cellStyle name="Comma 18 3 2" xfId="156" xr:uid="{00000000-0005-0000-0000-00007F000000}"/>
    <cellStyle name="Comma 19" xfId="157" xr:uid="{00000000-0005-0000-0000-000080000000}"/>
    <cellStyle name="Comma 19 2" xfId="158" xr:uid="{00000000-0005-0000-0000-000081000000}"/>
    <cellStyle name="Comma 19 3" xfId="159" xr:uid="{00000000-0005-0000-0000-000082000000}"/>
    <cellStyle name="Comma 19 3 2" xfId="160" xr:uid="{00000000-0005-0000-0000-000083000000}"/>
    <cellStyle name="Comma 2" xfId="4" xr:uid="{00000000-0005-0000-0000-000084000000}"/>
    <cellStyle name="Comma 2 2" xfId="57" xr:uid="{00000000-0005-0000-0000-000085000000}"/>
    <cellStyle name="Comma 2 2 2" xfId="161" xr:uid="{00000000-0005-0000-0000-000086000000}"/>
    <cellStyle name="Comma 2 2 3" xfId="162" xr:uid="{00000000-0005-0000-0000-000087000000}"/>
    <cellStyle name="Comma 2 2 4" xfId="163" xr:uid="{00000000-0005-0000-0000-000088000000}"/>
    <cellStyle name="Comma 2 2 5" xfId="164" xr:uid="{00000000-0005-0000-0000-000089000000}"/>
    <cellStyle name="Comma 2 3" xfId="165" xr:uid="{00000000-0005-0000-0000-00008A000000}"/>
    <cellStyle name="Comma 2 3 2" xfId="166" xr:uid="{00000000-0005-0000-0000-00008B000000}"/>
    <cellStyle name="Comma 2 3 3" xfId="167" xr:uid="{00000000-0005-0000-0000-00008C000000}"/>
    <cellStyle name="Comma 2 3 4" xfId="168" xr:uid="{00000000-0005-0000-0000-00008D000000}"/>
    <cellStyle name="Comma 2 3 4 2" xfId="169" xr:uid="{00000000-0005-0000-0000-00008E000000}"/>
    <cellStyle name="Comma 2 3 4 2 2" xfId="170" xr:uid="{00000000-0005-0000-0000-00008F000000}"/>
    <cellStyle name="Comma 2 3 4 3" xfId="171" xr:uid="{00000000-0005-0000-0000-000090000000}"/>
    <cellStyle name="Comma 2 3 4 4" xfId="172" xr:uid="{00000000-0005-0000-0000-000091000000}"/>
    <cellStyle name="Comma 2 3 4 5" xfId="173" xr:uid="{00000000-0005-0000-0000-000092000000}"/>
    <cellStyle name="Comma 2 3 4 5 2" xfId="174" xr:uid="{00000000-0005-0000-0000-000093000000}"/>
    <cellStyle name="Comma 2 3 5" xfId="175" xr:uid="{00000000-0005-0000-0000-000094000000}"/>
    <cellStyle name="Comma 2 4" xfId="176" xr:uid="{00000000-0005-0000-0000-000095000000}"/>
    <cellStyle name="Comma 2 5" xfId="177" xr:uid="{00000000-0005-0000-0000-000096000000}"/>
    <cellStyle name="Comma 20" xfId="178" xr:uid="{00000000-0005-0000-0000-000097000000}"/>
    <cellStyle name="Comma 20 2" xfId="179" xr:uid="{00000000-0005-0000-0000-000098000000}"/>
    <cellStyle name="Comma 20 3" xfId="180" xr:uid="{00000000-0005-0000-0000-000099000000}"/>
    <cellStyle name="Comma 20 3 2" xfId="181" xr:uid="{00000000-0005-0000-0000-00009A000000}"/>
    <cellStyle name="Comma 21" xfId="182" xr:uid="{00000000-0005-0000-0000-00009B000000}"/>
    <cellStyle name="Comma 21 2" xfId="183" xr:uid="{00000000-0005-0000-0000-00009C000000}"/>
    <cellStyle name="Comma 21 3" xfId="184" xr:uid="{00000000-0005-0000-0000-00009D000000}"/>
    <cellStyle name="Comma 21 3 2" xfId="185" xr:uid="{00000000-0005-0000-0000-00009E000000}"/>
    <cellStyle name="Comma 22" xfId="186" xr:uid="{00000000-0005-0000-0000-00009F000000}"/>
    <cellStyle name="Comma 22 2" xfId="187" xr:uid="{00000000-0005-0000-0000-0000A0000000}"/>
    <cellStyle name="Comma 22 3" xfId="188" xr:uid="{00000000-0005-0000-0000-0000A1000000}"/>
    <cellStyle name="Comma 22 3 2" xfId="189" xr:uid="{00000000-0005-0000-0000-0000A2000000}"/>
    <cellStyle name="Comma 23" xfId="190" xr:uid="{00000000-0005-0000-0000-0000A3000000}"/>
    <cellStyle name="Comma 23 2" xfId="191" xr:uid="{00000000-0005-0000-0000-0000A4000000}"/>
    <cellStyle name="Comma 23 3" xfId="192" xr:uid="{00000000-0005-0000-0000-0000A5000000}"/>
    <cellStyle name="Comma 23 3 2" xfId="193" xr:uid="{00000000-0005-0000-0000-0000A6000000}"/>
    <cellStyle name="Comma 24" xfId="194" xr:uid="{00000000-0005-0000-0000-0000A7000000}"/>
    <cellStyle name="Comma 24 2" xfId="195" xr:uid="{00000000-0005-0000-0000-0000A8000000}"/>
    <cellStyle name="Comma 24 3" xfId="196" xr:uid="{00000000-0005-0000-0000-0000A9000000}"/>
    <cellStyle name="Comma 24 3 2" xfId="197" xr:uid="{00000000-0005-0000-0000-0000AA000000}"/>
    <cellStyle name="Comma 25" xfId="198" xr:uid="{00000000-0005-0000-0000-0000AB000000}"/>
    <cellStyle name="Comma 25 2" xfId="199" xr:uid="{00000000-0005-0000-0000-0000AC000000}"/>
    <cellStyle name="Comma 25 3" xfId="200" xr:uid="{00000000-0005-0000-0000-0000AD000000}"/>
    <cellStyle name="Comma 25 3 2" xfId="201" xr:uid="{00000000-0005-0000-0000-0000AE000000}"/>
    <cellStyle name="Comma 26" xfId="202" xr:uid="{00000000-0005-0000-0000-0000AF000000}"/>
    <cellStyle name="Comma 26 2" xfId="203" xr:uid="{00000000-0005-0000-0000-0000B0000000}"/>
    <cellStyle name="Comma 26 3" xfId="204" xr:uid="{00000000-0005-0000-0000-0000B1000000}"/>
    <cellStyle name="Comma 26 3 2" xfId="205" xr:uid="{00000000-0005-0000-0000-0000B2000000}"/>
    <cellStyle name="Comma 27" xfId="206" xr:uid="{00000000-0005-0000-0000-0000B3000000}"/>
    <cellStyle name="Comma 27 2" xfId="207" xr:uid="{00000000-0005-0000-0000-0000B4000000}"/>
    <cellStyle name="Comma 27 3" xfId="208" xr:uid="{00000000-0005-0000-0000-0000B5000000}"/>
    <cellStyle name="Comma 27 3 2" xfId="209" xr:uid="{00000000-0005-0000-0000-0000B6000000}"/>
    <cellStyle name="Comma 28" xfId="210" xr:uid="{00000000-0005-0000-0000-0000B7000000}"/>
    <cellStyle name="Comma 28 2" xfId="211" xr:uid="{00000000-0005-0000-0000-0000B8000000}"/>
    <cellStyle name="Comma 29" xfId="212" xr:uid="{00000000-0005-0000-0000-0000B9000000}"/>
    <cellStyle name="Comma 29 2" xfId="213" xr:uid="{00000000-0005-0000-0000-0000BA000000}"/>
    <cellStyle name="Comma 3" xfId="214" xr:uid="{00000000-0005-0000-0000-0000BB000000}"/>
    <cellStyle name="Comma 3 2" xfId="215" xr:uid="{00000000-0005-0000-0000-0000BC000000}"/>
    <cellStyle name="Comma 3 3" xfId="216" xr:uid="{00000000-0005-0000-0000-0000BD000000}"/>
    <cellStyle name="Comma 3 4" xfId="217" xr:uid="{00000000-0005-0000-0000-0000BE000000}"/>
    <cellStyle name="Comma 30" xfId="218" xr:uid="{00000000-0005-0000-0000-0000BF000000}"/>
    <cellStyle name="Comma 31" xfId="219" xr:uid="{00000000-0005-0000-0000-0000C0000000}"/>
    <cellStyle name="Comma 31 2" xfId="220" xr:uid="{00000000-0005-0000-0000-0000C1000000}"/>
    <cellStyle name="Comma 31 3" xfId="221" xr:uid="{00000000-0005-0000-0000-0000C2000000}"/>
    <cellStyle name="Comma 31 3 2" xfId="222" xr:uid="{00000000-0005-0000-0000-0000C3000000}"/>
    <cellStyle name="Comma 32" xfId="223" xr:uid="{00000000-0005-0000-0000-0000C4000000}"/>
    <cellStyle name="Comma 32 2" xfId="224" xr:uid="{00000000-0005-0000-0000-0000C5000000}"/>
    <cellStyle name="Comma 32 2 2" xfId="225" xr:uid="{00000000-0005-0000-0000-0000C6000000}"/>
    <cellStyle name="Comma 32 3" xfId="226" xr:uid="{00000000-0005-0000-0000-0000C7000000}"/>
    <cellStyle name="Comma 32 4" xfId="227" xr:uid="{00000000-0005-0000-0000-0000C8000000}"/>
    <cellStyle name="Comma 32 4 2" xfId="228" xr:uid="{00000000-0005-0000-0000-0000C9000000}"/>
    <cellStyle name="Comma 33" xfId="229" xr:uid="{00000000-0005-0000-0000-0000CA000000}"/>
    <cellStyle name="Comma 33 2" xfId="230" xr:uid="{00000000-0005-0000-0000-0000CB000000}"/>
    <cellStyle name="Comma 33 3" xfId="231" xr:uid="{00000000-0005-0000-0000-0000CC000000}"/>
    <cellStyle name="Comma 33 3 2" xfId="232" xr:uid="{00000000-0005-0000-0000-0000CD000000}"/>
    <cellStyle name="Comma 34" xfId="233" xr:uid="{00000000-0005-0000-0000-0000CE000000}"/>
    <cellStyle name="Comma 35" xfId="234" xr:uid="{00000000-0005-0000-0000-0000CF000000}"/>
    <cellStyle name="Comma 35 2" xfId="235" xr:uid="{00000000-0005-0000-0000-0000D0000000}"/>
    <cellStyle name="Comma 36" xfId="236" xr:uid="{00000000-0005-0000-0000-0000D1000000}"/>
    <cellStyle name="Comma 37" xfId="237" xr:uid="{00000000-0005-0000-0000-0000D2000000}"/>
    <cellStyle name="Comma 38" xfId="238" xr:uid="{00000000-0005-0000-0000-0000D3000000}"/>
    <cellStyle name="Comma 4" xfId="239" xr:uid="{00000000-0005-0000-0000-0000D4000000}"/>
    <cellStyle name="Comma 4 2" xfId="240" xr:uid="{00000000-0005-0000-0000-0000D5000000}"/>
    <cellStyle name="Comma 4 3" xfId="241" xr:uid="{00000000-0005-0000-0000-0000D6000000}"/>
    <cellStyle name="Comma 4 4" xfId="242" xr:uid="{00000000-0005-0000-0000-0000D7000000}"/>
    <cellStyle name="Comma 4 5" xfId="243" xr:uid="{00000000-0005-0000-0000-0000D8000000}"/>
    <cellStyle name="Comma 5" xfId="244" xr:uid="{00000000-0005-0000-0000-0000D9000000}"/>
    <cellStyle name="Comma 5 2" xfId="245" xr:uid="{00000000-0005-0000-0000-0000DA000000}"/>
    <cellStyle name="Comma 5 3" xfId="246" xr:uid="{00000000-0005-0000-0000-0000DB000000}"/>
    <cellStyle name="Comma 5 4" xfId="247" xr:uid="{00000000-0005-0000-0000-0000DC000000}"/>
    <cellStyle name="Comma 5 5" xfId="248" xr:uid="{00000000-0005-0000-0000-0000DD000000}"/>
    <cellStyle name="Comma 5 6" xfId="249" xr:uid="{00000000-0005-0000-0000-0000DE000000}"/>
    <cellStyle name="Comma 6" xfId="250" xr:uid="{00000000-0005-0000-0000-0000DF000000}"/>
    <cellStyle name="Comma 6 2" xfId="251" xr:uid="{00000000-0005-0000-0000-0000E0000000}"/>
    <cellStyle name="Comma 6 3" xfId="252" xr:uid="{00000000-0005-0000-0000-0000E1000000}"/>
    <cellStyle name="Comma 6 4" xfId="253" xr:uid="{00000000-0005-0000-0000-0000E2000000}"/>
    <cellStyle name="Comma 6 4 2" xfId="254" xr:uid="{00000000-0005-0000-0000-0000E3000000}"/>
    <cellStyle name="Comma 6 4 2 2" xfId="255" xr:uid="{00000000-0005-0000-0000-0000E4000000}"/>
    <cellStyle name="Comma 6 4 3" xfId="256" xr:uid="{00000000-0005-0000-0000-0000E5000000}"/>
    <cellStyle name="Comma 6 4 4" xfId="257" xr:uid="{00000000-0005-0000-0000-0000E6000000}"/>
    <cellStyle name="Comma 6 4 5" xfId="258" xr:uid="{00000000-0005-0000-0000-0000E7000000}"/>
    <cellStyle name="Comma 6 4 5 2" xfId="259" xr:uid="{00000000-0005-0000-0000-0000E8000000}"/>
    <cellStyle name="Comma 6 5" xfId="260" xr:uid="{00000000-0005-0000-0000-0000E9000000}"/>
    <cellStyle name="Comma 7" xfId="261" xr:uid="{00000000-0005-0000-0000-0000EA000000}"/>
    <cellStyle name="Comma 7 2" xfId="262" xr:uid="{00000000-0005-0000-0000-0000EB000000}"/>
    <cellStyle name="Comma 7 2 2" xfId="263" xr:uid="{00000000-0005-0000-0000-0000EC000000}"/>
    <cellStyle name="Comma 7 2 2 2" xfId="264" xr:uid="{00000000-0005-0000-0000-0000ED000000}"/>
    <cellStyle name="Comma 7 2 2 2 2" xfId="265" xr:uid="{00000000-0005-0000-0000-0000EE000000}"/>
    <cellStyle name="Comma 7 2 2 3" xfId="266" xr:uid="{00000000-0005-0000-0000-0000EF000000}"/>
    <cellStyle name="Comma 7 2 2 3 2" xfId="267" xr:uid="{00000000-0005-0000-0000-0000F0000000}"/>
    <cellStyle name="Comma 7 2 2 3 2 2" xfId="268" xr:uid="{00000000-0005-0000-0000-0000F1000000}"/>
    <cellStyle name="Comma 7 2 2 3 3" xfId="269" xr:uid="{00000000-0005-0000-0000-0000F2000000}"/>
    <cellStyle name="Comma 7 2 2 4" xfId="270" xr:uid="{00000000-0005-0000-0000-0000F3000000}"/>
    <cellStyle name="Comma 7 2 3" xfId="271" xr:uid="{00000000-0005-0000-0000-0000F4000000}"/>
    <cellStyle name="Comma 7 3" xfId="272" xr:uid="{00000000-0005-0000-0000-0000F5000000}"/>
    <cellStyle name="Comma 7 3 2" xfId="273" xr:uid="{00000000-0005-0000-0000-0000F6000000}"/>
    <cellStyle name="Comma 7 3 2 2" xfId="274" xr:uid="{00000000-0005-0000-0000-0000F7000000}"/>
    <cellStyle name="Comma 7 3 3" xfId="275" xr:uid="{00000000-0005-0000-0000-0000F8000000}"/>
    <cellStyle name="Comma 7 3 3 2" xfId="276" xr:uid="{00000000-0005-0000-0000-0000F9000000}"/>
    <cellStyle name="Comma 7 3 3 2 2" xfId="277" xr:uid="{00000000-0005-0000-0000-0000FA000000}"/>
    <cellStyle name="Comma 7 3 3 3" xfId="278" xr:uid="{00000000-0005-0000-0000-0000FB000000}"/>
    <cellStyle name="Comma 7 3 4" xfId="279" xr:uid="{00000000-0005-0000-0000-0000FC000000}"/>
    <cellStyle name="Comma 7 4" xfId="280" xr:uid="{00000000-0005-0000-0000-0000FD000000}"/>
    <cellStyle name="Comma 7 4 2" xfId="281" xr:uid="{00000000-0005-0000-0000-0000FE000000}"/>
    <cellStyle name="Comma 7 5" xfId="282" xr:uid="{00000000-0005-0000-0000-0000FF000000}"/>
    <cellStyle name="Comma 7 5 2" xfId="283" xr:uid="{00000000-0005-0000-0000-000000010000}"/>
    <cellStyle name="Comma 7 5 2 2" xfId="284" xr:uid="{00000000-0005-0000-0000-000001010000}"/>
    <cellStyle name="Comma 7 5 3" xfId="285" xr:uid="{00000000-0005-0000-0000-000002010000}"/>
    <cellStyle name="Comma 7 6" xfId="286" xr:uid="{00000000-0005-0000-0000-000003010000}"/>
    <cellStyle name="Comma 8" xfId="287" xr:uid="{00000000-0005-0000-0000-000004010000}"/>
    <cellStyle name="Comma 8 2" xfId="288" xr:uid="{00000000-0005-0000-0000-000005010000}"/>
    <cellStyle name="Comma 8 2 2" xfId="289" xr:uid="{00000000-0005-0000-0000-000006010000}"/>
    <cellStyle name="Comma 8 2 3" xfId="290" xr:uid="{00000000-0005-0000-0000-000007010000}"/>
    <cellStyle name="Comma 8 2 4" xfId="291" xr:uid="{00000000-0005-0000-0000-000008010000}"/>
    <cellStyle name="Comma 8 2 4 10" xfId="292" xr:uid="{00000000-0005-0000-0000-000009010000}"/>
    <cellStyle name="Comma 8 2 4 11" xfId="293" xr:uid="{00000000-0005-0000-0000-00000A010000}"/>
    <cellStyle name="Comma 8 2 4 11 2" xfId="294" xr:uid="{00000000-0005-0000-0000-00000B010000}"/>
    <cellStyle name="Comma 8 2 4 11 2 2" xfId="295" xr:uid="{00000000-0005-0000-0000-00000C010000}"/>
    <cellStyle name="Comma 8 2 4 11 2 3" xfId="296" xr:uid="{00000000-0005-0000-0000-00000D010000}"/>
    <cellStyle name="Comma 8 2 4 11 2 3 2" xfId="297" xr:uid="{00000000-0005-0000-0000-00000E010000}"/>
    <cellStyle name="Comma 8 2 4 2" xfId="298" xr:uid="{00000000-0005-0000-0000-00000F010000}"/>
    <cellStyle name="Comma 8 2 4 3" xfId="299" xr:uid="{00000000-0005-0000-0000-000010010000}"/>
    <cellStyle name="Comma 8 2 4 4" xfId="300" xr:uid="{00000000-0005-0000-0000-000011010000}"/>
    <cellStyle name="Comma 8 2 4 5" xfId="301" xr:uid="{00000000-0005-0000-0000-000012010000}"/>
    <cellStyle name="Comma 8 2 4 5 2" xfId="302" xr:uid="{00000000-0005-0000-0000-000013010000}"/>
    <cellStyle name="Comma 8 2 4 5 2 2" xfId="303" xr:uid="{00000000-0005-0000-0000-000014010000}"/>
    <cellStyle name="Comma 8 2 4 5 2 3" xfId="304" xr:uid="{00000000-0005-0000-0000-000015010000}"/>
    <cellStyle name="Comma 8 2 4 6" xfId="305" xr:uid="{00000000-0005-0000-0000-000016010000}"/>
    <cellStyle name="Comma 8 2 4 7" xfId="306" xr:uid="{00000000-0005-0000-0000-000017010000}"/>
    <cellStyle name="Comma 8 2 4 8" xfId="307" xr:uid="{00000000-0005-0000-0000-000018010000}"/>
    <cellStyle name="Comma 8 2 4 9" xfId="308" xr:uid="{00000000-0005-0000-0000-000019010000}"/>
    <cellStyle name="Comma 8 2 4 9 2" xfId="309" xr:uid="{00000000-0005-0000-0000-00001A010000}"/>
    <cellStyle name="Comma 8 2 4 9 2 2" xfId="310" xr:uid="{00000000-0005-0000-0000-00001B010000}"/>
    <cellStyle name="Comma 8 2 4 9 2 3" xfId="311" xr:uid="{00000000-0005-0000-0000-00001C010000}"/>
    <cellStyle name="Comma 8 2 4 9 2 3 2" xfId="312" xr:uid="{00000000-0005-0000-0000-00001D010000}"/>
    <cellStyle name="Comma 8 2 5" xfId="313" xr:uid="{00000000-0005-0000-0000-00001E010000}"/>
    <cellStyle name="Comma 8 2 5 2" xfId="314" xr:uid="{00000000-0005-0000-0000-00001F010000}"/>
    <cellStyle name="Comma 8 2 5 3" xfId="315" xr:uid="{00000000-0005-0000-0000-000020010000}"/>
    <cellStyle name="Comma 8 2 5 4" xfId="316" xr:uid="{00000000-0005-0000-0000-000021010000}"/>
    <cellStyle name="Comma 8 2 6" xfId="317" xr:uid="{00000000-0005-0000-0000-000022010000}"/>
    <cellStyle name="Comma 8 2 6 2" xfId="318" xr:uid="{00000000-0005-0000-0000-000023010000}"/>
    <cellStyle name="Comma 8 2 6 2 2" xfId="319" xr:uid="{00000000-0005-0000-0000-000024010000}"/>
    <cellStyle name="Comma 8 2 6 2 3" xfId="320" xr:uid="{00000000-0005-0000-0000-000025010000}"/>
    <cellStyle name="Comma 8 2 6 2 3 2" xfId="321" xr:uid="{00000000-0005-0000-0000-000026010000}"/>
    <cellStyle name="Comma 8 2 6 3" xfId="322" xr:uid="{00000000-0005-0000-0000-000027010000}"/>
    <cellStyle name="Comma 8 2 7" xfId="323" xr:uid="{00000000-0005-0000-0000-000028010000}"/>
    <cellStyle name="Comma 8 2 7 2" xfId="324" xr:uid="{00000000-0005-0000-0000-000029010000}"/>
    <cellStyle name="Comma 8 2 7 3" xfId="325" xr:uid="{00000000-0005-0000-0000-00002A010000}"/>
    <cellStyle name="Comma 8 2 7 3 2" xfId="326" xr:uid="{00000000-0005-0000-0000-00002B010000}"/>
    <cellStyle name="Comma 8 2 8" xfId="327" xr:uid="{00000000-0005-0000-0000-00002C010000}"/>
    <cellStyle name="Comma 8 2 9" xfId="328" xr:uid="{00000000-0005-0000-0000-00002D010000}"/>
    <cellStyle name="Comma 8 2 9 2" xfId="329" xr:uid="{00000000-0005-0000-0000-00002E010000}"/>
    <cellStyle name="Comma 8 3" xfId="330" xr:uid="{00000000-0005-0000-0000-00002F010000}"/>
    <cellStyle name="Comma 8 4" xfId="331" xr:uid="{00000000-0005-0000-0000-000030010000}"/>
    <cellStyle name="Comma 8 5" xfId="332" xr:uid="{00000000-0005-0000-0000-000031010000}"/>
    <cellStyle name="Comma 8 5 2" xfId="333" xr:uid="{00000000-0005-0000-0000-000032010000}"/>
    <cellStyle name="Comma 8 6" xfId="334" xr:uid="{00000000-0005-0000-0000-000033010000}"/>
    <cellStyle name="Comma 8 6 2" xfId="335" xr:uid="{00000000-0005-0000-0000-000034010000}"/>
    <cellStyle name="Comma 9" xfId="336" xr:uid="{00000000-0005-0000-0000-000035010000}"/>
    <cellStyle name="Comma 9 2" xfId="337" xr:uid="{00000000-0005-0000-0000-000036010000}"/>
    <cellStyle name="Comma 9 2 2" xfId="338" xr:uid="{00000000-0005-0000-0000-000037010000}"/>
    <cellStyle name="Comma 9 2 3" xfId="339" xr:uid="{00000000-0005-0000-0000-000038010000}"/>
    <cellStyle name="Comma 9 2 3 2" xfId="340" xr:uid="{00000000-0005-0000-0000-000039010000}"/>
    <cellStyle name="Comma 9 2 3 3" xfId="341" xr:uid="{00000000-0005-0000-0000-00003A010000}"/>
    <cellStyle name="Comma 9 2 3 4" xfId="342" xr:uid="{00000000-0005-0000-0000-00003B010000}"/>
    <cellStyle name="Comma 9 2 4" xfId="343" xr:uid="{00000000-0005-0000-0000-00003C010000}"/>
    <cellStyle name="Comma 9 2 4 2" xfId="344" xr:uid="{00000000-0005-0000-0000-00003D010000}"/>
    <cellStyle name="Comma 9 2 4 2 2" xfId="345" xr:uid="{00000000-0005-0000-0000-00003E010000}"/>
    <cellStyle name="Comma 9 2 4 2 3" xfId="346" xr:uid="{00000000-0005-0000-0000-00003F010000}"/>
    <cellStyle name="Comma 9 2 4 2 3 2" xfId="347" xr:uid="{00000000-0005-0000-0000-000040010000}"/>
    <cellStyle name="Comma 9 2 4 3" xfId="348" xr:uid="{00000000-0005-0000-0000-000041010000}"/>
    <cellStyle name="Comma 9 2 5" xfId="349" xr:uid="{00000000-0005-0000-0000-000042010000}"/>
    <cellStyle name="Comma 9 2 5 2" xfId="350" xr:uid="{00000000-0005-0000-0000-000043010000}"/>
    <cellStyle name="Comma 9 2 5 3" xfId="351" xr:uid="{00000000-0005-0000-0000-000044010000}"/>
    <cellStyle name="Comma 9 2 5 3 2" xfId="352" xr:uid="{00000000-0005-0000-0000-000045010000}"/>
    <cellStyle name="Comma 9 2 6" xfId="353" xr:uid="{00000000-0005-0000-0000-000046010000}"/>
    <cellStyle name="Comma 9 2 7" xfId="354" xr:uid="{00000000-0005-0000-0000-000047010000}"/>
    <cellStyle name="Comma 9 2 7 2" xfId="355" xr:uid="{00000000-0005-0000-0000-000048010000}"/>
    <cellStyle name="Comma 9 3" xfId="356" xr:uid="{00000000-0005-0000-0000-000049010000}"/>
    <cellStyle name="Comma 9 4" xfId="357" xr:uid="{00000000-0005-0000-0000-00004A010000}"/>
    <cellStyle name="Comma 9 5" xfId="358" xr:uid="{00000000-0005-0000-0000-00004B010000}"/>
    <cellStyle name="Comma 9 6" xfId="359" xr:uid="{00000000-0005-0000-0000-00004C010000}"/>
    <cellStyle name="Comma 9 6 10" xfId="360" xr:uid="{00000000-0005-0000-0000-00004D010000}"/>
    <cellStyle name="Comma 9 6 11" xfId="361" xr:uid="{00000000-0005-0000-0000-00004E010000}"/>
    <cellStyle name="Comma 9 6 11 2" xfId="362" xr:uid="{00000000-0005-0000-0000-00004F010000}"/>
    <cellStyle name="Comma 9 6 11 2 2" xfId="363" xr:uid="{00000000-0005-0000-0000-000050010000}"/>
    <cellStyle name="Comma 9 6 11 2 3" xfId="364" xr:uid="{00000000-0005-0000-0000-000051010000}"/>
    <cellStyle name="Comma 9 6 11 2 3 2" xfId="365" xr:uid="{00000000-0005-0000-0000-000052010000}"/>
    <cellStyle name="Comma 9 6 2" xfId="366" xr:uid="{00000000-0005-0000-0000-000053010000}"/>
    <cellStyle name="Comma 9 6 3" xfId="367" xr:uid="{00000000-0005-0000-0000-000054010000}"/>
    <cellStyle name="Comma 9 6 4" xfId="368" xr:uid="{00000000-0005-0000-0000-000055010000}"/>
    <cellStyle name="Comma 9 6 5" xfId="369" xr:uid="{00000000-0005-0000-0000-000056010000}"/>
    <cellStyle name="Comma 9 6 5 2" xfId="370" xr:uid="{00000000-0005-0000-0000-000057010000}"/>
    <cellStyle name="Comma 9 6 5 2 2" xfId="371" xr:uid="{00000000-0005-0000-0000-000058010000}"/>
    <cellStyle name="Comma 9 6 5 2 3" xfId="372" xr:uid="{00000000-0005-0000-0000-000059010000}"/>
    <cellStyle name="Comma 9 6 6" xfId="373" xr:uid="{00000000-0005-0000-0000-00005A010000}"/>
    <cellStyle name="Comma 9 6 7" xfId="374" xr:uid="{00000000-0005-0000-0000-00005B010000}"/>
    <cellStyle name="Comma 9 6 8" xfId="375" xr:uid="{00000000-0005-0000-0000-00005C010000}"/>
    <cellStyle name="Comma 9 6 9" xfId="376" xr:uid="{00000000-0005-0000-0000-00005D010000}"/>
    <cellStyle name="Comma 9 6 9 2" xfId="377" xr:uid="{00000000-0005-0000-0000-00005E010000}"/>
    <cellStyle name="Comma 9 6 9 2 2" xfId="378" xr:uid="{00000000-0005-0000-0000-00005F010000}"/>
    <cellStyle name="Comma 9 6 9 2 3" xfId="379" xr:uid="{00000000-0005-0000-0000-000060010000}"/>
    <cellStyle name="Comma 9 6 9 2 3 2" xfId="380" xr:uid="{00000000-0005-0000-0000-000061010000}"/>
    <cellStyle name="Currency" xfId="54" builtinId="4"/>
    <cellStyle name="Currency 2" xfId="3" xr:uid="{00000000-0005-0000-0000-000063010000}"/>
    <cellStyle name="Currency 3" xfId="381" xr:uid="{00000000-0005-0000-0000-000064010000}"/>
    <cellStyle name="Currency 4" xfId="382" xr:uid="{00000000-0005-0000-0000-000065010000}"/>
    <cellStyle name="Currency 4 2" xfId="383" xr:uid="{00000000-0005-0000-0000-000066010000}"/>
    <cellStyle name="Currency 4 3" xfId="384" xr:uid="{00000000-0005-0000-0000-000067010000}"/>
    <cellStyle name="Currency 4 3 2" xfId="385" xr:uid="{00000000-0005-0000-0000-000068010000}"/>
    <cellStyle name="Currency 5" xfId="386" xr:uid="{00000000-0005-0000-0000-000069010000}"/>
    <cellStyle name="Currency 5 2" xfId="387" xr:uid="{00000000-0005-0000-0000-00006A010000}"/>
    <cellStyle name="Currency 5 3" xfId="388" xr:uid="{00000000-0005-0000-0000-00006B010000}"/>
    <cellStyle name="Currency 5 3 2" xfId="389" xr:uid="{00000000-0005-0000-0000-00006C010000}"/>
    <cellStyle name="Currency 6" xfId="390" xr:uid="{00000000-0005-0000-0000-00006D010000}"/>
    <cellStyle name="Currency 7" xfId="391" xr:uid="{00000000-0005-0000-0000-00006E010000}"/>
    <cellStyle name="Currency 7 2" xfId="392" xr:uid="{00000000-0005-0000-0000-00006F010000}"/>
    <cellStyle name="Explanatory Text 2" xfId="39" xr:uid="{00000000-0005-0000-0000-000070010000}"/>
    <cellStyle name="Good 2" xfId="40" xr:uid="{00000000-0005-0000-0000-000071010000}"/>
    <cellStyle name="Heading 1 2" xfId="41" xr:uid="{00000000-0005-0000-0000-000072010000}"/>
    <cellStyle name="Heading 2 2" xfId="42" xr:uid="{00000000-0005-0000-0000-000073010000}"/>
    <cellStyle name="Heading 3 2" xfId="43" xr:uid="{00000000-0005-0000-0000-000074010000}"/>
    <cellStyle name="Heading 4 2" xfId="44" xr:uid="{00000000-0005-0000-0000-000075010000}"/>
    <cellStyle name="Input 2" xfId="45" xr:uid="{00000000-0005-0000-0000-000076010000}"/>
    <cellStyle name="Linked Cell 2" xfId="46" xr:uid="{00000000-0005-0000-0000-000077010000}"/>
    <cellStyle name="Neutral 2" xfId="47" xr:uid="{00000000-0005-0000-0000-000078010000}"/>
    <cellStyle name="Normal" xfId="0" builtinId="0"/>
    <cellStyle name="Normal 10" xfId="393" xr:uid="{00000000-0005-0000-0000-00007A010000}"/>
    <cellStyle name="Normal 11" xfId="394" xr:uid="{00000000-0005-0000-0000-00007B010000}"/>
    <cellStyle name="Normal 12" xfId="395" xr:uid="{00000000-0005-0000-0000-00007C010000}"/>
    <cellStyle name="Normal 13" xfId="396" xr:uid="{00000000-0005-0000-0000-00007D010000}"/>
    <cellStyle name="Normal 13 2" xfId="788" xr:uid="{00000000-0005-0000-0000-00007E010000}"/>
    <cellStyle name="Normal 14" xfId="397" xr:uid="{00000000-0005-0000-0000-00007F010000}"/>
    <cellStyle name="Normal 2" xfId="2" xr:uid="{00000000-0005-0000-0000-000080010000}"/>
    <cellStyle name="Normal 2 2" xfId="56" xr:uid="{00000000-0005-0000-0000-000081010000}"/>
    <cellStyle name="Normal 2 2 2" xfId="398" xr:uid="{00000000-0005-0000-0000-000082010000}"/>
    <cellStyle name="Normal 2 2 3" xfId="399" xr:uid="{00000000-0005-0000-0000-000083010000}"/>
    <cellStyle name="Normal 2 2 4" xfId="400" xr:uid="{00000000-0005-0000-0000-000084010000}"/>
    <cellStyle name="Normal 2 2 4 2" xfId="401" xr:uid="{00000000-0005-0000-0000-000085010000}"/>
    <cellStyle name="Normal 2 2 4 2 2" xfId="402" xr:uid="{00000000-0005-0000-0000-000086010000}"/>
    <cellStyle name="Normal 2 2 4 3" xfId="403" xr:uid="{00000000-0005-0000-0000-000087010000}"/>
    <cellStyle name="Normal 2 2 4 4" xfId="404" xr:uid="{00000000-0005-0000-0000-000088010000}"/>
    <cellStyle name="Normal 2 2 4 5" xfId="405" xr:uid="{00000000-0005-0000-0000-000089010000}"/>
    <cellStyle name="Normal 2 2 4 5 2" xfId="406" xr:uid="{00000000-0005-0000-0000-00008A010000}"/>
    <cellStyle name="Normal 2 2 5" xfId="407" xr:uid="{00000000-0005-0000-0000-00008B010000}"/>
    <cellStyle name="Normal 2 2 6" xfId="408" xr:uid="{00000000-0005-0000-0000-00008C010000}"/>
    <cellStyle name="Normal 2 3" xfId="409" xr:uid="{00000000-0005-0000-0000-00008D010000}"/>
    <cellStyle name="Normal 2 4" xfId="410" xr:uid="{00000000-0005-0000-0000-00008E010000}"/>
    <cellStyle name="Normal 3" xfId="11" xr:uid="{00000000-0005-0000-0000-00008F010000}"/>
    <cellStyle name="Normal 3 2" xfId="55" xr:uid="{00000000-0005-0000-0000-000090010000}"/>
    <cellStyle name="Normal 3 2 2" xfId="411" xr:uid="{00000000-0005-0000-0000-000091010000}"/>
    <cellStyle name="Normal 3 3" xfId="412" xr:uid="{00000000-0005-0000-0000-000092010000}"/>
    <cellStyle name="Normal 3 3 2" xfId="413" xr:uid="{00000000-0005-0000-0000-000093010000}"/>
    <cellStyle name="Normal 3 4" xfId="414" xr:uid="{00000000-0005-0000-0000-000094010000}"/>
    <cellStyle name="Normal 4" xfId="415" xr:uid="{00000000-0005-0000-0000-000095010000}"/>
    <cellStyle name="Normal 4 2" xfId="416" xr:uid="{00000000-0005-0000-0000-000096010000}"/>
    <cellStyle name="Normal 4 3" xfId="417" xr:uid="{00000000-0005-0000-0000-000097010000}"/>
    <cellStyle name="Normal 4 3 2" xfId="418" xr:uid="{00000000-0005-0000-0000-000098010000}"/>
    <cellStyle name="Normal 4 3 3" xfId="419" xr:uid="{00000000-0005-0000-0000-000099010000}"/>
    <cellStyle name="Normal 5" xfId="420" xr:uid="{00000000-0005-0000-0000-00009A010000}"/>
    <cellStyle name="Normal 5 2" xfId="421" xr:uid="{00000000-0005-0000-0000-00009B010000}"/>
    <cellStyle name="Normal 5 2 2" xfId="422" xr:uid="{00000000-0005-0000-0000-00009C010000}"/>
    <cellStyle name="Normal 5 2 3" xfId="423" xr:uid="{00000000-0005-0000-0000-00009D010000}"/>
    <cellStyle name="Normal 5 2 3 2" xfId="424" xr:uid="{00000000-0005-0000-0000-00009E010000}"/>
    <cellStyle name="Normal 5 3" xfId="425" xr:uid="{00000000-0005-0000-0000-00009F010000}"/>
    <cellStyle name="Normal 5 4" xfId="426" xr:uid="{00000000-0005-0000-0000-0000A0010000}"/>
    <cellStyle name="Normal 6" xfId="427" xr:uid="{00000000-0005-0000-0000-0000A1010000}"/>
    <cellStyle name="Normal 6 2" xfId="428" xr:uid="{00000000-0005-0000-0000-0000A2010000}"/>
    <cellStyle name="Normal 7" xfId="429" xr:uid="{00000000-0005-0000-0000-0000A3010000}"/>
    <cellStyle name="Normal 7 2" xfId="430" xr:uid="{00000000-0005-0000-0000-0000A4010000}"/>
    <cellStyle name="Normal 7 3" xfId="431" xr:uid="{00000000-0005-0000-0000-0000A5010000}"/>
    <cellStyle name="Normal 7 3 2" xfId="432" xr:uid="{00000000-0005-0000-0000-0000A6010000}"/>
    <cellStyle name="Normal 8" xfId="433" xr:uid="{00000000-0005-0000-0000-0000A7010000}"/>
    <cellStyle name="Normal 9" xfId="434" xr:uid="{00000000-0005-0000-0000-0000A8010000}"/>
    <cellStyle name="Normal 9 2" xfId="435" xr:uid="{00000000-0005-0000-0000-0000A9010000}"/>
    <cellStyle name="Normal_Summary" xfId="787" xr:uid="{00000000-0005-0000-0000-0000AA010000}"/>
    <cellStyle name="Note 2" xfId="48" xr:uid="{00000000-0005-0000-0000-0000AB010000}"/>
    <cellStyle name="Output 2" xfId="49" xr:uid="{00000000-0005-0000-0000-0000AC010000}"/>
    <cellStyle name="Percent" xfId="785" builtinId="5"/>
    <cellStyle name="Percent 10" xfId="436" xr:uid="{00000000-0005-0000-0000-0000AE010000}"/>
    <cellStyle name="Percent 10 2" xfId="437" xr:uid="{00000000-0005-0000-0000-0000AF010000}"/>
    <cellStyle name="Percent 10 3" xfId="438" xr:uid="{00000000-0005-0000-0000-0000B0010000}"/>
    <cellStyle name="Percent 10 3 2" xfId="439" xr:uid="{00000000-0005-0000-0000-0000B1010000}"/>
    <cellStyle name="Percent 10 3 3" xfId="440" xr:uid="{00000000-0005-0000-0000-0000B2010000}"/>
    <cellStyle name="Percent 10 3 3 2" xfId="441" xr:uid="{00000000-0005-0000-0000-0000B3010000}"/>
    <cellStyle name="Percent 11" xfId="442" xr:uid="{00000000-0005-0000-0000-0000B4010000}"/>
    <cellStyle name="Percent 11 2" xfId="443" xr:uid="{00000000-0005-0000-0000-0000B5010000}"/>
    <cellStyle name="Percent 11 3" xfId="444" xr:uid="{00000000-0005-0000-0000-0000B6010000}"/>
    <cellStyle name="Percent 11 3 2" xfId="445" xr:uid="{00000000-0005-0000-0000-0000B7010000}"/>
    <cellStyle name="Percent 12" xfId="446" xr:uid="{00000000-0005-0000-0000-0000B8010000}"/>
    <cellStyle name="Percent 12 2" xfId="447" xr:uid="{00000000-0005-0000-0000-0000B9010000}"/>
    <cellStyle name="Percent 12 3" xfId="448" xr:uid="{00000000-0005-0000-0000-0000BA010000}"/>
    <cellStyle name="Percent 12 3 2" xfId="449" xr:uid="{00000000-0005-0000-0000-0000BB010000}"/>
    <cellStyle name="Percent 13" xfId="450" xr:uid="{00000000-0005-0000-0000-0000BC010000}"/>
    <cellStyle name="Percent 13 2" xfId="451" xr:uid="{00000000-0005-0000-0000-0000BD010000}"/>
    <cellStyle name="Percent 13 3" xfId="452" xr:uid="{00000000-0005-0000-0000-0000BE010000}"/>
    <cellStyle name="Percent 13 3 2" xfId="453" xr:uid="{00000000-0005-0000-0000-0000BF010000}"/>
    <cellStyle name="Percent 14" xfId="454" xr:uid="{00000000-0005-0000-0000-0000C0010000}"/>
    <cellStyle name="Percent 14 2" xfId="455" xr:uid="{00000000-0005-0000-0000-0000C1010000}"/>
    <cellStyle name="Percent 14 3" xfId="456" xr:uid="{00000000-0005-0000-0000-0000C2010000}"/>
    <cellStyle name="Percent 14 3 2" xfId="457" xr:uid="{00000000-0005-0000-0000-0000C3010000}"/>
    <cellStyle name="Percent 15" xfId="458" xr:uid="{00000000-0005-0000-0000-0000C4010000}"/>
    <cellStyle name="Percent 15 2" xfId="459" xr:uid="{00000000-0005-0000-0000-0000C5010000}"/>
    <cellStyle name="Percent 15 3" xfId="460" xr:uid="{00000000-0005-0000-0000-0000C6010000}"/>
    <cellStyle name="Percent 15 3 2" xfId="461" xr:uid="{00000000-0005-0000-0000-0000C7010000}"/>
    <cellStyle name="Percent 16" xfId="462" xr:uid="{00000000-0005-0000-0000-0000C8010000}"/>
    <cellStyle name="Percent 16 2" xfId="463" xr:uid="{00000000-0005-0000-0000-0000C9010000}"/>
    <cellStyle name="Percent 16 3" xfId="464" xr:uid="{00000000-0005-0000-0000-0000CA010000}"/>
    <cellStyle name="Percent 16 3 2" xfId="465" xr:uid="{00000000-0005-0000-0000-0000CB010000}"/>
    <cellStyle name="Percent 17" xfId="466" xr:uid="{00000000-0005-0000-0000-0000CC010000}"/>
    <cellStyle name="Percent 17 2" xfId="467" xr:uid="{00000000-0005-0000-0000-0000CD010000}"/>
    <cellStyle name="Percent 17 3" xfId="468" xr:uid="{00000000-0005-0000-0000-0000CE010000}"/>
    <cellStyle name="Percent 17 3 2" xfId="469" xr:uid="{00000000-0005-0000-0000-0000CF010000}"/>
    <cellStyle name="Percent 18" xfId="470" xr:uid="{00000000-0005-0000-0000-0000D0010000}"/>
    <cellStyle name="Percent 18 2" xfId="471" xr:uid="{00000000-0005-0000-0000-0000D1010000}"/>
    <cellStyle name="Percent 18 3" xfId="472" xr:uid="{00000000-0005-0000-0000-0000D2010000}"/>
    <cellStyle name="Percent 18 3 2" xfId="473" xr:uid="{00000000-0005-0000-0000-0000D3010000}"/>
    <cellStyle name="Percent 19" xfId="474" xr:uid="{00000000-0005-0000-0000-0000D4010000}"/>
    <cellStyle name="Percent 19 2" xfId="475" xr:uid="{00000000-0005-0000-0000-0000D5010000}"/>
    <cellStyle name="Percent 19 3" xfId="476" xr:uid="{00000000-0005-0000-0000-0000D6010000}"/>
    <cellStyle name="Percent 19 3 2" xfId="477" xr:uid="{00000000-0005-0000-0000-0000D7010000}"/>
    <cellStyle name="Percent 2" xfId="53" xr:uid="{00000000-0005-0000-0000-0000D8010000}"/>
    <cellStyle name="Percent 2 2" xfId="478" xr:uid="{00000000-0005-0000-0000-0000D9010000}"/>
    <cellStyle name="Percent 2 2 2" xfId="479" xr:uid="{00000000-0005-0000-0000-0000DA010000}"/>
    <cellStyle name="Percent 2 2 2 2" xfId="480" xr:uid="{00000000-0005-0000-0000-0000DB010000}"/>
    <cellStyle name="Percent 2 2 2 3" xfId="481" xr:uid="{00000000-0005-0000-0000-0000DC010000}"/>
    <cellStyle name="Percent 2 2 2 3 2" xfId="482" xr:uid="{00000000-0005-0000-0000-0000DD010000}"/>
    <cellStyle name="Percent 2 2 2 3 3" xfId="483" xr:uid="{00000000-0005-0000-0000-0000DE010000}"/>
    <cellStyle name="Percent 2 2 2 3 3 2" xfId="484" xr:uid="{00000000-0005-0000-0000-0000DF010000}"/>
    <cellStyle name="Percent 2 2 2 3 3 3" xfId="485" xr:uid="{00000000-0005-0000-0000-0000E0010000}"/>
    <cellStyle name="Percent 2 2 2 3 3 4" xfId="486" xr:uid="{00000000-0005-0000-0000-0000E1010000}"/>
    <cellStyle name="Percent 2 2 2 3 4" xfId="487" xr:uid="{00000000-0005-0000-0000-0000E2010000}"/>
    <cellStyle name="Percent 2 2 2 3 4 2" xfId="488" xr:uid="{00000000-0005-0000-0000-0000E3010000}"/>
    <cellStyle name="Percent 2 2 2 3 4 2 2" xfId="489" xr:uid="{00000000-0005-0000-0000-0000E4010000}"/>
    <cellStyle name="Percent 2 2 2 3 4 2 3" xfId="490" xr:uid="{00000000-0005-0000-0000-0000E5010000}"/>
    <cellStyle name="Percent 2 2 2 3 4 2 3 2" xfId="491" xr:uid="{00000000-0005-0000-0000-0000E6010000}"/>
    <cellStyle name="Percent 2 2 2 3 4 3" xfId="492" xr:uid="{00000000-0005-0000-0000-0000E7010000}"/>
    <cellStyle name="Percent 2 2 2 3 5" xfId="493" xr:uid="{00000000-0005-0000-0000-0000E8010000}"/>
    <cellStyle name="Percent 2 2 2 3 5 2" xfId="494" xr:uid="{00000000-0005-0000-0000-0000E9010000}"/>
    <cellStyle name="Percent 2 2 2 3 5 3" xfId="495" xr:uid="{00000000-0005-0000-0000-0000EA010000}"/>
    <cellStyle name="Percent 2 2 2 3 5 3 2" xfId="496" xr:uid="{00000000-0005-0000-0000-0000EB010000}"/>
    <cellStyle name="Percent 2 2 2 3 6" xfId="497" xr:uid="{00000000-0005-0000-0000-0000EC010000}"/>
    <cellStyle name="Percent 2 2 2 3 7" xfId="498" xr:uid="{00000000-0005-0000-0000-0000ED010000}"/>
    <cellStyle name="Percent 2 2 2 3 7 2" xfId="499" xr:uid="{00000000-0005-0000-0000-0000EE010000}"/>
    <cellStyle name="Percent 2 2 2 4" xfId="500" xr:uid="{00000000-0005-0000-0000-0000EF010000}"/>
    <cellStyle name="Percent 2 2 2 4 2" xfId="501" xr:uid="{00000000-0005-0000-0000-0000F0010000}"/>
    <cellStyle name="Percent 2 2 2 4 2 2" xfId="502" xr:uid="{00000000-0005-0000-0000-0000F1010000}"/>
    <cellStyle name="Percent 2 2 2 4 2 3" xfId="503" xr:uid="{00000000-0005-0000-0000-0000F2010000}"/>
    <cellStyle name="Percent 2 2 2 4 2 3 2" xfId="504" xr:uid="{00000000-0005-0000-0000-0000F3010000}"/>
    <cellStyle name="Percent 2 2 2 4 3" xfId="505" xr:uid="{00000000-0005-0000-0000-0000F4010000}"/>
    <cellStyle name="Percent 2 2 2 5" xfId="506" xr:uid="{00000000-0005-0000-0000-0000F5010000}"/>
    <cellStyle name="Percent 2 2 2 5 2" xfId="507" xr:uid="{00000000-0005-0000-0000-0000F6010000}"/>
    <cellStyle name="Percent 2 2 2 5 3" xfId="508" xr:uid="{00000000-0005-0000-0000-0000F7010000}"/>
    <cellStyle name="Percent 2 2 2 5 3 2" xfId="509" xr:uid="{00000000-0005-0000-0000-0000F8010000}"/>
    <cellStyle name="Percent 2 2 2 6" xfId="510" xr:uid="{00000000-0005-0000-0000-0000F9010000}"/>
    <cellStyle name="Percent 2 2 2 6 2" xfId="511" xr:uid="{00000000-0005-0000-0000-0000FA010000}"/>
    <cellStyle name="Percent 2 2 3" xfId="512" xr:uid="{00000000-0005-0000-0000-0000FB010000}"/>
    <cellStyle name="Percent 2 2 3 2" xfId="513" xr:uid="{00000000-0005-0000-0000-0000FC010000}"/>
    <cellStyle name="Percent 2 2 3 3" xfId="514" xr:uid="{00000000-0005-0000-0000-0000FD010000}"/>
    <cellStyle name="Percent 2 2 3 4" xfId="515" xr:uid="{00000000-0005-0000-0000-0000FE010000}"/>
    <cellStyle name="Percent 2 3" xfId="516" xr:uid="{00000000-0005-0000-0000-0000FF010000}"/>
    <cellStyle name="Percent 2 4" xfId="517" xr:uid="{00000000-0005-0000-0000-000000020000}"/>
    <cellStyle name="Percent 2 4 10" xfId="518" xr:uid="{00000000-0005-0000-0000-000001020000}"/>
    <cellStyle name="Percent 2 4 11" xfId="519" xr:uid="{00000000-0005-0000-0000-000002020000}"/>
    <cellStyle name="Percent 2 4 11 2" xfId="520" xr:uid="{00000000-0005-0000-0000-000003020000}"/>
    <cellStyle name="Percent 2 4 11 2 2" xfId="521" xr:uid="{00000000-0005-0000-0000-000004020000}"/>
    <cellStyle name="Percent 2 4 11 2 3" xfId="522" xr:uid="{00000000-0005-0000-0000-000005020000}"/>
    <cellStyle name="Percent 2 4 11 2 3 2" xfId="523" xr:uid="{00000000-0005-0000-0000-000006020000}"/>
    <cellStyle name="Percent 2 4 2" xfId="524" xr:uid="{00000000-0005-0000-0000-000007020000}"/>
    <cellStyle name="Percent 2 4 3" xfId="525" xr:uid="{00000000-0005-0000-0000-000008020000}"/>
    <cellStyle name="Percent 2 4 4" xfId="526" xr:uid="{00000000-0005-0000-0000-000009020000}"/>
    <cellStyle name="Percent 2 4 5" xfId="527" xr:uid="{00000000-0005-0000-0000-00000A020000}"/>
    <cellStyle name="Percent 2 4 5 2" xfId="528" xr:uid="{00000000-0005-0000-0000-00000B020000}"/>
    <cellStyle name="Percent 2 4 5 2 2" xfId="529" xr:uid="{00000000-0005-0000-0000-00000C020000}"/>
    <cellStyle name="Percent 2 4 5 2 3" xfId="530" xr:uid="{00000000-0005-0000-0000-00000D020000}"/>
    <cellStyle name="Percent 2 4 6" xfId="531" xr:uid="{00000000-0005-0000-0000-00000E020000}"/>
    <cellStyle name="Percent 2 4 7" xfId="532" xr:uid="{00000000-0005-0000-0000-00000F020000}"/>
    <cellStyle name="Percent 2 4 8" xfId="533" xr:uid="{00000000-0005-0000-0000-000010020000}"/>
    <cellStyle name="Percent 2 4 9" xfId="534" xr:uid="{00000000-0005-0000-0000-000011020000}"/>
    <cellStyle name="Percent 2 4 9 2" xfId="535" xr:uid="{00000000-0005-0000-0000-000012020000}"/>
    <cellStyle name="Percent 2 4 9 2 2" xfId="536" xr:uid="{00000000-0005-0000-0000-000013020000}"/>
    <cellStyle name="Percent 2 4 9 2 3" xfId="537" xr:uid="{00000000-0005-0000-0000-000014020000}"/>
    <cellStyle name="Percent 2 4 9 2 3 2" xfId="538" xr:uid="{00000000-0005-0000-0000-000015020000}"/>
    <cellStyle name="Percent 2 5" xfId="539" xr:uid="{00000000-0005-0000-0000-000016020000}"/>
    <cellStyle name="Percent 20" xfId="540" xr:uid="{00000000-0005-0000-0000-000017020000}"/>
    <cellStyle name="Percent 20 2" xfId="541" xr:uid="{00000000-0005-0000-0000-000018020000}"/>
    <cellStyle name="Percent 20 3" xfId="542" xr:uid="{00000000-0005-0000-0000-000019020000}"/>
    <cellStyle name="Percent 20 3 2" xfId="543" xr:uid="{00000000-0005-0000-0000-00001A020000}"/>
    <cellStyle name="Percent 21" xfId="544" xr:uid="{00000000-0005-0000-0000-00001B020000}"/>
    <cellStyle name="Percent 21 2" xfId="545" xr:uid="{00000000-0005-0000-0000-00001C020000}"/>
    <cellStyle name="Percent 21 3" xfId="546" xr:uid="{00000000-0005-0000-0000-00001D020000}"/>
    <cellStyle name="Percent 21 3 2" xfId="547" xr:uid="{00000000-0005-0000-0000-00001E020000}"/>
    <cellStyle name="Percent 22" xfId="548" xr:uid="{00000000-0005-0000-0000-00001F020000}"/>
    <cellStyle name="Percent 22 2" xfId="549" xr:uid="{00000000-0005-0000-0000-000020020000}"/>
    <cellStyle name="Percent 23" xfId="550" xr:uid="{00000000-0005-0000-0000-000021020000}"/>
    <cellStyle name="Percent 23 2" xfId="551" xr:uid="{00000000-0005-0000-0000-000022020000}"/>
    <cellStyle name="Percent 24" xfId="552" xr:uid="{00000000-0005-0000-0000-000023020000}"/>
    <cellStyle name="Percent 25" xfId="553" xr:uid="{00000000-0005-0000-0000-000024020000}"/>
    <cellStyle name="Percent 25 2" xfId="554" xr:uid="{00000000-0005-0000-0000-000025020000}"/>
    <cellStyle name="Percent 25 3" xfId="555" xr:uid="{00000000-0005-0000-0000-000026020000}"/>
    <cellStyle name="Percent 25 3 2" xfId="556" xr:uid="{00000000-0005-0000-0000-000027020000}"/>
    <cellStyle name="Percent 26" xfId="557" xr:uid="{00000000-0005-0000-0000-000028020000}"/>
    <cellStyle name="Percent 27" xfId="558" xr:uid="{00000000-0005-0000-0000-000029020000}"/>
    <cellStyle name="Percent 27 2" xfId="559" xr:uid="{00000000-0005-0000-0000-00002A020000}"/>
    <cellStyle name="Percent 3" xfId="560" xr:uid="{00000000-0005-0000-0000-00002B020000}"/>
    <cellStyle name="Percent 3 2" xfId="561" xr:uid="{00000000-0005-0000-0000-00002C020000}"/>
    <cellStyle name="Percent 3 2 2" xfId="562" xr:uid="{00000000-0005-0000-0000-00002D020000}"/>
    <cellStyle name="Percent 3 2 3" xfId="563" xr:uid="{00000000-0005-0000-0000-00002E020000}"/>
    <cellStyle name="Percent 3 2 3 2" xfId="564" xr:uid="{00000000-0005-0000-0000-00002F020000}"/>
    <cellStyle name="Percent 3 2 3 3" xfId="565" xr:uid="{00000000-0005-0000-0000-000030020000}"/>
    <cellStyle name="Percent 3 2 3 4" xfId="566" xr:uid="{00000000-0005-0000-0000-000031020000}"/>
    <cellStyle name="Percent 3 2 4" xfId="567" xr:uid="{00000000-0005-0000-0000-000032020000}"/>
    <cellStyle name="Percent 3 2 4 2" xfId="568" xr:uid="{00000000-0005-0000-0000-000033020000}"/>
    <cellStyle name="Percent 3 2 4 2 2" xfId="569" xr:uid="{00000000-0005-0000-0000-000034020000}"/>
    <cellStyle name="Percent 3 2 4 2 3" xfId="570" xr:uid="{00000000-0005-0000-0000-000035020000}"/>
    <cellStyle name="Percent 3 2 4 2 3 2" xfId="571" xr:uid="{00000000-0005-0000-0000-000036020000}"/>
    <cellStyle name="Percent 3 2 4 3" xfId="572" xr:uid="{00000000-0005-0000-0000-000037020000}"/>
    <cellStyle name="Percent 3 2 5" xfId="573" xr:uid="{00000000-0005-0000-0000-000038020000}"/>
    <cellStyle name="Percent 3 2 5 2" xfId="574" xr:uid="{00000000-0005-0000-0000-000039020000}"/>
    <cellStyle name="Percent 3 2 5 3" xfId="575" xr:uid="{00000000-0005-0000-0000-00003A020000}"/>
    <cellStyle name="Percent 3 2 5 3 2" xfId="576" xr:uid="{00000000-0005-0000-0000-00003B020000}"/>
    <cellStyle name="Percent 3 2 6" xfId="577" xr:uid="{00000000-0005-0000-0000-00003C020000}"/>
    <cellStyle name="Percent 3 2 7" xfId="578" xr:uid="{00000000-0005-0000-0000-00003D020000}"/>
    <cellStyle name="Percent 3 2 7 2" xfId="579" xr:uid="{00000000-0005-0000-0000-00003E020000}"/>
    <cellStyle name="Percent 3 3" xfId="580" xr:uid="{00000000-0005-0000-0000-00003F020000}"/>
    <cellStyle name="Percent 3 4" xfId="581" xr:uid="{00000000-0005-0000-0000-000040020000}"/>
    <cellStyle name="Percent 3 5" xfId="582" xr:uid="{00000000-0005-0000-0000-000041020000}"/>
    <cellStyle name="Percent 3 5 2" xfId="583" xr:uid="{00000000-0005-0000-0000-000042020000}"/>
    <cellStyle name="Percent 3 5 3" xfId="584" xr:uid="{00000000-0005-0000-0000-000043020000}"/>
    <cellStyle name="Percent 3 5 4" xfId="585" xr:uid="{00000000-0005-0000-0000-000044020000}"/>
    <cellStyle name="Percent 4" xfId="586" xr:uid="{00000000-0005-0000-0000-000045020000}"/>
    <cellStyle name="Percent 4 2" xfId="587" xr:uid="{00000000-0005-0000-0000-000046020000}"/>
    <cellStyle name="Percent 4 3" xfId="588" xr:uid="{00000000-0005-0000-0000-000047020000}"/>
    <cellStyle name="Percent 4 3 2" xfId="589" xr:uid="{00000000-0005-0000-0000-000048020000}"/>
    <cellStyle name="Percent 4 3 3" xfId="590" xr:uid="{00000000-0005-0000-0000-000049020000}"/>
    <cellStyle name="Percent 4 3 4" xfId="591" xr:uid="{00000000-0005-0000-0000-00004A020000}"/>
    <cellStyle name="Percent 4 4" xfId="592" xr:uid="{00000000-0005-0000-0000-00004B020000}"/>
    <cellStyle name="Percent 4 4 2" xfId="593" xr:uid="{00000000-0005-0000-0000-00004C020000}"/>
    <cellStyle name="Percent 4 4 2 2" xfId="594" xr:uid="{00000000-0005-0000-0000-00004D020000}"/>
    <cellStyle name="Percent 4 4 2 3" xfId="595" xr:uid="{00000000-0005-0000-0000-00004E020000}"/>
    <cellStyle name="Percent 4 4 2 3 2" xfId="596" xr:uid="{00000000-0005-0000-0000-00004F020000}"/>
    <cellStyle name="Percent 4 4 3" xfId="597" xr:uid="{00000000-0005-0000-0000-000050020000}"/>
    <cellStyle name="Percent 4 5" xfId="598" xr:uid="{00000000-0005-0000-0000-000051020000}"/>
    <cellStyle name="Percent 4 5 2" xfId="599" xr:uid="{00000000-0005-0000-0000-000052020000}"/>
    <cellStyle name="Percent 4 5 3" xfId="600" xr:uid="{00000000-0005-0000-0000-000053020000}"/>
    <cellStyle name="Percent 4 5 3 2" xfId="601" xr:uid="{00000000-0005-0000-0000-000054020000}"/>
    <cellStyle name="Percent 4 6" xfId="602" xr:uid="{00000000-0005-0000-0000-000055020000}"/>
    <cellStyle name="Percent 4 7" xfId="603" xr:uid="{00000000-0005-0000-0000-000056020000}"/>
    <cellStyle name="Percent 4 7 2" xfId="604" xr:uid="{00000000-0005-0000-0000-000057020000}"/>
    <cellStyle name="Percent 5" xfId="605" xr:uid="{00000000-0005-0000-0000-000058020000}"/>
    <cellStyle name="Percent 5 2" xfId="606" xr:uid="{00000000-0005-0000-0000-000059020000}"/>
    <cellStyle name="Percent 5 3" xfId="607" xr:uid="{00000000-0005-0000-0000-00005A020000}"/>
    <cellStyle name="Percent 5 3 2" xfId="608" xr:uid="{00000000-0005-0000-0000-00005B020000}"/>
    <cellStyle name="Percent 5 3 3" xfId="609" xr:uid="{00000000-0005-0000-0000-00005C020000}"/>
    <cellStyle name="Percent 5 4" xfId="610" xr:uid="{00000000-0005-0000-0000-00005D020000}"/>
    <cellStyle name="Percent 5 4 2" xfId="611" xr:uid="{00000000-0005-0000-0000-00005E020000}"/>
    <cellStyle name="Percent 5 4 3" xfId="612" xr:uid="{00000000-0005-0000-0000-00005F020000}"/>
    <cellStyle name="Percent 5 4 4" xfId="613" xr:uid="{00000000-0005-0000-0000-000060020000}"/>
    <cellStyle name="Percent 5 5" xfId="614" xr:uid="{00000000-0005-0000-0000-000061020000}"/>
    <cellStyle name="Percent 5 5 2" xfId="615" xr:uid="{00000000-0005-0000-0000-000062020000}"/>
    <cellStyle name="Percent 5 5 2 2" xfId="616" xr:uid="{00000000-0005-0000-0000-000063020000}"/>
    <cellStyle name="Percent 5 5 2 3" xfId="617" xr:uid="{00000000-0005-0000-0000-000064020000}"/>
    <cellStyle name="Percent 5 5 2 3 2" xfId="618" xr:uid="{00000000-0005-0000-0000-000065020000}"/>
    <cellStyle name="Percent 5 5 3" xfId="619" xr:uid="{00000000-0005-0000-0000-000066020000}"/>
    <cellStyle name="Percent 5 6" xfId="620" xr:uid="{00000000-0005-0000-0000-000067020000}"/>
    <cellStyle name="Percent 5 6 2" xfId="621" xr:uid="{00000000-0005-0000-0000-000068020000}"/>
    <cellStyle name="Percent 5 6 3" xfId="622" xr:uid="{00000000-0005-0000-0000-000069020000}"/>
    <cellStyle name="Percent 5 6 3 2" xfId="623" xr:uid="{00000000-0005-0000-0000-00006A020000}"/>
    <cellStyle name="Percent 5 7" xfId="624" xr:uid="{00000000-0005-0000-0000-00006B020000}"/>
    <cellStyle name="Percent 5 8" xfId="625" xr:uid="{00000000-0005-0000-0000-00006C020000}"/>
    <cellStyle name="Percent 5 8 2" xfId="626" xr:uid="{00000000-0005-0000-0000-00006D020000}"/>
    <cellStyle name="Percent 5 9" xfId="627" xr:uid="{00000000-0005-0000-0000-00006E020000}"/>
    <cellStyle name="Percent 5 9 2" xfId="628" xr:uid="{00000000-0005-0000-0000-00006F020000}"/>
    <cellStyle name="Percent 5 9 3" xfId="629" xr:uid="{00000000-0005-0000-0000-000070020000}"/>
    <cellStyle name="Percent 5 9 3 2" xfId="630" xr:uid="{00000000-0005-0000-0000-000071020000}"/>
    <cellStyle name="Percent 6" xfId="631" xr:uid="{00000000-0005-0000-0000-000072020000}"/>
    <cellStyle name="Percent 6 10" xfId="632" xr:uid="{00000000-0005-0000-0000-000073020000}"/>
    <cellStyle name="Percent 6 11" xfId="633" xr:uid="{00000000-0005-0000-0000-000074020000}"/>
    <cellStyle name="Percent 6 11 2" xfId="634" xr:uid="{00000000-0005-0000-0000-000075020000}"/>
    <cellStyle name="Percent 6 11 2 2" xfId="635" xr:uid="{00000000-0005-0000-0000-000076020000}"/>
    <cellStyle name="Percent 6 11 2 3" xfId="636" xr:uid="{00000000-0005-0000-0000-000077020000}"/>
    <cellStyle name="Percent 6 11 2 3 2" xfId="637" xr:uid="{00000000-0005-0000-0000-000078020000}"/>
    <cellStyle name="Percent 6 12" xfId="638" xr:uid="{00000000-0005-0000-0000-000079020000}"/>
    <cellStyle name="Percent 6 13" xfId="639" xr:uid="{00000000-0005-0000-0000-00007A020000}"/>
    <cellStyle name="Percent 6 13 2" xfId="640" xr:uid="{00000000-0005-0000-0000-00007B020000}"/>
    <cellStyle name="Percent 6 13 2 2" xfId="641" xr:uid="{00000000-0005-0000-0000-00007C020000}"/>
    <cellStyle name="Percent 6 13 2 3" xfId="642" xr:uid="{00000000-0005-0000-0000-00007D020000}"/>
    <cellStyle name="Percent 6 13 2 3 2" xfId="643" xr:uid="{00000000-0005-0000-0000-00007E020000}"/>
    <cellStyle name="Percent 6 14" xfId="644" xr:uid="{00000000-0005-0000-0000-00007F020000}"/>
    <cellStyle name="Percent 6 14 2" xfId="645" xr:uid="{00000000-0005-0000-0000-000080020000}"/>
    <cellStyle name="Percent 6 15" xfId="646" xr:uid="{00000000-0005-0000-0000-000081020000}"/>
    <cellStyle name="Percent 6 16" xfId="647" xr:uid="{00000000-0005-0000-0000-000082020000}"/>
    <cellStyle name="Percent 6 16 2" xfId="648" xr:uid="{00000000-0005-0000-0000-000083020000}"/>
    <cellStyle name="Percent 6 2" xfId="649" xr:uid="{00000000-0005-0000-0000-000084020000}"/>
    <cellStyle name="Percent 6 3" xfId="650" xr:uid="{00000000-0005-0000-0000-000085020000}"/>
    <cellStyle name="Percent 6 4" xfId="651" xr:uid="{00000000-0005-0000-0000-000086020000}"/>
    <cellStyle name="Percent 6 5" xfId="652" xr:uid="{00000000-0005-0000-0000-000087020000}"/>
    <cellStyle name="Percent 6 6" xfId="653" xr:uid="{00000000-0005-0000-0000-000088020000}"/>
    <cellStyle name="Percent 6 7" xfId="654" xr:uid="{00000000-0005-0000-0000-000089020000}"/>
    <cellStyle name="Percent 6 7 2" xfId="655" xr:uid="{00000000-0005-0000-0000-00008A020000}"/>
    <cellStyle name="Percent 6 7 2 2" xfId="656" xr:uid="{00000000-0005-0000-0000-00008B020000}"/>
    <cellStyle name="Percent 6 7 2 3" xfId="657" xr:uid="{00000000-0005-0000-0000-00008C020000}"/>
    <cellStyle name="Percent 6 8" xfId="658" xr:uid="{00000000-0005-0000-0000-00008D020000}"/>
    <cellStyle name="Percent 6 9" xfId="659" xr:uid="{00000000-0005-0000-0000-00008E020000}"/>
    <cellStyle name="Percent 7" xfId="660" xr:uid="{00000000-0005-0000-0000-00008F020000}"/>
    <cellStyle name="Percent 7 10" xfId="661" xr:uid="{00000000-0005-0000-0000-000090020000}"/>
    <cellStyle name="Percent 7 11" xfId="662" xr:uid="{00000000-0005-0000-0000-000091020000}"/>
    <cellStyle name="Percent 7 11 2" xfId="663" xr:uid="{00000000-0005-0000-0000-000092020000}"/>
    <cellStyle name="Percent 7 11 2 2" xfId="664" xr:uid="{00000000-0005-0000-0000-000093020000}"/>
    <cellStyle name="Percent 7 11 2 3" xfId="665" xr:uid="{00000000-0005-0000-0000-000094020000}"/>
    <cellStyle name="Percent 7 11 2 3 2" xfId="666" xr:uid="{00000000-0005-0000-0000-000095020000}"/>
    <cellStyle name="Percent 7 12" xfId="667" xr:uid="{00000000-0005-0000-0000-000096020000}"/>
    <cellStyle name="Percent 7 12 2" xfId="668" xr:uid="{00000000-0005-0000-0000-000097020000}"/>
    <cellStyle name="Percent 7 13" xfId="669" xr:uid="{00000000-0005-0000-0000-000098020000}"/>
    <cellStyle name="Percent 7 14" xfId="670" xr:uid="{00000000-0005-0000-0000-000099020000}"/>
    <cellStyle name="Percent 7 14 2" xfId="671" xr:uid="{00000000-0005-0000-0000-00009A020000}"/>
    <cellStyle name="Percent 7 2" xfId="672" xr:uid="{00000000-0005-0000-0000-00009B020000}"/>
    <cellStyle name="Percent 7 3" xfId="673" xr:uid="{00000000-0005-0000-0000-00009C020000}"/>
    <cellStyle name="Percent 7 4" xfId="674" xr:uid="{00000000-0005-0000-0000-00009D020000}"/>
    <cellStyle name="Percent 7 5" xfId="675" xr:uid="{00000000-0005-0000-0000-00009E020000}"/>
    <cellStyle name="Percent 7 5 2" xfId="676" xr:uid="{00000000-0005-0000-0000-00009F020000}"/>
    <cellStyle name="Percent 7 5 2 2" xfId="677" xr:uid="{00000000-0005-0000-0000-0000A0020000}"/>
    <cellStyle name="Percent 7 5 2 3" xfId="678" xr:uid="{00000000-0005-0000-0000-0000A1020000}"/>
    <cellStyle name="Percent 7 5 2 4" xfId="679" xr:uid="{00000000-0005-0000-0000-0000A2020000}"/>
    <cellStyle name="Percent 7 6" xfId="680" xr:uid="{00000000-0005-0000-0000-0000A3020000}"/>
    <cellStyle name="Percent 7 7" xfId="681" xr:uid="{00000000-0005-0000-0000-0000A4020000}"/>
    <cellStyle name="Percent 7 8" xfId="682" xr:uid="{00000000-0005-0000-0000-0000A5020000}"/>
    <cellStyle name="Percent 7 9" xfId="683" xr:uid="{00000000-0005-0000-0000-0000A6020000}"/>
    <cellStyle name="Percent 7 9 2" xfId="684" xr:uid="{00000000-0005-0000-0000-0000A7020000}"/>
    <cellStyle name="Percent 7 9 2 2" xfId="685" xr:uid="{00000000-0005-0000-0000-0000A8020000}"/>
    <cellStyle name="Percent 7 9 2 3" xfId="686" xr:uid="{00000000-0005-0000-0000-0000A9020000}"/>
    <cellStyle name="Percent 7 9 2 3 2" xfId="687" xr:uid="{00000000-0005-0000-0000-0000AA020000}"/>
    <cellStyle name="Percent 8" xfId="688" xr:uid="{00000000-0005-0000-0000-0000AB020000}"/>
    <cellStyle name="Percent 8 2" xfId="689" xr:uid="{00000000-0005-0000-0000-0000AC020000}"/>
    <cellStyle name="Percent 8 3" xfId="690" xr:uid="{00000000-0005-0000-0000-0000AD020000}"/>
    <cellStyle name="Percent 8 4" xfId="691" xr:uid="{00000000-0005-0000-0000-0000AE020000}"/>
    <cellStyle name="Percent 8 5" xfId="692" xr:uid="{00000000-0005-0000-0000-0000AF020000}"/>
    <cellStyle name="Percent 9" xfId="693" xr:uid="{00000000-0005-0000-0000-0000B0020000}"/>
    <cellStyle name="Percent 9 2" xfId="694" xr:uid="{00000000-0005-0000-0000-0000B1020000}"/>
    <cellStyle name="Percent 9 3" xfId="695" xr:uid="{00000000-0005-0000-0000-0000B2020000}"/>
    <cellStyle name="Percent 9 4" xfId="696" xr:uid="{00000000-0005-0000-0000-0000B3020000}"/>
    <cellStyle name="Percent 9 5" xfId="697" xr:uid="{00000000-0005-0000-0000-0000B4020000}"/>
    <cellStyle name="PSChar" xfId="5" xr:uid="{00000000-0005-0000-0000-0000B5020000}"/>
    <cellStyle name="PSChar 2" xfId="698" xr:uid="{00000000-0005-0000-0000-0000B6020000}"/>
    <cellStyle name="PSChar 2 2" xfId="699" xr:uid="{00000000-0005-0000-0000-0000B7020000}"/>
    <cellStyle name="PSChar 2 2 2" xfId="700" xr:uid="{00000000-0005-0000-0000-0000B8020000}"/>
    <cellStyle name="PSChar 3" xfId="701" xr:uid="{00000000-0005-0000-0000-0000B9020000}"/>
    <cellStyle name="PSChar 3 2" xfId="702" xr:uid="{00000000-0005-0000-0000-0000BA020000}"/>
    <cellStyle name="PSChar 4" xfId="703" xr:uid="{00000000-0005-0000-0000-0000BB020000}"/>
    <cellStyle name="PSChar 4 2" xfId="704" xr:uid="{00000000-0005-0000-0000-0000BC020000}"/>
    <cellStyle name="PSChar 5" xfId="705" xr:uid="{00000000-0005-0000-0000-0000BD020000}"/>
    <cellStyle name="PSChar 5 2" xfId="706" xr:uid="{00000000-0005-0000-0000-0000BE020000}"/>
    <cellStyle name="PSChar 5 3" xfId="707" xr:uid="{00000000-0005-0000-0000-0000BF020000}"/>
    <cellStyle name="PSChar 5 3 2" xfId="708" xr:uid="{00000000-0005-0000-0000-0000C0020000}"/>
    <cellStyle name="PSChar 6" xfId="709" xr:uid="{00000000-0005-0000-0000-0000C1020000}"/>
    <cellStyle name="PSChar 6 2" xfId="710" xr:uid="{00000000-0005-0000-0000-0000C2020000}"/>
    <cellStyle name="PSChar 7" xfId="711" xr:uid="{00000000-0005-0000-0000-0000C3020000}"/>
    <cellStyle name="PSChar 8" xfId="712" xr:uid="{00000000-0005-0000-0000-0000C4020000}"/>
    <cellStyle name="PSChar 9" xfId="713" xr:uid="{00000000-0005-0000-0000-0000C5020000}"/>
    <cellStyle name="PSDate" xfId="6" xr:uid="{00000000-0005-0000-0000-0000C6020000}"/>
    <cellStyle name="PSDate 2" xfId="714" xr:uid="{00000000-0005-0000-0000-0000C7020000}"/>
    <cellStyle name="PSDate 2 2" xfId="715" xr:uid="{00000000-0005-0000-0000-0000C8020000}"/>
    <cellStyle name="PSDate 2 2 2" xfId="716" xr:uid="{00000000-0005-0000-0000-0000C9020000}"/>
    <cellStyle name="PSDate 3" xfId="717" xr:uid="{00000000-0005-0000-0000-0000CA020000}"/>
    <cellStyle name="PSDate 3 2" xfId="718" xr:uid="{00000000-0005-0000-0000-0000CB020000}"/>
    <cellStyle name="PSDate 4" xfId="719" xr:uid="{00000000-0005-0000-0000-0000CC020000}"/>
    <cellStyle name="PSDate 4 2" xfId="720" xr:uid="{00000000-0005-0000-0000-0000CD020000}"/>
    <cellStyle name="PSDate 5" xfId="721" xr:uid="{00000000-0005-0000-0000-0000CE020000}"/>
    <cellStyle name="PSDate 5 2" xfId="722" xr:uid="{00000000-0005-0000-0000-0000CF020000}"/>
    <cellStyle name="PSDate 5 3" xfId="723" xr:uid="{00000000-0005-0000-0000-0000D0020000}"/>
    <cellStyle name="PSDate 5 3 2" xfId="724" xr:uid="{00000000-0005-0000-0000-0000D1020000}"/>
    <cellStyle name="PSDate 6" xfId="725" xr:uid="{00000000-0005-0000-0000-0000D2020000}"/>
    <cellStyle name="PSDate 6 2" xfId="726" xr:uid="{00000000-0005-0000-0000-0000D3020000}"/>
    <cellStyle name="PSDate 7" xfId="727" xr:uid="{00000000-0005-0000-0000-0000D4020000}"/>
    <cellStyle name="PSDate 8" xfId="728" xr:uid="{00000000-0005-0000-0000-0000D5020000}"/>
    <cellStyle name="PSDec" xfId="7" xr:uid="{00000000-0005-0000-0000-0000D6020000}"/>
    <cellStyle name="PSDec 2" xfId="729" xr:uid="{00000000-0005-0000-0000-0000D7020000}"/>
    <cellStyle name="PSDec 2 2" xfId="730" xr:uid="{00000000-0005-0000-0000-0000D8020000}"/>
    <cellStyle name="PSDec 2 2 2" xfId="731" xr:uid="{00000000-0005-0000-0000-0000D9020000}"/>
    <cellStyle name="PSDec 3" xfId="732" xr:uid="{00000000-0005-0000-0000-0000DA020000}"/>
    <cellStyle name="PSDec 3 2" xfId="733" xr:uid="{00000000-0005-0000-0000-0000DB020000}"/>
    <cellStyle name="PSDec 4" xfId="734" xr:uid="{00000000-0005-0000-0000-0000DC020000}"/>
    <cellStyle name="PSDec 4 2" xfId="735" xr:uid="{00000000-0005-0000-0000-0000DD020000}"/>
    <cellStyle name="PSDec 5" xfId="736" xr:uid="{00000000-0005-0000-0000-0000DE020000}"/>
    <cellStyle name="PSDec 5 2" xfId="737" xr:uid="{00000000-0005-0000-0000-0000DF020000}"/>
    <cellStyle name="PSDec 5 3" xfId="738" xr:uid="{00000000-0005-0000-0000-0000E0020000}"/>
    <cellStyle name="PSDec 5 3 2" xfId="739" xr:uid="{00000000-0005-0000-0000-0000E1020000}"/>
    <cellStyle name="PSDec 6" xfId="740" xr:uid="{00000000-0005-0000-0000-0000E2020000}"/>
    <cellStyle name="PSDec 6 2" xfId="741" xr:uid="{00000000-0005-0000-0000-0000E3020000}"/>
    <cellStyle name="PSDec 7" xfId="742" xr:uid="{00000000-0005-0000-0000-0000E4020000}"/>
    <cellStyle name="PSDec 8" xfId="743" xr:uid="{00000000-0005-0000-0000-0000E5020000}"/>
    <cellStyle name="PSDec 9" xfId="744" xr:uid="{00000000-0005-0000-0000-0000E6020000}"/>
    <cellStyle name="PSHeading" xfId="8" xr:uid="{00000000-0005-0000-0000-0000E7020000}"/>
    <cellStyle name="PSHeading 2" xfId="745" xr:uid="{00000000-0005-0000-0000-0000E8020000}"/>
    <cellStyle name="PSHeading 2 2" xfId="746" xr:uid="{00000000-0005-0000-0000-0000E9020000}"/>
    <cellStyle name="PSHeading 2 2 2" xfId="747" xr:uid="{00000000-0005-0000-0000-0000EA020000}"/>
    <cellStyle name="PSHeading 2 2 3" xfId="748" xr:uid="{00000000-0005-0000-0000-0000EB020000}"/>
    <cellStyle name="PSHeading 3" xfId="749" xr:uid="{00000000-0005-0000-0000-0000EC020000}"/>
    <cellStyle name="PSHeading 3 2" xfId="750" xr:uid="{00000000-0005-0000-0000-0000ED020000}"/>
    <cellStyle name="PSHeading 3 3" xfId="751" xr:uid="{00000000-0005-0000-0000-0000EE020000}"/>
    <cellStyle name="PSHeading 3 3 2" xfId="752" xr:uid="{00000000-0005-0000-0000-0000EF020000}"/>
    <cellStyle name="PSHeading 4" xfId="753" xr:uid="{00000000-0005-0000-0000-0000F0020000}"/>
    <cellStyle name="PSHeading 5" xfId="754" xr:uid="{00000000-0005-0000-0000-0000F1020000}"/>
    <cellStyle name="PSInt" xfId="9" xr:uid="{00000000-0005-0000-0000-0000F2020000}"/>
    <cellStyle name="PSInt 2" xfId="755" xr:uid="{00000000-0005-0000-0000-0000F3020000}"/>
    <cellStyle name="PSInt 2 2" xfId="756" xr:uid="{00000000-0005-0000-0000-0000F4020000}"/>
    <cellStyle name="PSInt 2 2 2" xfId="757" xr:uid="{00000000-0005-0000-0000-0000F5020000}"/>
    <cellStyle name="PSInt 3" xfId="758" xr:uid="{00000000-0005-0000-0000-0000F6020000}"/>
    <cellStyle name="PSInt 3 2" xfId="759" xr:uid="{00000000-0005-0000-0000-0000F7020000}"/>
    <cellStyle name="PSInt 4" xfId="760" xr:uid="{00000000-0005-0000-0000-0000F8020000}"/>
    <cellStyle name="PSInt 4 2" xfId="761" xr:uid="{00000000-0005-0000-0000-0000F9020000}"/>
    <cellStyle name="PSInt 5" xfId="762" xr:uid="{00000000-0005-0000-0000-0000FA020000}"/>
    <cellStyle name="PSInt 5 2" xfId="763" xr:uid="{00000000-0005-0000-0000-0000FB020000}"/>
    <cellStyle name="PSInt 5 3" xfId="764" xr:uid="{00000000-0005-0000-0000-0000FC020000}"/>
    <cellStyle name="PSInt 5 3 2" xfId="765" xr:uid="{00000000-0005-0000-0000-0000FD020000}"/>
    <cellStyle name="PSInt 6" xfId="766" xr:uid="{00000000-0005-0000-0000-0000FE020000}"/>
    <cellStyle name="PSInt 6 2" xfId="767" xr:uid="{00000000-0005-0000-0000-0000FF020000}"/>
    <cellStyle name="PSInt 7" xfId="768" xr:uid="{00000000-0005-0000-0000-000000030000}"/>
    <cellStyle name="PSInt 8" xfId="769" xr:uid="{00000000-0005-0000-0000-000001030000}"/>
    <cellStyle name="PSInt 9" xfId="770" xr:uid="{00000000-0005-0000-0000-000002030000}"/>
    <cellStyle name="PSSpacer" xfId="10" xr:uid="{00000000-0005-0000-0000-000003030000}"/>
    <cellStyle name="PSSpacer 2" xfId="771" xr:uid="{00000000-0005-0000-0000-000004030000}"/>
    <cellStyle name="PSSpacer 2 2" xfId="772" xr:uid="{00000000-0005-0000-0000-000005030000}"/>
    <cellStyle name="PSSpacer 3" xfId="773" xr:uid="{00000000-0005-0000-0000-000006030000}"/>
    <cellStyle name="PSSpacer 3 2" xfId="774" xr:uid="{00000000-0005-0000-0000-000007030000}"/>
    <cellStyle name="PSSpacer 4" xfId="775" xr:uid="{00000000-0005-0000-0000-000008030000}"/>
    <cellStyle name="PSSpacer 4 2" xfId="776" xr:uid="{00000000-0005-0000-0000-000009030000}"/>
    <cellStyle name="PSSpacer 5" xfId="777" xr:uid="{00000000-0005-0000-0000-00000A030000}"/>
    <cellStyle name="PSSpacer 5 2" xfId="778" xr:uid="{00000000-0005-0000-0000-00000B030000}"/>
    <cellStyle name="PSSpacer 5 3" xfId="779" xr:uid="{00000000-0005-0000-0000-00000C030000}"/>
    <cellStyle name="PSSpacer 5 3 2" xfId="780" xr:uid="{00000000-0005-0000-0000-00000D030000}"/>
    <cellStyle name="PSSpacer 6" xfId="781" xr:uid="{00000000-0005-0000-0000-00000E030000}"/>
    <cellStyle name="PSSpacer 6 2" xfId="782" xr:uid="{00000000-0005-0000-0000-00000F030000}"/>
    <cellStyle name="PSSpacer 7" xfId="783" xr:uid="{00000000-0005-0000-0000-000010030000}"/>
    <cellStyle name="PSSpacer 8" xfId="784" xr:uid="{00000000-0005-0000-0000-000011030000}"/>
    <cellStyle name="Title 2" xfId="50" xr:uid="{00000000-0005-0000-0000-000012030000}"/>
    <cellStyle name="Total 2" xfId="51" xr:uid="{00000000-0005-0000-0000-000013030000}"/>
    <cellStyle name="Warning Text 2" xfId="52" xr:uid="{00000000-0005-0000-0000-000014030000}"/>
  </cellStyles>
  <dxfs count="0"/>
  <tableStyles count="0" defaultTableStyle="TableStyleMedium2" defaultPivotStyle="PivotStyleLight16"/>
  <colors>
    <mruColors>
      <color rgb="FFCCFFFF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</xdr:row>
      <xdr:rowOff>114299</xdr:rowOff>
    </xdr:from>
    <xdr:to>
      <xdr:col>11</xdr:col>
      <xdr:colOff>302986</xdr:colOff>
      <xdr:row>21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A7F9AF-E31E-3FA5-D9A1-778FC8B51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276224"/>
          <a:ext cx="7684861" cy="31813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24</xdr:row>
      <xdr:rowOff>133351</xdr:rowOff>
    </xdr:from>
    <xdr:to>
      <xdr:col>13</xdr:col>
      <xdr:colOff>247650</xdr:colOff>
      <xdr:row>48</xdr:row>
      <xdr:rowOff>40957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3BC4C4-6106-270A-53B4-9E5359356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4019551"/>
          <a:ext cx="9334500" cy="379380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48</xdr:row>
      <xdr:rowOff>67447</xdr:rowOff>
    </xdr:from>
    <xdr:to>
      <xdr:col>13</xdr:col>
      <xdr:colOff>356182</xdr:colOff>
      <xdr:row>65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9560B6-A458-3948-1D45-6506C262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6" y="7839847"/>
          <a:ext cx="9452556" cy="2694803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15</xdr:row>
      <xdr:rowOff>123825</xdr:rowOff>
    </xdr:from>
    <xdr:to>
      <xdr:col>9</xdr:col>
      <xdr:colOff>428625</xdr:colOff>
      <xdr:row>22</xdr:row>
      <xdr:rowOff>66675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EE1775B-005F-5705-519B-A536B6AFECB2}"/>
            </a:ext>
          </a:extLst>
        </xdr:cNvPr>
        <xdr:cNvCxnSpPr/>
      </xdr:nvCxnSpPr>
      <xdr:spPr>
        <a:xfrm flipV="1">
          <a:off x="5505450" y="2552700"/>
          <a:ext cx="2219325" cy="1076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nal\Regulatory%20Services\2014%20Compliance%20Plan\Workpapers\Mitchell%20Environmental%20Expenses,%201-1-14%20--%209-30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VY"/>
      <sheetName val="FGD"/>
      <sheetName val="Non-FGD"/>
      <sheetName val="Depreciation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ADFIT"/>
      <sheetName val="S2"/>
      <sheetName val="AN"/>
      <sheetName val="NOx"/>
      <sheetName val="Cash Working Capital"/>
      <sheetName val="Property Tax"/>
      <sheetName val="Summary"/>
      <sheetName val="Precipitator O &amp; 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B2">
            <v>2.1464E-2</v>
          </cell>
        </row>
        <row r="4">
          <cell r="B4">
            <v>0.6</v>
          </cell>
        </row>
        <row r="6">
          <cell r="B6">
            <v>0.05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showGridLines="0" tabSelected="1" zoomScaleNormal="100" workbookViewId="0">
      <pane xSplit="6" ySplit="7" topLeftCell="G8" activePane="bottomRight" state="frozen"/>
      <selection activeCell="L26" sqref="L26"/>
      <selection pane="topRight" activeCell="L26" sqref="L26"/>
      <selection pane="bottomLeft" activeCell="L26" sqref="L26"/>
      <selection pane="bottomRight" activeCell="I49" sqref="I49"/>
    </sheetView>
  </sheetViews>
  <sheetFormatPr defaultColWidth="9.140625" defaultRowHeight="12.75"/>
  <cols>
    <col min="1" max="1" width="6.28515625" style="17" customWidth="1"/>
    <col min="2" max="2" width="28.42578125" style="16" customWidth="1"/>
    <col min="3" max="3" width="15.7109375" style="16" customWidth="1"/>
    <col min="4" max="4" width="16.28515625" style="16" customWidth="1"/>
    <col min="5" max="5" width="13.140625" style="16" customWidth="1"/>
    <col min="6" max="6" width="7.7109375" style="16" customWidth="1"/>
    <col min="7" max="7" width="14.85546875" style="16" bestFit="1" customWidth="1"/>
    <col min="8" max="8" width="3.42578125" style="54" customWidth="1"/>
    <col min="9" max="9" width="43.5703125" style="16" bestFit="1" customWidth="1"/>
    <col min="10" max="10" width="13.28515625" style="16" bestFit="1" customWidth="1"/>
    <col min="11" max="11" width="10" style="16" bestFit="1" customWidth="1"/>
    <col min="12" max="12" width="9.140625" style="16"/>
    <col min="13" max="13" width="12.5703125" style="16" bestFit="1" customWidth="1"/>
    <col min="14" max="14" width="9.140625" style="16"/>
    <col min="15" max="15" width="10" style="16" bestFit="1" customWidth="1"/>
    <col min="16" max="16384" width="9.140625" style="16"/>
  </cols>
  <sheetData>
    <row r="1" spans="1:15" ht="6" customHeight="1"/>
    <row r="2" spans="1:15" ht="12.75" customHeight="1">
      <c r="A2" s="344" t="s">
        <v>0</v>
      </c>
      <c r="B2" s="344"/>
      <c r="C2" s="344"/>
      <c r="D2" s="344"/>
      <c r="E2" s="344"/>
      <c r="F2" s="344"/>
      <c r="G2" s="344"/>
    </row>
    <row r="3" spans="1:15">
      <c r="A3" s="345" t="s">
        <v>330</v>
      </c>
      <c r="B3" s="345"/>
      <c r="C3" s="345"/>
      <c r="D3" s="345"/>
      <c r="E3" s="345"/>
      <c r="F3" s="345"/>
      <c r="G3" s="345"/>
    </row>
    <row r="4" spans="1:15">
      <c r="A4" s="345" t="s">
        <v>316</v>
      </c>
      <c r="B4" s="345"/>
      <c r="C4" s="345"/>
      <c r="D4" s="345"/>
      <c r="E4" s="345"/>
      <c r="F4" s="345"/>
      <c r="G4" s="345"/>
    </row>
    <row r="5" spans="1:15">
      <c r="A5" s="51"/>
      <c r="B5" s="51"/>
      <c r="C5" s="51"/>
      <c r="D5" s="51"/>
      <c r="E5" s="51"/>
      <c r="F5" s="51"/>
      <c r="I5" s="17"/>
    </row>
    <row r="6" spans="1:15">
      <c r="A6" s="20" t="s">
        <v>96</v>
      </c>
      <c r="B6" s="20" t="s">
        <v>2</v>
      </c>
      <c r="G6" s="218"/>
    </row>
    <row r="7" spans="1:15" ht="5.25" customHeight="1">
      <c r="A7" s="20"/>
      <c r="B7" s="20"/>
    </row>
    <row r="8" spans="1:15" s="50" customFormat="1">
      <c r="A8" s="21">
        <v>-1</v>
      </c>
      <c r="B8" s="343" t="s">
        <v>276</v>
      </c>
      <c r="C8" s="343"/>
      <c r="D8" s="343"/>
      <c r="E8" s="343"/>
      <c r="F8" s="343"/>
      <c r="G8" s="52">
        <f>'PPA Form 3.0'!G25+'PPA Form 3.0'!G26</f>
        <v>6171838.1099999994</v>
      </c>
      <c r="H8" s="237"/>
      <c r="I8" s="236"/>
    </row>
    <row r="9" spans="1:15" s="50" customFormat="1">
      <c r="A9" s="205"/>
      <c r="B9" s="204"/>
      <c r="C9" s="204"/>
      <c r="D9" s="204"/>
      <c r="E9" s="204"/>
      <c r="F9" s="204"/>
      <c r="H9" s="237"/>
      <c r="I9" s="53"/>
    </row>
    <row r="10" spans="1:15" s="50" customFormat="1" ht="14.45" customHeight="1">
      <c r="A10" s="21">
        <f>A8-1</f>
        <v>-2</v>
      </c>
      <c r="B10" s="54" t="s">
        <v>160</v>
      </c>
      <c r="C10" s="204"/>
      <c r="D10" s="204"/>
      <c r="E10" s="204"/>
      <c r="F10" s="204"/>
      <c r="G10" s="52">
        <f>'PPA Form 3.0'!G27</f>
        <v>3698817.0483870963</v>
      </c>
      <c r="H10" s="237"/>
      <c r="I10" s="236"/>
    </row>
    <row r="11" spans="1:15" s="50" customFormat="1">
      <c r="A11" s="205"/>
      <c r="B11" s="204"/>
      <c r="C11" s="204"/>
      <c r="D11" s="204"/>
      <c r="E11" s="204"/>
      <c r="F11" s="204"/>
      <c r="H11" s="237"/>
      <c r="I11" s="53"/>
    </row>
    <row r="12" spans="1:15" s="50" customFormat="1">
      <c r="A12" s="21">
        <f>A10-1</f>
        <v>-3</v>
      </c>
      <c r="B12" s="54" t="s">
        <v>260</v>
      </c>
      <c r="C12" s="204"/>
      <c r="D12" s="204"/>
      <c r="E12" s="204"/>
      <c r="F12" s="204"/>
      <c r="G12" s="52">
        <f>+G8-G10</f>
        <v>2473021.0616129031</v>
      </c>
      <c r="H12" s="237"/>
      <c r="I12" s="53"/>
      <c r="O12" s="53"/>
    </row>
    <row r="13" spans="1:15" s="50" customFormat="1">
      <c r="A13" s="21"/>
      <c r="B13" s="54"/>
      <c r="C13" s="204"/>
      <c r="D13" s="204"/>
      <c r="E13" s="204"/>
      <c r="F13" s="204"/>
      <c r="H13" s="237"/>
      <c r="I13" s="53"/>
    </row>
    <row r="14" spans="1:15" s="50" customFormat="1">
      <c r="A14" s="21">
        <f>A12-1</f>
        <v>-4</v>
      </c>
      <c r="B14" s="54" t="s">
        <v>312</v>
      </c>
      <c r="C14" s="228"/>
      <c r="D14" s="228"/>
      <c r="E14" s="228"/>
      <c r="F14" s="228"/>
      <c r="G14" s="52">
        <f>'Tariff CC'!F23</f>
        <v>-488174.43</v>
      </c>
      <c r="H14" s="237" t="s">
        <v>175</v>
      </c>
      <c r="I14" s="53"/>
    </row>
    <row r="15" spans="1:15" s="50" customFormat="1">
      <c r="A15" s="21"/>
      <c r="B15" s="54"/>
      <c r="C15" s="204"/>
      <c r="D15" s="204"/>
      <c r="E15" s="204"/>
      <c r="F15" s="204"/>
      <c r="H15" s="237"/>
      <c r="I15" s="53"/>
    </row>
    <row r="16" spans="1:15" s="50" customFormat="1">
      <c r="A16" s="203" t="s">
        <v>286</v>
      </c>
      <c r="B16" s="54" t="s">
        <v>315</v>
      </c>
      <c r="C16" s="54"/>
      <c r="D16" s="204"/>
      <c r="E16" s="204"/>
      <c r="F16" s="204"/>
      <c r="G16" s="52">
        <v>0</v>
      </c>
      <c r="H16" s="237" t="s">
        <v>57</v>
      </c>
      <c r="I16" s="53"/>
    </row>
    <row r="17" spans="1:11" s="50" customFormat="1">
      <c r="A17" s="21"/>
      <c r="B17" s="54"/>
      <c r="C17" s="204"/>
      <c r="D17" s="204"/>
      <c r="E17" s="204"/>
      <c r="F17" s="204"/>
      <c r="G17" s="52"/>
      <c r="H17" s="237"/>
      <c r="I17" s="53"/>
    </row>
    <row r="18" spans="1:11" s="50" customFormat="1">
      <c r="A18" s="203" t="s">
        <v>287</v>
      </c>
      <c r="B18" s="54" t="s">
        <v>315</v>
      </c>
      <c r="C18" s="204"/>
      <c r="D18" s="204"/>
      <c r="E18" s="204"/>
      <c r="F18" s="204"/>
      <c r="G18" s="52">
        <v>0</v>
      </c>
      <c r="H18" s="237" t="s">
        <v>57</v>
      </c>
      <c r="I18" s="53"/>
    </row>
    <row r="19" spans="1:11" s="50" customFormat="1">
      <c r="A19" s="205"/>
      <c r="B19" s="204"/>
      <c r="C19" s="204"/>
      <c r="D19" s="204"/>
      <c r="E19" s="204"/>
      <c r="F19" s="204"/>
      <c r="H19" s="237"/>
      <c r="I19" s="53"/>
    </row>
    <row r="20" spans="1:11" s="50" customFormat="1">
      <c r="A20" s="21">
        <v>-6</v>
      </c>
      <c r="B20" s="50" t="s">
        <v>171</v>
      </c>
      <c r="G20" s="53">
        <f>G12+G14+G16+G18</f>
        <v>1984846.6316129032</v>
      </c>
      <c r="H20" s="237"/>
      <c r="I20" s="53"/>
    </row>
    <row r="21" spans="1:11" s="50" customFormat="1">
      <c r="A21" s="21"/>
      <c r="H21" s="54"/>
    </row>
    <row r="22" spans="1:11" s="50" customFormat="1">
      <c r="A22" s="21">
        <f>A20-1</f>
        <v>-7</v>
      </c>
      <c r="B22" s="54" t="s">
        <v>307</v>
      </c>
      <c r="C22" s="204"/>
      <c r="D22" s="204"/>
      <c r="E22" s="204"/>
      <c r="F22" s="204"/>
      <c r="G22" s="52">
        <f>G20*0.005523</f>
        <v>10962.307946398065</v>
      </c>
      <c r="H22" s="54"/>
    </row>
    <row r="23" spans="1:11" s="50" customFormat="1">
      <c r="A23" s="21"/>
      <c r="B23" s="54"/>
      <c r="C23" s="204"/>
      <c r="D23" s="204"/>
      <c r="E23" s="204"/>
      <c r="F23" s="204"/>
      <c r="H23" s="54"/>
    </row>
    <row r="24" spans="1:11">
      <c r="A24" s="21">
        <f>A22-1</f>
        <v>-8</v>
      </c>
      <c r="B24" s="54" t="s">
        <v>315</v>
      </c>
      <c r="C24" s="226"/>
      <c r="D24" s="226"/>
      <c r="E24" s="226"/>
      <c r="F24" s="204"/>
      <c r="G24" s="52">
        <v>0</v>
      </c>
      <c r="H24" s="237" t="s">
        <v>57</v>
      </c>
    </row>
    <row r="25" spans="1:11" s="50" customFormat="1">
      <c r="A25" s="21"/>
      <c r="B25" s="54"/>
      <c r="C25" s="226"/>
      <c r="D25" s="226"/>
      <c r="E25" s="226"/>
      <c r="F25" s="204"/>
      <c r="G25" s="52"/>
      <c r="H25" s="54"/>
    </row>
    <row r="26" spans="1:11" s="50" customFormat="1">
      <c r="A26" s="21">
        <f>A24-1</f>
        <v>-9</v>
      </c>
      <c r="B26" s="54" t="s">
        <v>315</v>
      </c>
      <c r="C26" s="226"/>
      <c r="D26" s="226"/>
      <c r="E26" s="226"/>
      <c r="F26" s="204"/>
      <c r="G26" s="52">
        <v>0</v>
      </c>
      <c r="H26" s="237" t="s">
        <v>57</v>
      </c>
    </row>
    <row r="27" spans="1:11" s="50" customFormat="1">
      <c r="A27" s="21"/>
      <c r="B27" s="54"/>
      <c r="C27" s="204"/>
      <c r="D27" s="204"/>
      <c r="E27" s="204"/>
      <c r="F27" s="204"/>
      <c r="H27" s="54"/>
    </row>
    <row r="28" spans="1:11" s="50" customFormat="1">
      <c r="A28" s="21">
        <f>A26-1</f>
        <v>-10</v>
      </c>
      <c r="B28" s="54" t="s">
        <v>168</v>
      </c>
      <c r="C28" s="204"/>
      <c r="D28" s="204"/>
      <c r="E28" s="204"/>
      <c r="F28" s="204"/>
      <c r="G28" s="52">
        <f>'Rockport Savings-Offset'!E31*(5/12)</f>
        <v>7518956.5869073328</v>
      </c>
      <c r="H28" s="54"/>
      <c r="I28" s="233"/>
    </row>
    <row r="29" spans="1:11" s="50" customFormat="1">
      <c r="A29" s="21"/>
      <c r="B29" s="54"/>
      <c r="C29" s="204"/>
      <c r="D29" s="204"/>
      <c r="E29" s="204"/>
      <c r="F29" s="204"/>
      <c r="G29" s="123"/>
      <c r="H29" s="54"/>
    </row>
    <row r="30" spans="1:11" s="50" customFormat="1">
      <c r="A30" s="21">
        <f>A28-1</f>
        <v>-11</v>
      </c>
      <c r="B30" s="54" t="s">
        <v>169</v>
      </c>
      <c r="C30" s="204"/>
      <c r="D30" s="204"/>
      <c r="E30" s="204"/>
      <c r="F30" s="204"/>
      <c r="G30" s="52">
        <f>G20+G22+G24+G26+G28</f>
        <v>9514765.5264666341</v>
      </c>
      <c r="H30" s="238"/>
      <c r="I30" s="123"/>
      <c r="K30" s="53"/>
    </row>
    <row r="31" spans="1:11" s="50" customFormat="1" ht="14.1" customHeight="1">
      <c r="A31" s="21"/>
      <c r="B31" s="54"/>
      <c r="C31" s="204"/>
      <c r="D31" s="204"/>
      <c r="E31" s="204"/>
      <c r="F31" s="204"/>
      <c r="H31" s="54"/>
    </row>
    <row r="32" spans="1:11" s="50" customFormat="1">
      <c r="A32" s="21">
        <f>A30-1</f>
        <v>-12</v>
      </c>
      <c r="B32" s="16" t="s">
        <v>278</v>
      </c>
      <c r="C32" s="16"/>
      <c r="D32" s="16"/>
      <c r="E32" s="16"/>
      <c r="F32" s="16"/>
      <c r="G32" s="52">
        <f>'PPA Form 4.0'!F20</f>
        <v>17696007.549245849</v>
      </c>
      <c r="H32" s="54"/>
    </row>
    <row r="33" spans="1:14" s="50" customFormat="1">
      <c r="A33" s="21" t="s">
        <v>44</v>
      </c>
      <c r="B33" s="16"/>
      <c r="C33" s="16"/>
      <c r="D33" s="16"/>
      <c r="E33" s="16"/>
      <c r="F33" s="16"/>
      <c r="G33" s="16"/>
      <c r="H33" s="54"/>
      <c r="J33" s="55"/>
    </row>
    <row r="34" spans="1:14" s="50" customFormat="1" ht="13.9" customHeight="1">
      <c r="A34" s="21">
        <f>A32-1</f>
        <v>-13</v>
      </c>
      <c r="B34" s="16" t="s">
        <v>103</v>
      </c>
      <c r="C34" s="16"/>
      <c r="D34" s="16"/>
      <c r="E34" s="16"/>
      <c r="F34" s="16"/>
      <c r="G34" s="52">
        <f>'Ln 13'!D13</f>
        <v>18141772.129219137</v>
      </c>
      <c r="H34" s="54"/>
      <c r="I34" s="55"/>
      <c r="J34" s="55"/>
      <c r="K34" s="55"/>
      <c r="L34" s="55"/>
      <c r="M34" s="55"/>
      <c r="N34" s="55"/>
    </row>
    <row r="35" spans="1:14" s="50" customFormat="1">
      <c r="A35" s="21"/>
      <c r="B35" s="16"/>
      <c r="C35" s="16"/>
      <c r="D35" s="16"/>
      <c r="E35" s="16"/>
      <c r="F35" s="16"/>
      <c r="G35" s="16"/>
      <c r="H35" s="54"/>
      <c r="I35" s="55"/>
      <c r="J35" s="55"/>
      <c r="K35" s="55"/>
      <c r="L35" s="55"/>
      <c r="M35" s="55"/>
      <c r="N35" s="55"/>
    </row>
    <row r="36" spans="1:14" s="50" customFormat="1" ht="13.5" thickBot="1">
      <c r="A36" s="21">
        <f>A34-1</f>
        <v>-14</v>
      </c>
      <c r="B36" s="16" t="s">
        <v>238</v>
      </c>
      <c r="C36" s="16"/>
      <c r="D36" s="16"/>
      <c r="E36" s="16"/>
      <c r="F36" s="16"/>
      <c r="G36" s="212">
        <f>G30-G32+G34</f>
        <v>9960530.106439922</v>
      </c>
      <c r="H36" s="54"/>
      <c r="I36" s="55"/>
      <c r="J36" s="55"/>
      <c r="K36" s="55"/>
      <c r="L36" s="55"/>
      <c r="M36" s="55"/>
      <c r="N36" s="55"/>
    </row>
    <row r="37" spans="1:14" ht="13.5" thickTop="1">
      <c r="G37" s="50"/>
      <c r="I37" s="55"/>
      <c r="J37" s="55"/>
      <c r="K37" s="55"/>
      <c r="L37" s="55"/>
      <c r="M37" s="55"/>
      <c r="N37" s="55"/>
    </row>
    <row r="38" spans="1:14">
      <c r="G38" s="50"/>
      <c r="I38" s="55"/>
      <c r="J38" s="55"/>
      <c r="K38" s="55"/>
      <c r="L38" s="55"/>
      <c r="M38" s="55"/>
      <c r="N38" s="55"/>
    </row>
    <row r="39" spans="1:14">
      <c r="E39" s="15" t="s">
        <v>8</v>
      </c>
      <c r="F39" s="16" t="s">
        <v>3</v>
      </c>
      <c r="G39" s="213">
        <f>G36*'PPA Form 3.0'!C35</f>
        <v>5926456.8148635756</v>
      </c>
      <c r="I39" s="55"/>
      <c r="J39" s="55"/>
      <c r="K39" s="55"/>
      <c r="L39" s="55"/>
      <c r="M39" s="55"/>
      <c r="N39" s="55"/>
    </row>
    <row r="40" spans="1:14">
      <c r="D40" s="56"/>
      <c r="E40" s="15" t="s">
        <v>9</v>
      </c>
      <c r="F40" s="16" t="s">
        <v>5</v>
      </c>
      <c r="G40" s="214">
        <f>G36*'PPA Form 3.0'!C36</f>
        <v>4034073.2915763464</v>
      </c>
    </row>
    <row r="41" spans="1:14">
      <c r="G41" s="23">
        <f t="shared" ref="G41" si="0">SUM(G39:G40)</f>
        <v>9960530.106439922</v>
      </c>
    </row>
    <row r="42" spans="1:14">
      <c r="D42" s="58"/>
      <c r="E42" s="56"/>
    </row>
    <row r="43" spans="1:14">
      <c r="D43" s="58"/>
      <c r="E43" s="56"/>
    </row>
    <row r="44" spans="1:14">
      <c r="E44" s="58"/>
    </row>
    <row r="45" spans="1:14">
      <c r="A45" s="235" t="s">
        <v>325</v>
      </c>
      <c r="B45" s="207" t="s">
        <v>334</v>
      </c>
      <c r="C45" s="207"/>
      <c r="D45" s="208"/>
      <c r="E45" s="208"/>
      <c r="F45" s="207"/>
      <c r="G45" s="207"/>
      <c r="H45" s="239"/>
    </row>
    <row r="46" spans="1:14">
      <c r="A46" s="21">
        <f>A32</f>
        <v>-12</v>
      </c>
      <c r="B46" s="54" t="s">
        <v>277</v>
      </c>
      <c r="H46" s="239"/>
    </row>
    <row r="47" spans="1:14">
      <c r="A47" s="21" t="s">
        <v>44</v>
      </c>
      <c r="H47" s="239"/>
    </row>
    <row r="48" spans="1:14">
      <c r="A48" s="21">
        <f>A46-1</f>
        <v>-13</v>
      </c>
      <c r="B48" s="16" t="s">
        <v>322</v>
      </c>
      <c r="G48" s="211">
        <v>0</v>
      </c>
      <c r="H48" s="239"/>
    </row>
    <row r="49" spans="1:8">
      <c r="A49" s="21"/>
      <c r="G49" s="52"/>
      <c r="H49" s="239"/>
    </row>
    <row r="50" spans="1:8" ht="13.5" thickBot="1">
      <c r="A50" s="21">
        <f>A48-1</f>
        <v>-14</v>
      </c>
      <c r="B50" s="16" t="s">
        <v>238</v>
      </c>
      <c r="G50" s="212">
        <f>G30-G46+G48</f>
        <v>9514765.5264666341</v>
      </c>
      <c r="H50" s="239"/>
    </row>
    <row r="51" spans="1:8" ht="13.5" thickTop="1">
      <c r="D51" s="59"/>
      <c r="F51" s="60"/>
      <c r="H51" s="239"/>
    </row>
    <row r="52" spans="1:8">
      <c r="D52" s="59"/>
      <c r="F52" s="60"/>
      <c r="H52" s="239"/>
    </row>
    <row r="53" spans="1:8">
      <c r="D53" s="59"/>
      <c r="F53" s="60"/>
      <c r="H53" s="239"/>
    </row>
    <row r="54" spans="1:8">
      <c r="D54" s="59"/>
      <c r="E54" s="15" t="s">
        <v>8</v>
      </c>
      <c r="F54" s="16" t="s">
        <v>3</v>
      </c>
      <c r="G54" s="213">
        <f>G50*'PPA Form 3.0'!$C$35</f>
        <v>5661229.5122424578</v>
      </c>
      <c r="H54" s="239"/>
    </row>
    <row r="55" spans="1:8">
      <c r="D55" s="59"/>
      <c r="E55" s="15" t="s">
        <v>9</v>
      </c>
      <c r="F55" s="16" t="s">
        <v>5</v>
      </c>
      <c r="G55" s="214">
        <f>G50*'PPA Form 3.0'!$C$36</f>
        <v>3853536.0142241758</v>
      </c>
      <c r="H55" s="239"/>
    </row>
    <row r="56" spans="1:8">
      <c r="D56" s="59"/>
      <c r="G56" s="23">
        <f t="shared" ref="G56" si="1">SUM(G54:G55)</f>
        <v>9514765.5264666341</v>
      </c>
      <c r="H56" s="239"/>
    </row>
    <row r="57" spans="1:8">
      <c r="A57" s="206"/>
      <c r="B57" s="207"/>
      <c r="C57" s="207"/>
      <c r="D57" s="209"/>
      <c r="E57" s="207"/>
      <c r="F57" s="210"/>
      <c r="G57" s="207"/>
      <c r="H57" s="239"/>
    </row>
    <row r="58" spans="1:8">
      <c r="D58" s="59"/>
      <c r="F58" s="60"/>
    </row>
    <row r="59" spans="1:8">
      <c r="A59" s="17" t="s">
        <v>175</v>
      </c>
      <c r="B59" s="16" t="s">
        <v>323</v>
      </c>
    </row>
    <row r="60" spans="1:8">
      <c r="A60" s="17" t="s">
        <v>57</v>
      </c>
      <c r="B60" s="16" t="s">
        <v>324</v>
      </c>
    </row>
    <row r="61" spans="1:8">
      <c r="A61" s="17" t="s">
        <v>325</v>
      </c>
      <c r="B61" s="16" t="s">
        <v>326</v>
      </c>
    </row>
  </sheetData>
  <customSheetViews>
    <customSheetView guid="{0BD4BC22-E7A2-4140-8384-5A5B3339DEED}" fitToPage="1" printArea="1">
      <selection activeCell="G35" sqref="G35"/>
      <pageMargins left="0.7" right="0.7" top="0.75" bottom="0.75" header="0.3" footer="0.3"/>
      <printOptions horizontalCentered="1"/>
      <pageSetup scale="14" orientation="portrait" r:id="rId1"/>
    </customSheetView>
    <customSheetView guid="{567BA860-460A-4CE0-A629-0EA7372574F1}" showPageBreaks="1" fitToPage="1" printArea="1">
      <selection activeCell="B21" sqref="B21"/>
      <pageMargins left="0.7" right="0.7" top="0.75" bottom="0.75" header="0.3" footer="0.3"/>
      <printOptions horizontalCentered="1"/>
      <pageSetup scale="71" orientation="portrait" r:id="rId2"/>
    </customSheetView>
    <customSheetView guid="{4EF176FC-448F-4BD8-8859-C810312E84E7}" fitToPage="1">
      <selection activeCell="G39" sqref="G39"/>
      <pageMargins left="0.7" right="0.7" top="0.75" bottom="0.75" header="0.3" footer="0.3"/>
      <printOptions horizontalCentered="1"/>
      <pageSetup scale="71" orientation="portrait" r:id="rId3"/>
    </customSheetView>
  </customSheetViews>
  <mergeCells count="4">
    <mergeCell ref="B8:F8"/>
    <mergeCell ref="A2:G2"/>
    <mergeCell ref="A3:G3"/>
    <mergeCell ref="A4:G4"/>
  </mergeCells>
  <printOptions horizontalCentered="1"/>
  <pageMargins left="0.7" right="0.7" top="0.75" bottom="0.75" header="0.3" footer="0.3"/>
  <pageSetup scale="51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4C87-755D-491A-88AD-09E138E3D6EA}">
  <sheetPr>
    <pageSetUpPr fitToPage="1"/>
  </sheetPr>
  <dimension ref="A1:AD133"/>
  <sheetViews>
    <sheetView showGridLines="0" zoomScale="80" zoomScaleNormal="80" workbookViewId="0">
      <pane xSplit="2" ySplit="9" topLeftCell="C17" activePane="bottomRight" state="frozen"/>
      <selection pane="topRight" activeCell="C1" sqref="C1"/>
      <selection pane="bottomLeft" activeCell="A10" sqref="A10"/>
      <selection pane="bottomRight" activeCell="T129" sqref="T129"/>
    </sheetView>
  </sheetViews>
  <sheetFormatPr defaultRowHeight="15" outlineLevelRow="1"/>
  <cols>
    <col min="1" max="1" width="4.7109375" style="73" bestFit="1" customWidth="1"/>
    <col min="2" max="2" width="24.28515625" style="73" bestFit="1" customWidth="1"/>
    <col min="3" max="3" width="15.140625" style="73" bestFit="1" customWidth="1"/>
    <col min="4" max="4" width="12.28515625" style="73" bestFit="1" customWidth="1"/>
    <col min="5" max="5" width="15.140625" style="73" bestFit="1" customWidth="1"/>
    <col min="6" max="6" width="14.42578125" style="75" bestFit="1" customWidth="1"/>
    <col min="7" max="7" width="10.7109375" style="75" bestFit="1" customWidth="1"/>
    <col min="8" max="8" width="13" style="75" bestFit="1" customWidth="1"/>
    <col min="9" max="9" width="12.42578125" style="75" bestFit="1" customWidth="1"/>
    <col min="10" max="11" width="14.5703125" style="73" bestFit="1" customWidth="1"/>
    <col min="12" max="12" width="12.28515625" style="73" bestFit="1" customWidth="1"/>
    <col min="13" max="13" width="9.85546875" style="73" bestFit="1" customWidth="1"/>
    <col min="14" max="15" width="9.140625" style="73"/>
    <col min="16" max="16" width="23.28515625" style="73" bestFit="1" customWidth="1"/>
    <col min="17" max="19" width="9.140625" style="73"/>
    <col min="20" max="20" width="21.85546875" style="73" bestFit="1" customWidth="1"/>
    <col min="21" max="22" width="9.140625" style="73"/>
    <col min="23" max="23" width="14.28515625" style="73" bestFit="1" customWidth="1"/>
    <col min="24" max="29" width="9.140625" style="73"/>
    <col min="30" max="30" width="14.28515625" style="73" bestFit="1" customWidth="1"/>
    <col min="31" max="256" width="9.140625" style="73"/>
    <col min="257" max="257" width="4.7109375" style="73" bestFit="1" customWidth="1"/>
    <col min="258" max="258" width="24.28515625" style="73" bestFit="1" customWidth="1"/>
    <col min="259" max="259" width="11.85546875" style="73" bestFit="1" customWidth="1"/>
    <col min="260" max="260" width="12.28515625" style="73" bestFit="1" customWidth="1"/>
    <col min="261" max="261" width="12.5703125" style="73" bestFit="1" customWidth="1"/>
    <col min="262" max="262" width="12.28515625" style="73" bestFit="1" customWidth="1"/>
    <col min="263" max="263" width="10.7109375" style="73" bestFit="1" customWidth="1"/>
    <col min="264" max="265" width="12.42578125" style="73" bestFit="1" customWidth="1"/>
    <col min="266" max="266" width="12.140625" style="73" customWidth="1"/>
    <col min="267" max="267" width="14.5703125" style="73" bestFit="1" customWidth="1"/>
    <col min="268" max="268" width="11.85546875" style="73" bestFit="1" customWidth="1"/>
    <col min="269" max="269" width="9.85546875" style="73" bestFit="1" customWidth="1"/>
    <col min="270" max="512" width="9.140625" style="73"/>
    <col min="513" max="513" width="4.7109375" style="73" bestFit="1" customWidth="1"/>
    <col min="514" max="514" width="24.28515625" style="73" bestFit="1" customWidth="1"/>
    <col min="515" max="515" width="11.85546875" style="73" bestFit="1" customWidth="1"/>
    <col min="516" max="516" width="12.28515625" style="73" bestFit="1" customWidth="1"/>
    <col min="517" max="517" width="12.5703125" style="73" bestFit="1" customWidth="1"/>
    <col min="518" max="518" width="12.28515625" style="73" bestFit="1" customWidth="1"/>
    <col min="519" max="519" width="10.7109375" style="73" bestFit="1" customWidth="1"/>
    <col min="520" max="521" width="12.42578125" style="73" bestFit="1" customWidth="1"/>
    <col min="522" max="522" width="12.140625" style="73" customWidth="1"/>
    <col min="523" max="523" width="14.5703125" style="73" bestFit="1" customWidth="1"/>
    <col min="524" max="524" width="11.85546875" style="73" bestFit="1" customWidth="1"/>
    <col min="525" max="525" width="9.85546875" style="73" bestFit="1" customWidth="1"/>
    <col min="526" max="768" width="9.140625" style="73"/>
    <col min="769" max="769" width="4.7109375" style="73" bestFit="1" customWidth="1"/>
    <col min="770" max="770" width="24.28515625" style="73" bestFit="1" customWidth="1"/>
    <col min="771" max="771" width="11.85546875" style="73" bestFit="1" customWidth="1"/>
    <col min="772" max="772" width="12.28515625" style="73" bestFit="1" customWidth="1"/>
    <col min="773" max="773" width="12.5703125" style="73" bestFit="1" customWidth="1"/>
    <col min="774" max="774" width="12.28515625" style="73" bestFit="1" customWidth="1"/>
    <col min="775" max="775" width="10.7109375" style="73" bestFit="1" customWidth="1"/>
    <col min="776" max="777" width="12.42578125" style="73" bestFit="1" customWidth="1"/>
    <col min="778" max="778" width="12.140625" style="73" customWidth="1"/>
    <col min="779" max="779" width="14.5703125" style="73" bestFit="1" customWidth="1"/>
    <col min="780" max="780" width="11.85546875" style="73" bestFit="1" customWidth="1"/>
    <col min="781" max="781" width="9.85546875" style="73" bestFit="1" customWidth="1"/>
    <col min="782" max="1024" width="9.140625" style="73"/>
    <col min="1025" max="1025" width="4.7109375" style="73" bestFit="1" customWidth="1"/>
    <col min="1026" max="1026" width="24.28515625" style="73" bestFit="1" customWidth="1"/>
    <col min="1027" max="1027" width="11.85546875" style="73" bestFit="1" customWidth="1"/>
    <col min="1028" max="1028" width="12.28515625" style="73" bestFit="1" customWidth="1"/>
    <col min="1029" max="1029" width="12.5703125" style="73" bestFit="1" customWidth="1"/>
    <col min="1030" max="1030" width="12.28515625" style="73" bestFit="1" customWidth="1"/>
    <col min="1031" max="1031" width="10.7109375" style="73" bestFit="1" customWidth="1"/>
    <col min="1032" max="1033" width="12.42578125" style="73" bestFit="1" customWidth="1"/>
    <col min="1034" max="1034" width="12.140625" style="73" customWidth="1"/>
    <col min="1035" max="1035" width="14.5703125" style="73" bestFit="1" customWidth="1"/>
    <col min="1036" max="1036" width="11.85546875" style="73" bestFit="1" customWidth="1"/>
    <col min="1037" max="1037" width="9.85546875" style="73" bestFit="1" customWidth="1"/>
    <col min="1038" max="1280" width="9.140625" style="73"/>
    <col min="1281" max="1281" width="4.7109375" style="73" bestFit="1" customWidth="1"/>
    <col min="1282" max="1282" width="24.28515625" style="73" bestFit="1" customWidth="1"/>
    <col min="1283" max="1283" width="11.85546875" style="73" bestFit="1" customWidth="1"/>
    <col min="1284" max="1284" width="12.28515625" style="73" bestFit="1" customWidth="1"/>
    <col min="1285" max="1285" width="12.5703125" style="73" bestFit="1" customWidth="1"/>
    <col min="1286" max="1286" width="12.28515625" style="73" bestFit="1" customWidth="1"/>
    <col min="1287" max="1287" width="10.7109375" style="73" bestFit="1" customWidth="1"/>
    <col min="1288" max="1289" width="12.42578125" style="73" bestFit="1" customWidth="1"/>
    <col min="1290" max="1290" width="12.140625" style="73" customWidth="1"/>
    <col min="1291" max="1291" width="14.5703125" style="73" bestFit="1" customWidth="1"/>
    <col min="1292" max="1292" width="11.85546875" style="73" bestFit="1" customWidth="1"/>
    <col min="1293" max="1293" width="9.85546875" style="73" bestFit="1" customWidth="1"/>
    <col min="1294" max="1536" width="9.140625" style="73"/>
    <col min="1537" max="1537" width="4.7109375" style="73" bestFit="1" customWidth="1"/>
    <col min="1538" max="1538" width="24.28515625" style="73" bestFit="1" customWidth="1"/>
    <col min="1539" max="1539" width="11.85546875" style="73" bestFit="1" customWidth="1"/>
    <col min="1540" max="1540" width="12.28515625" style="73" bestFit="1" customWidth="1"/>
    <col min="1541" max="1541" width="12.5703125" style="73" bestFit="1" customWidth="1"/>
    <col min="1542" max="1542" width="12.28515625" style="73" bestFit="1" customWidth="1"/>
    <col min="1543" max="1543" width="10.7109375" style="73" bestFit="1" customWidth="1"/>
    <col min="1544" max="1545" width="12.42578125" style="73" bestFit="1" customWidth="1"/>
    <col min="1546" max="1546" width="12.140625" style="73" customWidth="1"/>
    <col min="1547" max="1547" width="14.5703125" style="73" bestFit="1" customWidth="1"/>
    <col min="1548" max="1548" width="11.85546875" style="73" bestFit="1" customWidth="1"/>
    <col min="1549" max="1549" width="9.85546875" style="73" bestFit="1" customWidth="1"/>
    <col min="1550" max="1792" width="9.140625" style="73"/>
    <col min="1793" max="1793" width="4.7109375" style="73" bestFit="1" customWidth="1"/>
    <col min="1794" max="1794" width="24.28515625" style="73" bestFit="1" customWidth="1"/>
    <col min="1795" max="1795" width="11.85546875" style="73" bestFit="1" customWidth="1"/>
    <col min="1796" max="1796" width="12.28515625" style="73" bestFit="1" customWidth="1"/>
    <col min="1797" max="1797" width="12.5703125" style="73" bestFit="1" customWidth="1"/>
    <col min="1798" max="1798" width="12.28515625" style="73" bestFit="1" customWidth="1"/>
    <col min="1799" max="1799" width="10.7109375" style="73" bestFit="1" customWidth="1"/>
    <col min="1800" max="1801" width="12.42578125" style="73" bestFit="1" customWidth="1"/>
    <col min="1802" max="1802" width="12.140625" style="73" customWidth="1"/>
    <col min="1803" max="1803" width="14.5703125" style="73" bestFit="1" customWidth="1"/>
    <col min="1804" max="1804" width="11.85546875" style="73" bestFit="1" customWidth="1"/>
    <col min="1805" max="1805" width="9.85546875" style="73" bestFit="1" customWidth="1"/>
    <col min="1806" max="2048" width="9.140625" style="73"/>
    <col min="2049" max="2049" width="4.7109375" style="73" bestFit="1" customWidth="1"/>
    <col min="2050" max="2050" width="24.28515625" style="73" bestFit="1" customWidth="1"/>
    <col min="2051" max="2051" width="11.85546875" style="73" bestFit="1" customWidth="1"/>
    <col min="2052" max="2052" width="12.28515625" style="73" bestFit="1" customWidth="1"/>
    <col min="2053" max="2053" width="12.5703125" style="73" bestFit="1" customWidth="1"/>
    <col min="2054" max="2054" width="12.28515625" style="73" bestFit="1" customWidth="1"/>
    <col min="2055" max="2055" width="10.7109375" style="73" bestFit="1" customWidth="1"/>
    <col min="2056" max="2057" width="12.42578125" style="73" bestFit="1" customWidth="1"/>
    <col min="2058" max="2058" width="12.140625" style="73" customWidth="1"/>
    <col min="2059" max="2059" width="14.5703125" style="73" bestFit="1" customWidth="1"/>
    <col min="2060" max="2060" width="11.85546875" style="73" bestFit="1" customWidth="1"/>
    <col min="2061" max="2061" width="9.85546875" style="73" bestFit="1" customWidth="1"/>
    <col min="2062" max="2304" width="9.140625" style="73"/>
    <col min="2305" max="2305" width="4.7109375" style="73" bestFit="1" customWidth="1"/>
    <col min="2306" max="2306" width="24.28515625" style="73" bestFit="1" customWidth="1"/>
    <col min="2307" max="2307" width="11.85546875" style="73" bestFit="1" customWidth="1"/>
    <col min="2308" max="2308" width="12.28515625" style="73" bestFit="1" customWidth="1"/>
    <col min="2309" max="2309" width="12.5703125" style="73" bestFit="1" customWidth="1"/>
    <col min="2310" max="2310" width="12.28515625" style="73" bestFit="1" customWidth="1"/>
    <col min="2311" max="2311" width="10.7109375" style="73" bestFit="1" customWidth="1"/>
    <col min="2312" max="2313" width="12.42578125" style="73" bestFit="1" customWidth="1"/>
    <col min="2314" max="2314" width="12.140625" style="73" customWidth="1"/>
    <col min="2315" max="2315" width="14.5703125" style="73" bestFit="1" customWidth="1"/>
    <col min="2316" max="2316" width="11.85546875" style="73" bestFit="1" customWidth="1"/>
    <col min="2317" max="2317" width="9.85546875" style="73" bestFit="1" customWidth="1"/>
    <col min="2318" max="2560" width="9.140625" style="73"/>
    <col min="2561" max="2561" width="4.7109375" style="73" bestFit="1" customWidth="1"/>
    <col min="2562" max="2562" width="24.28515625" style="73" bestFit="1" customWidth="1"/>
    <col min="2563" max="2563" width="11.85546875" style="73" bestFit="1" customWidth="1"/>
    <col min="2564" max="2564" width="12.28515625" style="73" bestFit="1" customWidth="1"/>
    <col min="2565" max="2565" width="12.5703125" style="73" bestFit="1" customWidth="1"/>
    <col min="2566" max="2566" width="12.28515625" style="73" bestFit="1" customWidth="1"/>
    <col min="2567" max="2567" width="10.7109375" style="73" bestFit="1" customWidth="1"/>
    <col min="2568" max="2569" width="12.42578125" style="73" bestFit="1" customWidth="1"/>
    <col min="2570" max="2570" width="12.140625" style="73" customWidth="1"/>
    <col min="2571" max="2571" width="14.5703125" style="73" bestFit="1" customWidth="1"/>
    <col min="2572" max="2572" width="11.85546875" style="73" bestFit="1" customWidth="1"/>
    <col min="2573" max="2573" width="9.85546875" style="73" bestFit="1" customWidth="1"/>
    <col min="2574" max="2816" width="9.140625" style="73"/>
    <col min="2817" max="2817" width="4.7109375" style="73" bestFit="1" customWidth="1"/>
    <col min="2818" max="2818" width="24.28515625" style="73" bestFit="1" customWidth="1"/>
    <col min="2819" max="2819" width="11.85546875" style="73" bestFit="1" customWidth="1"/>
    <col min="2820" max="2820" width="12.28515625" style="73" bestFit="1" customWidth="1"/>
    <col min="2821" max="2821" width="12.5703125" style="73" bestFit="1" customWidth="1"/>
    <col min="2822" max="2822" width="12.28515625" style="73" bestFit="1" customWidth="1"/>
    <col min="2823" max="2823" width="10.7109375" style="73" bestFit="1" customWidth="1"/>
    <col min="2824" max="2825" width="12.42578125" style="73" bestFit="1" customWidth="1"/>
    <col min="2826" max="2826" width="12.140625" style="73" customWidth="1"/>
    <col min="2827" max="2827" width="14.5703125" style="73" bestFit="1" customWidth="1"/>
    <col min="2828" max="2828" width="11.85546875" style="73" bestFit="1" customWidth="1"/>
    <col min="2829" max="2829" width="9.85546875" style="73" bestFit="1" customWidth="1"/>
    <col min="2830" max="3072" width="9.140625" style="73"/>
    <col min="3073" max="3073" width="4.7109375" style="73" bestFit="1" customWidth="1"/>
    <col min="3074" max="3074" width="24.28515625" style="73" bestFit="1" customWidth="1"/>
    <col min="3075" max="3075" width="11.85546875" style="73" bestFit="1" customWidth="1"/>
    <col min="3076" max="3076" width="12.28515625" style="73" bestFit="1" customWidth="1"/>
    <col min="3077" max="3077" width="12.5703125" style="73" bestFit="1" customWidth="1"/>
    <col min="3078" max="3078" width="12.28515625" style="73" bestFit="1" customWidth="1"/>
    <col min="3079" max="3079" width="10.7109375" style="73" bestFit="1" customWidth="1"/>
    <col min="3080" max="3081" width="12.42578125" style="73" bestFit="1" customWidth="1"/>
    <col min="3082" max="3082" width="12.140625" style="73" customWidth="1"/>
    <col min="3083" max="3083" width="14.5703125" style="73" bestFit="1" customWidth="1"/>
    <col min="3084" max="3084" width="11.85546875" style="73" bestFit="1" customWidth="1"/>
    <col min="3085" max="3085" width="9.85546875" style="73" bestFit="1" customWidth="1"/>
    <col min="3086" max="3328" width="9.140625" style="73"/>
    <col min="3329" max="3329" width="4.7109375" style="73" bestFit="1" customWidth="1"/>
    <col min="3330" max="3330" width="24.28515625" style="73" bestFit="1" customWidth="1"/>
    <col min="3331" max="3331" width="11.85546875" style="73" bestFit="1" customWidth="1"/>
    <col min="3332" max="3332" width="12.28515625" style="73" bestFit="1" customWidth="1"/>
    <col min="3333" max="3333" width="12.5703125" style="73" bestFit="1" customWidth="1"/>
    <col min="3334" max="3334" width="12.28515625" style="73" bestFit="1" customWidth="1"/>
    <col min="3335" max="3335" width="10.7109375" style="73" bestFit="1" customWidth="1"/>
    <col min="3336" max="3337" width="12.42578125" style="73" bestFit="1" customWidth="1"/>
    <col min="3338" max="3338" width="12.140625" style="73" customWidth="1"/>
    <col min="3339" max="3339" width="14.5703125" style="73" bestFit="1" customWidth="1"/>
    <col min="3340" max="3340" width="11.85546875" style="73" bestFit="1" customWidth="1"/>
    <col min="3341" max="3341" width="9.85546875" style="73" bestFit="1" customWidth="1"/>
    <col min="3342" max="3584" width="9.140625" style="73"/>
    <col min="3585" max="3585" width="4.7109375" style="73" bestFit="1" customWidth="1"/>
    <col min="3586" max="3586" width="24.28515625" style="73" bestFit="1" customWidth="1"/>
    <col min="3587" max="3587" width="11.85546875" style="73" bestFit="1" customWidth="1"/>
    <col min="3588" max="3588" width="12.28515625" style="73" bestFit="1" customWidth="1"/>
    <col min="3589" max="3589" width="12.5703125" style="73" bestFit="1" customWidth="1"/>
    <col min="3590" max="3590" width="12.28515625" style="73" bestFit="1" customWidth="1"/>
    <col min="3591" max="3591" width="10.7109375" style="73" bestFit="1" customWidth="1"/>
    <col min="3592" max="3593" width="12.42578125" style="73" bestFit="1" customWidth="1"/>
    <col min="3594" max="3594" width="12.140625" style="73" customWidth="1"/>
    <col min="3595" max="3595" width="14.5703125" style="73" bestFit="1" customWidth="1"/>
    <col min="3596" max="3596" width="11.85546875" style="73" bestFit="1" customWidth="1"/>
    <col min="3597" max="3597" width="9.85546875" style="73" bestFit="1" customWidth="1"/>
    <col min="3598" max="3840" width="9.140625" style="73"/>
    <col min="3841" max="3841" width="4.7109375" style="73" bestFit="1" customWidth="1"/>
    <col min="3842" max="3842" width="24.28515625" style="73" bestFit="1" customWidth="1"/>
    <col min="3843" max="3843" width="11.85546875" style="73" bestFit="1" customWidth="1"/>
    <col min="3844" max="3844" width="12.28515625" style="73" bestFit="1" customWidth="1"/>
    <col min="3845" max="3845" width="12.5703125" style="73" bestFit="1" customWidth="1"/>
    <col min="3846" max="3846" width="12.28515625" style="73" bestFit="1" customWidth="1"/>
    <col min="3847" max="3847" width="10.7109375" style="73" bestFit="1" customWidth="1"/>
    <col min="3848" max="3849" width="12.42578125" style="73" bestFit="1" customWidth="1"/>
    <col min="3850" max="3850" width="12.140625" style="73" customWidth="1"/>
    <col min="3851" max="3851" width="14.5703125" style="73" bestFit="1" customWidth="1"/>
    <col min="3852" max="3852" width="11.85546875" style="73" bestFit="1" customWidth="1"/>
    <col min="3853" max="3853" width="9.85546875" style="73" bestFit="1" customWidth="1"/>
    <col min="3854" max="4096" width="9.140625" style="73"/>
    <col min="4097" max="4097" width="4.7109375" style="73" bestFit="1" customWidth="1"/>
    <col min="4098" max="4098" width="24.28515625" style="73" bestFit="1" customWidth="1"/>
    <col min="4099" max="4099" width="11.85546875" style="73" bestFit="1" customWidth="1"/>
    <col min="4100" max="4100" width="12.28515625" style="73" bestFit="1" customWidth="1"/>
    <col min="4101" max="4101" width="12.5703125" style="73" bestFit="1" customWidth="1"/>
    <col min="4102" max="4102" width="12.28515625" style="73" bestFit="1" customWidth="1"/>
    <col min="4103" max="4103" width="10.7109375" style="73" bestFit="1" customWidth="1"/>
    <col min="4104" max="4105" width="12.42578125" style="73" bestFit="1" customWidth="1"/>
    <col min="4106" max="4106" width="12.140625" style="73" customWidth="1"/>
    <col min="4107" max="4107" width="14.5703125" style="73" bestFit="1" customWidth="1"/>
    <col min="4108" max="4108" width="11.85546875" style="73" bestFit="1" customWidth="1"/>
    <col min="4109" max="4109" width="9.85546875" style="73" bestFit="1" customWidth="1"/>
    <col min="4110" max="4352" width="9.140625" style="73"/>
    <col min="4353" max="4353" width="4.7109375" style="73" bestFit="1" customWidth="1"/>
    <col min="4354" max="4354" width="24.28515625" style="73" bestFit="1" customWidth="1"/>
    <col min="4355" max="4355" width="11.85546875" style="73" bestFit="1" customWidth="1"/>
    <col min="4356" max="4356" width="12.28515625" style="73" bestFit="1" customWidth="1"/>
    <col min="4357" max="4357" width="12.5703125" style="73" bestFit="1" customWidth="1"/>
    <col min="4358" max="4358" width="12.28515625" style="73" bestFit="1" customWidth="1"/>
    <col min="4359" max="4359" width="10.7109375" style="73" bestFit="1" customWidth="1"/>
    <col min="4360" max="4361" width="12.42578125" style="73" bestFit="1" customWidth="1"/>
    <col min="4362" max="4362" width="12.140625" style="73" customWidth="1"/>
    <col min="4363" max="4363" width="14.5703125" style="73" bestFit="1" customWidth="1"/>
    <col min="4364" max="4364" width="11.85546875" style="73" bestFit="1" customWidth="1"/>
    <col min="4365" max="4365" width="9.85546875" style="73" bestFit="1" customWidth="1"/>
    <col min="4366" max="4608" width="9.140625" style="73"/>
    <col min="4609" max="4609" width="4.7109375" style="73" bestFit="1" customWidth="1"/>
    <col min="4610" max="4610" width="24.28515625" style="73" bestFit="1" customWidth="1"/>
    <col min="4611" max="4611" width="11.85546875" style="73" bestFit="1" customWidth="1"/>
    <col min="4612" max="4612" width="12.28515625" style="73" bestFit="1" customWidth="1"/>
    <col min="4613" max="4613" width="12.5703125" style="73" bestFit="1" customWidth="1"/>
    <col min="4614" max="4614" width="12.28515625" style="73" bestFit="1" customWidth="1"/>
    <col min="4615" max="4615" width="10.7109375" style="73" bestFit="1" customWidth="1"/>
    <col min="4616" max="4617" width="12.42578125" style="73" bestFit="1" customWidth="1"/>
    <col min="4618" max="4618" width="12.140625" style="73" customWidth="1"/>
    <col min="4619" max="4619" width="14.5703125" style="73" bestFit="1" customWidth="1"/>
    <col min="4620" max="4620" width="11.85546875" style="73" bestFit="1" customWidth="1"/>
    <col min="4621" max="4621" width="9.85546875" style="73" bestFit="1" customWidth="1"/>
    <col min="4622" max="4864" width="9.140625" style="73"/>
    <col min="4865" max="4865" width="4.7109375" style="73" bestFit="1" customWidth="1"/>
    <col min="4866" max="4866" width="24.28515625" style="73" bestFit="1" customWidth="1"/>
    <col min="4867" max="4867" width="11.85546875" style="73" bestFit="1" customWidth="1"/>
    <col min="4868" max="4868" width="12.28515625" style="73" bestFit="1" customWidth="1"/>
    <col min="4869" max="4869" width="12.5703125" style="73" bestFit="1" customWidth="1"/>
    <col min="4870" max="4870" width="12.28515625" style="73" bestFit="1" customWidth="1"/>
    <col min="4871" max="4871" width="10.7109375" style="73" bestFit="1" customWidth="1"/>
    <col min="4872" max="4873" width="12.42578125" style="73" bestFit="1" customWidth="1"/>
    <col min="4874" max="4874" width="12.140625" style="73" customWidth="1"/>
    <col min="4875" max="4875" width="14.5703125" style="73" bestFit="1" customWidth="1"/>
    <col min="4876" max="4876" width="11.85546875" style="73" bestFit="1" customWidth="1"/>
    <col min="4877" max="4877" width="9.85546875" style="73" bestFit="1" customWidth="1"/>
    <col min="4878" max="5120" width="9.140625" style="73"/>
    <col min="5121" max="5121" width="4.7109375" style="73" bestFit="1" customWidth="1"/>
    <col min="5122" max="5122" width="24.28515625" style="73" bestFit="1" customWidth="1"/>
    <col min="5123" max="5123" width="11.85546875" style="73" bestFit="1" customWidth="1"/>
    <col min="5124" max="5124" width="12.28515625" style="73" bestFit="1" customWidth="1"/>
    <col min="5125" max="5125" width="12.5703125" style="73" bestFit="1" customWidth="1"/>
    <col min="5126" max="5126" width="12.28515625" style="73" bestFit="1" customWidth="1"/>
    <col min="5127" max="5127" width="10.7109375" style="73" bestFit="1" customWidth="1"/>
    <col min="5128" max="5129" width="12.42578125" style="73" bestFit="1" customWidth="1"/>
    <col min="5130" max="5130" width="12.140625" style="73" customWidth="1"/>
    <col min="5131" max="5131" width="14.5703125" style="73" bestFit="1" customWidth="1"/>
    <col min="5132" max="5132" width="11.85546875" style="73" bestFit="1" customWidth="1"/>
    <col min="5133" max="5133" width="9.85546875" style="73" bestFit="1" customWidth="1"/>
    <col min="5134" max="5376" width="9.140625" style="73"/>
    <col min="5377" max="5377" width="4.7109375" style="73" bestFit="1" customWidth="1"/>
    <col min="5378" max="5378" width="24.28515625" style="73" bestFit="1" customWidth="1"/>
    <col min="5379" max="5379" width="11.85546875" style="73" bestFit="1" customWidth="1"/>
    <col min="5380" max="5380" width="12.28515625" style="73" bestFit="1" customWidth="1"/>
    <col min="5381" max="5381" width="12.5703125" style="73" bestFit="1" customWidth="1"/>
    <col min="5382" max="5382" width="12.28515625" style="73" bestFit="1" customWidth="1"/>
    <col min="5383" max="5383" width="10.7109375" style="73" bestFit="1" customWidth="1"/>
    <col min="5384" max="5385" width="12.42578125" style="73" bestFit="1" customWidth="1"/>
    <col min="5386" max="5386" width="12.140625" style="73" customWidth="1"/>
    <col min="5387" max="5387" width="14.5703125" style="73" bestFit="1" customWidth="1"/>
    <col min="5388" max="5388" width="11.85546875" style="73" bestFit="1" customWidth="1"/>
    <col min="5389" max="5389" width="9.85546875" style="73" bestFit="1" customWidth="1"/>
    <col min="5390" max="5632" width="9.140625" style="73"/>
    <col min="5633" max="5633" width="4.7109375" style="73" bestFit="1" customWidth="1"/>
    <col min="5634" max="5634" width="24.28515625" style="73" bestFit="1" customWidth="1"/>
    <col min="5635" max="5635" width="11.85546875" style="73" bestFit="1" customWidth="1"/>
    <col min="5636" max="5636" width="12.28515625" style="73" bestFit="1" customWidth="1"/>
    <col min="5637" max="5637" width="12.5703125" style="73" bestFit="1" customWidth="1"/>
    <col min="5638" max="5638" width="12.28515625" style="73" bestFit="1" customWidth="1"/>
    <col min="5639" max="5639" width="10.7109375" style="73" bestFit="1" customWidth="1"/>
    <col min="5640" max="5641" width="12.42578125" style="73" bestFit="1" customWidth="1"/>
    <col min="5642" max="5642" width="12.140625" style="73" customWidth="1"/>
    <col min="5643" max="5643" width="14.5703125" style="73" bestFit="1" customWidth="1"/>
    <col min="5644" max="5644" width="11.85546875" style="73" bestFit="1" customWidth="1"/>
    <col min="5645" max="5645" width="9.85546875" style="73" bestFit="1" customWidth="1"/>
    <col min="5646" max="5888" width="9.140625" style="73"/>
    <col min="5889" max="5889" width="4.7109375" style="73" bestFit="1" customWidth="1"/>
    <col min="5890" max="5890" width="24.28515625" style="73" bestFit="1" customWidth="1"/>
    <col min="5891" max="5891" width="11.85546875" style="73" bestFit="1" customWidth="1"/>
    <col min="5892" max="5892" width="12.28515625" style="73" bestFit="1" customWidth="1"/>
    <col min="5893" max="5893" width="12.5703125" style="73" bestFit="1" customWidth="1"/>
    <col min="5894" max="5894" width="12.28515625" style="73" bestFit="1" customWidth="1"/>
    <col min="5895" max="5895" width="10.7109375" style="73" bestFit="1" customWidth="1"/>
    <col min="5896" max="5897" width="12.42578125" style="73" bestFit="1" customWidth="1"/>
    <col min="5898" max="5898" width="12.140625" style="73" customWidth="1"/>
    <col min="5899" max="5899" width="14.5703125" style="73" bestFit="1" customWidth="1"/>
    <col min="5900" max="5900" width="11.85546875" style="73" bestFit="1" customWidth="1"/>
    <col min="5901" max="5901" width="9.85546875" style="73" bestFit="1" customWidth="1"/>
    <col min="5902" max="6144" width="9.140625" style="73"/>
    <col min="6145" max="6145" width="4.7109375" style="73" bestFit="1" customWidth="1"/>
    <col min="6146" max="6146" width="24.28515625" style="73" bestFit="1" customWidth="1"/>
    <col min="6147" max="6147" width="11.85546875" style="73" bestFit="1" customWidth="1"/>
    <col min="6148" max="6148" width="12.28515625" style="73" bestFit="1" customWidth="1"/>
    <col min="6149" max="6149" width="12.5703125" style="73" bestFit="1" customWidth="1"/>
    <col min="6150" max="6150" width="12.28515625" style="73" bestFit="1" customWidth="1"/>
    <col min="6151" max="6151" width="10.7109375" style="73" bestFit="1" customWidth="1"/>
    <col min="6152" max="6153" width="12.42578125" style="73" bestFit="1" customWidth="1"/>
    <col min="6154" max="6154" width="12.140625" style="73" customWidth="1"/>
    <col min="6155" max="6155" width="14.5703125" style="73" bestFit="1" customWidth="1"/>
    <col min="6156" max="6156" width="11.85546875" style="73" bestFit="1" customWidth="1"/>
    <col min="6157" max="6157" width="9.85546875" style="73" bestFit="1" customWidth="1"/>
    <col min="6158" max="6400" width="9.140625" style="73"/>
    <col min="6401" max="6401" width="4.7109375" style="73" bestFit="1" customWidth="1"/>
    <col min="6402" max="6402" width="24.28515625" style="73" bestFit="1" customWidth="1"/>
    <col min="6403" max="6403" width="11.85546875" style="73" bestFit="1" customWidth="1"/>
    <col min="6404" max="6404" width="12.28515625" style="73" bestFit="1" customWidth="1"/>
    <col min="6405" max="6405" width="12.5703125" style="73" bestFit="1" customWidth="1"/>
    <col min="6406" max="6406" width="12.28515625" style="73" bestFit="1" customWidth="1"/>
    <col min="6407" max="6407" width="10.7109375" style="73" bestFit="1" customWidth="1"/>
    <col min="6408" max="6409" width="12.42578125" style="73" bestFit="1" customWidth="1"/>
    <col min="6410" max="6410" width="12.140625" style="73" customWidth="1"/>
    <col min="6411" max="6411" width="14.5703125" style="73" bestFit="1" customWidth="1"/>
    <col min="6412" max="6412" width="11.85546875" style="73" bestFit="1" customWidth="1"/>
    <col min="6413" max="6413" width="9.85546875" style="73" bestFit="1" customWidth="1"/>
    <col min="6414" max="6656" width="9.140625" style="73"/>
    <col min="6657" max="6657" width="4.7109375" style="73" bestFit="1" customWidth="1"/>
    <col min="6658" max="6658" width="24.28515625" style="73" bestFit="1" customWidth="1"/>
    <col min="6659" max="6659" width="11.85546875" style="73" bestFit="1" customWidth="1"/>
    <col min="6660" max="6660" width="12.28515625" style="73" bestFit="1" customWidth="1"/>
    <col min="6661" max="6661" width="12.5703125" style="73" bestFit="1" customWidth="1"/>
    <col min="6662" max="6662" width="12.28515625" style="73" bestFit="1" customWidth="1"/>
    <col min="6663" max="6663" width="10.7109375" style="73" bestFit="1" customWidth="1"/>
    <col min="6664" max="6665" width="12.42578125" style="73" bestFit="1" customWidth="1"/>
    <col min="6666" max="6666" width="12.140625" style="73" customWidth="1"/>
    <col min="6667" max="6667" width="14.5703125" style="73" bestFit="1" customWidth="1"/>
    <col min="6668" max="6668" width="11.85546875" style="73" bestFit="1" customWidth="1"/>
    <col min="6669" max="6669" width="9.85546875" style="73" bestFit="1" customWidth="1"/>
    <col min="6670" max="6912" width="9.140625" style="73"/>
    <col min="6913" max="6913" width="4.7109375" style="73" bestFit="1" customWidth="1"/>
    <col min="6914" max="6914" width="24.28515625" style="73" bestFit="1" customWidth="1"/>
    <col min="6915" max="6915" width="11.85546875" style="73" bestFit="1" customWidth="1"/>
    <col min="6916" max="6916" width="12.28515625" style="73" bestFit="1" customWidth="1"/>
    <col min="6917" max="6917" width="12.5703125" style="73" bestFit="1" customWidth="1"/>
    <col min="6918" max="6918" width="12.28515625" style="73" bestFit="1" customWidth="1"/>
    <col min="6919" max="6919" width="10.7109375" style="73" bestFit="1" customWidth="1"/>
    <col min="6920" max="6921" width="12.42578125" style="73" bestFit="1" customWidth="1"/>
    <col min="6922" max="6922" width="12.140625" style="73" customWidth="1"/>
    <col min="6923" max="6923" width="14.5703125" style="73" bestFit="1" customWidth="1"/>
    <col min="6924" max="6924" width="11.85546875" style="73" bestFit="1" customWidth="1"/>
    <col min="6925" max="6925" width="9.85546875" style="73" bestFit="1" customWidth="1"/>
    <col min="6926" max="7168" width="9.140625" style="73"/>
    <col min="7169" max="7169" width="4.7109375" style="73" bestFit="1" customWidth="1"/>
    <col min="7170" max="7170" width="24.28515625" style="73" bestFit="1" customWidth="1"/>
    <col min="7171" max="7171" width="11.85546875" style="73" bestFit="1" customWidth="1"/>
    <col min="7172" max="7172" width="12.28515625" style="73" bestFit="1" customWidth="1"/>
    <col min="7173" max="7173" width="12.5703125" style="73" bestFit="1" customWidth="1"/>
    <col min="7174" max="7174" width="12.28515625" style="73" bestFit="1" customWidth="1"/>
    <col min="7175" max="7175" width="10.7109375" style="73" bestFit="1" customWidth="1"/>
    <col min="7176" max="7177" width="12.42578125" style="73" bestFit="1" customWidth="1"/>
    <col min="7178" max="7178" width="12.140625" style="73" customWidth="1"/>
    <col min="7179" max="7179" width="14.5703125" style="73" bestFit="1" customWidth="1"/>
    <col min="7180" max="7180" width="11.85546875" style="73" bestFit="1" customWidth="1"/>
    <col min="7181" max="7181" width="9.85546875" style="73" bestFit="1" customWidth="1"/>
    <col min="7182" max="7424" width="9.140625" style="73"/>
    <col min="7425" max="7425" width="4.7109375" style="73" bestFit="1" customWidth="1"/>
    <col min="7426" max="7426" width="24.28515625" style="73" bestFit="1" customWidth="1"/>
    <col min="7427" max="7427" width="11.85546875" style="73" bestFit="1" customWidth="1"/>
    <col min="7428" max="7428" width="12.28515625" style="73" bestFit="1" customWidth="1"/>
    <col min="7429" max="7429" width="12.5703125" style="73" bestFit="1" customWidth="1"/>
    <col min="7430" max="7430" width="12.28515625" style="73" bestFit="1" customWidth="1"/>
    <col min="7431" max="7431" width="10.7109375" style="73" bestFit="1" customWidth="1"/>
    <col min="7432" max="7433" width="12.42578125" style="73" bestFit="1" customWidth="1"/>
    <col min="7434" max="7434" width="12.140625" style="73" customWidth="1"/>
    <col min="7435" max="7435" width="14.5703125" style="73" bestFit="1" customWidth="1"/>
    <col min="7436" max="7436" width="11.85546875" style="73" bestFit="1" customWidth="1"/>
    <col min="7437" max="7437" width="9.85546875" style="73" bestFit="1" customWidth="1"/>
    <col min="7438" max="7680" width="9.140625" style="73"/>
    <col min="7681" max="7681" width="4.7109375" style="73" bestFit="1" customWidth="1"/>
    <col min="7682" max="7682" width="24.28515625" style="73" bestFit="1" customWidth="1"/>
    <col min="7683" max="7683" width="11.85546875" style="73" bestFit="1" customWidth="1"/>
    <col min="7684" max="7684" width="12.28515625" style="73" bestFit="1" customWidth="1"/>
    <col min="7685" max="7685" width="12.5703125" style="73" bestFit="1" customWidth="1"/>
    <col min="7686" max="7686" width="12.28515625" style="73" bestFit="1" customWidth="1"/>
    <col min="7687" max="7687" width="10.7109375" style="73" bestFit="1" customWidth="1"/>
    <col min="7688" max="7689" width="12.42578125" style="73" bestFit="1" customWidth="1"/>
    <col min="7690" max="7690" width="12.140625" style="73" customWidth="1"/>
    <col min="7691" max="7691" width="14.5703125" style="73" bestFit="1" customWidth="1"/>
    <col min="7692" max="7692" width="11.85546875" style="73" bestFit="1" customWidth="1"/>
    <col min="7693" max="7693" width="9.85546875" style="73" bestFit="1" customWidth="1"/>
    <col min="7694" max="7936" width="9.140625" style="73"/>
    <col min="7937" max="7937" width="4.7109375" style="73" bestFit="1" customWidth="1"/>
    <col min="7938" max="7938" width="24.28515625" style="73" bestFit="1" customWidth="1"/>
    <col min="7939" max="7939" width="11.85546875" style="73" bestFit="1" customWidth="1"/>
    <col min="7940" max="7940" width="12.28515625" style="73" bestFit="1" customWidth="1"/>
    <col min="7941" max="7941" width="12.5703125" style="73" bestFit="1" customWidth="1"/>
    <col min="7942" max="7942" width="12.28515625" style="73" bestFit="1" customWidth="1"/>
    <col min="7943" max="7943" width="10.7109375" style="73" bestFit="1" customWidth="1"/>
    <col min="7944" max="7945" width="12.42578125" style="73" bestFit="1" customWidth="1"/>
    <col min="7946" max="7946" width="12.140625" style="73" customWidth="1"/>
    <col min="7947" max="7947" width="14.5703125" style="73" bestFit="1" customWidth="1"/>
    <col min="7948" max="7948" width="11.85546875" style="73" bestFit="1" customWidth="1"/>
    <col min="7949" max="7949" width="9.85546875" style="73" bestFit="1" customWidth="1"/>
    <col min="7950" max="8192" width="9.140625" style="73"/>
    <col min="8193" max="8193" width="4.7109375" style="73" bestFit="1" customWidth="1"/>
    <col min="8194" max="8194" width="24.28515625" style="73" bestFit="1" customWidth="1"/>
    <col min="8195" max="8195" width="11.85546875" style="73" bestFit="1" customWidth="1"/>
    <col min="8196" max="8196" width="12.28515625" style="73" bestFit="1" customWidth="1"/>
    <col min="8197" max="8197" width="12.5703125" style="73" bestFit="1" customWidth="1"/>
    <col min="8198" max="8198" width="12.28515625" style="73" bestFit="1" customWidth="1"/>
    <col min="8199" max="8199" width="10.7109375" style="73" bestFit="1" customWidth="1"/>
    <col min="8200" max="8201" width="12.42578125" style="73" bestFit="1" customWidth="1"/>
    <col min="8202" max="8202" width="12.140625" style="73" customWidth="1"/>
    <col min="8203" max="8203" width="14.5703125" style="73" bestFit="1" customWidth="1"/>
    <col min="8204" max="8204" width="11.85546875" style="73" bestFit="1" customWidth="1"/>
    <col min="8205" max="8205" width="9.85546875" style="73" bestFit="1" customWidth="1"/>
    <col min="8206" max="8448" width="9.140625" style="73"/>
    <col min="8449" max="8449" width="4.7109375" style="73" bestFit="1" customWidth="1"/>
    <col min="8450" max="8450" width="24.28515625" style="73" bestFit="1" customWidth="1"/>
    <col min="8451" max="8451" width="11.85546875" style="73" bestFit="1" customWidth="1"/>
    <col min="8452" max="8452" width="12.28515625" style="73" bestFit="1" customWidth="1"/>
    <col min="8453" max="8453" width="12.5703125" style="73" bestFit="1" customWidth="1"/>
    <col min="8454" max="8454" width="12.28515625" style="73" bestFit="1" customWidth="1"/>
    <col min="8455" max="8455" width="10.7109375" style="73" bestFit="1" customWidth="1"/>
    <col min="8456" max="8457" width="12.42578125" style="73" bestFit="1" customWidth="1"/>
    <col min="8458" max="8458" width="12.140625" style="73" customWidth="1"/>
    <col min="8459" max="8459" width="14.5703125" style="73" bestFit="1" customWidth="1"/>
    <col min="8460" max="8460" width="11.85546875" style="73" bestFit="1" customWidth="1"/>
    <col min="8461" max="8461" width="9.85546875" style="73" bestFit="1" customWidth="1"/>
    <col min="8462" max="8704" width="9.140625" style="73"/>
    <col min="8705" max="8705" width="4.7109375" style="73" bestFit="1" customWidth="1"/>
    <col min="8706" max="8706" width="24.28515625" style="73" bestFit="1" customWidth="1"/>
    <col min="8707" max="8707" width="11.85546875" style="73" bestFit="1" customWidth="1"/>
    <col min="8708" max="8708" width="12.28515625" style="73" bestFit="1" customWidth="1"/>
    <col min="8709" max="8709" width="12.5703125" style="73" bestFit="1" customWidth="1"/>
    <col min="8710" max="8710" width="12.28515625" style="73" bestFit="1" customWidth="1"/>
    <col min="8711" max="8711" width="10.7109375" style="73" bestFit="1" customWidth="1"/>
    <col min="8712" max="8713" width="12.42578125" style="73" bestFit="1" customWidth="1"/>
    <col min="8714" max="8714" width="12.140625" style="73" customWidth="1"/>
    <col min="8715" max="8715" width="14.5703125" style="73" bestFit="1" customWidth="1"/>
    <col min="8716" max="8716" width="11.85546875" style="73" bestFit="1" customWidth="1"/>
    <col min="8717" max="8717" width="9.85546875" style="73" bestFit="1" customWidth="1"/>
    <col min="8718" max="8960" width="9.140625" style="73"/>
    <col min="8961" max="8961" width="4.7109375" style="73" bestFit="1" customWidth="1"/>
    <col min="8962" max="8962" width="24.28515625" style="73" bestFit="1" customWidth="1"/>
    <col min="8963" max="8963" width="11.85546875" style="73" bestFit="1" customWidth="1"/>
    <col min="8964" max="8964" width="12.28515625" style="73" bestFit="1" customWidth="1"/>
    <col min="8965" max="8965" width="12.5703125" style="73" bestFit="1" customWidth="1"/>
    <col min="8966" max="8966" width="12.28515625" style="73" bestFit="1" customWidth="1"/>
    <col min="8967" max="8967" width="10.7109375" style="73" bestFit="1" customWidth="1"/>
    <col min="8968" max="8969" width="12.42578125" style="73" bestFit="1" customWidth="1"/>
    <col min="8970" max="8970" width="12.140625" style="73" customWidth="1"/>
    <col min="8971" max="8971" width="14.5703125" style="73" bestFit="1" customWidth="1"/>
    <col min="8972" max="8972" width="11.85546875" style="73" bestFit="1" customWidth="1"/>
    <col min="8973" max="8973" width="9.85546875" style="73" bestFit="1" customWidth="1"/>
    <col min="8974" max="9216" width="9.140625" style="73"/>
    <col min="9217" max="9217" width="4.7109375" style="73" bestFit="1" customWidth="1"/>
    <col min="9218" max="9218" width="24.28515625" style="73" bestFit="1" customWidth="1"/>
    <col min="9219" max="9219" width="11.85546875" style="73" bestFit="1" customWidth="1"/>
    <col min="9220" max="9220" width="12.28515625" style="73" bestFit="1" customWidth="1"/>
    <col min="9221" max="9221" width="12.5703125" style="73" bestFit="1" customWidth="1"/>
    <col min="9222" max="9222" width="12.28515625" style="73" bestFit="1" customWidth="1"/>
    <col min="9223" max="9223" width="10.7109375" style="73" bestFit="1" customWidth="1"/>
    <col min="9224" max="9225" width="12.42578125" style="73" bestFit="1" customWidth="1"/>
    <col min="9226" max="9226" width="12.140625" style="73" customWidth="1"/>
    <col min="9227" max="9227" width="14.5703125" style="73" bestFit="1" customWidth="1"/>
    <col min="9228" max="9228" width="11.85546875" style="73" bestFit="1" customWidth="1"/>
    <col min="9229" max="9229" width="9.85546875" style="73" bestFit="1" customWidth="1"/>
    <col min="9230" max="9472" width="9.140625" style="73"/>
    <col min="9473" max="9473" width="4.7109375" style="73" bestFit="1" customWidth="1"/>
    <col min="9474" max="9474" width="24.28515625" style="73" bestFit="1" customWidth="1"/>
    <col min="9475" max="9475" width="11.85546875" style="73" bestFit="1" customWidth="1"/>
    <col min="9476" max="9476" width="12.28515625" style="73" bestFit="1" customWidth="1"/>
    <col min="9477" max="9477" width="12.5703125" style="73" bestFit="1" customWidth="1"/>
    <col min="9478" max="9478" width="12.28515625" style="73" bestFit="1" customWidth="1"/>
    <col min="9479" max="9479" width="10.7109375" style="73" bestFit="1" customWidth="1"/>
    <col min="9480" max="9481" width="12.42578125" style="73" bestFit="1" customWidth="1"/>
    <col min="9482" max="9482" width="12.140625" style="73" customWidth="1"/>
    <col min="9483" max="9483" width="14.5703125" style="73" bestFit="1" customWidth="1"/>
    <col min="9484" max="9484" width="11.85546875" style="73" bestFit="1" customWidth="1"/>
    <col min="9485" max="9485" width="9.85546875" style="73" bestFit="1" customWidth="1"/>
    <col min="9486" max="9728" width="9.140625" style="73"/>
    <col min="9729" max="9729" width="4.7109375" style="73" bestFit="1" customWidth="1"/>
    <col min="9730" max="9730" width="24.28515625" style="73" bestFit="1" customWidth="1"/>
    <col min="9731" max="9731" width="11.85546875" style="73" bestFit="1" customWidth="1"/>
    <col min="9732" max="9732" width="12.28515625" style="73" bestFit="1" customWidth="1"/>
    <col min="9733" max="9733" width="12.5703125" style="73" bestFit="1" customWidth="1"/>
    <col min="9734" max="9734" width="12.28515625" style="73" bestFit="1" customWidth="1"/>
    <col min="9735" max="9735" width="10.7109375" style="73" bestFit="1" customWidth="1"/>
    <col min="9736" max="9737" width="12.42578125" style="73" bestFit="1" customWidth="1"/>
    <col min="9738" max="9738" width="12.140625" style="73" customWidth="1"/>
    <col min="9739" max="9739" width="14.5703125" style="73" bestFit="1" customWidth="1"/>
    <col min="9740" max="9740" width="11.85546875" style="73" bestFit="1" customWidth="1"/>
    <col min="9741" max="9741" width="9.85546875" style="73" bestFit="1" customWidth="1"/>
    <col min="9742" max="9984" width="9.140625" style="73"/>
    <col min="9985" max="9985" width="4.7109375" style="73" bestFit="1" customWidth="1"/>
    <col min="9986" max="9986" width="24.28515625" style="73" bestFit="1" customWidth="1"/>
    <col min="9987" max="9987" width="11.85546875" style="73" bestFit="1" customWidth="1"/>
    <col min="9988" max="9988" width="12.28515625" style="73" bestFit="1" customWidth="1"/>
    <col min="9989" max="9989" width="12.5703125" style="73" bestFit="1" customWidth="1"/>
    <col min="9990" max="9990" width="12.28515625" style="73" bestFit="1" customWidth="1"/>
    <col min="9991" max="9991" width="10.7109375" style="73" bestFit="1" customWidth="1"/>
    <col min="9992" max="9993" width="12.42578125" style="73" bestFit="1" customWidth="1"/>
    <col min="9994" max="9994" width="12.140625" style="73" customWidth="1"/>
    <col min="9995" max="9995" width="14.5703125" style="73" bestFit="1" customWidth="1"/>
    <col min="9996" max="9996" width="11.85546875" style="73" bestFit="1" customWidth="1"/>
    <col min="9997" max="9997" width="9.85546875" style="73" bestFit="1" customWidth="1"/>
    <col min="9998" max="10240" width="9.140625" style="73"/>
    <col min="10241" max="10241" width="4.7109375" style="73" bestFit="1" customWidth="1"/>
    <col min="10242" max="10242" width="24.28515625" style="73" bestFit="1" customWidth="1"/>
    <col min="10243" max="10243" width="11.85546875" style="73" bestFit="1" customWidth="1"/>
    <col min="10244" max="10244" width="12.28515625" style="73" bestFit="1" customWidth="1"/>
    <col min="10245" max="10245" width="12.5703125" style="73" bestFit="1" customWidth="1"/>
    <col min="10246" max="10246" width="12.28515625" style="73" bestFit="1" customWidth="1"/>
    <col min="10247" max="10247" width="10.7109375" style="73" bestFit="1" customWidth="1"/>
    <col min="10248" max="10249" width="12.42578125" style="73" bestFit="1" customWidth="1"/>
    <col min="10250" max="10250" width="12.140625" style="73" customWidth="1"/>
    <col min="10251" max="10251" width="14.5703125" style="73" bestFit="1" customWidth="1"/>
    <col min="10252" max="10252" width="11.85546875" style="73" bestFit="1" customWidth="1"/>
    <col min="10253" max="10253" width="9.85546875" style="73" bestFit="1" customWidth="1"/>
    <col min="10254" max="10496" width="9.140625" style="73"/>
    <col min="10497" max="10497" width="4.7109375" style="73" bestFit="1" customWidth="1"/>
    <col min="10498" max="10498" width="24.28515625" style="73" bestFit="1" customWidth="1"/>
    <col min="10499" max="10499" width="11.85546875" style="73" bestFit="1" customWidth="1"/>
    <col min="10500" max="10500" width="12.28515625" style="73" bestFit="1" customWidth="1"/>
    <col min="10501" max="10501" width="12.5703125" style="73" bestFit="1" customWidth="1"/>
    <col min="10502" max="10502" width="12.28515625" style="73" bestFit="1" customWidth="1"/>
    <col min="10503" max="10503" width="10.7109375" style="73" bestFit="1" customWidth="1"/>
    <col min="10504" max="10505" width="12.42578125" style="73" bestFit="1" customWidth="1"/>
    <col min="10506" max="10506" width="12.140625" style="73" customWidth="1"/>
    <col min="10507" max="10507" width="14.5703125" style="73" bestFit="1" customWidth="1"/>
    <col min="10508" max="10508" width="11.85546875" style="73" bestFit="1" customWidth="1"/>
    <col min="10509" max="10509" width="9.85546875" style="73" bestFit="1" customWidth="1"/>
    <col min="10510" max="10752" width="9.140625" style="73"/>
    <col min="10753" max="10753" width="4.7109375" style="73" bestFit="1" customWidth="1"/>
    <col min="10754" max="10754" width="24.28515625" style="73" bestFit="1" customWidth="1"/>
    <col min="10755" max="10755" width="11.85546875" style="73" bestFit="1" customWidth="1"/>
    <col min="10756" max="10756" width="12.28515625" style="73" bestFit="1" customWidth="1"/>
    <col min="10757" max="10757" width="12.5703125" style="73" bestFit="1" customWidth="1"/>
    <col min="10758" max="10758" width="12.28515625" style="73" bestFit="1" customWidth="1"/>
    <col min="10759" max="10759" width="10.7109375" style="73" bestFit="1" customWidth="1"/>
    <col min="10760" max="10761" width="12.42578125" style="73" bestFit="1" customWidth="1"/>
    <col min="10762" max="10762" width="12.140625" style="73" customWidth="1"/>
    <col min="10763" max="10763" width="14.5703125" style="73" bestFit="1" customWidth="1"/>
    <col min="10764" max="10764" width="11.85546875" style="73" bestFit="1" customWidth="1"/>
    <col min="10765" max="10765" width="9.85546875" style="73" bestFit="1" customWidth="1"/>
    <col min="10766" max="11008" width="9.140625" style="73"/>
    <col min="11009" max="11009" width="4.7109375" style="73" bestFit="1" customWidth="1"/>
    <col min="11010" max="11010" width="24.28515625" style="73" bestFit="1" customWidth="1"/>
    <col min="11011" max="11011" width="11.85546875" style="73" bestFit="1" customWidth="1"/>
    <col min="11012" max="11012" width="12.28515625" style="73" bestFit="1" customWidth="1"/>
    <col min="11013" max="11013" width="12.5703125" style="73" bestFit="1" customWidth="1"/>
    <col min="11014" max="11014" width="12.28515625" style="73" bestFit="1" customWidth="1"/>
    <col min="11015" max="11015" width="10.7109375" style="73" bestFit="1" customWidth="1"/>
    <col min="11016" max="11017" width="12.42578125" style="73" bestFit="1" customWidth="1"/>
    <col min="11018" max="11018" width="12.140625" style="73" customWidth="1"/>
    <col min="11019" max="11019" width="14.5703125" style="73" bestFit="1" customWidth="1"/>
    <col min="11020" max="11020" width="11.85546875" style="73" bestFit="1" customWidth="1"/>
    <col min="11021" max="11021" width="9.85546875" style="73" bestFit="1" customWidth="1"/>
    <col min="11022" max="11264" width="9.140625" style="73"/>
    <col min="11265" max="11265" width="4.7109375" style="73" bestFit="1" customWidth="1"/>
    <col min="11266" max="11266" width="24.28515625" style="73" bestFit="1" customWidth="1"/>
    <col min="11267" max="11267" width="11.85546875" style="73" bestFit="1" customWidth="1"/>
    <col min="11268" max="11268" width="12.28515625" style="73" bestFit="1" customWidth="1"/>
    <col min="11269" max="11269" width="12.5703125" style="73" bestFit="1" customWidth="1"/>
    <col min="11270" max="11270" width="12.28515625" style="73" bestFit="1" customWidth="1"/>
    <col min="11271" max="11271" width="10.7109375" style="73" bestFit="1" customWidth="1"/>
    <col min="11272" max="11273" width="12.42578125" style="73" bestFit="1" customWidth="1"/>
    <col min="11274" max="11274" width="12.140625" style="73" customWidth="1"/>
    <col min="11275" max="11275" width="14.5703125" style="73" bestFit="1" customWidth="1"/>
    <col min="11276" max="11276" width="11.85546875" style="73" bestFit="1" customWidth="1"/>
    <col min="11277" max="11277" width="9.85546875" style="73" bestFit="1" customWidth="1"/>
    <col min="11278" max="11520" width="9.140625" style="73"/>
    <col min="11521" max="11521" width="4.7109375" style="73" bestFit="1" customWidth="1"/>
    <col min="11522" max="11522" width="24.28515625" style="73" bestFit="1" customWidth="1"/>
    <col min="11523" max="11523" width="11.85546875" style="73" bestFit="1" customWidth="1"/>
    <col min="11524" max="11524" width="12.28515625" style="73" bestFit="1" customWidth="1"/>
    <col min="11525" max="11525" width="12.5703125" style="73" bestFit="1" customWidth="1"/>
    <col min="11526" max="11526" width="12.28515625" style="73" bestFit="1" customWidth="1"/>
    <col min="11527" max="11527" width="10.7109375" style="73" bestFit="1" customWidth="1"/>
    <col min="11528" max="11529" width="12.42578125" style="73" bestFit="1" customWidth="1"/>
    <col min="11530" max="11530" width="12.140625" style="73" customWidth="1"/>
    <col min="11531" max="11531" width="14.5703125" style="73" bestFit="1" customWidth="1"/>
    <col min="11532" max="11532" width="11.85546875" style="73" bestFit="1" customWidth="1"/>
    <col min="11533" max="11533" width="9.85546875" style="73" bestFit="1" customWidth="1"/>
    <col min="11534" max="11776" width="9.140625" style="73"/>
    <col min="11777" max="11777" width="4.7109375" style="73" bestFit="1" customWidth="1"/>
    <col min="11778" max="11778" width="24.28515625" style="73" bestFit="1" customWidth="1"/>
    <col min="11779" max="11779" width="11.85546875" style="73" bestFit="1" customWidth="1"/>
    <col min="11780" max="11780" width="12.28515625" style="73" bestFit="1" customWidth="1"/>
    <col min="11781" max="11781" width="12.5703125" style="73" bestFit="1" customWidth="1"/>
    <col min="11782" max="11782" width="12.28515625" style="73" bestFit="1" customWidth="1"/>
    <col min="11783" max="11783" width="10.7109375" style="73" bestFit="1" customWidth="1"/>
    <col min="11784" max="11785" width="12.42578125" style="73" bestFit="1" customWidth="1"/>
    <col min="11786" max="11786" width="12.140625" style="73" customWidth="1"/>
    <col min="11787" max="11787" width="14.5703125" style="73" bestFit="1" customWidth="1"/>
    <col min="11788" max="11788" width="11.85546875" style="73" bestFit="1" customWidth="1"/>
    <col min="11789" max="11789" width="9.85546875" style="73" bestFit="1" customWidth="1"/>
    <col min="11790" max="12032" width="9.140625" style="73"/>
    <col min="12033" max="12033" width="4.7109375" style="73" bestFit="1" customWidth="1"/>
    <col min="12034" max="12034" width="24.28515625" style="73" bestFit="1" customWidth="1"/>
    <col min="12035" max="12035" width="11.85546875" style="73" bestFit="1" customWidth="1"/>
    <col min="12036" max="12036" width="12.28515625" style="73" bestFit="1" customWidth="1"/>
    <col min="12037" max="12037" width="12.5703125" style="73" bestFit="1" customWidth="1"/>
    <col min="12038" max="12038" width="12.28515625" style="73" bestFit="1" customWidth="1"/>
    <col min="12039" max="12039" width="10.7109375" style="73" bestFit="1" customWidth="1"/>
    <col min="12040" max="12041" width="12.42578125" style="73" bestFit="1" customWidth="1"/>
    <col min="12042" max="12042" width="12.140625" style="73" customWidth="1"/>
    <col min="12043" max="12043" width="14.5703125" style="73" bestFit="1" customWidth="1"/>
    <col min="12044" max="12044" width="11.85546875" style="73" bestFit="1" customWidth="1"/>
    <col min="12045" max="12045" width="9.85546875" style="73" bestFit="1" customWidth="1"/>
    <col min="12046" max="12288" width="9.140625" style="73"/>
    <col min="12289" max="12289" width="4.7109375" style="73" bestFit="1" customWidth="1"/>
    <col min="12290" max="12290" width="24.28515625" style="73" bestFit="1" customWidth="1"/>
    <col min="12291" max="12291" width="11.85546875" style="73" bestFit="1" customWidth="1"/>
    <col min="12292" max="12292" width="12.28515625" style="73" bestFit="1" customWidth="1"/>
    <col min="12293" max="12293" width="12.5703125" style="73" bestFit="1" customWidth="1"/>
    <col min="12294" max="12294" width="12.28515625" style="73" bestFit="1" customWidth="1"/>
    <col min="12295" max="12295" width="10.7109375" style="73" bestFit="1" customWidth="1"/>
    <col min="12296" max="12297" width="12.42578125" style="73" bestFit="1" customWidth="1"/>
    <col min="12298" max="12298" width="12.140625" style="73" customWidth="1"/>
    <col min="12299" max="12299" width="14.5703125" style="73" bestFit="1" customWidth="1"/>
    <col min="12300" max="12300" width="11.85546875" style="73" bestFit="1" customWidth="1"/>
    <col min="12301" max="12301" width="9.85546875" style="73" bestFit="1" customWidth="1"/>
    <col min="12302" max="12544" width="9.140625" style="73"/>
    <col min="12545" max="12545" width="4.7109375" style="73" bestFit="1" customWidth="1"/>
    <col min="12546" max="12546" width="24.28515625" style="73" bestFit="1" customWidth="1"/>
    <col min="12547" max="12547" width="11.85546875" style="73" bestFit="1" customWidth="1"/>
    <col min="12548" max="12548" width="12.28515625" style="73" bestFit="1" customWidth="1"/>
    <col min="12549" max="12549" width="12.5703125" style="73" bestFit="1" customWidth="1"/>
    <col min="12550" max="12550" width="12.28515625" style="73" bestFit="1" customWidth="1"/>
    <col min="12551" max="12551" width="10.7109375" style="73" bestFit="1" customWidth="1"/>
    <col min="12552" max="12553" width="12.42578125" style="73" bestFit="1" customWidth="1"/>
    <col min="12554" max="12554" width="12.140625" style="73" customWidth="1"/>
    <col min="12555" max="12555" width="14.5703125" style="73" bestFit="1" customWidth="1"/>
    <col min="12556" max="12556" width="11.85546875" style="73" bestFit="1" customWidth="1"/>
    <col min="12557" max="12557" width="9.85546875" style="73" bestFit="1" customWidth="1"/>
    <col min="12558" max="12800" width="9.140625" style="73"/>
    <col min="12801" max="12801" width="4.7109375" style="73" bestFit="1" customWidth="1"/>
    <col min="12802" max="12802" width="24.28515625" style="73" bestFit="1" customWidth="1"/>
    <col min="12803" max="12803" width="11.85546875" style="73" bestFit="1" customWidth="1"/>
    <col min="12804" max="12804" width="12.28515625" style="73" bestFit="1" customWidth="1"/>
    <col min="12805" max="12805" width="12.5703125" style="73" bestFit="1" customWidth="1"/>
    <col min="12806" max="12806" width="12.28515625" style="73" bestFit="1" customWidth="1"/>
    <col min="12807" max="12807" width="10.7109375" style="73" bestFit="1" customWidth="1"/>
    <col min="12808" max="12809" width="12.42578125" style="73" bestFit="1" customWidth="1"/>
    <col min="12810" max="12810" width="12.140625" style="73" customWidth="1"/>
    <col min="12811" max="12811" width="14.5703125" style="73" bestFit="1" customWidth="1"/>
    <col min="12812" max="12812" width="11.85546875" style="73" bestFit="1" customWidth="1"/>
    <col min="12813" max="12813" width="9.85546875" style="73" bestFit="1" customWidth="1"/>
    <col min="12814" max="13056" width="9.140625" style="73"/>
    <col min="13057" max="13057" width="4.7109375" style="73" bestFit="1" customWidth="1"/>
    <col min="13058" max="13058" width="24.28515625" style="73" bestFit="1" customWidth="1"/>
    <col min="13059" max="13059" width="11.85546875" style="73" bestFit="1" customWidth="1"/>
    <col min="13060" max="13060" width="12.28515625" style="73" bestFit="1" customWidth="1"/>
    <col min="13061" max="13061" width="12.5703125" style="73" bestFit="1" customWidth="1"/>
    <col min="13062" max="13062" width="12.28515625" style="73" bestFit="1" customWidth="1"/>
    <col min="13063" max="13063" width="10.7109375" style="73" bestFit="1" customWidth="1"/>
    <col min="13064" max="13065" width="12.42578125" style="73" bestFit="1" customWidth="1"/>
    <col min="13066" max="13066" width="12.140625" style="73" customWidth="1"/>
    <col min="13067" max="13067" width="14.5703125" style="73" bestFit="1" customWidth="1"/>
    <col min="13068" max="13068" width="11.85546875" style="73" bestFit="1" customWidth="1"/>
    <col min="13069" max="13069" width="9.85546875" style="73" bestFit="1" customWidth="1"/>
    <col min="13070" max="13312" width="9.140625" style="73"/>
    <col min="13313" max="13313" width="4.7109375" style="73" bestFit="1" customWidth="1"/>
    <col min="13314" max="13314" width="24.28515625" style="73" bestFit="1" customWidth="1"/>
    <col min="13315" max="13315" width="11.85546875" style="73" bestFit="1" customWidth="1"/>
    <col min="13316" max="13316" width="12.28515625" style="73" bestFit="1" customWidth="1"/>
    <col min="13317" max="13317" width="12.5703125" style="73" bestFit="1" customWidth="1"/>
    <col min="13318" max="13318" width="12.28515625" style="73" bestFit="1" customWidth="1"/>
    <col min="13319" max="13319" width="10.7109375" style="73" bestFit="1" customWidth="1"/>
    <col min="13320" max="13321" width="12.42578125" style="73" bestFit="1" customWidth="1"/>
    <col min="13322" max="13322" width="12.140625" style="73" customWidth="1"/>
    <col min="13323" max="13323" width="14.5703125" style="73" bestFit="1" customWidth="1"/>
    <col min="13324" max="13324" width="11.85546875" style="73" bestFit="1" customWidth="1"/>
    <col min="13325" max="13325" width="9.85546875" style="73" bestFit="1" customWidth="1"/>
    <col min="13326" max="13568" width="9.140625" style="73"/>
    <col min="13569" max="13569" width="4.7109375" style="73" bestFit="1" customWidth="1"/>
    <col min="13570" max="13570" width="24.28515625" style="73" bestFit="1" customWidth="1"/>
    <col min="13571" max="13571" width="11.85546875" style="73" bestFit="1" customWidth="1"/>
    <col min="13572" max="13572" width="12.28515625" style="73" bestFit="1" customWidth="1"/>
    <col min="13573" max="13573" width="12.5703125" style="73" bestFit="1" customWidth="1"/>
    <col min="13574" max="13574" width="12.28515625" style="73" bestFit="1" customWidth="1"/>
    <col min="13575" max="13575" width="10.7109375" style="73" bestFit="1" customWidth="1"/>
    <col min="13576" max="13577" width="12.42578125" style="73" bestFit="1" customWidth="1"/>
    <col min="13578" max="13578" width="12.140625" style="73" customWidth="1"/>
    <col min="13579" max="13579" width="14.5703125" style="73" bestFit="1" customWidth="1"/>
    <col min="13580" max="13580" width="11.85546875" style="73" bestFit="1" customWidth="1"/>
    <col min="13581" max="13581" width="9.85546875" style="73" bestFit="1" customWidth="1"/>
    <col min="13582" max="13824" width="9.140625" style="73"/>
    <col min="13825" max="13825" width="4.7109375" style="73" bestFit="1" customWidth="1"/>
    <col min="13826" max="13826" width="24.28515625" style="73" bestFit="1" customWidth="1"/>
    <col min="13827" max="13827" width="11.85546875" style="73" bestFit="1" customWidth="1"/>
    <col min="13828" max="13828" width="12.28515625" style="73" bestFit="1" customWidth="1"/>
    <col min="13829" max="13829" width="12.5703125" style="73" bestFit="1" customWidth="1"/>
    <col min="13830" max="13830" width="12.28515625" style="73" bestFit="1" customWidth="1"/>
    <col min="13831" max="13831" width="10.7109375" style="73" bestFit="1" customWidth="1"/>
    <col min="13832" max="13833" width="12.42578125" style="73" bestFit="1" customWidth="1"/>
    <col min="13834" max="13834" width="12.140625" style="73" customWidth="1"/>
    <col min="13835" max="13835" width="14.5703125" style="73" bestFit="1" customWidth="1"/>
    <col min="13836" max="13836" width="11.85546875" style="73" bestFit="1" customWidth="1"/>
    <col min="13837" max="13837" width="9.85546875" style="73" bestFit="1" customWidth="1"/>
    <col min="13838" max="14080" width="9.140625" style="73"/>
    <col min="14081" max="14081" width="4.7109375" style="73" bestFit="1" customWidth="1"/>
    <col min="14082" max="14082" width="24.28515625" style="73" bestFit="1" customWidth="1"/>
    <col min="14083" max="14083" width="11.85546875" style="73" bestFit="1" customWidth="1"/>
    <col min="14084" max="14084" width="12.28515625" style="73" bestFit="1" customWidth="1"/>
    <col min="14085" max="14085" width="12.5703125" style="73" bestFit="1" customWidth="1"/>
    <col min="14086" max="14086" width="12.28515625" style="73" bestFit="1" customWidth="1"/>
    <col min="14087" max="14087" width="10.7109375" style="73" bestFit="1" customWidth="1"/>
    <col min="14088" max="14089" width="12.42578125" style="73" bestFit="1" customWidth="1"/>
    <col min="14090" max="14090" width="12.140625" style="73" customWidth="1"/>
    <col min="14091" max="14091" width="14.5703125" style="73" bestFit="1" customWidth="1"/>
    <col min="14092" max="14092" width="11.85546875" style="73" bestFit="1" customWidth="1"/>
    <col min="14093" max="14093" width="9.85546875" style="73" bestFit="1" customWidth="1"/>
    <col min="14094" max="14336" width="9.140625" style="73"/>
    <col min="14337" max="14337" width="4.7109375" style="73" bestFit="1" customWidth="1"/>
    <col min="14338" max="14338" width="24.28515625" style="73" bestFit="1" customWidth="1"/>
    <col min="14339" max="14339" width="11.85546875" style="73" bestFit="1" customWidth="1"/>
    <col min="14340" max="14340" width="12.28515625" style="73" bestFit="1" customWidth="1"/>
    <col min="14341" max="14341" width="12.5703125" style="73" bestFit="1" customWidth="1"/>
    <col min="14342" max="14342" width="12.28515625" style="73" bestFit="1" customWidth="1"/>
    <col min="14343" max="14343" width="10.7109375" style="73" bestFit="1" customWidth="1"/>
    <col min="14344" max="14345" width="12.42578125" style="73" bestFit="1" customWidth="1"/>
    <col min="14346" max="14346" width="12.140625" style="73" customWidth="1"/>
    <col min="14347" max="14347" width="14.5703125" style="73" bestFit="1" customWidth="1"/>
    <col min="14348" max="14348" width="11.85546875" style="73" bestFit="1" customWidth="1"/>
    <col min="14349" max="14349" width="9.85546875" style="73" bestFit="1" customWidth="1"/>
    <col min="14350" max="14592" width="9.140625" style="73"/>
    <col min="14593" max="14593" width="4.7109375" style="73" bestFit="1" customWidth="1"/>
    <col min="14594" max="14594" width="24.28515625" style="73" bestFit="1" customWidth="1"/>
    <col min="14595" max="14595" width="11.85546875" style="73" bestFit="1" customWidth="1"/>
    <col min="14596" max="14596" width="12.28515625" style="73" bestFit="1" customWidth="1"/>
    <col min="14597" max="14597" width="12.5703125" style="73" bestFit="1" customWidth="1"/>
    <col min="14598" max="14598" width="12.28515625" style="73" bestFit="1" customWidth="1"/>
    <col min="14599" max="14599" width="10.7109375" style="73" bestFit="1" customWidth="1"/>
    <col min="14600" max="14601" width="12.42578125" style="73" bestFit="1" customWidth="1"/>
    <col min="14602" max="14602" width="12.140625" style="73" customWidth="1"/>
    <col min="14603" max="14603" width="14.5703125" style="73" bestFit="1" customWidth="1"/>
    <col min="14604" max="14604" width="11.85546875" style="73" bestFit="1" customWidth="1"/>
    <col min="14605" max="14605" width="9.85546875" style="73" bestFit="1" customWidth="1"/>
    <col min="14606" max="14848" width="9.140625" style="73"/>
    <col min="14849" max="14849" width="4.7109375" style="73" bestFit="1" customWidth="1"/>
    <col min="14850" max="14850" width="24.28515625" style="73" bestFit="1" customWidth="1"/>
    <col min="14851" max="14851" width="11.85546875" style="73" bestFit="1" customWidth="1"/>
    <col min="14852" max="14852" width="12.28515625" style="73" bestFit="1" customWidth="1"/>
    <col min="14853" max="14853" width="12.5703125" style="73" bestFit="1" customWidth="1"/>
    <col min="14854" max="14854" width="12.28515625" style="73" bestFit="1" customWidth="1"/>
    <col min="14855" max="14855" width="10.7109375" style="73" bestFit="1" customWidth="1"/>
    <col min="14856" max="14857" width="12.42578125" style="73" bestFit="1" customWidth="1"/>
    <col min="14858" max="14858" width="12.140625" style="73" customWidth="1"/>
    <col min="14859" max="14859" width="14.5703125" style="73" bestFit="1" customWidth="1"/>
    <col min="14860" max="14860" width="11.85546875" style="73" bestFit="1" customWidth="1"/>
    <col min="14861" max="14861" width="9.85546875" style="73" bestFit="1" customWidth="1"/>
    <col min="14862" max="15104" width="9.140625" style="73"/>
    <col min="15105" max="15105" width="4.7109375" style="73" bestFit="1" customWidth="1"/>
    <col min="15106" max="15106" width="24.28515625" style="73" bestFit="1" customWidth="1"/>
    <col min="15107" max="15107" width="11.85546875" style="73" bestFit="1" customWidth="1"/>
    <col min="15108" max="15108" width="12.28515625" style="73" bestFit="1" customWidth="1"/>
    <col min="15109" max="15109" width="12.5703125" style="73" bestFit="1" customWidth="1"/>
    <col min="15110" max="15110" width="12.28515625" style="73" bestFit="1" customWidth="1"/>
    <col min="15111" max="15111" width="10.7109375" style="73" bestFit="1" customWidth="1"/>
    <col min="15112" max="15113" width="12.42578125" style="73" bestFit="1" customWidth="1"/>
    <col min="15114" max="15114" width="12.140625" style="73" customWidth="1"/>
    <col min="15115" max="15115" width="14.5703125" style="73" bestFit="1" customWidth="1"/>
    <col min="15116" max="15116" width="11.85546875" style="73" bestFit="1" customWidth="1"/>
    <col min="15117" max="15117" width="9.85546875" style="73" bestFit="1" customWidth="1"/>
    <col min="15118" max="15360" width="9.140625" style="73"/>
    <col min="15361" max="15361" width="4.7109375" style="73" bestFit="1" customWidth="1"/>
    <col min="15362" max="15362" width="24.28515625" style="73" bestFit="1" customWidth="1"/>
    <col min="15363" max="15363" width="11.85546875" style="73" bestFit="1" customWidth="1"/>
    <col min="15364" max="15364" width="12.28515625" style="73" bestFit="1" customWidth="1"/>
    <col min="15365" max="15365" width="12.5703125" style="73" bestFit="1" customWidth="1"/>
    <col min="15366" max="15366" width="12.28515625" style="73" bestFit="1" customWidth="1"/>
    <col min="15367" max="15367" width="10.7109375" style="73" bestFit="1" customWidth="1"/>
    <col min="15368" max="15369" width="12.42578125" style="73" bestFit="1" customWidth="1"/>
    <col min="15370" max="15370" width="12.140625" style="73" customWidth="1"/>
    <col min="15371" max="15371" width="14.5703125" style="73" bestFit="1" customWidth="1"/>
    <col min="15372" max="15372" width="11.85546875" style="73" bestFit="1" customWidth="1"/>
    <col min="15373" max="15373" width="9.85546875" style="73" bestFit="1" customWidth="1"/>
    <col min="15374" max="15616" width="9.140625" style="73"/>
    <col min="15617" max="15617" width="4.7109375" style="73" bestFit="1" customWidth="1"/>
    <col min="15618" max="15618" width="24.28515625" style="73" bestFit="1" customWidth="1"/>
    <col min="15619" max="15619" width="11.85546875" style="73" bestFit="1" customWidth="1"/>
    <col min="15620" max="15620" width="12.28515625" style="73" bestFit="1" customWidth="1"/>
    <col min="15621" max="15621" width="12.5703125" style="73" bestFit="1" customWidth="1"/>
    <col min="15622" max="15622" width="12.28515625" style="73" bestFit="1" customWidth="1"/>
    <col min="15623" max="15623" width="10.7109375" style="73" bestFit="1" customWidth="1"/>
    <col min="15624" max="15625" width="12.42578125" style="73" bestFit="1" customWidth="1"/>
    <col min="15626" max="15626" width="12.140625" style="73" customWidth="1"/>
    <col min="15627" max="15627" width="14.5703125" style="73" bestFit="1" customWidth="1"/>
    <col min="15628" max="15628" width="11.85546875" style="73" bestFit="1" customWidth="1"/>
    <col min="15629" max="15629" width="9.85546875" style="73" bestFit="1" customWidth="1"/>
    <col min="15630" max="15872" width="9.140625" style="73"/>
    <col min="15873" max="15873" width="4.7109375" style="73" bestFit="1" customWidth="1"/>
    <col min="15874" max="15874" width="24.28515625" style="73" bestFit="1" customWidth="1"/>
    <col min="15875" max="15875" width="11.85546875" style="73" bestFit="1" customWidth="1"/>
    <col min="15876" max="15876" width="12.28515625" style="73" bestFit="1" customWidth="1"/>
    <col min="15877" max="15877" width="12.5703125" style="73" bestFit="1" customWidth="1"/>
    <col min="15878" max="15878" width="12.28515625" style="73" bestFit="1" customWidth="1"/>
    <col min="15879" max="15879" width="10.7109375" style="73" bestFit="1" customWidth="1"/>
    <col min="15880" max="15881" width="12.42578125" style="73" bestFit="1" customWidth="1"/>
    <col min="15882" max="15882" width="12.140625" style="73" customWidth="1"/>
    <col min="15883" max="15883" width="14.5703125" style="73" bestFit="1" customWidth="1"/>
    <col min="15884" max="15884" width="11.85546875" style="73" bestFit="1" customWidth="1"/>
    <col min="15885" max="15885" width="9.85546875" style="73" bestFit="1" customWidth="1"/>
    <col min="15886" max="16128" width="9.140625" style="73"/>
    <col min="16129" max="16129" width="4.7109375" style="73" bestFit="1" customWidth="1"/>
    <col min="16130" max="16130" width="24.28515625" style="73" bestFit="1" customWidth="1"/>
    <col min="16131" max="16131" width="11.85546875" style="73" bestFit="1" customWidth="1"/>
    <col min="16132" max="16132" width="12.28515625" style="73" bestFit="1" customWidth="1"/>
    <col min="16133" max="16133" width="12.5703125" style="73" bestFit="1" customWidth="1"/>
    <col min="16134" max="16134" width="12.28515625" style="73" bestFit="1" customWidth="1"/>
    <col min="16135" max="16135" width="10.7109375" style="73" bestFit="1" customWidth="1"/>
    <col min="16136" max="16137" width="12.42578125" style="73" bestFit="1" customWidth="1"/>
    <col min="16138" max="16138" width="12.140625" style="73" customWidth="1"/>
    <col min="16139" max="16139" width="14.5703125" style="73" bestFit="1" customWidth="1"/>
    <col min="16140" max="16140" width="11.85546875" style="73" bestFit="1" customWidth="1"/>
    <col min="16141" max="16141" width="9.85546875" style="73" bestFit="1" customWidth="1"/>
    <col min="16142" max="16384" width="9.140625" style="73"/>
  </cols>
  <sheetData>
    <row r="1" spans="1:23" ht="18.75">
      <c r="B1" s="74"/>
      <c r="L1" s="76"/>
      <c r="W1" s="77"/>
    </row>
    <row r="2" spans="1:23">
      <c r="B2" s="73" t="s">
        <v>131</v>
      </c>
      <c r="D2" s="78">
        <f>T3</f>
        <v>7.6200000000000004E-2</v>
      </c>
      <c r="P2" s="73" t="s">
        <v>272</v>
      </c>
      <c r="T2" s="73" t="s">
        <v>273</v>
      </c>
    </row>
    <row r="3" spans="1:23">
      <c r="B3" s="73" t="s">
        <v>132</v>
      </c>
      <c r="D3" s="79">
        <f>D2/12</f>
        <v>6.3500000000000006E-3</v>
      </c>
      <c r="P3" s="80">
        <v>7.8799999999999995E-2</v>
      </c>
      <c r="Q3" s="73" t="s">
        <v>131</v>
      </c>
      <c r="T3" s="80">
        <v>7.6200000000000004E-2</v>
      </c>
      <c r="U3" s="73" t="s">
        <v>131</v>
      </c>
    </row>
    <row r="4" spans="1:23">
      <c r="B4" s="73" t="s">
        <v>133</v>
      </c>
      <c r="D4" s="81">
        <f>D5/12</f>
        <v>1128292.4667885939</v>
      </c>
      <c r="P4" s="80">
        <v>4.1200000000000001E-2</v>
      </c>
      <c r="Q4" s="73" t="s">
        <v>59</v>
      </c>
      <c r="T4" s="80">
        <v>3.8300000000000001E-2</v>
      </c>
      <c r="U4" s="73" t="s">
        <v>59</v>
      </c>
    </row>
    <row r="5" spans="1:23">
      <c r="B5" s="73" t="s">
        <v>134</v>
      </c>
      <c r="D5" s="81">
        <v>13539509.601463126</v>
      </c>
      <c r="P5" s="80">
        <f>P3-P4</f>
        <v>3.7599999999999995E-2</v>
      </c>
      <c r="Q5" s="73" t="s">
        <v>60</v>
      </c>
      <c r="T5" s="80">
        <f>T3-T4</f>
        <v>3.7900000000000003E-2</v>
      </c>
      <c r="U5" s="73" t="s">
        <v>60</v>
      </c>
    </row>
    <row r="6" spans="1:23">
      <c r="D6" s="82"/>
      <c r="P6" s="83">
        <f>P3/12</f>
        <v>6.566666666666666E-3</v>
      </c>
      <c r="Q6" s="73" t="s">
        <v>274</v>
      </c>
      <c r="T6" s="83">
        <f>T3/12</f>
        <v>6.3500000000000006E-3</v>
      </c>
      <c r="U6" s="73" t="s">
        <v>274</v>
      </c>
    </row>
    <row r="7" spans="1:23">
      <c r="C7" s="84"/>
      <c r="D7" s="85"/>
      <c r="E7" s="86"/>
      <c r="F7" s="87"/>
      <c r="G7" s="87"/>
      <c r="H7" s="87"/>
      <c r="I7" s="87"/>
      <c r="J7" s="88"/>
      <c r="K7" s="88"/>
    </row>
    <row r="8" spans="1:23">
      <c r="C8" s="354"/>
      <c r="D8" s="354"/>
      <c r="E8" s="354"/>
      <c r="F8" s="354"/>
      <c r="G8" s="354"/>
      <c r="H8" s="87"/>
      <c r="I8" s="87"/>
      <c r="J8" s="88"/>
      <c r="K8" s="88"/>
    </row>
    <row r="9" spans="1:23" ht="60">
      <c r="A9" s="86" t="s">
        <v>96</v>
      </c>
      <c r="B9" s="89" t="s">
        <v>135</v>
      </c>
      <c r="C9" s="89" t="s">
        <v>136</v>
      </c>
      <c r="D9" s="89" t="s">
        <v>137</v>
      </c>
      <c r="E9" s="90" t="s">
        <v>138</v>
      </c>
      <c r="F9" s="90" t="s">
        <v>139</v>
      </c>
      <c r="G9" s="90" t="s">
        <v>140</v>
      </c>
      <c r="H9" s="90" t="s">
        <v>141</v>
      </c>
      <c r="I9" s="89" t="s">
        <v>142</v>
      </c>
      <c r="J9" s="89" t="s">
        <v>143</v>
      </c>
      <c r="K9" s="89" t="s">
        <v>144</v>
      </c>
      <c r="L9" s="90" t="s">
        <v>145</v>
      </c>
    </row>
    <row r="10" spans="1:23">
      <c r="A10" s="86"/>
      <c r="B10" s="91"/>
      <c r="C10" s="72"/>
      <c r="D10" s="72"/>
      <c r="E10" s="92"/>
      <c r="F10" s="92">
        <v>0</v>
      </c>
      <c r="G10" s="92"/>
      <c r="H10" s="92">
        <v>0</v>
      </c>
      <c r="I10" s="93">
        <f>L10+H10</f>
        <v>0</v>
      </c>
      <c r="J10" s="72"/>
      <c r="K10" s="72"/>
      <c r="L10" s="92">
        <v>0</v>
      </c>
    </row>
    <row r="11" spans="1:23">
      <c r="A11" s="86">
        <v>1</v>
      </c>
      <c r="B11" s="91">
        <v>43101</v>
      </c>
      <c r="C11" s="94">
        <f>ROUND((15000000/12)*(13/31),2)</f>
        <v>524193.55</v>
      </c>
      <c r="D11" s="72"/>
      <c r="E11" s="92">
        <f>C11-D11</f>
        <v>524193.55</v>
      </c>
      <c r="F11" s="92">
        <f>E11+F10</f>
        <v>524193.55</v>
      </c>
      <c r="G11" s="92">
        <f>-E11*0.21</f>
        <v>-110080.6455</v>
      </c>
      <c r="H11" s="92">
        <f>G11+H10</f>
        <v>-110080.6455</v>
      </c>
      <c r="I11" s="93">
        <f>F11+H11</f>
        <v>414112.9045</v>
      </c>
      <c r="J11" s="72"/>
      <c r="K11" s="72"/>
      <c r="L11" s="92">
        <f>L10+E11+J11+K11</f>
        <v>524193.55</v>
      </c>
    </row>
    <row r="12" spans="1:23">
      <c r="A12" s="86">
        <v>2</v>
      </c>
      <c r="B12" s="91">
        <v>43132</v>
      </c>
      <c r="C12" s="94">
        <f>15000000/12</f>
        <v>1250000</v>
      </c>
      <c r="D12" s="72"/>
      <c r="E12" s="92">
        <f>C12-D12</f>
        <v>1250000</v>
      </c>
      <c r="F12" s="92">
        <f>E12+F11</f>
        <v>1774193.55</v>
      </c>
      <c r="G12" s="92">
        <f>-E12*0.21</f>
        <v>-262500</v>
      </c>
      <c r="H12" s="92">
        <f>G12+H11</f>
        <v>-372580.64549999998</v>
      </c>
      <c r="I12" s="93">
        <f>F12+H12</f>
        <v>1401612.9045000002</v>
      </c>
      <c r="J12" s="72">
        <f>ROUND(F11*$P$6,2)</f>
        <v>3442.2</v>
      </c>
      <c r="K12" s="72"/>
      <c r="L12" s="92">
        <f t="shared" ref="L12:L75" si="0">L11+E12+J12+K12</f>
        <v>1777635.75</v>
      </c>
    </row>
    <row r="13" spans="1:23">
      <c r="A13" s="86">
        <v>3</v>
      </c>
      <c r="B13" s="91">
        <v>43160</v>
      </c>
      <c r="C13" s="94">
        <f t="shared" ref="C13:C22" si="1">C12</f>
        <v>1250000</v>
      </c>
      <c r="D13" s="72"/>
      <c r="E13" s="92">
        <f t="shared" ref="E13:E78" si="2">C13-D13</f>
        <v>1250000</v>
      </c>
      <c r="F13" s="92">
        <f>E13+F12</f>
        <v>3024193.55</v>
      </c>
      <c r="G13" s="92">
        <f t="shared" ref="G13:G71" si="3">-E13*0.21</f>
        <v>-262500</v>
      </c>
      <c r="H13" s="92">
        <f>G13+H12</f>
        <v>-635080.64549999998</v>
      </c>
      <c r="I13" s="93">
        <f t="shared" ref="I13:I70" si="4">F13+H13</f>
        <v>2389112.9044999997</v>
      </c>
      <c r="J13" s="72">
        <f>ROUND(I12*$P$6,2)</f>
        <v>9203.92</v>
      </c>
      <c r="K13" s="72"/>
      <c r="L13" s="92">
        <f>L12+E13+J13+K13</f>
        <v>3036839.67</v>
      </c>
    </row>
    <row r="14" spans="1:23">
      <c r="A14" s="86">
        <v>4</v>
      </c>
      <c r="B14" s="91">
        <v>43191</v>
      </c>
      <c r="C14" s="94">
        <f t="shared" si="1"/>
        <v>1250000</v>
      </c>
      <c r="D14" s="72"/>
      <c r="E14" s="92">
        <f t="shared" si="2"/>
        <v>1250000</v>
      </c>
      <c r="F14" s="92">
        <f>E14+F13</f>
        <v>4274193.55</v>
      </c>
      <c r="G14" s="92">
        <f t="shared" si="3"/>
        <v>-262500</v>
      </c>
      <c r="H14" s="92">
        <f t="shared" ref="H14:H20" si="5">G14+H13</f>
        <v>-897580.64549999998</v>
      </c>
      <c r="I14" s="93">
        <f t="shared" si="4"/>
        <v>3376612.9044999997</v>
      </c>
      <c r="J14" s="72">
        <f t="shared" ref="J14:J46" si="6">ROUND(I13*$P$6,2)</f>
        <v>15688.51</v>
      </c>
      <c r="K14" s="72"/>
      <c r="L14" s="92">
        <f t="shared" si="0"/>
        <v>4302528.18</v>
      </c>
    </row>
    <row r="15" spans="1:23">
      <c r="A15" s="86">
        <v>5</v>
      </c>
      <c r="B15" s="91">
        <v>43221</v>
      </c>
      <c r="C15" s="94">
        <f t="shared" si="1"/>
        <v>1250000</v>
      </c>
      <c r="D15" s="72"/>
      <c r="E15" s="92">
        <f t="shared" si="2"/>
        <v>1250000</v>
      </c>
      <c r="F15" s="92">
        <f t="shared" ref="F15:F70" si="7">E15+F14</f>
        <v>5524193.5499999998</v>
      </c>
      <c r="G15" s="92">
        <f t="shared" si="3"/>
        <v>-262500</v>
      </c>
      <c r="H15" s="92">
        <f t="shared" si="5"/>
        <v>-1160080.6455000001</v>
      </c>
      <c r="I15" s="93">
        <f t="shared" si="4"/>
        <v>4364112.9045000002</v>
      </c>
      <c r="J15" s="72">
        <f t="shared" si="6"/>
        <v>22173.09</v>
      </c>
      <c r="K15" s="72"/>
      <c r="L15" s="92">
        <f t="shared" si="0"/>
        <v>5574701.2699999996</v>
      </c>
    </row>
    <row r="16" spans="1:23">
      <c r="A16" s="86">
        <v>6</v>
      </c>
      <c r="B16" s="91">
        <v>43252</v>
      </c>
      <c r="C16" s="94">
        <f t="shared" si="1"/>
        <v>1250000</v>
      </c>
      <c r="D16" s="72"/>
      <c r="E16" s="92">
        <f t="shared" si="2"/>
        <v>1250000</v>
      </c>
      <c r="F16" s="92">
        <f t="shared" si="7"/>
        <v>6774193.5499999998</v>
      </c>
      <c r="G16" s="92">
        <f t="shared" si="3"/>
        <v>-262500</v>
      </c>
      <c r="H16" s="92">
        <f t="shared" si="5"/>
        <v>-1422580.6455000001</v>
      </c>
      <c r="I16" s="93">
        <f t="shared" si="4"/>
        <v>5351612.9045000002</v>
      </c>
      <c r="J16" s="72">
        <f t="shared" si="6"/>
        <v>28657.67</v>
      </c>
      <c r="K16" s="72"/>
      <c r="L16" s="92">
        <f t="shared" si="0"/>
        <v>6853358.9399999995</v>
      </c>
    </row>
    <row r="17" spans="1:12">
      <c r="A17" s="86">
        <v>7</v>
      </c>
      <c r="B17" s="91">
        <v>43282</v>
      </c>
      <c r="C17" s="94">
        <f t="shared" si="1"/>
        <v>1250000</v>
      </c>
      <c r="D17" s="72"/>
      <c r="E17" s="92">
        <f t="shared" si="2"/>
        <v>1250000</v>
      </c>
      <c r="F17" s="92">
        <f t="shared" si="7"/>
        <v>8024193.5499999998</v>
      </c>
      <c r="G17" s="92">
        <f t="shared" si="3"/>
        <v>-262500</v>
      </c>
      <c r="H17" s="92">
        <f t="shared" si="5"/>
        <v>-1685080.6455000001</v>
      </c>
      <c r="I17" s="93">
        <f t="shared" si="4"/>
        <v>6339112.9045000002</v>
      </c>
      <c r="J17" s="72">
        <f t="shared" si="6"/>
        <v>35142.26</v>
      </c>
      <c r="K17" s="72"/>
      <c r="L17" s="92">
        <f t="shared" si="0"/>
        <v>8138501.1999999993</v>
      </c>
    </row>
    <row r="18" spans="1:12">
      <c r="A18" s="86">
        <v>8</v>
      </c>
      <c r="B18" s="91">
        <v>43313</v>
      </c>
      <c r="C18" s="94">
        <f t="shared" si="1"/>
        <v>1250000</v>
      </c>
      <c r="D18" s="72"/>
      <c r="E18" s="92">
        <f t="shared" si="2"/>
        <v>1250000</v>
      </c>
      <c r="F18" s="92">
        <f>E18+F17</f>
        <v>9274193.5500000007</v>
      </c>
      <c r="G18" s="92">
        <f t="shared" si="3"/>
        <v>-262500</v>
      </c>
      <c r="H18" s="92">
        <f t="shared" si="5"/>
        <v>-1947580.6455000001</v>
      </c>
      <c r="I18" s="93">
        <f t="shared" si="4"/>
        <v>7326612.9045000002</v>
      </c>
      <c r="J18" s="72">
        <f t="shared" si="6"/>
        <v>41626.839999999997</v>
      </c>
      <c r="K18" s="72"/>
      <c r="L18" s="92">
        <f t="shared" si="0"/>
        <v>9430128.0399999991</v>
      </c>
    </row>
    <row r="19" spans="1:12">
      <c r="A19" s="86">
        <v>9</v>
      </c>
      <c r="B19" s="91">
        <v>43344</v>
      </c>
      <c r="C19" s="94">
        <f t="shared" si="1"/>
        <v>1250000</v>
      </c>
      <c r="D19" s="72"/>
      <c r="E19" s="92">
        <f t="shared" si="2"/>
        <v>1250000</v>
      </c>
      <c r="F19" s="92">
        <f t="shared" si="7"/>
        <v>10524193.550000001</v>
      </c>
      <c r="G19" s="92">
        <f t="shared" si="3"/>
        <v>-262500</v>
      </c>
      <c r="H19" s="92">
        <f t="shared" si="5"/>
        <v>-2210080.6455000001</v>
      </c>
      <c r="I19" s="93">
        <f t="shared" si="4"/>
        <v>8314112.9045000002</v>
      </c>
      <c r="J19" s="72">
        <f t="shared" si="6"/>
        <v>48111.42</v>
      </c>
      <c r="K19" s="72"/>
      <c r="L19" s="92">
        <f t="shared" si="0"/>
        <v>10728239.459999999</v>
      </c>
    </row>
    <row r="20" spans="1:12">
      <c r="A20" s="86">
        <v>10</v>
      </c>
      <c r="B20" s="91">
        <v>43374</v>
      </c>
      <c r="C20" s="94">
        <f t="shared" si="1"/>
        <v>1250000</v>
      </c>
      <c r="D20" s="72"/>
      <c r="E20" s="92">
        <f t="shared" si="2"/>
        <v>1250000</v>
      </c>
      <c r="F20" s="92">
        <f t="shared" si="7"/>
        <v>11774193.550000001</v>
      </c>
      <c r="G20" s="92">
        <f t="shared" si="3"/>
        <v>-262500</v>
      </c>
      <c r="H20" s="92">
        <f t="shared" si="5"/>
        <v>-2472580.6455000001</v>
      </c>
      <c r="I20" s="93">
        <f t="shared" si="4"/>
        <v>9301612.9045000002</v>
      </c>
      <c r="J20" s="72">
        <f t="shared" si="6"/>
        <v>54596.01</v>
      </c>
      <c r="K20" s="72"/>
      <c r="L20" s="92">
        <f t="shared" si="0"/>
        <v>12032835.469999999</v>
      </c>
    </row>
    <row r="21" spans="1:12">
      <c r="A21" s="86">
        <v>11</v>
      </c>
      <c r="B21" s="91">
        <v>43405</v>
      </c>
      <c r="C21" s="94">
        <f t="shared" si="1"/>
        <v>1250000</v>
      </c>
      <c r="D21" s="72"/>
      <c r="E21" s="92">
        <f t="shared" si="2"/>
        <v>1250000</v>
      </c>
      <c r="F21" s="92">
        <f t="shared" si="7"/>
        <v>13024193.550000001</v>
      </c>
      <c r="G21" s="92">
        <f t="shared" si="3"/>
        <v>-262500</v>
      </c>
      <c r="H21" s="92">
        <f>G21+H20</f>
        <v>-2735080.6455000001</v>
      </c>
      <c r="I21" s="93">
        <f t="shared" si="4"/>
        <v>10289112.9045</v>
      </c>
      <c r="J21" s="72">
        <f t="shared" si="6"/>
        <v>61080.59</v>
      </c>
      <c r="K21" s="72"/>
      <c r="L21" s="92">
        <f t="shared" si="0"/>
        <v>13343916.059999999</v>
      </c>
    </row>
    <row r="22" spans="1:12">
      <c r="A22" s="86">
        <v>12</v>
      </c>
      <c r="B22" s="91">
        <v>43435</v>
      </c>
      <c r="C22" s="94">
        <f t="shared" si="1"/>
        <v>1250000</v>
      </c>
      <c r="D22" s="72"/>
      <c r="E22" s="92">
        <f t="shared" si="2"/>
        <v>1250000</v>
      </c>
      <c r="F22" s="92">
        <f t="shared" si="7"/>
        <v>14274193.550000001</v>
      </c>
      <c r="G22" s="92">
        <f t="shared" si="3"/>
        <v>-262500</v>
      </c>
      <c r="H22" s="92">
        <f>G22+H21</f>
        <v>-2997580.6455000001</v>
      </c>
      <c r="I22" s="93">
        <f t="shared" si="4"/>
        <v>11276612.9045</v>
      </c>
      <c r="J22" s="72">
        <f t="shared" si="6"/>
        <v>67565.17</v>
      </c>
      <c r="K22" s="72"/>
      <c r="L22" s="92">
        <f t="shared" si="0"/>
        <v>14661481.229999999</v>
      </c>
    </row>
    <row r="23" spans="1:12">
      <c r="A23" s="86">
        <v>13</v>
      </c>
      <c r="B23" s="91">
        <v>43466</v>
      </c>
      <c r="C23" s="94">
        <f>15000000/12</f>
        <v>1250000</v>
      </c>
      <c r="D23" s="72"/>
      <c r="E23" s="92">
        <f t="shared" si="2"/>
        <v>1250000</v>
      </c>
      <c r="F23" s="92">
        <f t="shared" si="7"/>
        <v>15524193.550000001</v>
      </c>
      <c r="G23" s="92">
        <f t="shared" si="3"/>
        <v>-262500</v>
      </c>
      <c r="H23" s="92">
        <f t="shared" ref="H23:H86" si="8">G23+H22</f>
        <v>-3260080.6455000001</v>
      </c>
      <c r="I23" s="93">
        <f t="shared" si="4"/>
        <v>12264112.9045</v>
      </c>
      <c r="J23" s="72">
        <f t="shared" si="6"/>
        <v>74049.759999999995</v>
      </c>
      <c r="K23" s="72"/>
      <c r="L23" s="92">
        <f t="shared" si="0"/>
        <v>15985530.989999998</v>
      </c>
    </row>
    <row r="24" spans="1:12">
      <c r="A24" s="86">
        <v>14</v>
      </c>
      <c r="B24" s="91">
        <v>43497</v>
      </c>
      <c r="C24" s="94">
        <f>C23</f>
        <v>1250000</v>
      </c>
      <c r="D24" s="72"/>
      <c r="E24" s="92">
        <f t="shared" si="2"/>
        <v>1250000</v>
      </c>
      <c r="F24" s="92">
        <f t="shared" si="7"/>
        <v>16774193.550000001</v>
      </c>
      <c r="G24" s="92">
        <f t="shared" si="3"/>
        <v>-262500</v>
      </c>
      <c r="H24" s="92">
        <f t="shared" si="8"/>
        <v>-3522580.6455000001</v>
      </c>
      <c r="I24" s="93">
        <f t="shared" si="4"/>
        <v>13251612.9045</v>
      </c>
      <c r="J24" s="72">
        <f t="shared" si="6"/>
        <v>80534.34</v>
      </c>
      <c r="K24" s="72"/>
      <c r="L24" s="92">
        <f t="shared" si="0"/>
        <v>17316065.329999998</v>
      </c>
    </row>
    <row r="25" spans="1:12">
      <c r="A25" s="86">
        <v>15</v>
      </c>
      <c r="B25" s="91">
        <v>43525</v>
      </c>
      <c r="C25" s="94">
        <f t="shared" ref="C25:C34" si="9">C24</f>
        <v>1250000</v>
      </c>
      <c r="D25" s="72"/>
      <c r="E25" s="92">
        <f t="shared" si="2"/>
        <v>1250000</v>
      </c>
      <c r="F25" s="92">
        <f t="shared" si="7"/>
        <v>18024193.550000001</v>
      </c>
      <c r="G25" s="92">
        <f t="shared" si="3"/>
        <v>-262500</v>
      </c>
      <c r="H25" s="92">
        <f t="shared" si="8"/>
        <v>-3785080.6455000001</v>
      </c>
      <c r="I25" s="93">
        <f t="shared" si="4"/>
        <v>14239112.9045</v>
      </c>
      <c r="J25" s="72">
        <f t="shared" si="6"/>
        <v>87018.92</v>
      </c>
      <c r="K25" s="72"/>
      <c r="L25" s="92">
        <f t="shared" si="0"/>
        <v>18653084.25</v>
      </c>
    </row>
    <row r="26" spans="1:12">
      <c r="A26" s="86">
        <v>16</v>
      </c>
      <c r="B26" s="91">
        <v>43556</v>
      </c>
      <c r="C26" s="94">
        <f t="shared" si="9"/>
        <v>1250000</v>
      </c>
      <c r="D26" s="72"/>
      <c r="E26" s="92">
        <f t="shared" si="2"/>
        <v>1250000</v>
      </c>
      <c r="F26" s="92">
        <f t="shared" si="7"/>
        <v>19274193.550000001</v>
      </c>
      <c r="G26" s="92">
        <f t="shared" si="3"/>
        <v>-262500</v>
      </c>
      <c r="H26" s="92">
        <f t="shared" si="8"/>
        <v>-4047580.6455000001</v>
      </c>
      <c r="I26" s="93">
        <f t="shared" si="4"/>
        <v>15226612.9045</v>
      </c>
      <c r="J26" s="72">
        <f t="shared" si="6"/>
        <v>93503.51</v>
      </c>
      <c r="K26" s="72"/>
      <c r="L26" s="92">
        <f t="shared" si="0"/>
        <v>19996587.760000002</v>
      </c>
    </row>
    <row r="27" spans="1:12">
      <c r="A27" s="86">
        <v>17</v>
      </c>
      <c r="B27" s="91">
        <v>43586</v>
      </c>
      <c r="C27" s="94">
        <f t="shared" si="9"/>
        <v>1250000</v>
      </c>
      <c r="D27" s="72"/>
      <c r="E27" s="92">
        <f t="shared" si="2"/>
        <v>1250000</v>
      </c>
      <c r="F27" s="92">
        <f t="shared" si="7"/>
        <v>20524193.550000001</v>
      </c>
      <c r="G27" s="92">
        <f t="shared" si="3"/>
        <v>-262500</v>
      </c>
      <c r="H27" s="92">
        <f t="shared" si="8"/>
        <v>-4310080.6455000006</v>
      </c>
      <c r="I27" s="93">
        <f t="shared" si="4"/>
        <v>16214112.9045</v>
      </c>
      <c r="J27" s="72">
        <f t="shared" si="6"/>
        <v>99988.09</v>
      </c>
      <c r="K27" s="72"/>
      <c r="L27" s="92">
        <f t="shared" si="0"/>
        <v>21346575.850000001</v>
      </c>
    </row>
    <row r="28" spans="1:12">
      <c r="A28" s="86">
        <v>18</v>
      </c>
      <c r="B28" s="91">
        <v>43617</v>
      </c>
      <c r="C28" s="94">
        <f t="shared" si="9"/>
        <v>1250000</v>
      </c>
      <c r="D28" s="72"/>
      <c r="E28" s="92">
        <f t="shared" si="2"/>
        <v>1250000</v>
      </c>
      <c r="F28" s="92">
        <f t="shared" si="7"/>
        <v>21774193.550000001</v>
      </c>
      <c r="G28" s="92">
        <f t="shared" si="3"/>
        <v>-262500</v>
      </c>
      <c r="H28" s="92">
        <f t="shared" si="8"/>
        <v>-4572580.6455000006</v>
      </c>
      <c r="I28" s="93">
        <f t="shared" si="4"/>
        <v>17201612.9045</v>
      </c>
      <c r="J28" s="72">
        <f t="shared" si="6"/>
        <v>106472.67</v>
      </c>
      <c r="K28" s="72"/>
      <c r="L28" s="92">
        <f t="shared" si="0"/>
        <v>22703048.520000003</v>
      </c>
    </row>
    <row r="29" spans="1:12">
      <c r="A29" s="86">
        <v>19</v>
      </c>
      <c r="B29" s="91">
        <v>43647</v>
      </c>
      <c r="C29" s="94">
        <f t="shared" si="9"/>
        <v>1250000</v>
      </c>
      <c r="D29" s="72"/>
      <c r="E29" s="92">
        <f t="shared" si="2"/>
        <v>1250000</v>
      </c>
      <c r="F29" s="92">
        <f t="shared" si="7"/>
        <v>23024193.550000001</v>
      </c>
      <c r="G29" s="92">
        <f t="shared" si="3"/>
        <v>-262500</v>
      </c>
      <c r="H29" s="92">
        <f t="shared" si="8"/>
        <v>-4835080.6455000006</v>
      </c>
      <c r="I29" s="93">
        <f t="shared" si="4"/>
        <v>18189112.9045</v>
      </c>
      <c r="J29" s="72">
        <f t="shared" si="6"/>
        <v>112957.26</v>
      </c>
      <c r="K29" s="72"/>
      <c r="L29" s="92">
        <f t="shared" si="0"/>
        <v>24066005.780000005</v>
      </c>
    </row>
    <row r="30" spans="1:12">
      <c r="A30" s="86">
        <v>20</v>
      </c>
      <c r="B30" s="91">
        <v>43678</v>
      </c>
      <c r="C30" s="94">
        <f t="shared" si="9"/>
        <v>1250000</v>
      </c>
      <c r="D30" s="72"/>
      <c r="E30" s="92">
        <f t="shared" si="2"/>
        <v>1250000</v>
      </c>
      <c r="F30" s="92">
        <f t="shared" si="7"/>
        <v>24274193.550000001</v>
      </c>
      <c r="G30" s="92">
        <f t="shared" si="3"/>
        <v>-262500</v>
      </c>
      <c r="H30" s="92">
        <f t="shared" si="8"/>
        <v>-5097580.6455000006</v>
      </c>
      <c r="I30" s="93">
        <f t="shared" si="4"/>
        <v>19176612.9045</v>
      </c>
      <c r="J30" s="72">
        <f t="shared" si="6"/>
        <v>119441.84</v>
      </c>
      <c r="K30" s="72"/>
      <c r="L30" s="92">
        <f t="shared" si="0"/>
        <v>25435447.620000005</v>
      </c>
    </row>
    <row r="31" spans="1:12">
      <c r="A31" s="86">
        <v>21</v>
      </c>
      <c r="B31" s="91">
        <v>43709</v>
      </c>
      <c r="C31" s="94">
        <f t="shared" si="9"/>
        <v>1250000</v>
      </c>
      <c r="D31" s="72"/>
      <c r="E31" s="92">
        <f t="shared" si="2"/>
        <v>1250000</v>
      </c>
      <c r="F31" s="92">
        <f t="shared" si="7"/>
        <v>25524193.550000001</v>
      </c>
      <c r="G31" s="92">
        <f t="shared" si="3"/>
        <v>-262500</v>
      </c>
      <c r="H31" s="92">
        <f t="shared" si="8"/>
        <v>-5360080.6455000006</v>
      </c>
      <c r="I31" s="93">
        <f t="shared" si="4"/>
        <v>20164112.9045</v>
      </c>
      <c r="J31" s="72">
        <f t="shared" si="6"/>
        <v>125926.42</v>
      </c>
      <c r="K31" s="72"/>
      <c r="L31" s="92">
        <f t="shared" si="0"/>
        <v>26811374.040000007</v>
      </c>
    </row>
    <row r="32" spans="1:12">
      <c r="A32" s="86">
        <v>22</v>
      </c>
      <c r="B32" s="91">
        <v>43739</v>
      </c>
      <c r="C32" s="94">
        <f t="shared" si="9"/>
        <v>1250000</v>
      </c>
      <c r="D32" s="72"/>
      <c r="E32" s="92">
        <f t="shared" si="2"/>
        <v>1250000</v>
      </c>
      <c r="F32" s="92">
        <f t="shared" si="7"/>
        <v>26774193.550000001</v>
      </c>
      <c r="G32" s="92">
        <f t="shared" si="3"/>
        <v>-262500</v>
      </c>
      <c r="H32" s="92">
        <f t="shared" si="8"/>
        <v>-5622580.6455000006</v>
      </c>
      <c r="I32" s="93">
        <f t="shared" si="4"/>
        <v>21151612.9045</v>
      </c>
      <c r="J32" s="72">
        <f t="shared" si="6"/>
        <v>132411.01</v>
      </c>
      <c r="K32" s="72"/>
      <c r="L32" s="92">
        <f t="shared" si="0"/>
        <v>28193785.050000008</v>
      </c>
    </row>
    <row r="33" spans="1:12">
      <c r="A33" s="86">
        <v>23</v>
      </c>
      <c r="B33" s="91">
        <v>43770</v>
      </c>
      <c r="C33" s="94">
        <f t="shared" si="9"/>
        <v>1250000</v>
      </c>
      <c r="D33" s="72"/>
      <c r="E33" s="92">
        <f t="shared" si="2"/>
        <v>1250000</v>
      </c>
      <c r="F33" s="92">
        <f t="shared" si="7"/>
        <v>28024193.550000001</v>
      </c>
      <c r="G33" s="92">
        <f t="shared" si="3"/>
        <v>-262500</v>
      </c>
      <c r="H33" s="92">
        <f t="shared" si="8"/>
        <v>-5885080.6455000006</v>
      </c>
      <c r="I33" s="93">
        <f t="shared" si="4"/>
        <v>22139112.9045</v>
      </c>
      <c r="J33" s="72">
        <f t="shared" si="6"/>
        <v>138895.59</v>
      </c>
      <c r="K33" s="72"/>
      <c r="L33" s="92">
        <f t="shared" si="0"/>
        <v>29582680.640000008</v>
      </c>
    </row>
    <row r="34" spans="1:12">
      <c r="A34" s="86">
        <v>24</v>
      </c>
      <c r="B34" s="91">
        <v>43800</v>
      </c>
      <c r="C34" s="94">
        <f t="shared" si="9"/>
        <v>1250000</v>
      </c>
      <c r="D34" s="72"/>
      <c r="E34" s="92">
        <f t="shared" si="2"/>
        <v>1250000</v>
      </c>
      <c r="F34" s="92">
        <f t="shared" si="7"/>
        <v>29274193.550000001</v>
      </c>
      <c r="G34" s="92">
        <f t="shared" si="3"/>
        <v>-262500</v>
      </c>
      <c r="H34" s="92">
        <f t="shared" si="8"/>
        <v>-6147580.6455000006</v>
      </c>
      <c r="I34" s="93">
        <f t="shared" si="4"/>
        <v>23126612.9045</v>
      </c>
      <c r="J34" s="72">
        <f t="shared" si="6"/>
        <v>145380.17000000001</v>
      </c>
      <c r="K34" s="72"/>
      <c r="L34" s="92">
        <f t="shared" si="0"/>
        <v>30978060.81000001</v>
      </c>
    </row>
    <row r="35" spans="1:12">
      <c r="A35" s="86">
        <v>25</v>
      </c>
      <c r="B35" s="91">
        <v>43831</v>
      </c>
      <c r="C35" s="94">
        <f>ROUND(10000000/12,2)</f>
        <v>833333.33</v>
      </c>
      <c r="D35" s="72"/>
      <c r="E35" s="92">
        <f>C35-D35</f>
        <v>833333.33</v>
      </c>
      <c r="F35" s="92">
        <f t="shared" si="7"/>
        <v>30107526.879999999</v>
      </c>
      <c r="G35" s="92">
        <f t="shared" si="3"/>
        <v>-174999.9993</v>
      </c>
      <c r="H35" s="92">
        <f t="shared" si="8"/>
        <v>-6322580.6448000008</v>
      </c>
      <c r="I35" s="93">
        <f t="shared" si="4"/>
        <v>23784946.235199999</v>
      </c>
      <c r="J35" s="72">
        <f t="shared" si="6"/>
        <v>151864.76</v>
      </c>
      <c r="K35" s="72"/>
      <c r="L35" s="92">
        <f t="shared" si="0"/>
        <v>31963258.90000001</v>
      </c>
    </row>
    <row r="36" spans="1:12">
      <c r="A36" s="86">
        <v>26</v>
      </c>
      <c r="B36" s="91">
        <v>43862</v>
      </c>
      <c r="C36" s="94">
        <f>C35</f>
        <v>833333.33</v>
      </c>
      <c r="D36" s="72"/>
      <c r="E36" s="92">
        <f t="shared" si="2"/>
        <v>833333.33</v>
      </c>
      <c r="F36" s="92">
        <f t="shared" si="7"/>
        <v>30940860.209999997</v>
      </c>
      <c r="G36" s="92">
        <f t="shared" si="3"/>
        <v>-174999.9993</v>
      </c>
      <c r="H36" s="92">
        <f t="shared" si="8"/>
        <v>-6497580.6441000011</v>
      </c>
      <c r="I36" s="93">
        <f t="shared" si="4"/>
        <v>24443279.565899998</v>
      </c>
      <c r="J36" s="72">
        <f t="shared" si="6"/>
        <v>156187.81</v>
      </c>
      <c r="K36" s="72"/>
      <c r="L36" s="92">
        <f t="shared" si="0"/>
        <v>32952780.040000007</v>
      </c>
    </row>
    <row r="37" spans="1:12">
      <c r="A37" s="86">
        <v>27</v>
      </c>
      <c r="B37" s="91">
        <v>43891</v>
      </c>
      <c r="C37" s="94">
        <f t="shared" ref="C37:C46" si="10">C36</f>
        <v>833333.33</v>
      </c>
      <c r="D37" s="72"/>
      <c r="E37" s="92">
        <f t="shared" si="2"/>
        <v>833333.33</v>
      </c>
      <c r="F37" s="92">
        <f t="shared" si="7"/>
        <v>31774193.539999995</v>
      </c>
      <c r="G37" s="92">
        <f t="shared" si="3"/>
        <v>-174999.9993</v>
      </c>
      <c r="H37" s="92">
        <f t="shared" si="8"/>
        <v>-6672580.6434000013</v>
      </c>
      <c r="I37" s="93">
        <f t="shared" si="4"/>
        <v>25101612.896599993</v>
      </c>
      <c r="J37" s="72">
        <f t="shared" si="6"/>
        <v>160510.87</v>
      </c>
      <c r="K37" s="72"/>
      <c r="L37" s="92">
        <f t="shared" si="0"/>
        <v>33946624.240000002</v>
      </c>
    </row>
    <row r="38" spans="1:12">
      <c r="A38" s="86">
        <v>28</v>
      </c>
      <c r="B38" s="91">
        <v>43922</v>
      </c>
      <c r="C38" s="94">
        <f t="shared" si="10"/>
        <v>833333.33</v>
      </c>
      <c r="D38" s="72"/>
      <c r="E38" s="92">
        <f t="shared" si="2"/>
        <v>833333.33</v>
      </c>
      <c r="F38" s="92">
        <f t="shared" si="7"/>
        <v>32607526.869999994</v>
      </c>
      <c r="G38" s="92">
        <f t="shared" si="3"/>
        <v>-174999.9993</v>
      </c>
      <c r="H38" s="92">
        <f t="shared" si="8"/>
        <v>-6847580.6427000016</v>
      </c>
      <c r="I38" s="93">
        <f t="shared" si="4"/>
        <v>25759946.227299992</v>
      </c>
      <c r="J38" s="72">
        <f t="shared" si="6"/>
        <v>164833.92000000001</v>
      </c>
      <c r="K38" s="72"/>
      <c r="L38" s="92">
        <f t="shared" si="0"/>
        <v>34944791.490000002</v>
      </c>
    </row>
    <row r="39" spans="1:12">
      <c r="A39" s="86">
        <v>29</v>
      </c>
      <c r="B39" s="91">
        <v>43952</v>
      </c>
      <c r="C39" s="94">
        <f t="shared" si="10"/>
        <v>833333.33</v>
      </c>
      <c r="D39" s="72"/>
      <c r="E39" s="92">
        <f t="shared" si="2"/>
        <v>833333.33</v>
      </c>
      <c r="F39" s="92">
        <f t="shared" si="7"/>
        <v>33440860.199999992</v>
      </c>
      <c r="G39" s="92">
        <f t="shared" si="3"/>
        <v>-174999.9993</v>
      </c>
      <c r="H39" s="92">
        <f t="shared" si="8"/>
        <v>-7022580.6420000019</v>
      </c>
      <c r="I39" s="93">
        <f t="shared" si="4"/>
        <v>26418279.557999991</v>
      </c>
      <c r="J39" s="72">
        <f t="shared" si="6"/>
        <v>169156.98</v>
      </c>
      <c r="K39" s="72"/>
      <c r="L39" s="92">
        <f t="shared" si="0"/>
        <v>35947281.799999997</v>
      </c>
    </row>
    <row r="40" spans="1:12">
      <c r="A40" s="86">
        <v>30</v>
      </c>
      <c r="B40" s="91">
        <v>43983</v>
      </c>
      <c r="C40" s="94">
        <f t="shared" si="10"/>
        <v>833333.33</v>
      </c>
      <c r="D40" s="72"/>
      <c r="E40" s="92">
        <f t="shared" si="2"/>
        <v>833333.33</v>
      </c>
      <c r="F40" s="92">
        <f t="shared" si="7"/>
        <v>34274193.529999994</v>
      </c>
      <c r="G40" s="92">
        <f t="shared" si="3"/>
        <v>-174999.9993</v>
      </c>
      <c r="H40" s="92">
        <f t="shared" si="8"/>
        <v>-7197580.6413000021</v>
      </c>
      <c r="I40" s="93">
        <f t="shared" si="4"/>
        <v>27076612.888699993</v>
      </c>
      <c r="J40" s="72">
        <f t="shared" si="6"/>
        <v>173480.04</v>
      </c>
      <c r="K40" s="72"/>
      <c r="L40" s="92">
        <f t="shared" si="0"/>
        <v>36954095.169999994</v>
      </c>
    </row>
    <row r="41" spans="1:12">
      <c r="A41" s="86">
        <v>31</v>
      </c>
      <c r="B41" s="91">
        <v>44013</v>
      </c>
      <c r="C41" s="94">
        <f t="shared" si="10"/>
        <v>833333.33</v>
      </c>
      <c r="D41" s="72"/>
      <c r="E41" s="92">
        <f t="shared" si="2"/>
        <v>833333.33</v>
      </c>
      <c r="F41" s="92">
        <f t="shared" si="7"/>
        <v>35107526.859999992</v>
      </c>
      <c r="G41" s="92">
        <f t="shared" si="3"/>
        <v>-174999.9993</v>
      </c>
      <c r="H41" s="92">
        <f t="shared" si="8"/>
        <v>-7372580.6406000024</v>
      </c>
      <c r="I41" s="93">
        <f t="shared" si="4"/>
        <v>27734946.219399989</v>
      </c>
      <c r="J41" s="72">
        <f t="shared" si="6"/>
        <v>177803.09</v>
      </c>
      <c r="K41" s="72"/>
      <c r="L41" s="92">
        <f t="shared" si="0"/>
        <v>37965231.589999996</v>
      </c>
    </row>
    <row r="42" spans="1:12">
      <c r="A42" s="86">
        <v>32</v>
      </c>
      <c r="B42" s="91">
        <v>44044</v>
      </c>
      <c r="C42" s="94">
        <f t="shared" si="10"/>
        <v>833333.33</v>
      </c>
      <c r="D42" s="72"/>
      <c r="E42" s="92">
        <f t="shared" si="2"/>
        <v>833333.33</v>
      </c>
      <c r="F42" s="92">
        <f t="shared" si="7"/>
        <v>35940860.18999999</v>
      </c>
      <c r="G42" s="92">
        <f t="shared" si="3"/>
        <v>-174999.9993</v>
      </c>
      <c r="H42" s="92">
        <f t="shared" si="8"/>
        <v>-7547580.6399000026</v>
      </c>
      <c r="I42" s="93">
        <f t="shared" si="4"/>
        <v>28393279.550099988</v>
      </c>
      <c r="J42" s="72">
        <f t="shared" si="6"/>
        <v>182126.15</v>
      </c>
      <c r="K42" s="72"/>
      <c r="L42" s="92">
        <f t="shared" si="0"/>
        <v>38980691.069999993</v>
      </c>
    </row>
    <row r="43" spans="1:12">
      <c r="A43" s="86">
        <v>33</v>
      </c>
      <c r="B43" s="91">
        <v>44075</v>
      </c>
      <c r="C43" s="94">
        <f t="shared" si="10"/>
        <v>833333.33</v>
      </c>
      <c r="D43" s="72"/>
      <c r="E43" s="92">
        <f t="shared" si="2"/>
        <v>833333.33</v>
      </c>
      <c r="F43" s="92">
        <f t="shared" si="7"/>
        <v>36774193.519999988</v>
      </c>
      <c r="G43" s="92">
        <f t="shared" si="3"/>
        <v>-174999.9993</v>
      </c>
      <c r="H43" s="92">
        <f t="shared" si="8"/>
        <v>-7722580.6392000029</v>
      </c>
      <c r="I43" s="93">
        <f t="shared" si="4"/>
        <v>29051612.880799986</v>
      </c>
      <c r="J43" s="72">
        <f t="shared" si="6"/>
        <v>186449.2</v>
      </c>
      <c r="K43" s="72"/>
      <c r="L43" s="92">
        <f t="shared" si="0"/>
        <v>40000473.599999994</v>
      </c>
    </row>
    <row r="44" spans="1:12">
      <c r="A44" s="86">
        <v>34</v>
      </c>
      <c r="B44" s="91">
        <v>44105</v>
      </c>
      <c r="C44" s="94">
        <f t="shared" si="10"/>
        <v>833333.33</v>
      </c>
      <c r="D44" s="72"/>
      <c r="E44" s="92">
        <f t="shared" si="2"/>
        <v>833333.33</v>
      </c>
      <c r="F44" s="92">
        <f t="shared" si="7"/>
        <v>37607526.849999987</v>
      </c>
      <c r="G44" s="92">
        <f t="shared" si="3"/>
        <v>-174999.9993</v>
      </c>
      <c r="H44" s="92">
        <f t="shared" si="8"/>
        <v>-7897580.6385000031</v>
      </c>
      <c r="I44" s="93">
        <f t="shared" si="4"/>
        <v>29709946.211499982</v>
      </c>
      <c r="J44" s="72">
        <f t="shared" si="6"/>
        <v>190772.26</v>
      </c>
      <c r="K44" s="72"/>
      <c r="L44" s="92">
        <f t="shared" si="0"/>
        <v>41024579.18999999</v>
      </c>
    </row>
    <row r="45" spans="1:12">
      <c r="A45" s="86">
        <v>35</v>
      </c>
      <c r="B45" s="91">
        <v>44136</v>
      </c>
      <c r="C45" s="94">
        <f t="shared" si="10"/>
        <v>833333.33</v>
      </c>
      <c r="D45" s="72"/>
      <c r="E45" s="92">
        <f t="shared" si="2"/>
        <v>833333.33</v>
      </c>
      <c r="F45" s="92">
        <f t="shared" si="7"/>
        <v>38440860.179999985</v>
      </c>
      <c r="G45" s="92">
        <f t="shared" si="3"/>
        <v>-174999.9993</v>
      </c>
      <c r="H45" s="92">
        <f t="shared" si="8"/>
        <v>-8072580.6378000034</v>
      </c>
      <c r="I45" s="93">
        <f t="shared" si="4"/>
        <v>30368279.54219998</v>
      </c>
      <c r="J45" s="72">
        <f t="shared" si="6"/>
        <v>195095.31</v>
      </c>
      <c r="K45" s="72"/>
      <c r="L45" s="92">
        <f t="shared" si="0"/>
        <v>42053007.829999991</v>
      </c>
    </row>
    <row r="46" spans="1:12">
      <c r="A46" s="86">
        <v>36</v>
      </c>
      <c r="B46" s="91">
        <v>44166</v>
      </c>
      <c r="C46" s="94">
        <f t="shared" si="10"/>
        <v>833333.33</v>
      </c>
      <c r="D46" s="72"/>
      <c r="E46" s="92">
        <f t="shared" si="2"/>
        <v>833333.33</v>
      </c>
      <c r="F46" s="92">
        <f t="shared" si="7"/>
        <v>39274193.509999983</v>
      </c>
      <c r="G46" s="92">
        <f t="shared" si="3"/>
        <v>-174999.9993</v>
      </c>
      <c r="H46" s="92">
        <f>G46+H45</f>
        <v>-8247580.6371000037</v>
      </c>
      <c r="I46" s="93">
        <f>F46+H46</f>
        <v>31026612.872899979</v>
      </c>
      <c r="J46" s="72">
        <f t="shared" si="6"/>
        <v>199418.37</v>
      </c>
      <c r="K46" s="72"/>
      <c r="L46" s="92">
        <f>L45+E46+J46+K46</f>
        <v>43085759.529999986</v>
      </c>
    </row>
    <row r="47" spans="1:12">
      <c r="A47" s="86">
        <v>37</v>
      </c>
      <c r="B47" s="91" t="s">
        <v>275</v>
      </c>
      <c r="C47" s="94"/>
      <c r="D47" s="72"/>
      <c r="E47" s="92"/>
      <c r="F47" s="92"/>
      <c r="G47" s="92"/>
      <c r="H47" s="92"/>
      <c r="I47" s="93"/>
      <c r="J47" s="72">
        <f>ROUND((I46*P6*(13/31)),2)</f>
        <v>85439.95</v>
      </c>
      <c r="K47" s="72"/>
      <c r="L47" s="92">
        <f>L46+J47</f>
        <v>43171199.479999989</v>
      </c>
    </row>
    <row r="48" spans="1:12">
      <c r="A48" s="86">
        <v>38</v>
      </c>
      <c r="B48" s="91" t="s">
        <v>275</v>
      </c>
      <c r="C48" s="94">
        <f>ROUND(5000000/12,2)-0.01</f>
        <v>416666.66</v>
      </c>
      <c r="D48" s="72"/>
      <c r="E48" s="92">
        <f t="shared" si="2"/>
        <v>416666.66</v>
      </c>
      <c r="F48" s="92">
        <f>E48+F46</f>
        <v>39690860.169999979</v>
      </c>
      <c r="G48" s="92">
        <f>-E48*0.21</f>
        <v>-87499.998599999992</v>
      </c>
      <c r="H48" s="92">
        <f>G48+H46</f>
        <v>-8335080.6357000032</v>
      </c>
      <c r="I48" s="93">
        <f>F48+H48</f>
        <v>31355779.534299977</v>
      </c>
      <c r="J48" s="72">
        <f>ROUND((I46*$T$6*(18/31)),2)</f>
        <v>114398.12</v>
      </c>
      <c r="K48" s="72"/>
      <c r="L48" s="92">
        <f>L47+E48+J48+K48</f>
        <v>43702264.259999983</v>
      </c>
    </row>
    <row r="49" spans="1:12">
      <c r="A49" s="86">
        <v>39</v>
      </c>
      <c r="B49" s="91">
        <v>44228</v>
      </c>
      <c r="C49" s="94">
        <f>C48</f>
        <v>416666.66</v>
      </c>
      <c r="D49" s="72"/>
      <c r="E49" s="92">
        <f t="shared" si="2"/>
        <v>416666.66</v>
      </c>
      <c r="F49" s="92">
        <f t="shared" si="7"/>
        <v>40107526.829999976</v>
      </c>
      <c r="G49" s="92">
        <f t="shared" si="3"/>
        <v>-87499.998599999992</v>
      </c>
      <c r="H49" s="92">
        <f t="shared" si="8"/>
        <v>-8422580.6343000028</v>
      </c>
      <c r="I49" s="93">
        <f t="shared" si="4"/>
        <v>31684946.195699975</v>
      </c>
      <c r="J49" s="72">
        <f>ROUND(I48*$T$6,2)</f>
        <v>199109.2</v>
      </c>
      <c r="K49" s="72"/>
      <c r="L49" s="92">
        <f>L48+E49+J49+K49</f>
        <v>44318040.119999982</v>
      </c>
    </row>
    <row r="50" spans="1:12">
      <c r="A50" s="86">
        <v>40</v>
      </c>
      <c r="B50" s="91">
        <v>44256</v>
      </c>
      <c r="C50" s="94">
        <f t="shared" ref="C50:C59" si="11">C49</f>
        <v>416666.66</v>
      </c>
      <c r="D50" s="72"/>
      <c r="E50" s="92">
        <f t="shared" si="2"/>
        <v>416666.66</v>
      </c>
      <c r="F50" s="92">
        <f t="shared" si="7"/>
        <v>40524193.489999972</v>
      </c>
      <c r="G50" s="92">
        <f t="shared" si="3"/>
        <v>-87499.998599999992</v>
      </c>
      <c r="H50" s="92">
        <f t="shared" si="8"/>
        <v>-8510080.6329000033</v>
      </c>
      <c r="I50" s="93">
        <f t="shared" si="4"/>
        <v>32014112.857099969</v>
      </c>
      <c r="J50" s="72">
        <f t="shared" ref="J50:J69" si="12">ROUND(I49*$T$6,2)</f>
        <v>201199.41</v>
      </c>
      <c r="K50" s="72"/>
      <c r="L50" s="92">
        <f t="shared" si="0"/>
        <v>44935906.189999975</v>
      </c>
    </row>
    <row r="51" spans="1:12">
      <c r="A51" s="86">
        <v>41</v>
      </c>
      <c r="B51" s="91">
        <v>44287</v>
      </c>
      <c r="C51" s="94">
        <f t="shared" si="11"/>
        <v>416666.66</v>
      </c>
      <c r="D51" s="72"/>
      <c r="E51" s="92">
        <f t="shared" si="2"/>
        <v>416666.66</v>
      </c>
      <c r="F51" s="92">
        <f t="shared" si="7"/>
        <v>40940860.149999969</v>
      </c>
      <c r="G51" s="92">
        <f t="shared" si="3"/>
        <v>-87499.998599999992</v>
      </c>
      <c r="H51" s="92">
        <f t="shared" si="8"/>
        <v>-8597580.6315000039</v>
      </c>
      <c r="I51" s="93">
        <f t="shared" si="4"/>
        <v>32343279.518499963</v>
      </c>
      <c r="J51" s="72">
        <f t="shared" si="12"/>
        <v>203289.62</v>
      </c>
      <c r="K51" s="72"/>
      <c r="L51" s="92">
        <f t="shared" si="0"/>
        <v>45555862.469999969</v>
      </c>
    </row>
    <row r="52" spans="1:12">
      <c r="A52" s="86">
        <v>42</v>
      </c>
      <c r="B52" s="91">
        <v>44317</v>
      </c>
      <c r="C52" s="94">
        <f t="shared" si="11"/>
        <v>416666.66</v>
      </c>
      <c r="D52" s="72"/>
      <c r="E52" s="92">
        <f t="shared" si="2"/>
        <v>416666.66</v>
      </c>
      <c r="F52" s="92">
        <f t="shared" si="7"/>
        <v>41357526.809999965</v>
      </c>
      <c r="G52" s="92">
        <f t="shared" si="3"/>
        <v>-87499.998599999992</v>
      </c>
      <c r="H52" s="92">
        <f t="shared" si="8"/>
        <v>-8685080.6301000044</v>
      </c>
      <c r="I52" s="93">
        <f t="shared" si="4"/>
        <v>32672446.179899961</v>
      </c>
      <c r="J52" s="72">
        <f t="shared" si="12"/>
        <v>205379.82</v>
      </c>
      <c r="K52" s="72"/>
      <c r="L52" s="92">
        <f t="shared" si="0"/>
        <v>46177908.949999966</v>
      </c>
    </row>
    <row r="53" spans="1:12">
      <c r="A53" s="86">
        <v>43</v>
      </c>
      <c r="B53" s="91">
        <v>44348</v>
      </c>
      <c r="C53" s="94">
        <f t="shared" si="11"/>
        <v>416666.66</v>
      </c>
      <c r="D53" s="72"/>
      <c r="E53" s="92">
        <f t="shared" si="2"/>
        <v>416666.66</v>
      </c>
      <c r="F53" s="92">
        <f t="shared" si="7"/>
        <v>41774193.469999962</v>
      </c>
      <c r="G53" s="92">
        <f t="shared" si="3"/>
        <v>-87499.998599999992</v>
      </c>
      <c r="H53" s="92">
        <f t="shared" si="8"/>
        <v>-8772580.6287000049</v>
      </c>
      <c r="I53" s="93">
        <f t="shared" si="4"/>
        <v>33001612.841299959</v>
      </c>
      <c r="J53" s="72">
        <f t="shared" si="12"/>
        <v>207470.03</v>
      </c>
      <c r="K53" s="72"/>
      <c r="L53" s="92">
        <f t="shared" si="0"/>
        <v>46802045.639999963</v>
      </c>
    </row>
    <row r="54" spans="1:12">
      <c r="A54" s="86">
        <v>44</v>
      </c>
      <c r="B54" s="91">
        <v>44378</v>
      </c>
      <c r="C54" s="94">
        <f t="shared" si="11"/>
        <v>416666.66</v>
      </c>
      <c r="D54" s="72"/>
      <c r="E54" s="92">
        <f t="shared" si="2"/>
        <v>416666.66</v>
      </c>
      <c r="F54" s="92">
        <f t="shared" si="7"/>
        <v>42190860.129999958</v>
      </c>
      <c r="G54" s="92">
        <f t="shared" si="3"/>
        <v>-87499.998599999992</v>
      </c>
      <c r="H54" s="92">
        <f t="shared" si="8"/>
        <v>-8860080.6273000054</v>
      </c>
      <c r="I54" s="93">
        <f t="shared" si="4"/>
        <v>33330779.502699953</v>
      </c>
      <c r="J54" s="72">
        <f t="shared" si="12"/>
        <v>209560.24</v>
      </c>
      <c r="K54" s="72"/>
      <c r="L54" s="92">
        <f t="shared" si="0"/>
        <v>47428272.539999962</v>
      </c>
    </row>
    <row r="55" spans="1:12">
      <c r="A55" s="86">
        <v>45</v>
      </c>
      <c r="B55" s="91">
        <v>44409</v>
      </c>
      <c r="C55" s="94">
        <f t="shared" si="11"/>
        <v>416666.66</v>
      </c>
      <c r="D55" s="72"/>
      <c r="E55" s="92">
        <f t="shared" si="2"/>
        <v>416666.66</v>
      </c>
      <c r="F55" s="92">
        <f t="shared" si="7"/>
        <v>42607526.789999954</v>
      </c>
      <c r="G55" s="92">
        <f t="shared" si="3"/>
        <v>-87499.998599999992</v>
      </c>
      <c r="H55" s="92">
        <f t="shared" si="8"/>
        <v>-8947580.6259000059</v>
      </c>
      <c r="I55" s="93">
        <f t="shared" si="4"/>
        <v>33659946.164099947</v>
      </c>
      <c r="J55" s="72">
        <f t="shared" si="12"/>
        <v>211650.45</v>
      </c>
      <c r="K55" s="72"/>
      <c r="L55" s="92">
        <f t="shared" si="0"/>
        <v>48056589.649999961</v>
      </c>
    </row>
    <row r="56" spans="1:12">
      <c r="A56" s="86">
        <v>46</v>
      </c>
      <c r="B56" s="91">
        <v>44440</v>
      </c>
      <c r="C56" s="94">
        <f t="shared" si="11"/>
        <v>416666.66</v>
      </c>
      <c r="D56" s="72"/>
      <c r="E56" s="92">
        <f t="shared" si="2"/>
        <v>416666.66</v>
      </c>
      <c r="F56" s="92">
        <f t="shared" si="7"/>
        <v>43024193.449999951</v>
      </c>
      <c r="G56" s="92">
        <f t="shared" si="3"/>
        <v>-87499.998599999992</v>
      </c>
      <c r="H56" s="92">
        <f t="shared" si="8"/>
        <v>-9035080.6245000064</v>
      </c>
      <c r="I56" s="93">
        <f t="shared" si="4"/>
        <v>33989112.825499944</v>
      </c>
      <c r="J56" s="72">
        <f t="shared" si="12"/>
        <v>213740.66</v>
      </c>
      <c r="K56" s="72"/>
      <c r="L56" s="92">
        <f t="shared" si="0"/>
        <v>48686996.969999954</v>
      </c>
    </row>
    <row r="57" spans="1:12">
      <c r="A57" s="86">
        <v>47</v>
      </c>
      <c r="B57" s="91">
        <v>44470</v>
      </c>
      <c r="C57" s="94">
        <f t="shared" si="11"/>
        <v>416666.66</v>
      </c>
      <c r="D57" s="72"/>
      <c r="E57" s="92">
        <f t="shared" si="2"/>
        <v>416666.66</v>
      </c>
      <c r="F57" s="92">
        <f t="shared" si="7"/>
        <v>43440860.109999947</v>
      </c>
      <c r="G57" s="92">
        <f t="shared" si="3"/>
        <v>-87499.998599999992</v>
      </c>
      <c r="H57" s="92">
        <f t="shared" si="8"/>
        <v>-9122580.623100007</v>
      </c>
      <c r="I57" s="93">
        <f t="shared" si="4"/>
        <v>34318279.486899942</v>
      </c>
      <c r="J57" s="72">
        <f t="shared" si="12"/>
        <v>215830.87</v>
      </c>
      <c r="K57" s="72"/>
      <c r="L57" s="92">
        <f t="shared" si="0"/>
        <v>49319494.499999948</v>
      </c>
    </row>
    <row r="58" spans="1:12">
      <c r="A58" s="86">
        <v>48</v>
      </c>
      <c r="B58" s="91">
        <v>44501</v>
      </c>
      <c r="C58" s="94">
        <f t="shared" si="11"/>
        <v>416666.66</v>
      </c>
      <c r="D58" s="72"/>
      <c r="E58" s="92">
        <f t="shared" si="2"/>
        <v>416666.66</v>
      </c>
      <c r="F58" s="92">
        <f t="shared" si="7"/>
        <v>43857526.769999944</v>
      </c>
      <c r="G58" s="92">
        <f t="shared" si="3"/>
        <v>-87499.998599999992</v>
      </c>
      <c r="H58" s="92">
        <f t="shared" si="8"/>
        <v>-9210080.6217000075</v>
      </c>
      <c r="I58" s="93">
        <f t="shared" si="4"/>
        <v>34647446.148299932</v>
      </c>
      <c r="J58" s="72">
        <f t="shared" si="12"/>
        <v>217921.07</v>
      </c>
      <c r="K58" s="72"/>
      <c r="L58" s="92">
        <f t="shared" si="0"/>
        <v>49954082.229999945</v>
      </c>
    </row>
    <row r="59" spans="1:12">
      <c r="A59" s="86">
        <v>49</v>
      </c>
      <c r="B59" s="91">
        <v>44531</v>
      </c>
      <c r="C59" s="94">
        <f t="shared" si="11"/>
        <v>416666.66</v>
      </c>
      <c r="D59" s="72"/>
      <c r="E59" s="92">
        <f t="shared" si="2"/>
        <v>416666.66</v>
      </c>
      <c r="F59" s="92">
        <f t="shared" si="7"/>
        <v>44274193.42999994</v>
      </c>
      <c r="G59" s="92">
        <f t="shared" si="3"/>
        <v>-87499.998599999992</v>
      </c>
      <c r="H59" s="92">
        <f t="shared" si="8"/>
        <v>-9297580.620300008</v>
      </c>
      <c r="I59" s="93">
        <f t="shared" si="4"/>
        <v>34976612.80969993</v>
      </c>
      <c r="J59" s="72">
        <f t="shared" si="12"/>
        <v>220011.28</v>
      </c>
      <c r="K59" s="72"/>
      <c r="L59" s="92">
        <f t="shared" si="0"/>
        <v>50590760.169999942</v>
      </c>
    </row>
    <row r="60" spans="1:12">
      <c r="A60" s="86">
        <v>50</v>
      </c>
      <c r="B60" s="91">
        <v>44562</v>
      </c>
      <c r="C60" s="94">
        <f>C59</f>
        <v>416666.66</v>
      </c>
      <c r="D60" s="72"/>
      <c r="E60" s="92">
        <f t="shared" si="2"/>
        <v>416666.66</v>
      </c>
      <c r="F60" s="92">
        <f t="shared" si="7"/>
        <v>44690860.089999937</v>
      </c>
      <c r="G60" s="92">
        <f t="shared" si="3"/>
        <v>-87499.998599999992</v>
      </c>
      <c r="H60" s="92">
        <f t="shared" si="8"/>
        <v>-9385080.6189000085</v>
      </c>
      <c r="I60" s="93">
        <f t="shared" si="4"/>
        <v>35305779.471099928</v>
      </c>
      <c r="J60" s="72">
        <f t="shared" si="12"/>
        <v>222101.49</v>
      </c>
      <c r="K60" s="72"/>
      <c r="L60" s="92">
        <f t="shared" si="0"/>
        <v>51229528.319999941</v>
      </c>
    </row>
    <row r="61" spans="1:12">
      <c r="A61" s="86">
        <v>51</v>
      </c>
      <c r="B61" s="91">
        <v>44593</v>
      </c>
      <c r="C61" s="94">
        <f>C60</f>
        <v>416666.66</v>
      </c>
      <c r="D61" s="72"/>
      <c r="E61" s="92">
        <f t="shared" si="2"/>
        <v>416666.66</v>
      </c>
      <c r="F61" s="92">
        <f t="shared" si="7"/>
        <v>45107526.749999933</v>
      </c>
      <c r="G61" s="92">
        <f t="shared" si="3"/>
        <v>-87499.998599999992</v>
      </c>
      <c r="H61" s="92">
        <f t="shared" si="8"/>
        <v>-9472580.617500009</v>
      </c>
      <c r="I61" s="93">
        <f t="shared" si="4"/>
        <v>35634946.132499926</v>
      </c>
      <c r="J61" s="72">
        <f t="shared" si="12"/>
        <v>224191.7</v>
      </c>
      <c r="K61" s="72"/>
      <c r="L61" s="92">
        <f t="shared" si="0"/>
        <v>51870386.67999994</v>
      </c>
    </row>
    <row r="62" spans="1:12">
      <c r="A62" s="86">
        <v>52</v>
      </c>
      <c r="B62" s="91">
        <v>44621</v>
      </c>
      <c r="C62" s="94">
        <f t="shared" ref="C62:C70" si="13">C61</f>
        <v>416666.66</v>
      </c>
      <c r="D62" s="72"/>
      <c r="E62" s="92">
        <f t="shared" si="2"/>
        <v>416666.66</v>
      </c>
      <c r="F62" s="92">
        <f t="shared" si="7"/>
        <v>45524193.409999929</v>
      </c>
      <c r="G62" s="92">
        <f t="shared" si="3"/>
        <v>-87499.998599999992</v>
      </c>
      <c r="H62" s="92">
        <f t="shared" si="8"/>
        <v>-9560080.6161000095</v>
      </c>
      <c r="I62" s="93">
        <f t="shared" si="4"/>
        <v>35964112.793899924</v>
      </c>
      <c r="J62" s="72">
        <f t="shared" si="12"/>
        <v>226281.91</v>
      </c>
      <c r="K62" s="72"/>
      <c r="L62" s="92">
        <f t="shared" si="0"/>
        <v>52513335.249999933</v>
      </c>
    </row>
    <row r="63" spans="1:12">
      <c r="A63" s="86">
        <v>53</v>
      </c>
      <c r="B63" s="91">
        <v>44652</v>
      </c>
      <c r="C63" s="94">
        <f t="shared" si="13"/>
        <v>416666.66</v>
      </c>
      <c r="D63" s="72"/>
      <c r="E63" s="92">
        <f t="shared" si="2"/>
        <v>416666.66</v>
      </c>
      <c r="F63" s="92">
        <f t="shared" si="7"/>
        <v>45940860.069999926</v>
      </c>
      <c r="G63" s="92">
        <f t="shared" si="3"/>
        <v>-87499.998599999992</v>
      </c>
      <c r="H63" s="92">
        <f t="shared" si="8"/>
        <v>-9647580.61470001</v>
      </c>
      <c r="I63" s="93">
        <f t="shared" si="4"/>
        <v>36293279.455299914</v>
      </c>
      <c r="J63" s="72">
        <f t="shared" si="12"/>
        <v>228372.12</v>
      </c>
      <c r="K63" s="72"/>
      <c r="L63" s="92">
        <f t="shared" si="0"/>
        <v>53158374.029999927</v>
      </c>
    </row>
    <row r="64" spans="1:12">
      <c r="A64" s="86">
        <v>54</v>
      </c>
      <c r="B64" s="91">
        <v>44682</v>
      </c>
      <c r="C64" s="94">
        <f t="shared" si="13"/>
        <v>416666.66</v>
      </c>
      <c r="D64" s="72"/>
      <c r="E64" s="92">
        <f t="shared" si="2"/>
        <v>416666.66</v>
      </c>
      <c r="F64" s="92">
        <f t="shared" si="7"/>
        <v>46357526.729999922</v>
      </c>
      <c r="G64" s="92">
        <f t="shared" si="3"/>
        <v>-87499.998599999992</v>
      </c>
      <c r="H64" s="92">
        <f t="shared" si="8"/>
        <v>-9735080.6133000106</v>
      </c>
      <c r="I64" s="93">
        <f t="shared" si="4"/>
        <v>36622446.116699912</v>
      </c>
      <c r="J64" s="72">
        <f t="shared" si="12"/>
        <v>230462.32</v>
      </c>
      <c r="K64" s="72"/>
      <c r="L64" s="92">
        <f t="shared" si="0"/>
        <v>53805503.009999923</v>
      </c>
    </row>
    <row r="65" spans="1:30">
      <c r="A65" s="86">
        <v>55</v>
      </c>
      <c r="B65" s="91">
        <v>44713</v>
      </c>
      <c r="C65" s="94">
        <f t="shared" si="13"/>
        <v>416666.66</v>
      </c>
      <c r="D65" s="72"/>
      <c r="E65" s="92">
        <f t="shared" si="2"/>
        <v>416666.66</v>
      </c>
      <c r="F65" s="92">
        <f t="shared" si="7"/>
        <v>46774193.389999919</v>
      </c>
      <c r="G65" s="92">
        <f t="shared" si="3"/>
        <v>-87499.998599999992</v>
      </c>
      <c r="H65" s="92">
        <f t="shared" si="8"/>
        <v>-9822580.6119000111</v>
      </c>
      <c r="I65" s="93">
        <f t="shared" si="4"/>
        <v>36951612.778099909</v>
      </c>
      <c r="J65" s="72">
        <f t="shared" si="12"/>
        <v>232552.53</v>
      </c>
      <c r="K65" s="72"/>
      <c r="L65" s="92">
        <f t="shared" si="0"/>
        <v>54454722.199999921</v>
      </c>
    </row>
    <row r="66" spans="1:30">
      <c r="A66" s="86">
        <v>56</v>
      </c>
      <c r="B66" s="91">
        <v>44743</v>
      </c>
      <c r="C66" s="94">
        <f t="shared" si="13"/>
        <v>416666.66</v>
      </c>
      <c r="D66" s="72"/>
      <c r="E66" s="92">
        <f t="shared" si="2"/>
        <v>416666.66</v>
      </c>
      <c r="F66" s="92">
        <f t="shared" si="7"/>
        <v>47190860.049999915</v>
      </c>
      <c r="G66" s="92">
        <f t="shared" si="3"/>
        <v>-87499.998599999992</v>
      </c>
      <c r="H66" s="92">
        <f t="shared" si="8"/>
        <v>-9910080.6105000116</v>
      </c>
      <c r="I66" s="93">
        <f t="shared" si="4"/>
        <v>37280779.4394999</v>
      </c>
      <c r="J66" s="72">
        <f t="shared" si="12"/>
        <v>234642.74</v>
      </c>
      <c r="K66" s="72"/>
      <c r="L66" s="92">
        <f>L65+E66+J66+K66</f>
        <v>55106031.59999992</v>
      </c>
      <c r="AD66" s="95"/>
    </row>
    <row r="67" spans="1:30">
      <c r="A67" s="86">
        <v>57</v>
      </c>
      <c r="B67" s="91">
        <v>44774</v>
      </c>
      <c r="C67" s="94">
        <f t="shared" si="13"/>
        <v>416666.66</v>
      </c>
      <c r="D67" s="72"/>
      <c r="E67" s="92">
        <f t="shared" si="2"/>
        <v>416666.66</v>
      </c>
      <c r="F67" s="92">
        <f t="shared" si="7"/>
        <v>47607526.709999911</v>
      </c>
      <c r="G67" s="92">
        <f t="shared" si="3"/>
        <v>-87499.998599999992</v>
      </c>
      <c r="H67" s="92">
        <f t="shared" si="8"/>
        <v>-9997580.6091000121</v>
      </c>
      <c r="I67" s="93">
        <f t="shared" si="4"/>
        <v>37609946.100899898</v>
      </c>
      <c r="J67" s="72">
        <f t="shared" si="12"/>
        <v>236732.95</v>
      </c>
      <c r="K67" s="72"/>
      <c r="L67" s="92">
        <f>L66+E67+J67+K67</f>
        <v>55759431.209999919</v>
      </c>
    </row>
    <row r="68" spans="1:30">
      <c r="A68" s="86">
        <v>58</v>
      </c>
      <c r="B68" s="91">
        <v>44805</v>
      </c>
      <c r="C68" s="94">
        <f t="shared" si="13"/>
        <v>416666.66</v>
      </c>
      <c r="D68" s="72"/>
      <c r="E68" s="92">
        <f>C68-D68</f>
        <v>416666.66</v>
      </c>
      <c r="F68" s="92">
        <f t="shared" si="7"/>
        <v>48024193.369999908</v>
      </c>
      <c r="G68" s="92">
        <f t="shared" si="3"/>
        <v>-87499.998599999992</v>
      </c>
      <c r="H68" s="92">
        <f t="shared" si="8"/>
        <v>-10085080.607700013</v>
      </c>
      <c r="I68" s="93">
        <f t="shared" si="4"/>
        <v>37939112.762299895</v>
      </c>
      <c r="J68" s="72">
        <f t="shared" si="12"/>
        <v>238823.16</v>
      </c>
      <c r="K68" s="72"/>
      <c r="L68" s="92">
        <f t="shared" si="0"/>
        <v>56414921.029999912</v>
      </c>
      <c r="AD68" s="95"/>
    </row>
    <row r="69" spans="1:30">
      <c r="A69" s="86">
        <v>59</v>
      </c>
      <c r="B69" s="91">
        <v>44835</v>
      </c>
      <c r="C69" s="94">
        <f t="shared" si="13"/>
        <v>416666.66</v>
      </c>
      <c r="D69" s="72"/>
      <c r="E69" s="92">
        <f t="shared" si="2"/>
        <v>416666.66</v>
      </c>
      <c r="F69" s="92">
        <f t="shared" si="7"/>
        <v>48440860.029999904</v>
      </c>
      <c r="G69" s="92">
        <f t="shared" si="3"/>
        <v>-87499.998599999992</v>
      </c>
      <c r="H69" s="92">
        <f t="shared" si="8"/>
        <v>-10172580.606300013</v>
      </c>
      <c r="I69" s="93">
        <f t="shared" si="4"/>
        <v>38268279.423699893</v>
      </c>
      <c r="J69" s="72">
        <f t="shared" si="12"/>
        <v>240913.37</v>
      </c>
      <c r="K69" s="72"/>
      <c r="L69" s="92">
        <f t="shared" si="0"/>
        <v>57072501.059999906</v>
      </c>
    </row>
    <row r="70" spans="1:30">
      <c r="A70" s="86">
        <v>60</v>
      </c>
      <c r="B70" s="91">
        <v>44866</v>
      </c>
      <c r="C70" s="94">
        <f t="shared" si="13"/>
        <v>416666.66</v>
      </c>
      <c r="D70" s="72"/>
      <c r="E70" s="92">
        <f t="shared" si="2"/>
        <v>416666.66</v>
      </c>
      <c r="F70" s="92">
        <f t="shared" si="7"/>
        <v>48857526.689999901</v>
      </c>
      <c r="G70" s="92">
        <f>-E70*0.21</f>
        <v>-87499.998599999992</v>
      </c>
      <c r="H70" s="92">
        <f t="shared" si="8"/>
        <v>-10260080.604900014</v>
      </c>
      <c r="I70" s="93">
        <f t="shared" si="4"/>
        <v>38597446.085099891</v>
      </c>
      <c r="J70" s="72">
        <f>ROUND(I69*$T$6,2)</f>
        <v>243003.57</v>
      </c>
      <c r="K70" s="72"/>
      <c r="L70" s="92">
        <f t="shared" si="0"/>
        <v>57732171.289999902</v>
      </c>
    </row>
    <row r="71" spans="1:30">
      <c r="A71" s="86">
        <v>61</v>
      </c>
      <c r="B71" s="96" t="s">
        <v>172</v>
      </c>
      <c r="C71" s="94">
        <f>ROUND(C70*8/31,2)</f>
        <v>107526.88</v>
      </c>
      <c r="D71" s="72"/>
      <c r="E71" s="92">
        <f>C71-D71</f>
        <v>107526.88</v>
      </c>
      <c r="F71" s="92">
        <f>E71+F70</f>
        <v>48965053.569999903</v>
      </c>
      <c r="G71" s="92">
        <f t="shared" si="3"/>
        <v>-22580.644800000002</v>
      </c>
      <c r="H71" s="92">
        <f t="shared" si="8"/>
        <v>-10282661.249700014</v>
      </c>
      <c r="I71" s="93">
        <f>F71+H71</f>
        <v>38682392.320299894</v>
      </c>
      <c r="J71" s="72">
        <f>ROUND((I70*$T$6*(8/31)),2)</f>
        <v>63250.01</v>
      </c>
      <c r="K71" s="72"/>
      <c r="L71" s="92">
        <f>L70+E71+J71+K71</f>
        <v>57902948.179999903</v>
      </c>
    </row>
    <row r="72" spans="1:30">
      <c r="A72" s="86">
        <v>62</v>
      </c>
      <c r="B72" s="96" t="s">
        <v>173</v>
      </c>
      <c r="C72" s="94"/>
      <c r="D72" s="72">
        <f>$D$4*23/31</f>
        <v>837120.21729476319</v>
      </c>
      <c r="E72" s="92">
        <f t="shared" si="2"/>
        <v>-837120.21729476319</v>
      </c>
      <c r="F72" s="92"/>
      <c r="G72" s="92">
        <f>-AVERAGE(G$11:G$71)*23/31</f>
        <v>127151.18749629048</v>
      </c>
      <c r="H72" s="92">
        <f>G72+H71</f>
        <v>-10155510.062203724</v>
      </c>
      <c r="I72" s="93">
        <f>L72+H72</f>
        <v>47134670.900501415</v>
      </c>
      <c r="J72" s="82"/>
      <c r="K72" s="72">
        <f>ROUND(((L71+H71)*$D$3*(23/31)),2)</f>
        <v>224353</v>
      </c>
      <c r="L72" s="92">
        <f>L71+E72+J72+K72</f>
        <v>57290180.962705143</v>
      </c>
    </row>
    <row r="73" spans="1:30">
      <c r="A73" s="86">
        <v>63</v>
      </c>
      <c r="B73" s="91">
        <v>44927</v>
      </c>
      <c r="C73" s="72"/>
      <c r="D73" s="72">
        <f t="shared" ref="D73:D131" si="14">$D$4</f>
        <v>1128292.4667885939</v>
      </c>
      <c r="E73" s="92">
        <f t="shared" si="2"/>
        <v>-1128292.4667885939</v>
      </c>
      <c r="F73" s="92"/>
      <c r="G73" s="92">
        <f t="shared" ref="G73:G130" si="15">-AVERAGE(G$11:G$71)</f>
        <v>171377.68749500022</v>
      </c>
      <c r="H73" s="92">
        <f t="shared" si="8"/>
        <v>-9984132.3747087233</v>
      </c>
      <c r="I73" s="93">
        <f t="shared" ref="I73:I132" si="16">L73+H73</f>
        <v>46477061.281426013</v>
      </c>
      <c r="J73" s="72"/>
      <c r="K73" s="72">
        <f>(L72+H72)*$D$3</f>
        <v>299305.160218184</v>
      </c>
      <c r="L73" s="92">
        <f t="shared" si="0"/>
        <v>56461193.656134732</v>
      </c>
    </row>
    <row r="74" spans="1:30">
      <c r="A74" s="86">
        <v>64</v>
      </c>
      <c r="B74" s="91">
        <v>44958</v>
      </c>
      <c r="C74" s="72"/>
      <c r="D74" s="72">
        <f t="shared" si="14"/>
        <v>1128292.4667885939</v>
      </c>
      <c r="E74" s="92">
        <f t="shared" si="2"/>
        <v>-1128292.4667885939</v>
      </c>
      <c r="F74" s="92"/>
      <c r="G74" s="92">
        <f t="shared" si="15"/>
        <v>171377.68749500022</v>
      </c>
      <c r="H74" s="92">
        <f t="shared" si="8"/>
        <v>-9812754.6872137226</v>
      </c>
      <c r="I74" s="93">
        <f t="shared" si="16"/>
        <v>45815275.841269463</v>
      </c>
      <c r="J74" s="72"/>
      <c r="K74" s="72">
        <f t="shared" ref="K74:K131" si="17">(L73+H73)*$D$3</f>
        <v>295129.33913705521</v>
      </c>
      <c r="L74" s="92">
        <f t="shared" si="0"/>
        <v>55628030.52848319</v>
      </c>
    </row>
    <row r="75" spans="1:30">
      <c r="A75" s="86">
        <v>65</v>
      </c>
      <c r="B75" s="91">
        <v>44986</v>
      </c>
      <c r="C75" s="72"/>
      <c r="D75" s="72">
        <f t="shared" si="14"/>
        <v>1128292.4667885939</v>
      </c>
      <c r="E75" s="92">
        <f t="shared" si="2"/>
        <v>-1128292.4667885939</v>
      </c>
      <c r="F75" s="92"/>
      <c r="G75" s="92">
        <f t="shared" si="15"/>
        <v>171377.68749500022</v>
      </c>
      <c r="H75" s="92">
        <f t="shared" si="8"/>
        <v>-9641376.999718722</v>
      </c>
      <c r="I75" s="93">
        <f t="shared" si="16"/>
        <v>45149288.063567936</v>
      </c>
      <c r="J75" s="72"/>
      <c r="K75" s="72">
        <f t="shared" si="17"/>
        <v>290927.00159206113</v>
      </c>
      <c r="L75" s="92">
        <f t="shared" si="0"/>
        <v>54790665.063286655</v>
      </c>
    </row>
    <row r="76" spans="1:30">
      <c r="A76" s="86">
        <v>66</v>
      </c>
      <c r="B76" s="91">
        <v>45017</v>
      </c>
      <c r="C76" s="72"/>
      <c r="D76" s="72">
        <f t="shared" si="14"/>
        <v>1128292.4667885939</v>
      </c>
      <c r="E76" s="92">
        <f t="shared" si="2"/>
        <v>-1128292.4667885939</v>
      </c>
      <c r="F76" s="92"/>
      <c r="G76" s="92">
        <f t="shared" si="15"/>
        <v>171377.68749500022</v>
      </c>
      <c r="H76" s="92">
        <f t="shared" si="8"/>
        <v>-9469999.3122237213</v>
      </c>
      <c r="I76" s="93">
        <f t="shared" si="16"/>
        <v>44479071.263477996</v>
      </c>
      <c r="J76" s="72"/>
      <c r="K76" s="72">
        <f t="shared" si="17"/>
        <v>286697.97920365643</v>
      </c>
      <c r="L76" s="92">
        <f t="shared" ref="L76:L132" si="18">L75+E76+J76+K76</f>
        <v>53949070.575701714</v>
      </c>
    </row>
    <row r="77" spans="1:30">
      <c r="A77" s="86">
        <v>67</v>
      </c>
      <c r="B77" s="91">
        <v>45047</v>
      </c>
      <c r="C77" s="72"/>
      <c r="D77" s="72">
        <f t="shared" si="14"/>
        <v>1128292.4667885939</v>
      </c>
      <c r="E77" s="92">
        <f t="shared" si="2"/>
        <v>-1128292.4667885939</v>
      </c>
      <c r="F77" s="92"/>
      <c r="G77" s="92">
        <f t="shared" si="15"/>
        <v>171377.68749500022</v>
      </c>
      <c r="H77" s="92">
        <f t="shared" si="8"/>
        <v>-9298621.6247287206</v>
      </c>
      <c r="I77" s="93">
        <f t="shared" si="16"/>
        <v>43804598.586707488</v>
      </c>
      <c r="J77" s="72"/>
      <c r="K77" s="72">
        <f t="shared" si="17"/>
        <v>282442.10252308531</v>
      </c>
      <c r="L77" s="92">
        <f t="shared" si="18"/>
        <v>53103220.211436205</v>
      </c>
    </row>
    <row r="78" spans="1:30">
      <c r="A78" s="86">
        <v>68</v>
      </c>
      <c r="B78" s="91">
        <v>45078</v>
      </c>
      <c r="C78" s="72"/>
      <c r="D78" s="72">
        <f t="shared" si="14"/>
        <v>1128292.4667885939</v>
      </c>
      <c r="E78" s="92">
        <f t="shared" si="2"/>
        <v>-1128292.4667885939</v>
      </c>
      <c r="F78" s="92"/>
      <c r="G78" s="92">
        <f t="shared" si="15"/>
        <v>171377.68749500022</v>
      </c>
      <c r="H78" s="92">
        <f t="shared" si="8"/>
        <v>-9127243.93723372</v>
      </c>
      <c r="I78" s="93">
        <f t="shared" si="16"/>
        <v>43125843.008439481</v>
      </c>
      <c r="J78" s="72"/>
      <c r="K78" s="72">
        <f t="shared" si="17"/>
        <v>278159.20102559257</v>
      </c>
      <c r="L78" s="92">
        <f t="shared" si="18"/>
        <v>52253086.945673198</v>
      </c>
    </row>
    <row r="79" spans="1:30">
      <c r="A79" s="86">
        <v>69</v>
      </c>
      <c r="B79" s="91">
        <v>45108</v>
      </c>
      <c r="C79" s="72"/>
      <c r="D79" s="72">
        <f t="shared" si="14"/>
        <v>1128292.4667885939</v>
      </c>
      <c r="E79" s="92">
        <f t="shared" ref="E79:E132" si="19">C79-D79</f>
        <v>-1128292.4667885939</v>
      </c>
      <c r="F79" s="92"/>
      <c r="G79" s="92">
        <f t="shared" si="15"/>
        <v>171377.68749500022</v>
      </c>
      <c r="H79" s="92">
        <f t="shared" si="8"/>
        <v>-8955866.2497387193</v>
      </c>
      <c r="I79" s="93">
        <f t="shared" si="16"/>
        <v>42442777.332249478</v>
      </c>
      <c r="J79" s="72"/>
      <c r="K79" s="72">
        <f t="shared" si="17"/>
        <v>273849.10310359072</v>
      </c>
      <c r="L79" s="92">
        <f t="shared" si="18"/>
        <v>51398643.581988193</v>
      </c>
    </row>
    <row r="80" spans="1:30">
      <c r="A80" s="86">
        <v>70</v>
      </c>
      <c r="B80" s="91">
        <v>45139</v>
      </c>
      <c r="C80" s="72"/>
      <c r="D80" s="72">
        <f t="shared" si="14"/>
        <v>1128292.4667885939</v>
      </c>
      <c r="E80" s="92">
        <f t="shared" si="19"/>
        <v>-1128292.4667885939</v>
      </c>
      <c r="F80" s="92"/>
      <c r="G80" s="92">
        <f t="shared" si="15"/>
        <v>171377.68749500022</v>
      </c>
      <c r="H80" s="92">
        <f t="shared" si="8"/>
        <v>-8784488.5622437187</v>
      </c>
      <c r="I80" s="93">
        <f t="shared" si="16"/>
        <v>41755374.189015657</v>
      </c>
      <c r="J80" s="72"/>
      <c r="K80" s="72">
        <f t="shared" si="17"/>
        <v>269511.63605978421</v>
      </c>
      <c r="L80" s="92">
        <f t="shared" si="18"/>
        <v>50539862.751259379</v>
      </c>
    </row>
    <row r="81" spans="1:12" ht="14.45" customHeight="1" outlineLevel="1">
      <c r="A81" s="86">
        <v>71</v>
      </c>
      <c r="B81" s="91">
        <v>45170</v>
      </c>
      <c r="C81" s="72"/>
      <c r="D81" s="72">
        <f t="shared" si="14"/>
        <v>1128292.4667885939</v>
      </c>
      <c r="E81" s="92">
        <f t="shared" si="19"/>
        <v>-1128292.4667885939</v>
      </c>
      <c r="F81" s="92"/>
      <c r="G81" s="92">
        <f t="shared" si="15"/>
        <v>171377.68749500022</v>
      </c>
      <c r="H81" s="92">
        <f t="shared" si="8"/>
        <v>-8613110.874748718</v>
      </c>
      <c r="I81" s="93">
        <f t="shared" si="16"/>
        <v>41063606.035822317</v>
      </c>
      <c r="J81" s="72"/>
      <c r="K81" s="72">
        <f t="shared" si="17"/>
        <v>265146.62610024947</v>
      </c>
      <c r="L81" s="92">
        <f t="shared" si="18"/>
        <v>49676716.910571031</v>
      </c>
    </row>
    <row r="82" spans="1:12" ht="14.45" customHeight="1" outlineLevel="1">
      <c r="A82" s="86">
        <v>72</v>
      </c>
      <c r="B82" s="91">
        <v>45200</v>
      </c>
      <c r="C82" s="72"/>
      <c r="D82" s="72">
        <f t="shared" si="14"/>
        <v>1128292.4667885939</v>
      </c>
      <c r="E82" s="92">
        <f t="shared" si="19"/>
        <v>-1128292.4667885939</v>
      </c>
      <c r="F82" s="92"/>
      <c r="G82" s="92">
        <f t="shared" si="15"/>
        <v>171377.68749500022</v>
      </c>
      <c r="H82" s="92">
        <f t="shared" si="8"/>
        <v>-8441733.1872537173</v>
      </c>
      <c r="I82" s="93">
        <f t="shared" si="16"/>
        <v>40367445.15485619</v>
      </c>
      <c r="J82" s="72"/>
      <c r="K82" s="72">
        <f t="shared" si="17"/>
        <v>260753.89832747175</v>
      </c>
      <c r="L82" s="92">
        <f t="shared" si="18"/>
        <v>48809178.342109904</v>
      </c>
    </row>
    <row r="83" spans="1:12" ht="14.45" customHeight="1" outlineLevel="1">
      <c r="A83" s="86">
        <v>73</v>
      </c>
      <c r="B83" s="91">
        <v>45231</v>
      </c>
      <c r="C83" s="72"/>
      <c r="D83" s="72">
        <f t="shared" si="14"/>
        <v>1128292.4667885939</v>
      </c>
      <c r="E83" s="92">
        <f t="shared" si="19"/>
        <v>-1128292.4667885939</v>
      </c>
      <c r="F83" s="92"/>
      <c r="G83" s="92">
        <f t="shared" si="15"/>
        <v>171377.68749500022</v>
      </c>
      <c r="H83" s="92">
        <f t="shared" si="8"/>
        <v>-8270355.4997587167</v>
      </c>
      <c r="I83" s="93">
        <f t="shared" si="16"/>
        <v>39666863.652295932</v>
      </c>
      <c r="J83" s="72"/>
      <c r="K83" s="72">
        <f t="shared" si="17"/>
        <v>256333.27673333682</v>
      </c>
      <c r="L83" s="92">
        <f t="shared" si="18"/>
        <v>47937219.152054645</v>
      </c>
    </row>
    <row r="84" spans="1:12" ht="14.45" customHeight="1" outlineLevel="1">
      <c r="A84" s="86">
        <v>74</v>
      </c>
      <c r="B84" s="91">
        <v>45261</v>
      </c>
      <c r="C84" s="72"/>
      <c r="D84" s="72">
        <f t="shared" si="14"/>
        <v>1128292.4667885939</v>
      </c>
      <c r="E84" s="92">
        <f t="shared" si="19"/>
        <v>-1128292.4667885939</v>
      </c>
      <c r="F84" s="92"/>
      <c r="G84" s="92">
        <f t="shared" si="15"/>
        <v>171377.68749500022</v>
      </c>
      <c r="H84" s="92">
        <f t="shared" si="8"/>
        <v>-8098977.812263716</v>
      </c>
      <c r="I84" s="93">
        <f t="shared" si="16"/>
        <v>38961833.457194418</v>
      </c>
      <c r="J84" s="72"/>
      <c r="K84" s="72">
        <f t="shared" si="17"/>
        <v>251884.5841920792</v>
      </c>
      <c r="L84" s="92">
        <f t="shared" si="18"/>
        <v>47060811.26945813</v>
      </c>
    </row>
    <row r="85" spans="1:12" ht="14.45" customHeight="1" outlineLevel="1">
      <c r="A85" s="86">
        <v>75</v>
      </c>
      <c r="B85" s="91">
        <v>45292</v>
      </c>
      <c r="C85" s="72"/>
      <c r="D85" s="72">
        <f t="shared" si="14"/>
        <v>1128292.4667885939</v>
      </c>
      <c r="E85" s="92">
        <f t="shared" si="19"/>
        <v>-1128292.4667885939</v>
      </c>
      <c r="F85" s="92"/>
      <c r="G85" s="92">
        <f t="shared" si="15"/>
        <v>171377.68749500022</v>
      </c>
      <c r="H85" s="92">
        <f t="shared" si="8"/>
        <v>-7927600.1247687154</v>
      </c>
      <c r="I85" s="93">
        <f t="shared" si="16"/>
        <v>38252326.320354</v>
      </c>
      <c r="J85" s="72"/>
      <c r="K85" s="72">
        <f t="shared" si="17"/>
        <v>247407.64245318458</v>
      </c>
      <c r="L85" s="92">
        <f t="shared" si="18"/>
        <v>46179926.445122719</v>
      </c>
    </row>
    <row r="86" spans="1:12" ht="14.45" customHeight="1" outlineLevel="1">
      <c r="A86" s="86">
        <v>76</v>
      </c>
      <c r="B86" s="91">
        <v>45323</v>
      </c>
      <c r="C86" s="72"/>
      <c r="D86" s="72">
        <f t="shared" si="14"/>
        <v>1128292.4667885939</v>
      </c>
      <c r="E86" s="92">
        <f t="shared" si="19"/>
        <v>-1128292.4667885939</v>
      </c>
      <c r="F86" s="92"/>
      <c r="G86" s="92">
        <f t="shared" si="15"/>
        <v>171377.68749500022</v>
      </c>
      <c r="H86" s="92">
        <f t="shared" si="8"/>
        <v>-7756222.4372737147</v>
      </c>
      <c r="I86" s="93">
        <f t="shared" si="16"/>
        <v>37538313.813194647</v>
      </c>
      <c r="J86" s="72"/>
      <c r="K86" s="72">
        <f t="shared" si="17"/>
        <v>242902.27213424793</v>
      </c>
      <c r="L86" s="92">
        <f t="shared" si="18"/>
        <v>45294536.250468366</v>
      </c>
    </row>
    <row r="87" spans="1:12" ht="14.45" customHeight="1" outlineLevel="1">
      <c r="A87" s="86">
        <v>77</v>
      </c>
      <c r="B87" s="91">
        <v>45352</v>
      </c>
      <c r="C87" s="72"/>
      <c r="D87" s="72">
        <f t="shared" si="14"/>
        <v>1128292.4667885939</v>
      </c>
      <c r="E87" s="92">
        <f t="shared" si="19"/>
        <v>-1128292.4667885939</v>
      </c>
      <c r="F87" s="92"/>
      <c r="G87" s="92">
        <f t="shared" si="15"/>
        <v>171377.68749500022</v>
      </c>
      <c r="H87" s="92">
        <f t="shared" ref="H87:H132" si="20">G87+H86</f>
        <v>-7584844.749778714</v>
      </c>
      <c r="I87" s="93">
        <f t="shared" si="16"/>
        <v>36819767.326614842</v>
      </c>
      <c r="J87" s="72"/>
      <c r="K87" s="72">
        <f t="shared" si="17"/>
        <v>238368.29271378604</v>
      </c>
      <c r="L87" s="92">
        <f t="shared" si="18"/>
        <v>44404612.076393552</v>
      </c>
    </row>
    <row r="88" spans="1:12" ht="14.45" customHeight="1" outlineLevel="1">
      <c r="A88" s="86">
        <v>78</v>
      </c>
      <c r="B88" s="91">
        <v>45383</v>
      </c>
      <c r="C88" s="72"/>
      <c r="D88" s="72">
        <f t="shared" si="14"/>
        <v>1128292.4667885939</v>
      </c>
      <c r="E88" s="92">
        <f t="shared" si="19"/>
        <v>-1128292.4667885939</v>
      </c>
      <c r="F88" s="92"/>
      <c r="G88" s="92">
        <f t="shared" si="15"/>
        <v>171377.68749500022</v>
      </c>
      <c r="H88" s="92">
        <f t="shared" si="20"/>
        <v>-7413467.0622837134</v>
      </c>
      <c r="I88" s="93">
        <f t="shared" si="16"/>
        <v>36096658.069845244</v>
      </c>
      <c r="J88" s="72"/>
      <c r="K88" s="72">
        <f t="shared" si="17"/>
        <v>233805.52252400428</v>
      </c>
      <c r="L88" s="92">
        <f t="shared" si="18"/>
        <v>43510125.132128961</v>
      </c>
    </row>
    <row r="89" spans="1:12" ht="14.45" customHeight="1" outlineLevel="1">
      <c r="A89" s="86">
        <v>79</v>
      </c>
      <c r="B89" s="91">
        <v>45413</v>
      </c>
      <c r="C89" s="72"/>
      <c r="D89" s="72">
        <f t="shared" si="14"/>
        <v>1128292.4667885939</v>
      </c>
      <c r="E89" s="92">
        <f t="shared" si="19"/>
        <v>-1128292.4667885939</v>
      </c>
      <c r="F89" s="92"/>
      <c r="G89" s="92">
        <f t="shared" si="15"/>
        <v>171377.68749500022</v>
      </c>
      <c r="H89" s="92">
        <f t="shared" si="20"/>
        <v>-7242089.3747887127</v>
      </c>
      <c r="I89" s="93">
        <f t="shared" si="16"/>
        <v>35368957.069295168</v>
      </c>
      <c r="J89" s="72"/>
      <c r="K89" s="72">
        <f t="shared" si="17"/>
        <v>229213.77874351732</v>
      </c>
      <c r="L89" s="92">
        <f t="shared" si="18"/>
        <v>42611046.444083884</v>
      </c>
    </row>
    <row r="90" spans="1:12" ht="14.45" customHeight="1" outlineLevel="1">
      <c r="A90" s="86">
        <v>80</v>
      </c>
      <c r="B90" s="91">
        <v>45444</v>
      </c>
      <c r="C90" s="72"/>
      <c r="D90" s="72">
        <f t="shared" si="14"/>
        <v>1128292.4667885939</v>
      </c>
      <c r="E90" s="92">
        <f t="shared" si="19"/>
        <v>-1128292.4667885939</v>
      </c>
      <c r="F90" s="92"/>
      <c r="G90" s="92">
        <f t="shared" si="15"/>
        <v>171377.68749500022</v>
      </c>
      <c r="H90" s="92">
        <f t="shared" si="20"/>
        <v>-7070711.687293712</v>
      </c>
      <c r="I90" s="93">
        <f t="shared" si="16"/>
        <v>34636635.167391598</v>
      </c>
      <c r="J90" s="72"/>
      <c r="K90" s="72">
        <f t="shared" si="17"/>
        <v>224592.87739002434</v>
      </c>
      <c r="L90" s="92">
        <f t="shared" si="18"/>
        <v>41707346.854685314</v>
      </c>
    </row>
    <row r="91" spans="1:12" ht="14.45" customHeight="1" outlineLevel="1">
      <c r="A91" s="86">
        <v>81</v>
      </c>
      <c r="B91" s="91">
        <v>45474</v>
      </c>
      <c r="C91" s="72"/>
      <c r="D91" s="72">
        <f t="shared" si="14"/>
        <v>1128292.4667885939</v>
      </c>
      <c r="E91" s="92">
        <f t="shared" si="19"/>
        <v>-1128292.4667885939</v>
      </c>
      <c r="F91" s="92"/>
      <c r="G91" s="92">
        <f t="shared" si="15"/>
        <v>171377.68749500022</v>
      </c>
      <c r="H91" s="92">
        <f t="shared" si="20"/>
        <v>-6899333.9997987114</v>
      </c>
      <c r="I91" s="93">
        <f t="shared" si="16"/>
        <v>33899663.021410942</v>
      </c>
      <c r="J91" s="72"/>
      <c r="K91" s="72">
        <f t="shared" si="17"/>
        <v>219942.63331293667</v>
      </c>
      <c r="L91" s="92">
        <f t="shared" si="18"/>
        <v>40798997.02120965</v>
      </c>
    </row>
    <row r="92" spans="1:12" ht="14.45" customHeight="1" outlineLevel="1">
      <c r="A92" s="86">
        <v>82</v>
      </c>
      <c r="B92" s="91">
        <v>45505</v>
      </c>
      <c r="C92" s="72"/>
      <c r="D92" s="72">
        <f t="shared" si="14"/>
        <v>1128292.4667885939</v>
      </c>
      <c r="E92" s="92">
        <f t="shared" si="19"/>
        <v>-1128292.4667885939</v>
      </c>
      <c r="F92" s="92"/>
      <c r="G92" s="92">
        <f t="shared" si="15"/>
        <v>171377.68749500022</v>
      </c>
      <c r="H92" s="92">
        <f t="shared" si="20"/>
        <v>-6727956.3123037107</v>
      </c>
      <c r="I92" s="93">
        <f t="shared" si="16"/>
        <v>33158011.1023033</v>
      </c>
      <c r="J92" s="72"/>
      <c r="K92" s="72">
        <f t="shared" si="17"/>
        <v>215262.86018595949</v>
      </c>
      <c r="L92" s="92">
        <f t="shared" si="18"/>
        <v>39885967.414607011</v>
      </c>
    </row>
    <row r="93" spans="1:12" ht="14.45" customHeight="1" outlineLevel="1">
      <c r="A93" s="86">
        <v>83</v>
      </c>
      <c r="B93" s="91">
        <v>45536</v>
      </c>
      <c r="C93" s="72"/>
      <c r="D93" s="72">
        <f t="shared" si="14"/>
        <v>1128292.4667885939</v>
      </c>
      <c r="E93" s="92">
        <f t="shared" si="19"/>
        <v>-1128292.4667885939</v>
      </c>
      <c r="F93" s="92"/>
      <c r="G93" s="92">
        <f t="shared" si="15"/>
        <v>171377.68749500022</v>
      </c>
      <c r="H93" s="92">
        <f t="shared" si="20"/>
        <v>-6556578.6248087101</v>
      </c>
      <c r="I93" s="93">
        <f t="shared" si="16"/>
        <v>32411649.693509329</v>
      </c>
      <c r="J93" s="72"/>
      <c r="K93" s="72">
        <f t="shared" si="17"/>
        <v>210553.37049962598</v>
      </c>
      <c r="L93" s="92">
        <f t="shared" si="18"/>
        <v>38968228.318318039</v>
      </c>
    </row>
    <row r="94" spans="1:12" ht="14.45" customHeight="1" outlineLevel="1">
      <c r="A94" s="86">
        <v>84</v>
      </c>
      <c r="B94" s="91">
        <v>45566</v>
      </c>
      <c r="C94" s="72"/>
      <c r="D94" s="72">
        <f t="shared" si="14"/>
        <v>1128292.4667885939</v>
      </c>
      <c r="E94" s="92">
        <f t="shared" si="19"/>
        <v>-1128292.4667885939</v>
      </c>
      <c r="F94" s="92"/>
      <c r="G94" s="92">
        <f t="shared" si="15"/>
        <v>171377.68749500022</v>
      </c>
      <c r="H94" s="92">
        <f t="shared" si="20"/>
        <v>-6385200.9373137094</v>
      </c>
      <c r="I94" s="93">
        <f t="shared" si="16"/>
        <v>31660548.889769513</v>
      </c>
      <c r="J94" s="72"/>
      <c r="K94" s="72">
        <f t="shared" si="17"/>
        <v>205813.97555378426</v>
      </c>
      <c r="L94" s="92">
        <f t="shared" si="18"/>
        <v>38045749.827083223</v>
      </c>
    </row>
    <row r="95" spans="1:12" ht="14.45" customHeight="1" outlineLevel="1">
      <c r="A95" s="86">
        <v>85</v>
      </c>
      <c r="B95" s="91">
        <v>45597</v>
      </c>
      <c r="C95" s="72"/>
      <c r="D95" s="72">
        <f t="shared" si="14"/>
        <v>1128292.4667885939</v>
      </c>
      <c r="E95" s="92">
        <f t="shared" si="19"/>
        <v>-1128292.4667885939</v>
      </c>
      <c r="F95" s="92"/>
      <c r="G95" s="92">
        <f t="shared" si="15"/>
        <v>171377.68749500022</v>
      </c>
      <c r="H95" s="92">
        <f t="shared" si="20"/>
        <v>-6213823.2498187087</v>
      </c>
      <c r="I95" s="93">
        <f t="shared" si="16"/>
        <v>30904678.595925953</v>
      </c>
      <c r="J95" s="72"/>
      <c r="K95" s="72">
        <f t="shared" si="17"/>
        <v>201044.48545003642</v>
      </c>
      <c r="L95" s="92">
        <f t="shared" si="18"/>
        <v>37118501.845744662</v>
      </c>
    </row>
    <row r="96" spans="1:12" ht="14.45" customHeight="1" outlineLevel="1">
      <c r="A96" s="86">
        <v>86</v>
      </c>
      <c r="B96" s="91">
        <v>45627</v>
      </c>
      <c r="C96" s="72"/>
      <c r="D96" s="72">
        <f t="shared" si="14"/>
        <v>1128292.4667885939</v>
      </c>
      <c r="E96" s="92">
        <f t="shared" si="19"/>
        <v>-1128292.4667885939</v>
      </c>
      <c r="F96" s="92"/>
      <c r="G96" s="92">
        <f t="shared" si="15"/>
        <v>171377.68749500022</v>
      </c>
      <c r="H96" s="92">
        <f t="shared" si="20"/>
        <v>-6042445.5623237081</v>
      </c>
      <c r="I96" s="93">
        <f t="shared" si="16"/>
        <v>30144008.525716487</v>
      </c>
      <c r="J96" s="72"/>
      <c r="K96" s="72">
        <f t="shared" si="17"/>
        <v>196244.70908412983</v>
      </c>
      <c r="L96" s="92">
        <f t="shared" si="18"/>
        <v>36186454.088040195</v>
      </c>
    </row>
    <row r="97" spans="1:12" ht="14.45" customHeight="1" outlineLevel="1">
      <c r="A97" s="86">
        <v>87</v>
      </c>
      <c r="B97" s="91">
        <v>45658</v>
      </c>
      <c r="C97" s="72"/>
      <c r="D97" s="72">
        <f t="shared" si="14"/>
        <v>1128292.4667885939</v>
      </c>
      <c r="E97" s="92">
        <f t="shared" si="19"/>
        <v>-1128292.4667885939</v>
      </c>
      <c r="F97" s="92"/>
      <c r="G97" s="92">
        <f t="shared" si="15"/>
        <v>171377.68749500022</v>
      </c>
      <c r="H97" s="92">
        <f t="shared" si="20"/>
        <v>-5871067.8748287074</v>
      </c>
      <c r="I97" s="93">
        <f t="shared" si="16"/>
        <v>29378508.200561192</v>
      </c>
      <c r="J97" s="72"/>
      <c r="K97" s="72">
        <f t="shared" si="17"/>
        <v>191414.45413829971</v>
      </c>
      <c r="L97" s="92">
        <f t="shared" si="18"/>
        <v>35249576.075389899</v>
      </c>
    </row>
    <row r="98" spans="1:12" ht="14.45" customHeight="1" outlineLevel="1">
      <c r="A98" s="86">
        <v>88</v>
      </c>
      <c r="B98" s="91">
        <v>45689</v>
      </c>
      <c r="C98" s="72"/>
      <c r="D98" s="72">
        <f t="shared" si="14"/>
        <v>1128292.4667885939</v>
      </c>
      <c r="E98" s="92">
        <f t="shared" si="19"/>
        <v>-1128292.4667885939</v>
      </c>
      <c r="F98" s="92"/>
      <c r="G98" s="92">
        <f t="shared" si="15"/>
        <v>171377.68749500022</v>
      </c>
      <c r="H98" s="92">
        <f t="shared" si="20"/>
        <v>-5699690.1873337068</v>
      </c>
      <c r="I98" s="93">
        <f t="shared" si="16"/>
        <v>28608146.948341157</v>
      </c>
      <c r="J98" s="72"/>
      <c r="K98" s="72">
        <f t="shared" si="17"/>
        <v>186553.5270735636</v>
      </c>
      <c r="L98" s="92">
        <f t="shared" si="18"/>
        <v>34307837.135674864</v>
      </c>
    </row>
    <row r="99" spans="1:12" ht="14.45" customHeight="1" outlineLevel="1">
      <c r="A99" s="86">
        <v>89</v>
      </c>
      <c r="B99" s="91">
        <v>45717</v>
      </c>
      <c r="C99" s="72"/>
      <c r="D99" s="72">
        <f t="shared" si="14"/>
        <v>1128292.4667885939</v>
      </c>
      <c r="E99" s="92">
        <f t="shared" si="19"/>
        <v>-1128292.4667885939</v>
      </c>
      <c r="F99" s="92"/>
      <c r="G99" s="92">
        <f t="shared" si="15"/>
        <v>171377.68749500022</v>
      </c>
      <c r="H99" s="92">
        <f t="shared" si="20"/>
        <v>-5528312.4998387061</v>
      </c>
      <c r="I99" s="93">
        <f t="shared" si="16"/>
        <v>27832893.902169529</v>
      </c>
      <c r="J99" s="72"/>
      <c r="K99" s="72">
        <f t="shared" si="17"/>
        <v>181661.73312196636</v>
      </c>
      <c r="L99" s="92">
        <f t="shared" si="18"/>
        <v>33361206.402008235</v>
      </c>
    </row>
    <row r="100" spans="1:12" ht="14.45" customHeight="1" outlineLevel="1">
      <c r="A100" s="86">
        <v>90</v>
      </c>
      <c r="B100" s="91">
        <v>45748</v>
      </c>
      <c r="C100" s="72"/>
      <c r="D100" s="72">
        <f t="shared" si="14"/>
        <v>1128292.4667885939</v>
      </c>
      <c r="E100" s="92">
        <f t="shared" si="19"/>
        <v>-1128292.4667885939</v>
      </c>
      <c r="F100" s="92"/>
      <c r="G100" s="92">
        <f t="shared" si="15"/>
        <v>171377.68749500022</v>
      </c>
      <c r="H100" s="92">
        <f t="shared" si="20"/>
        <v>-5356934.8123437054</v>
      </c>
      <c r="I100" s="93">
        <f t="shared" si="16"/>
        <v>27052717.999154713</v>
      </c>
      <c r="J100" s="72"/>
      <c r="K100" s="72">
        <f t="shared" si="17"/>
        <v>176738.87627877653</v>
      </c>
      <c r="L100" s="92">
        <f t="shared" si="18"/>
        <v>32409652.811498418</v>
      </c>
    </row>
    <row r="101" spans="1:12" ht="14.45" customHeight="1" outlineLevel="1">
      <c r="A101" s="86">
        <v>91</v>
      </c>
      <c r="B101" s="91">
        <v>45778</v>
      </c>
      <c r="C101" s="72"/>
      <c r="D101" s="72">
        <f t="shared" si="14"/>
        <v>1128292.4667885939</v>
      </c>
      <c r="E101" s="92">
        <f t="shared" si="19"/>
        <v>-1128292.4667885939</v>
      </c>
      <c r="F101" s="92"/>
      <c r="G101" s="92">
        <f t="shared" si="15"/>
        <v>171377.68749500022</v>
      </c>
      <c r="H101" s="92">
        <f t="shared" si="20"/>
        <v>-5185557.1248487048</v>
      </c>
      <c r="I101" s="93">
        <f t="shared" si="16"/>
        <v>26267587.979155753</v>
      </c>
      <c r="J101" s="72"/>
      <c r="K101" s="72">
        <f t="shared" si="17"/>
        <v>171784.75929463244</v>
      </c>
      <c r="L101" s="92">
        <f t="shared" si="18"/>
        <v>31453145.104004458</v>
      </c>
    </row>
    <row r="102" spans="1:12" ht="14.45" customHeight="1" outlineLevel="1">
      <c r="A102" s="86">
        <v>92</v>
      </c>
      <c r="B102" s="91">
        <v>45809</v>
      </c>
      <c r="C102" s="72"/>
      <c r="D102" s="72">
        <f t="shared" si="14"/>
        <v>1128292.4667885939</v>
      </c>
      <c r="E102" s="92">
        <f t="shared" si="19"/>
        <v>-1128292.4667885939</v>
      </c>
      <c r="F102" s="92"/>
      <c r="G102" s="92">
        <f t="shared" si="15"/>
        <v>171377.68749500022</v>
      </c>
      <c r="H102" s="92">
        <f t="shared" si="20"/>
        <v>-5014179.4373537041</v>
      </c>
      <c r="I102" s="93">
        <f t="shared" si="16"/>
        <v>25477472.383529797</v>
      </c>
      <c r="J102" s="72"/>
      <c r="K102" s="72">
        <f t="shared" si="17"/>
        <v>166799.18366763904</v>
      </c>
      <c r="L102" s="92">
        <f t="shared" si="18"/>
        <v>30491651.820883501</v>
      </c>
    </row>
    <row r="103" spans="1:12" ht="14.45" customHeight="1" outlineLevel="1">
      <c r="A103" s="86">
        <v>93</v>
      </c>
      <c r="B103" s="91">
        <v>45839</v>
      </c>
      <c r="C103" s="72"/>
      <c r="D103" s="72">
        <f t="shared" si="14"/>
        <v>1128292.4667885939</v>
      </c>
      <c r="E103" s="92">
        <f t="shared" si="19"/>
        <v>-1128292.4667885939</v>
      </c>
      <c r="F103" s="92"/>
      <c r="G103" s="92">
        <f t="shared" si="15"/>
        <v>171377.68749500022</v>
      </c>
      <c r="H103" s="92">
        <f t="shared" si="20"/>
        <v>-4842801.7498587035</v>
      </c>
      <c r="I103" s="93">
        <f t="shared" si="16"/>
        <v>24682339.553871617</v>
      </c>
      <c r="J103" s="72"/>
      <c r="K103" s="72">
        <f t="shared" si="17"/>
        <v>161781.94963541423</v>
      </c>
      <c r="L103" s="92">
        <f t="shared" si="18"/>
        <v>29525141.30373032</v>
      </c>
    </row>
    <row r="104" spans="1:12" ht="14.45" customHeight="1" outlineLevel="1">
      <c r="A104" s="86">
        <v>94</v>
      </c>
      <c r="B104" s="91">
        <v>45870</v>
      </c>
      <c r="C104" s="72"/>
      <c r="D104" s="72">
        <f t="shared" si="14"/>
        <v>1128292.4667885939</v>
      </c>
      <c r="E104" s="92">
        <f t="shared" si="19"/>
        <v>-1128292.4667885939</v>
      </c>
      <c r="F104" s="92"/>
      <c r="G104" s="92">
        <f t="shared" si="15"/>
        <v>171377.68749500022</v>
      </c>
      <c r="H104" s="92">
        <f t="shared" si="20"/>
        <v>-4671424.0623637028</v>
      </c>
      <c r="I104" s="93">
        <f t="shared" si="16"/>
        <v>23882157.630745109</v>
      </c>
      <c r="J104" s="72"/>
      <c r="K104" s="72">
        <f t="shared" si="17"/>
        <v>156732.85616708477</v>
      </c>
      <c r="L104" s="92">
        <f t="shared" si="18"/>
        <v>28553581.693108812</v>
      </c>
    </row>
    <row r="105" spans="1:12" ht="14.45" customHeight="1" outlineLevel="1">
      <c r="A105" s="86">
        <v>95</v>
      </c>
      <c r="B105" s="91">
        <v>45901</v>
      </c>
      <c r="C105" s="72"/>
      <c r="D105" s="72">
        <f t="shared" si="14"/>
        <v>1128292.4667885939</v>
      </c>
      <c r="E105" s="92">
        <f t="shared" si="19"/>
        <v>-1128292.4667885939</v>
      </c>
      <c r="F105" s="92"/>
      <c r="G105" s="92">
        <f t="shared" si="15"/>
        <v>171377.68749500022</v>
      </c>
      <c r="H105" s="92">
        <f t="shared" si="20"/>
        <v>-4500046.3748687021</v>
      </c>
      <c r="I105" s="93">
        <f t="shared" si="16"/>
        <v>23076894.552406747</v>
      </c>
      <c r="J105" s="72"/>
      <c r="K105" s="72">
        <f t="shared" si="17"/>
        <v>151651.70095523147</v>
      </c>
      <c r="L105" s="92">
        <f t="shared" si="18"/>
        <v>27576940.927275449</v>
      </c>
    </row>
    <row r="106" spans="1:12" ht="14.45" customHeight="1" outlineLevel="1">
      <c r="A106" s="86">
        <v>96</v>
      </c>
      <c r="B106" s="91">
        <v>45931</v>
      </c>
      <c r="C106" s="72"/>
      <c r="D106" s="72">
        <f t="shared" si="14"/>
        <v>1128292.4667885939</v>
      </c>
      <c r="E106" s="92">
        <f t="shared" si="19"/>
        <v>-1128292.4667885939</v>
      </c>
      <c r="F106" s="92"/>
      <c r="G106" s="92">
        <f t="shared" si="15"/>
        <v>171377.68749500022</v>
      </c>
      <c r="H106" s="92">
        <f t="shared" si="20"/>
        <v>-4328668.6873737015</v>
      </c>
      <c r="I106" s="93">
        <f t="shared" si="16"/>
        <v>22266518.053520937</v>
      </c>
      <c r="J106" s="72"/>
      <c r="K106" s="72">
        <f t="shared" si="17"/>
        <v>146538.28040778285</v>
      </c>
      <c r="L106" s="92">
        <f t="shared" si="18"/>
        <v>26595186.740894638</v>
      </c>
    </row>
    <row r="107" spans="1:12" ht="14.45" customHeight="1" outlineLevel="1">
      <c r="A107" s="86">
        <v>97</v>
      </c>
      <c r="B107" s="91">
        <v>45962</v>
      </c>
      <c r="C107" s="72"/>
      <c r="D107" s="72">
        <f t="shared" si="14"/>
        <v>1128292.4667885939</v>
      </c>
      <c r="E107" s="92">
        <f t="shared" si="19"/>
        <v>-1128292.4667885939</v>
      </c>
      <c r="F107" s="92"/>
      <c r="G107" s="92">
        <f t="shared" si="15"/>
        <v>171377.68749500022</v>
      </c>
      <c r="H107" s="92">
        <f t="shared" si="20"/>
        <v>-4157290.9998787013</v>
      </c>
      <c r="I107" s="93">
        <f t="shared" si="16"/>
        <v>21450995.663867202</v>
      </c>
      <c r="J107" s="72"/>
      <c r="K107" s="72">
        <f t="shared" si="17"/>
        <v>141392.38963985795</v>
      </c>
      <c r="L107" s="92">
        <f t="shared" si="18"/>
        <v>25608286.663745902</v>
      </c>
    </row>
    <row r="108" spans="1:12" ht="14.45" customHeight="1" outlineLevel="1">
      <c r="A108" s="86">
        <v>98</v>
      </c>
      <c r="B108" s="91">
        <v>45992</v>
      </c>
      <c r="C108" s="72"/>
      <c r="D108" s="72">
        <f t="shared" si="14"/>
        <v>1128292.4667885939</v>
      </c>
      <c r="E108" s="92">
        <f t="shared" si="19"/>
        <v>-1128292.4667885939</v>
      </c>
      <c r="F108" s="92"/>
      <c r="G108" s="92">
        <f t="shared" si="15"/>
        <v>171377.68749500022</v>
      </c>
      <c r="H108" s="92">
        <f t="shared" si="20"/>
        <v>-3985913.3123837011</v>
      </c>
      <c r="I108" s="93">
        <f t="shared" si="16"/>
        <v>20630294.707039166</v>
      </c>
      <c r="J108" s="72"/>
      <c r="K108" s="72">
        <f t="shared" si="17"/>
        <v>136213.82246555673</v>
      </c>
      <c r="L108" s="92">
        <f t="shared" si="18"/>
        <v>24616208.019422866</v>
      </c>
    </row>
    <row r="109" spans="1:12" ht="14.45" customHeight="1" outlineLevel="1">
      <c r="A109" s="86">
        <v>99</v>
      </c>
      <c r="B109" s="91">
        <v>46023</v>
      </c>
      <c r="C109" s="72"/>
      <c r="D109" s="72">
        <f t="shared" si="14"/>
        <v>1128292.4667885939</v>
      </c>
      <c r="E109" s="92">
        <f t="shared" si="19"/>
        <v>-1128292.4667885939</v>
      </c>
      <c r="F109" s="92"/>
      <c r="G109" s="92">
        <f t="shared" si="15"/>
        <v>171377.68749500022</v>
      </c>
      <c r="H109" s="92">
        <f t="shared" si="20"/>
        <v>-3814535.6248887009</v>
      </c>
      <c r="I109" s="93">
        <f t="shared" si="16"/>
        <v>19804382.299135271</v>
      </c>
      <c r="J109" s="72"/>
      <c r="K109" s="72">
        <f t="shared" si="17"/>
        <v>131002.37138969872</v>
      </c>
      <c r="L109" s="92">
        <f t="shared" si="18"/>
        <v>23618917.924023971</v>
      </c>
    </row>
    <row r="110" spans="1:12" ht="14.45" customHeight="1" outlineLevel="1">
      <c r="A110" s="86">
        <v>100</v>
      </c>
      <c r="B110" s="91">
        <v>46054</v>
      </c>
      <c r="C110" s="72"/>
      <c r="D110" s="72">
        <f t="shared" si="14"/>
        <v>1128292.4667885939</v>
      </c>
      <c r="E110" s="92">
        <f t="shared" si="19"/>
        <v>-1128292.4667885939</v>
      </c>
      <c r="F110" s="92"/>
      <c r="G110" s="92">
        <f t="shared" si="15"/>
        <v>171377.68749500022</v>
      </c>
      <c r="H110" s="92">
        <f t="shared" si="20"/>
        <v>-3643157.9373937007</v>
      </c>
      <c r="I110" s="93">
        <f t="shared" si="16"/>
        <v>18973225.347441189</v>
      </c>
      <c r="J110" s="72"/>
      <c r="K110" s="72">
        <f t="shared" si="17"/>
        <v>125757.82759950898</v>
      </c>
      <c r="L110" s="92">
        <f t="shared" si="18"/>
        <v>22616383.284834888</v>
      </c>
    </row>
    <row r="111" spans="1:12" ht="14.45" customHeight="1" outlineLevel="1">
      <c r="A111" s="86">
        <v>101</v>
      </c>
      <c r="B111" s="91">
        <v>46082</v>
      </c>
      <c r="C111" s="72"/>
      <c r="D111" s="72">
        <f t="shared" si="14"/>
        <v>1128292.4667885939</v>
      </c>
      <c r="E111" s="92">
        <f t="shared" si="19"/>
        <v>-1128292.4667885939</v>
      </c>
      <c r="F111" s="92"/>
      <c r="G111" s="92">
        <f t="shared" si="15"/>
        <v>171377.68749500022</v>
      </c>
      <c r="H111" s="92">
        <f t="shared" si="20"/>
        <v>-3471780.2498987005</v>
      </c>
      <c r="I111" s="93">
        <f t="shared" si="16"/>
        <v>18136790.549103845</v>
      </c>
      <c r="J111" s="72"/>
      <c r="K111" s="72">
        <f t="shared" si="17"/>
        <v>120479.98095625156</v>
      </c>
      <c r="L111" s="92">
        <f t="shared" si="18"/>
        <v>21608570.799002547</v>
      </c>
    </row>
    <row r="112" spans="1:12" ht="14.45" customHeight="1" outlineLevel="1">
      <c r="A112" s="86">
        <v>102</v>
      </c>
      <c r="B112" s="91">
        <v>46113</v>
      </c>
      <c r="C112" s="72"/>
      <c r="D112" s="72">
        <f t="shared" si="14"/>
        <v>1128292.4667885939</v>
      </c>
      <c r="E112" s="92">
        <f t="shared" si="19"/>
        <v>-1128292.4667885939</v>
      </c>
      <c r="F112" s="92"/>
      <c r="G112" s="92">
        <f t="shared" si="15"/>
        <v>171377.68749500022</v>
      </c>
      <c r="H112" s="92">
        <f t="shared" si="20"/>
        <v>-3300402.5624037003</v>
      </c>
      <c r="I112" s="93">
        <f t="shared" si="16"/>
        <v>17295044.389797062</v>
      </c>
      <c r="J112" s="72"/>
      <c r="K112" s="72">
        <f t="shared" si="17"/>
        <v>115168.61998680943</v>
      </c>
      <c r="L112" s="92">
        <f t="shared" si="18"/>
        <v>20595446.952200763</v>
      </c>
    </row>
    <row r="113" spans="1:12" ht="14.45" customHeight="1" outlineLevel="1">
      <c r="A113" s="86">
        <v>103</v>
      </c>
      <c r="B113" s="91">
        <v>46143</v>
      </c>
      <c r="C113" s="72"/>
      <c r="D113" s="72">
        <f t="shared" si="14"/>
        <v>1128292.4667885939</v>
      </c>
      <c r="E113" s="92">
        <f t="shared" si="19"/>
        <v>-1128292.4667885939</v>
      </c>
      <c r="F113" s="92"/>
      <c r="G113" s="92">
        <f t="shared" si="15"/>
        <v>171377.68749500022</v>
      </c>
      <c r="H113" s="92">
        <f t="shared" si="20"/>
        <v>-3129024.8749087001</v>
      </c>
      <c r="I113" s="93">
        <f t="shared" si="16"/>
        <v>16447953.14237868</v>
      </c>
      <c r="J113" s="72"/>
      <c r="K113" s="72">
        <f t="shared" si="17"/>
        <v>109823.53187521135</v>
      </c>
      <c r="L113" s="92">
        <f t="shared" si="18"/>
        <v>19576978.017287381</v>
      </c>
    </row>
    <row r="114" spans="1:12" ht="14.45" customHeight="1" outlineLevel="1">
      <c r="A114" s="86">
        <v>104</v>
      </c>
      <c r="B114" s="91">
        <v>46174</v>
      </c>
      <c r="C114" s="72"/>
      <c r="D114" s="72">
        <f t="shared" si="14"/>
        <v>1128292.4667885939</v>
      </c>
      <c r="E114" s="92">
        <f t="shared" si="19"/>
        <v>-1128292.4667885939</v>
      </c>
      <c r="F114" s="92"/>
      <c r="G114" s="92">
        <f t="shared" si="15"/>
        <v>171377.68749500022</v>
      </c>
      <c r="H114" s="92">
        <f t="shared" si="20"/>
        <v>-2957647.1874136999</v>
      </c>
      <c r="I114" s="93">
        <f t="shared" si="16"/>
        <v>15595482.865539193</v>
      </c>
      <c r="J114" s="72"/>
      <c r="K114" s="72">
        <f t="shared" si="17"/>
        <v>104444.50245410463</v>
      </c>
      <c r="L114" s="92">
        <f t="shared" si="18"/>
        <v>18553130.052952893</v>
      </c>
    </row>
    <row r="115" spans="1:12" ht="14.45" customHeight="1" outlineLevel="1">
      <c r="A115" s="86">
        <v>105</v>
      </c>
      <c r="B115" s="91">
        <v>46204</v>
      </c>
      <c r="C115" s="72"/>
      <c r="D115" s="72">
        <f t="shared" si="14"/>
        <v>1128292.4667885939</v>
      </c>
      <c r="E115" s="92">
        <f t="shared" si="19"/>
        <v>-1128292.4667885939</v>
      </c>
      <c r="F115" s="92"/>
      <c r="G115" s="92">
        <f t="shared" si="15"/>
        <v>171377.68749500022</v>
      </c>
      <c r="H115" s="92">
        <f t="shared" si="20"/>
        <v>-2786269.4999186997</v>
      </c>
      <c r="I115" s="93">
        <f t="shared" si="16"/>
        <v>14737599.402441774</v>
      </c>
      <c r="J115" s="72"/>
      <c r="K115" s="72">
        <f t="shared" si="17"/>
        <v>99031.316196173881</v>
      </c>
      <c r="L115" s="92">
        <f t="shared" si="18"/>
        <v>17523868.902360473</v>
      </c>
    </row>
    <row r="116" spans="1:12" ht="14.45" customHeight="1" outlineLevel="1">
      <c r="A116" s="86">
        <v>106</v>
      </c>
      <c r="B116" s="91">
        <v>46235</v>
      </c>
      <c r="C116" s="72"/>
      <c r="D116" s="72">
        <f t="shared" si="14"/>
        <v>1128292.4667885939</v>
      </c>
      <c r="E116" s="92">
        <f t="shared" si="19"/>
        <v>-1128292.4667885939</v>
      </c>
      <c r="F116" s="92"/>
      <c r="G116" s="92">
        <f t="shared" si="15"/>
        <v>171377.68749500022</v>
      </c>
      <c r="H116" s="92">
        <f t="shared" si="20"/>
        <v>-2614891.8124236995</v>
      </c>
      <c r="I116" s="93">
        <f t="shared" si="16"/>
        <v>13874268.379353683</v>
      </c>
      <c r="J116" s="72"/>
      <c r="K116" s="72">
        <f t="shared" si="17"/>
        <v>93583.756205505269</v>
      </c>
      <c r="L116" s="92">
        <f t="shared" si="18"/>
        <v>16489160.191777384</v>
      </c>
    </row>
    <row r="117" spans="1:12" ht="14.45" customHeight="1" outlineLevel="1">
      <c r="A117" s="86">
        <v>107</v>
      </c>
      <c r="B117" s="91">
        <v>46266</v>
      </c>
      <c r="C117" s="72"/>
      <c r="D117" s="72">
        <f t="shared" si="14"/>
        <v>1128292.4667885939</v>
      </c>
      <c r="E117" s="92">
        <f t="shared" si="19"/>
        <v>-1128292.4667885939</v>
      </c>
      <c r="F117" s="92"/>
      <c r="G117" s="92">
        <f t="shared" si="15"/>
        <v>171377.68749500022</v>
      </c>
      <c r="H117" s="92">
        <f t="shared" si="20"/>
        <v>-2443514.1249286993</v>
      </c>
      <c r="I117" s="93">
        <f t="shared" si="16"/>
        <v>13005455.204268986</v>
      </c>
      <c r="J117" s="72"/>
      <c r="K117" s="72">
        <f t="shared" si="17"/>
        <v>88101.604208895893</v>
      </c>
      <c r="L117" s="92">
        <f t="shared" si="18"/>
        <v>15448969.329197686</v>
      </c>
    </row>
    <row r="118" spans="1:12" ht="14.45" customHeight="1" outlineLevel="1">
      <c r="A118" s="86">
        <v>108</v>
      </c>
      <c r="B118" s="91">
        <v>46296</v>
      </c>
      <c r="C118" s="72"/>
      <c r="D118" s="72">
        <f t="shared" si="14"/>
        <v>1128292.4667885939</v>
      </c>
      <c r="E118" s="92">
        <f t="shared" si="19"/>
        <v>-1128292.4667885939</v>
      </c>
      <c r="F118" s="92"/>
      <c r="G118" s="92">
        <f t="shared" si="15"/>
        <v>171377.68749500022</v>
      </c>
      <c r="H118" s="92">
        <f t="shared" si="20"/>
        <v>-2272136.4374336991</v>
      </c>
      <c r="I118" s="93">
        <f t="shared" si="16"/>
        <v>12131125.065522501</v>
      </c>
      <c r="J118" s="72"/>
      <c r="K118" s="72">
        <f t="shared" si="17"/>
        <v>82584.640547108065</v>
      </c>
      <c r="L118" s="92">
        <f t="shared" si="18"/>
        <v>14403261.5029562</v>
      </c>
    </row>
    <row r="119" spans="1:12" ht="14.45" customHeight="1" outlineLevel="1">
      <c r="A119" s="86">
        <v>109</v>
      </c>
      <c r="B119" s="91">
        <v>46327</v>
      </c>
      <c r="C119" s="72"/>
      <c r="D119" s="72">
        <f t="shared" si="14"/>
        <v>1128292.4667885939</v>
      </c>
      <c r="E119" s="92">
        <f t="shared" si="19"/>
        <v>-1128292.4667885939</v>
      </c>
      <c r="F119" s="92"/>
      <c r="G119" s="92">
        <f t="shared" si="15"/>
        <v>171377.68749500022</v>
      </c>
      <c r="H119" s="92">
        <f t="shared" si="20"/>
        <v>-2100758.749938699</v>
      </c>
      <c r="I119" s="93">
        <f t="shared" si="16"/>
        <v>11251242.930394975</v>
      </c>
      <c r="J119" s="72"/>
      <c r="K119" s="72">
        <f t="shared" si="17"/>
        <v>77032.644166067897</v>
      </c>
      <c r="L119" s="92">
        <f t="shared" si="18"/>
        <v>13352001.680333674</v>
      </c>
    </row>
    <row r="120" spans="1:12" ht="14.45" customHeight="1" outlineLevel="1">
      <c r="A120" s="86">
        <v>110</v>
      </c>
      <c r="B120" s="91">
        <v>46357</v>
      </c>
      <c r="C120" s="72"/>
      <c r="D120" s="72">
        <f t="shared" si="14"/>
        <v>1128292.4667885939</v>
      </c>
      <c r="E120" s="92">
        <f t="shared" si="19"/>
        <v>-1128292.4667885939</v>
      </c>
      <c r="F120" s="92"/>
      <c r="G120" s="92">
        <f t="shared" si="15"/>
        <v>171377.68749500022</v>
      </c>
      <c r="H120" s="92">
        <f t="shared" si="20"/>
        <v>-1929381.0624436988</v>
      </c>
      <c r="I120" s="93">
        <f t="shared" si="16"/>
        <v>10365773.54370939</v>
      </c>
      <c r="J120" s="72"/>
      <c r="K120" s="72">
        <f t="shared" si="17"/>
        <v>71445.3926080081</v>
      </c>
      <c r="L120" s="92">
        <f t="shared" si="18"/>
        <v>12295154.606153088</v>
      </c>
    </row>
    <row r="121" spans="1:12" ht="14.45" customHeight="1" outlineLevel="1">
      <c r="A121" s="86">
        <v>111</v>
      </c>
      <c r="B121" s="91">
        <v>46388</v>
      </c>
      <c r="C121" s="72"/>
      <c r="D121" s="72">
        <f t="shared" si="14"/>
        <v>1128292.4667885939</v>
      </c>
      <c r="E121" s="92">
        <f t="shared" si="19"/>
        <v>-1128292.4667885939</v>
      </c>
      <c r="F121" s="92"/>
      <c r="G121" s="92">
        <f t="shared" si="15"/>
        <v>171377.68749500022</v>
      </c>
      <c r="H121" s="92">
        <f t="shared" si="20"/>
        <v>-1758003.3749486986</v>
      </c>
      <c r="I121" s="93">
        <f t="shared" si="16"/>
        <v>9474681.4264183491</v>
      </c>
      <c r="J121" s="72"/>
      <c r="K121" s="72">
        <f t="shared" si="17"/>
        <v>65822.662002554629</v>
      </c>
      <c r="L121" s="92">
        <f t="shared" si="18"/>
        <v>11232684.801367048</v>
      </c>
    </row>
    <row r="122" spans="1:12" ht="14.45" customHeight="1" outlineLevel="1">
      <c r="A122" s="86">
        <v>112</v>
      </c>
      <c r="B122" s="91">
        <v>46419</v>
      </c>
      <c r="C122" s="72"/>
      <c r="D122" s="72">
        <f t="shared" si="14"/>
        <v>1128292.4667885939</v>
      </c>
      <c r="E122" s="92">
        <f t="shared" si="19"/>
        <v>-1128292.4667885939</v>
      </c>
      <c r="F122" s="92"/>
      <c r="G122" s="92">
        <f t="shared" si="15"/>
        <v>171377.68749500022</v>
      </c>
      <c r="H122" s="92">
        <f t="shared" si="20"/>
        <v>-1586625.6874536984</v>
      </c>
      <c r="I122" s="93">
        <f t="shared" si="16"/>
        <v>8577930.874182513</v>
      </c>
      <c r="J122" s="72"/>
      <c r="K122" s="72">
        <f t="shared" si="17"/>
        <v>60164.227057756521</v>
      </c>
      <c r="L122" s="92">
        <f t="shared" si="18"/>
        <v>10164556.561636211</v>
      </c>
    </row>
    <row r="123" spans="1:12" ht="14.45" customHeight="1" outlineLevel="1">
      <c r="A123" s="86">
        <v>113</v>
      </c>
      <c r="B123" s="91">
        <v>46447</v>
      </c>
      <c r="C123" s="72"/>
      <c r="D123" s="72">
        <f t="shared" si="14"/>
        <v>1128292.4667885939</v>
      </c>
      <c r="E123" s="92">
        <f t="shared" si="19"/>
        <v>-1128292.4667885939</v>
      </c>
      <c r="F123" s="92"/>
      <c r="G123" s="92">
        <f t="shared" si="15"/>
        <v>171377.68749500022</v>
      </c>
      <c r="H123" s="92">
        <f t="shared" si="20"/>
        <v>-1415247.9999586982</v>
      </c>
      <c r="I123" s="93">
        <f t="shared" si="16"/>
        <v>7675485.9559399784</v>
      </c>
      <c r="J123" s="72"/>
      <c r="K123" s="72">
        <f t="shared" si="17"/>
        <v>54469.861051058964</v>
      </c>
      <c r="L123" s="92">
        <f t="shared" si="18"/>
        <v>9090733.9558986761</v>
      </c>
    </row>
    <row r="124" spans="1:12" ht="14.45" customHeight="1" outlineLevel="1">
      <c r="A124" s="86">
        <v>114</v>
      </c>
      <c r="B124" s="91">
        <v>46478</v>
      </c>
      <c r="C124" s="72"/>
      <c r="D124" s="72">
        <f t="shared" si="14"/>
        <v>1128292.4667885939</v>
      </c>
      <c r="E124" s="92">
        <f t="shared" si="19"/>
        <v>-1128292.4667885939</v>
      </c>
      <c r="F124" s="92"/>
      <c r="G124" s="92">
        <f t="shared" si="15"/>
        <v>171377.68749500022</v>
      </c>
      <c r="H124" s="92">
        <f t="shared" si="20"/>
        <v>-1243870.312463698</v>
      </c>
      <c r="I124" s="93">
        <f t="shared" si="16"/>
        <v>6767310.512466603</v>
      </c>
      <c r="J124" s="72"/>
      <c r="K124" s="72">
        <f t="shared" si="17"/>
        <v>48739.335820218868</v>
      </c>
      <c r="L124" s="92">
        <f t="shared" si="18"/>
        <v>8011180.8249303009</v>
      </c>
    </row>
    <row r="125" spans="1:12" ht="14.45" customHeight="1" outlineLevel="1">
      <c r="A125" s="86">
        <v>115</v>
      </c>
      <c r="B125" s="91">
        <v>46508</v>
      </c>
      <c r="C125" s="72"/>
      <c r="D125" s="72">
        <f t="shared" si="14"/>
        <v>1128292.4667885939</v>
      </c>
      <c r="E125" s="92">
        <f t="shared" si="19"/>
        <v>-1128292.4667885939</v>
      </c>
      <c r="F125" s="92"/>
      <c r="G125" s="92">
        <f t="shared" si="15"/>
        <v>171377.68749500022</v>
      </c>
      <c r="H125" s="92">
        <f t="shared" si="20"/>
        <v>-1072492.6249686978</v>
      </c>
      <c r="I125" s="93">
        <f t="shared" si="16"/>
        <v>5853368.1549271718</v>
      </c>
      <c r="J125" s="72"/>
      <c r="K125" s="72">
        <f t="shared" si="17"/>
        <v>42972.421754162933</v>
      </c>
      <c r="L125" s="92">
        <f t="shared" si="18"/>
        <v>6925860.77989587</v>
      </c>
    </row>
    <row r="126" spans="1:12" ht="14.45" customHeight="1" outlineLevel="1">
      <c r="A126" s="86">
        <v>116</v>
      </c>
      <c r="B126" s="91">
        <v>46539</v>
      </c>
      <c r="C126" s="72"/>
      <c r="D126" s="72">
        <f t="shared" si="14"/>
        <v>1128292.4667885939</v>
      </c>
      <c r="E126" s="92">
        <f t="shared" si="19"/>
        <v>-1128292.4667885939</v>
      </c>
      <c r="F126" s="92"/>
      <c r="G126" s="92">
        <f t="shared" si="15"/>
        <v>171377.68749500022</v>
      </c>
      <c r="H126" s="92">
        <f t="shared" si="20"/>
        <v>-901114.93747369759</v>
      </c>
      <c r="I126" s="93">
        <f t="shared" si="16"/>
        <v>4933622.263417366</v>
      </c>
      <c r="J126" s="72"/>
      <c r="K126" s="72">
        <f t="shared" si="17"/>
        <v>37168.887783787541</v>
      </c>
      <c r="L126" s="92">
        <f t="shared" si="18"/>
        <v>5834737.2008910635</v>
      </c>
    </row>
    <row r="127" spans="1:12" ht="14.45" customHeight="1" outlineLevel="1">
      <c r="A127" s="86">
        <v>117</v>
      </c>
      <c r="B127" s="91">
        <v>46569</v>
      </c>
      <c r="C127" s="72"/>
      <c r="D127" s="72">
        <f t="shared" si="14"/>
        <v>1128292.4667885939</v>
      </c>
      <c r="E127" s="92">
        <f t="shared" si="19"/>
        <v>-1128292.4667885939</v>
      </c>
      <c r="F127" s="92"/>
      <c r="G127" s="92">
        <f t="shared" si="15"/>
        <v>171377.68749500022</v>
      </c>
      <c r="H127" s="92">
        <f t="shared" si="20"/>
        <v>-729737.24997869739</v>
      </c>
      <c r="I127" s="93">
        <f t="shared" si="16"/>
        <v>4008035.985496473</v>
      </c>
      <c r="J127" s="72"/>
      <c r="K127" s="72">
        <f t="shared" si="17"/>
        <v>31328.501372700277</v>
      </c>
      <c r="L127" s="92">
        <f t="shared" si="18"/>
        <v>4737773.2354751704</v>
      </c>
    </row>
    <row r="128" spans="1:12" ht="14.45" customHeight="1" outlineLevel="1">
      <c r="A128" s="86">
        <v>118</v>
      </c>
      <c r="B128" s="91">
        <v>46600</v>
      </c>
      <c r="C128" s="72"/>
      <c r="D128" s="72">
        <f t="shared" si="14"/>
        <v>1128292.4667885939</v>
      </c>
      <c r="E128" s="92">
        <f t="shared" si="19"/>
        <v>-1128292.4667885939</v>
      </c>
      <c r="F128" s="92"/>
      <c r="G128" s="92">
        <f t="shared" si="15"/>
        <v>171377.68749500022</v>
      </c>
      <c r="H128" s="92">
        <f t="shared" si="20"/>
        <v>-558359.5624836972</v>
      </c>
      <c r="I128" s="93">
        <f t="shared" si="16"/>
        <v>3076572.2347107823</v>
      </c>
      <c r="J128" s="72"/>
      <c r="K128" s="72">
        <f t="shared" si="17"/>
        <v>25451.028507902607</v>
      </c>
      <c r="L128" s="92">
        <f t="shared" si="18"/>
        <v>3634931.7971944795</v>
      </c>
    </row>
    <row r="129" spans="1:12" ht="14.45" customHeight="1" outlineLevel="1">
      <c r="A129" s="86">
        <v>119</v>
      </c>
      <c r="B129" s="91">
        <v>46631</v>
      </c>
      <c r="C129" s="72"/>
      <c r="D129" s="72">
        <f t="shared" si="14"/>
        <v>1128292.4667885939</v>
      </c>
      <c r="E129" s="92">
        <f t="shared" si="19"/>
        <v>-1128292.4667885939</v>
      </c>
      <c r="F129" s="92"/>
      <c r="G129" s="92">
        <f t="shared" si="15"/>
        <v>171377.68749500022</v>
      </c>
      <c r="H129" s="92">
        <f t="shared" si="20"/>
        <v>-386981.874988697</v>
      </c>
      <c r="I129" s="93">
        <f t="shared" si="16"/>
        <v>2139193.689107602</v>
      </c>
      <c r="J129" s="72"/>
      <c r="K129" s="72">
        <f t="shared" si="17"/>
        <v>19536.233690413468</v>
      </c>
      <c r="L129" s="92">
        <f t="shared" si="18"/>
        <v>2526175.564096299</v>
      </c>
    </row>
    <row r="130" spans="1:12" ht="14.45" customHeight="1" outlineLevel="1">
      <c r="A130" s="86">
        <v>120</v>
      </c>
      <c r="B130" s="91">
        <v>46661</v>
      </c>
      <c r="C130" s="72"/>
      <c r="D130" s="72">
        <f t="shared" si="14"/>
        <v>1128292.4667885939</v>
      </c>
      <c r="E130" s="92">
        <f t="shared" si="19"/>
        <v>-1128292.4667885939</v>
      </c>
      <c r="F130" s="92"/>
      <c r="G130" s="92">
        <f t="shared" si="15"/>
        <v>171377.68749500022</v>
      </c>
      <c r="H130" s="92">
        <f t="shared" si="20"/>
        <v>-215604.18749369678</v>
      </c>
      <c r="I130" s="93">
        <f t="shared" si="16"/>
        <v>1195862.7897398416</v>
      </c>
      <c r="J130" s="72"/>
      <c r="K130" s="72">
        <f t="shared" si="17"/>
        <v>13583.879925833275</v>
      </c>
      <c r="L130" s="92">
        <f t="shared" si="18"/>
        <v>1411466.9772335384</v>
      </c>
    </row>
    <row r="131" spans="1:12" ht="14.45" customHeight="1" outlineLevel="1">
      <c r="A131" s="86">
        <v>121</v>
      </c>
      <c r="B131" s="91">
        <v>46692</v>
      </c>
      <c r="C131" s="72"/>
      <c r="D131" s="72">
        <f t="shared" si="14"/>
        <v>1128292.4667885939</v>
      </c>
      <c r="E131" s="92">
        <f t="shared" si="19"/>
        <v>-1128292.4667885939</v>
      </c>
      <c r="F131" s="92"/>
      <c r="G131" s="92">
        <f>-AVERAGE(G$11:G$71)</f>
        <v>171377.68749500022</v>
      </c>
      <c r="H131" s="92">
        <f t="shared" si="20"/>
        <v>-44226.499998696556</v>
      </c>
      <c r="I131" s="93">
        <f t="shared" si="16"/>
        <v>246541.73916109593</v>
      </c>
      <c r="J131" s="72"/>
      <c r="K131" s="72">
        <f t="shared" si="17"/>
        <v>7593.7287148479945</v>
      </c>
      <c r="L131" s="92">
        <f t="shared" si="18"/>
        <v>290768.23915979249</v>
      </c>
    </row>
    <row r="132" spans="1:12" ht="14.45" customHeight="1" outlineLevel="1">
      <c r="A132" s="86">
        <v>122</v>
      </c>
      <c r="B132" s="96" t="s">
        <v>174</v>
      </c>
      <c r="C132" s="72"/>
      <c r="D132" s="72">
        <f>$D$4*8/31</f>
        <v>291172.24949383066</v>
      </c>
      <c r="E132" s="92">
        <f t="shared" si="19"/>
        <v>-291172.24949383066</v>
      </c>
      <c r="F132" s="92"/>
      <c r="G132" s="92">
        <f>-AVERAGE(G$11:G$71)*8/31</f>
        <v>44226.499998709733</v>
      </c>
      <c r="H132" s="92">
        <f t="shared" si="20"/>
        <v>1.3176759239286184E-8</v>
      </c>
      <c r="I132" s="93">
        <f t="shared" si="16"/>
        <v>-1.739126105348987E-7</v>
      </c>
      <c r="J132" s="72"/>
      <c r="K132" s="72">
        <f>(L131+H131)*$D$3*8/31</f>
        <v>404.01033385108627</v>
      </c>
      <c r="L132" s="92">
        <f t="shared" si="18"/>
        <v>-1.8708936977418489E-7</v>
      </c>
    </row>
    <row r="133" spans="1:12">
      <c r="B133" s="73" t="s">
        <v>146</v>
      </c>
      <c r="C133" s="92">
        <f>SUM(C10:C132)</f>
        <v>48965053.569999903</v>
      </c>
      <c r="D133" s="92">
        <f>SUM(D10:D132)</f>
        <v>67697548.00731574</v>
      </c>
      <c r="E133" s="92">
        <f>SUM(E10:E132)</f>
        <v>-18732494.437315762</v>
      </c>
      <c r="F133" s="92"/>
      <c r="G133" s="92">
        <f>SUM(G10:G132)</f>
        <v>1.3176759239286184E-8</v>
      </c>
      <c r="H133" s="92"/>
      <c r="I133" s="92"/>
      <c r="J133" s="92">
        <f>SUM(J10:J132)</f>
        <v>8937894.6100000031</v>
      </c>
      <c r="K133" s="92">
        <f>SUM(K10:K132)</f>
        <v>9794599.8273156211</v>
      </c>
      <c r="L133" s="92"/>
    </row>
  </sheetData>
  <mergeCells count="1">
    <mergeCell ref="C8:G8"/>
  </mergeCells>
  <pageMargins left="0.25" right="0.25" top="0.25" bottom="0.25" header="0.25" footer="0.25"/>
  <pageSetup scale="62" firstPageNumber="6" fitToHeight="100" orientation="portrait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6"/>
  <sheetViews>
    <sheetView showGridLines="0" zoomScaleNormal="100" workbookViewId="0">
      <selection activeCell="A37" sqref="A37"/>
    </sheetView>
  </sheetViews>
  <sheetFormatPr defaultColWidth="9.140625" defaultRowHeight="12.75"/>
  <cols>
    <col min="1" max="1" width="5.7109375" style="230" customWidth="1"/>
    <col min="2" max="2" width="11.85546875" style="16" customWidth="1"/>
    <col min="3" max="3" width="49.7109375" style="16" customWidth="1"/>
    <col min="4" max="4" width="18" style="16" customWidth="1"/>
    <col min="5" max="5" width="15.28515625" style="16" bestFit="1" customWidth="1"/>
    <col min="6" max="6" width="2.5703125" style="16" customWidth="1"/>
    <col min="7" max="7" width="68.42578125" style="16" customWidth="1"/>
    <col min="8" max="8" width="15.85546875" style="16" bestFit="1" customWidth="1"/>
    <col min="9" max="16384" width="9.140625" style="16"/>
  </cols>
  <sheetData>
    <row r="1" spans="1:8">
      <c r="B1" s="24" t="s">
        <v>159</v>
      </c>
    </row>
    <row r="2" spans="1:8">
      <c r="B2" s="24" t="s">
        <v>269</v>
      </c>
    </row>
    <row r="3" spans="1:8">
      <c r="B3" s="97"/>
    </row>
    <row r="4" spans="1:8">
      <c r="B4" s="24"/>
    </row>
    <row r="5" spans="1:8">
      <c r="B5" s="24"/>
    </row>
    <row r="6" spans="1:8">
      <c r="A6" s="21">
        <v>-1</v>
      </c>
      <c r="B6" s="24" t="s">
        <v>164</v>
      </c>
    </row>
    <row r="7" spans="1:8">
      <c r="A7" s="21"/>
      <c r="B7" s="24"/>
      <c r="C7" s="16" t="s">
        <v>170</v>
      </c>
      <c r="D7" s="98">
        <v>40831141.109999999</v>
      </c>
    </row>
    <row r="8" spans="1:8">
      <c r="A8" s="21"/>
      <c r="B8" s="24"/>
    </row>
    <row r="9" spans="1:8">
      <c r="B9" s="24"/>
    </row>
    <row r="10" spans="1:8">
      <c r="B10" s="24"/>
    </row>
    <row r="11" spans="1:8">
      <c r="A11" s="21">
        <f>A6-1</f>
        <v>-2</v>
      </c>
      <c r="B11" s="24" t="s">
        <v>161</v>
      </c>
    </row>
    <row r="12" spans="1:8">
      <c r="A12" s="21"/>
      <c r="B12" s="24"/>
      <c r="D12" s="355" t="s">
        <v>166</v>
      </c>
      <c r="E12" s="355"/>
      <c r="F12" s="215"/>
    </row>
    <row r="13" spans="1:8" ht="13.5">
      <c r="C13" s="99" t="s">
        <v>149</v>
      </c>
      <c r="D13" s="99" t="s">
        <v>165</v>
      </c>
      <c r="E13" s="241" t="s">
        <v>288</v>
      </c>
      <c r="F13" s="99"/>
      <c r="G13" s="99" t="s">
        <v>105</v>
      </c>
      <c r="H13" s="99"/>
    </row>
    <row r="14" spans="1:8" s="102" customFormat="1" ht="25.5">
      <c r="A14" s="100"/>
      <c r="B14" s="101" t="s">
        <v>106</v>
      </c>
      <c r="C14" s="102" t="s">
        <v>163</v>
      </c>
      <c r="D14" s="103">
        <v>65090127.303000003</v>
      </c>
      <c r="E14" s="103">
        <v>33961853.57</v>
      </c>
      <c r="F14" s="103"/>
      <c r="G14" s="242" t="s">
        <v>270</v>
      </c>
    </row>
    <row r="15" spans="1:8" s="102" customFormat="1" ht="25.5">
      <c r="A15" s="100"/>
      <c r="B15" s="101" t="s">
        <v>108</v>
      </c>
      <c r="C15" s="104" t="s">
        <v>158</v>
      </c>
      <c r="D15" s="105">
        <v>881014063.745</v>
      </c>
      <c r="E15" s="105">
        <v>933057136.69976926</v>
      </c>
      <c r="F15" s="216"/>
      <c r="G15" s="242" t="s">
        <v>270</v>
      </c>
    </row>
    <row r="16" spans="1:8">
      <c r="B16" s="17" t="s">
        <v>157</v>
      </c>
      <c r="C16" s="16" t="s">
        <v>156</v>
      </c>
      <c r="D16" s="14">
        <f>D14/D15</f>
        <v>7.3880917435433402E-2</v>
      </c>
      <c r="E16" s="14">
        <f>E14/E15</f>
        <v>3.6398471469950226E-2</v>
      </c>
      <c r="F16" s="14"/>
      <c r="G16" s="16" t="s">
        <v>149</v>
      </c>
    </row>
    <row r="17" spans="1:7">
      <c r="B17" s="17"/>
      <c r="D17" s="106"/>
      <c r="E17" s="106"/>
      <c r="F17" s="106"/>
    </row>
    <row r="18" spans="1:7">
      <c r="B18" s="17" t="s">
        <v>114</v>
      </c>
      <c r="C18" s="16" t="s">
        <v>155</v>
      </c>
      <c r="D18" s="14">
        <v>9.2999999999999999E-2</v>
      </c>
      <c r="E18" s="14">
        <v>9.2999999999999999E-2</v>
      </c>
      <c r="F18" s="14"/>
      <c r="G18" s="16" t="s">
        <v>271</v>
      </c>
    </row>
    <row r="19" spans="1:7">
      <c r="B19" s="17"/>
    </row>
    <row r="20" spans="1:7">
      <c r="B20" s="17"/>
      <c r="C20" s="16" t="s">
        <v>154</v>
      </c>
      <c r="D20" s="108"/>
      <c r="E20" s="108"/>
      <c r="F20" s="108"/>
    </row>
    <row r="21" spans="1:7">
      <c r="B21" s="17"/>
      <c r="C21" s="16" t="s">
        <v>153</v>
      </c>
      <c r="D21" s="109"/>
      <c r="E21" s="109"/>
      <c r="F21" s="109"/>
    </row>
    <row r="22" spans="1:7">
      <c r="B22" s="17"/>
      <c r="C22" s="57"/>
      <c r="D22" s="110"/>
      <c r="E22" s="110"/>
      <c r="F22" s="110"/>
    </row>
    <row r="23" spans="1:7" ht="25.5">
      <c r="B23" s="17" t="s">
        <v>152</v>
      </c>
      <c r="C23" s="111" t="s">
        <v>162</v>
      </c>
      <c r="D23" s="112">
        <f>(D18*D15)-D14</f>
        <v>16844180.625285</v>
      </c>
      <c r="E23" s="112">
        <f>(E18*E15)-E14</f>
        <v>52812460.143078543</v>
      </c>
      <c r="F23" s="113"/>
      <c r="G23" s="16" t="s">
        <v>149</v>
      </c>
    </row>
    <row r="24" spans="1:7">
      <c r="B24" s="17"/>
      <c r="C24" s="57"/>
      <c r="D24" s="113"/>
      <c r="E24" s="113"/>
      <c r="F24" s="113"/>
    </row>
    <row r="25" spans="1:7" ht="25.5">
      <c r="B25" s="17" t="s">
        <v>119</v>
      </c>
      <c r="C25" s="57" t="s">
        <v>151</v>
      </c>
      <c r="D25" s="107">
        <v>1.3527309999999999</v>
      </c>
      <c r="E25" s="219">
        <v>1.3398970400000001</v>
      </c>
      <c r="F25" s="107"/>
      <c r="G25" s="242" t="s">
        <v>290</v>
      </c>
    </row>
    <row r="26" spans="1:7" ht="13.5">
      <c r="B26" s="114"/>
      <c r="C26" s="115"/>
      <c r="D26" s="116"/>
      <c r="E26" s="116"/>
      <c r="F26" s="116"/>
    </row>
    <row r="27" spans="1:7">
      <c r="B27" s="17" t="s">
        <v>150</v>
      </c>
      <c r="C27" s="16" t="s">
        <v>166</v>
      </c>
      <c r="D27" s="117">
        <f>D25*D23</f>
        <v>22785645.301422402</v>
      </c>
      <c r="E27" s="117">
        <f>E25*E23</f>
        <v>70763259.020828918</v>
      </c>
      <c r="F27" s="117"/>
      <c r="G27" s="16" t="s">
        <v>149</v>
      </c>
    </row>
    <row r="29" spans="1:7" ht="13.5">
      <c r="B29" s="114" t="s">
        <v>148</v>
      </c>
      <c r="C29" s="118" t="s">
        <v>147</v>
      </c>
      <c r="D29" s="119">
        <f>D27</f>
        <v>22785645.301422402</v>
      </c>
      <c r="E29" s="119">
        <v>40831141.109999999</v>
      </c>
      <c r="F29" s="120"/>
    </row>
    <row r="31" spans="1:7">
      <c r="A31" s="21">
        <v>-3</v>
      </c>
      <c r="B31" s="24" t="s">
        <v>167</v>
      </c>
      <c r="D31" s="98"/>
      <c r="E31" s="217">
        <f>+E29-D29</f>
        <v>18045495.808577597</v>
      </c>
      <c r="F31" s="217"/>
    </row>
    <row r="33" spans="1:7">
      <c r="D33" s="16" t="s">
        <v>44</v>
      </c>
    </row>
    <row r="35" spans="1:7">
      <c r="E35" s="224">
        <f>E31/12</f>
        <v>1503791.3173814665</v>
      </c>
      <c r="G35" s="16" t="s">
        <v>299</v>
      </c>
    </row>
    <row r="36" spans="1:7">
      <c r="A36" s="230" t="s">
        <v>175</v>
      </c>
      <c r="B36" s="16" t="s">
        <v>289</v>
      </c>
    </row>
  </sheetData>
  <customSheetViews>
    <customSheetView guid="{0BD4BC22-E7A2-4140-8384-5A5B3339DEED}" fitToPage="1" printArea="1">
      <selection activeCell="C8" sqref="C8"/>
      <pageMargins left="0.7" right="0.7" top="0.75" bottom="0.75" header="0.3" footer="0.3"/>
      <pageSetup scale="34" orientation="landscape" r:id="rId1"/>
    </customSheetView>
    <customSheetView guid="{567BA860-460A-4CE0-A629-0EA7372574F1}" showPageBreaks="1" fitToPage="1" printArea="1">
      <selection activeCell="C8" sqref="C8"/>
      <pageMargins left="0.7" right="0.7" top="0.75" bottom="0.75" header="0.3" footer="0.3"/>
      <pageSetup scale="77" orientation="landscape" r:id="rId2"/>
    </customSheetView>
    <customSheetView guid="{4EF176FC-448F-4BD8-8859-C810312E84E7}" fitToPage="1">
      <selection activeCell="C8" sqref="C8"/>
      <pageMargins left="0.7" right="0.7" top="0.75" bottom="0.75" header="0.3" footer="0.3"/>
      <pageSetup scale="77" orientation="landscape" r:id="rId3"/>
    </customSheetView>
  </customSheetViews>
  <mergeCells count="1">
    <mergeCell ref="D12:E12"/>
  </mergeCells>
  <phoneticPr fontId="49" type="noConversion"/>
  <pageMargins left="0.7" right="0.7" top="0.75" bottom="0.75" header="0.3" footer="0.3"/>
  <pageSetup scale="63" orientation="landscape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36"/>
  <sheetViews>
    <sheetView topLeftCell="A107" zoomScaleNormal="100" workbookViewId="0">
      <selection activeCell="E140" sqref="E140"/>
    </sheetView>
  </sheetViews>
  <sheetFormatPr defaultColWidth="9.140625" defaultRowHeight="12.75"/>
  <cols>
    <col min="1" max="1" width="9.5703125" style="2" customWidth="1"/>
    <col min="2" max="2" width="66.85546875" style="2" customWidth="1"/>
    <col min="3" max="3" width="18" style="2" customWidth="1"/>
    <col min="4" max="4" width="9.140625" style="2"/>
    <col min="5" max="5" width="31.140625" style="2" bestFit="1" customWidth="1"/>
    <col min="6" max="16384" width="9.140625" style="2"/>
  </cols>
  <sheetData>
    <row r="1" spans="1:5">
      <c r="A1" s="7" t="s">
        <v>104</v>
      </c>
    </row>
    <row r="3" spans="1:5" ht="13.5" hidden="1">
      <c r="B3" s="356"/>
      <c r="C3" s="356"/>
      <c r="E3" s="10" t="s">
        <v>105</v>
      </c>
    </row>
    <row r="4" spans="1:5" hidden="1">
      <c r="A4" s="2" t="s">
        <v>106</v>
      </c>
      <c r="B4" s="2" t="s">
        <v>107</v>
      </c>
      <c r="C4" s="8">
        <v>300309182.89368373</v>
      </c>
      <c r="E4" s="2" t="s">
        <v>262</v>
      </c>
    </row>
    <row r="5" spans="1:5" hidden="1">
      <c r="A5" s="2" t="s">
        <v>108</v>
      </c>
      <c r="B5" s="11" t="s">
        <v>109</v>
      </c>
      <c r="C5" s="11">
        <v>0.98499999999999999</v>
      </c>
      <c r="E5" s="2" t="s">
        <v>110</v>
      </c>
    </row>
    <row r="6" spans="1:5" hidden="1">
      <c r="A6" s="2" t="s">
        <v>111</v>
      </c>
      <c r="B6" s="2" t="s">
        <v>112</v>
      </c>
      <c r="C6" s="12">
        <f>C5*C4</f>
        <v>295804545.15027845</v>
      </c>
      <c r="E6" s="2" t="s">
        <v>113</v>
      </c>
    </row>
    <row r="7" spans="1:5" hidden="1">
      <c r="C7" s="12"/>
    </row>
    <row r="8" spans="1:5" hidden="1">
      <c r="A8" s="2" t="s">
        <v>114</v>
      </c>
      <c r="B8" s="2" t="s">
        <v>115</v>
      </c>
      <c r="C8" s="8">
        <v>266193975</v>
      </c>
      <c r="E8" s="2" t="s">
        <v>116</v>
      </c>
    </row>
    <row r="9" spans="1:5" hidden="1">
      <c r="A9" s="2" t="s">
        <v>117</v>
      </c>
      <c r="B9" s="2" t="s">
        <v>118</v>
      </c>
      <c r="C9" s="12">
        <f>C6-C8</f>
        <v>29610570.150278449</v>
      </c>
      <c r="E9" s="2" t="s">
        <v>113</v>
      </c>
    </row>
    <row r="10" spans="1:5" hidden="1"/>
    <row r="11" spans="1:5" hidden="1">
      <c r="A11" s="2" t="s">
        <v>119</v>
      </c>
      <c r="B11" s="40" t="s">
        <v>177</v>
      </c>
      <c r="C11" s="41">
        <v>7.0486908012783164E-2</v>
      </c>
      <c r="E11" s="2" t="s">
        <v>262</v>
      </c>
    </row>
    <row r="12" spans="1:5" ht="14.45" hidden="1" customHeight="1">
      <c r="A12" s="2" t="s">
        <v>120</v>
      </c>
      <c r="B12" s="42" t="s">
        <v>176</v>
      </c>
      <c r="C12" s="43">
        <v>6.7572499999999994E-2</v>
      </c>
      <c r="E12" s="2" t="s">
        <v>263</v>
      </c>
    </row>
    <row r="13" spans="1:5" hidden="1">
      <c r="A13" s="2" t="s">
        <v>121</v>
      </c>
      <c r="B13" s="2" t="s">
        <v>27</v>
      </c>
      <c r="C13" s="44">
        <f>C11-C12</f>
        <v>2.9144080127831706E-3</v>
      </c>
      <c r="E13" s="2" t="s">
        <v>113</v>
      </c>
    </row>
    <row r="14" spans="1:5" hidden="1"/>
    <row r="15" spans="1:5" hidden="1">
      <c r="A15" s="2" t="s">
        <v>122</v>
      </c>
      <c r="B15" s="2" t="s">
        <v>123</v>
      </c>
      <c r="C15" s="12">
        <f>C13*C9</f>
        <v>86297.282909049682</v>
      </c>
      <c r="E15" s="2" t="s">
        <v>113</v>
      </c>
    </row>
    <row r="16" spans="1:5" hidden="1">
      <c r="A16" s="2" t="s">
        <v>124</v>
      </c>
      <c r="B16" s="11" t="s">
        <v>51</v>
      </c>
      <c r="C16" s="45">
        <v>1.3452999999999999</v>
      </c>
      <c r="E16" s="2" t="s">
        <v>264</v>
      </c>
    </row>
    <row r="17" spans="1:8" ht="13.5" hidden="1">
      <c r="A17" s="46" t="s">
        <v>126</v>
      </c>
      <c r="B17" s="13" t="s">
        <v>125</v>
      </c>
      <c r="C17" s="47">
        <f>ROUND(C16*C15,0)</f>
        <v>116096</v>
      </c>
      <c r="E17" s="2" t="s">
        <v>113</v>
      </c>
    </row>
    <row r="18" spans="1:8" hidden="1"/>
    <row r="19" spans="1:8" ht="13.5" hidden="1" thickBot="1">
      <c r="A19" s="48" t="s">
        <v>127</v>
      </c>
      <c r="B19" s="2" t="s">
        <v>128</v>
      </c>
      <c r="C19" s="34">
        <f>ROUND(C17/12,0)</f>
        <v>9675</v>
      </c>
    </row>
    <row r="20" spans="1:8" ht="13.5" hidden="1" thickTop="1">
      <c r="A20" s="37"/>
      <c r="B20" s="37"/>
      <c r="C20" s="49"/>
      <c r="D20" s="37"/>
      <c r="E20" s="37"/>
      <c r="F20" s="37"/>
      <c r="G20" s="37"/>
      <c r="H20" s="37"/>
    </row>
    <row r="21" spans="1:8" hidden="1"/>
    <row r="22" spans="1:8" hidden="1">
      <c r="A22" s="2" t="s">
        <v>106</v>
      </c>
      <c r="B22" s="2" t="s">
        <v>107</v>
      </c>
      <c r="C22" s="8">
        <v>342717085</v>
      </c>
      <c r="E22" s="2" t="s">
        <v>228</v>
      </c>
    </row>
    <row r="23" spans="1:8" hidden="1">
      <c r="A23" s="2" t="s">
        <v>108</v>
      </c>
      <c r="B23" s="11" t="s">
        <v>109</v>
      </c>
      <c r="C23" s="11">
        <v>0.98499999999999999</v>
      </c>
      <c r="E23" s="2" t="s">
        <v>110</v>
      </c>
    </row>
    <row r="24" spans="1:8" hidden="1">
      <c r="A24" s="2" t="s">
        <v>111</v>
      </c>
      <c r="B24" s="2" t="s">
        <v>112</v>
      </c>
      <c r="C24" s="12">
        <f>C23*C22</f>
        <v>337576328.72500002</v>
      </c>
      <c r="E24" s="2" t="s">
        <v>113</v>
      </c>
    </row>
    <row r="25" spans="1:8" hidden="1">
      <c r="C25" s="12"/>
    </row>
    <row r="26" spans="1:8" hidden="1">
      <c r="A26" s="2" t="s">
        <v>114</v>
      </c>
      <c r="B26" s="2" t="s">
        <v>115</v>
      </c>
      <c r="C26" s="8">
        <v>266193975</v>
      </c>
      <c r="E26" s="2" t="s">
        <v>116</v>
      </c>
    </row>
    <row r="27" spans="1:8" hidden="1">
      <c r="A27" s="2" t="s">
        <v>117</v>
      </c>
      <c r="B27" s="2" t="s">
        <v>118</v>
      </c>
      <c r="C27" s="12">
        <f>C24-C26</f>
        <v>71382353.725000024</v>
      </c>
      <c r="E27" s="2" t="s">
        <v>113</v>
      </c>
    </row>
    <row r="28" spans="1:8" hidden="1"/>
    <row r="29" spans="1:8" hidden="1">
      <c r="A29" s="2" t="s">
        <v>119</v>
      </c>
      <c r="B29" s="40" t="s">
        <v>177</v>
      </c>
      <c r="C29" s="41">
        <v>7.2097999999999995E-2</v>
      </c>
      <c r="E29" s="2" t="s">
        <v>228</v>
      </c>
    </row>
    <row r="30" spans="1:8" hidden="1">
      <c r="A30" s="2" t="s">
        <v>120</v>
      </c>
      <c r="B30" s="42" t="s">
        <v>176</v>
      </c>
      <c r="C30" s="43">
        <v>6.7572499999999994E-2</v>
      </c>
      <c r="E30" s="2" t="s">
        <v>230</v>
      </c>
    </row>
    <row r="31" spans="1:8" hidden="1">
      <c r="A31" s="2" t="s">
        <v>121</v>
      </c>
      <c r="B31" s="2" t="s">
        <v>27</v>
      </c>
      <c r="C31" s="44">
        <f>C29-C30</f>
        <v>4.5255000000000017E-3</v>
      </c>
      <c r="E31" s="2" t="s">
        <v>113</v>
      </c>
    </row>
    <row r="32" spans="1:8" hidden="1"/>
    <row r="33" spans="1:8" hidden="1">
      <c r="A33" s="2" t="s">
        <v>122</v>
      </c>
      <c r="B33" s="2" t="s">
        <v>123</v>
      </c>
      <c r="C33" s="12">
        <f>C31*C27</f>
        <v>323040.84178248775</v>
      </c>
      <c r="E33" s="2" t="s">
        <v>113</v>
      </c>
    </row>
    <row r="34" spans="1:8" hidden="1">
      <c r="A34" s="2" t="s">
        <v>124</v>
      </c>
      <c r="B34" s="11" t="s">
        <v>51</v>
      </c>
      <c r="C34" s="45">
        <v>1.3351</v>
      </c>
      <c r="E34" s="2" t="s">
        <v>229</v>
      </c>
    </row>
    <row r="35" spans="1:8" ht="13.5" hidden="1">
      <c r="A35" s="46" t="s">
        <v>126</v>
      </c>
      <c r="B35" s="13" t="s">
        <v>237</v>
      </c>
      <c r="C35" s="47">
        <f>ROUND(C34*C33,0)</f>
        <v>431292</v>
      </c>
      <c r="E35" s="2" t="s">
        <v>113</v>
      </c>
    </row>
    <row r="36" spans="1:8" hidden="1"/>
    <row r="37" spans="1:8" ht="13.5" hidden="1" thickBot="1">
      <c r="A37" s="48" t="s">
        <v>127</v>
      </c>
      <c r="B37" s="2" t="s">
        <v>128</v>
      </c>
      <c r="C37" s="34">
        <f>ROUND(C35/12,0)</f>
        <v>35941</v>
      </c>
    </row>
    <row r="38" spans="1:8" ht="13.5" hidden="1" thickTop="1"/>
    <row r="39" spans="1:8" hidden="1">
      <c r="A39" s="37"/>
      <c r="B39" s="37"/>
      <c r="C39" s="37"/>
      <c r="D39" s="37"/>
      <c r="E39" s="37"/>
      <c r="F39" s="37"/>
      <c r="G39" s="37"/>
      <c r="H39" s="37"/>
    </row>
    <row r="40" spans="1:8" hidden="1"/>
    <row r="41" spans="1:8" hidden="1">
      <c r="A41" s="2" t="s">
        <v>106</v>
      </c>
      <c r="B41" s="2" t="s">
        <v>107</v>
      </c>
      <c r="C41" s="8">
        <v>346825177</v>
      </c>
      <c r="E41" s="2" t="s">
        <v>240</v>
      </c>
    </row>
    <row r="42" spans="1:8" hidden="1">
      <c r="A42" s="2" t="s">
        <v>108</v>
      </c>
      <c r="B42" s="11" t="s">
        <v>109</v>
      </c>
      <c r="C42" s="11">
        <v>0.98499999999999999</v>
      </c>
      <c r="E42" s="2" t="s">
        <v>110</v>
      </c>
    </row>
    <row r="43" spans="1:8" hidden="1">
      <c r="A43" s="2" t="s">
        <v>111</v>
      </c>
      <c r="B43" s="2" t="s">
        <v>112</v>
      </c>
      <c r="C43" s="12">
        <f>C42*C41</f>
        <v>341622799.34499997</v>
      </c>
      <c r="E43" s="2" t="s">
        <v>113</v>
      </c>
    </row>
    <row r="44" spans="1:8" hidden="1">
      <c r="C44" s="12"/>
    </row>
    <row r="45" spans="1:8" hidden="1">
      <c r="A45" s="2" t="s">
        <v>114</v>
      </c>
      <c r="B45" s="2" t="s">
        <v>115</v>
      </c>
      <c r="C45" s="8">
        <v>266193975</v>
      </c>
      <c r="E45" s="2" t="s">
        <v>116</v>
      </c>
    </row>
    <row r="46" spans="1:8" hidden="1">
      <c r="A46" s="2" t="s">
        <v>117</v>
      </c>
      <c r="B46" s="2" t="s">
        <v>118</v>
      </c>
      <c r="C46" s="12">
        <f>C43-C45</f>
        <v>75428824.344999969</v>
      </c>
      <c r="E46" s="2" t="s">
        <v>113</v>
      </c>
    </row>
    <row r="47" spans="1:8" hidden="1"/>
    <row r="48" spans="1:8" hidden="1">
      <c r="A48" s="2" t="s">
        <v>119</v>
      </c>
      <c r="B48" s="40" t="s">
        <v>177</v>
      </c>
      <c r="C48" s="41">
        <v>7.1297570000000005E-2</v>
      </c>
      <c r="E48" s="2" t="s">
        <v>240</v>
      </c>
    </row>
    <row r="49" spans="1:8" hidden="1">
      <c r="A49" s="2" t="s">
        <v>120</v>
      </c>
      <c r="B49" s="42" t="s">
        <v>176</v>
      </c>
      <c r="C49" s="43">
        <v>6.7572499999999994E-2</v>
      </c>
      <c r="E49" s="2" t="s">
        <v>230</v>
      </c>
    </row>
    <row r="50" spans="1:8" hidden="1">
      <c r="A50" s="2" t="s">
        <v>121</v>
      </c>
      <c r="B50" s="2" t="s">
        <v>27</v>
      </c>
      <c r="C50" s="44">
        <f>C48-C49</f>
        <v>3.7250700000000109E-3</v>
      </c>
      <c r="E50" s="2" t="s">
        <v>113</v>
      </c>
    </row>
    <row r="51" spans="1:8" hidden="1"/>
    <row r="52" spans="1:8" hidden="1">
      <c r="A52" s="2" t="s">
        <v>122</v>
      </c>
      <c r="B52" s="2" t="s">
        <v>123</v>
      </c>
      <c r="C52" s="12">
        <f>C50*C46</f>
        <v>280977.65070282988</v>
      </c>
      <c r="E52" s="2" t="s">
        <v>113</v>
      </c>
    </row>
    <row r="53" spans="1:8" hidden="1">
      <c r="A53" s="2" t="s">
        <v>124</v>
      </c>
      <c r="B53" s="11" t="s">
        <v>51</v>
      </c>
      <c r="C53" s="45">
        <v>1.3479000000000001</v>
      </c>
      <c r="E53" s="2" t="s">
        <v>241</v>
      </c>
    </row>
    <row r="54" spans="1:8" ht="13.5" hidden="1">
      <c r="A54" s="46" t="s">
        <v>126</v>
      </c>
      <c r="B54" s="13" t="s">
        <v>242</v>
      </c>
      <c r="C54" s="47">
        <f>ROUND(C53*C52,0)</f>
        <v>378730</v>
      </c>
      <c r="E54" s="2" t="s">
        <v>113</v>
      </c>
    </row>
    <row r="55" spans="1:8" hidden="1"/>
    <row r="56" spans="1:8" ht="13.5" hidden="1" thickBot="1">
      <c r="A56" s="48" t="s">
        <v>127</v>
      </c>
      <c r="B56" s="2" t="s">
        <v>128</v>
      </c>
      <c r="C56" s="34">
        <f>ROUND(C54/12,0)</f>
        <v>31561</v>
      </c>
    </row>
    <row r="57" spans="1:8" ht="13.5" hidden="1" thickTop="1"/>
    <row r="58" spans="1:8" hidden="1">
      <c r="A58" s="37"/>
      <c r="B58" s="37"/>
      <c r="C58" s="37"/>
      <c r="D58" s="37"/>
      <c r="E58" s="37"/>
      <c r="F58" s="37"/>
      <c r="G58" s="37"/>
      <c r="H58" s="37"/>
    </row>
    <row r="59" spans="1:8" hidden="1"/>
    <row r="60" spans="1:8" hidden="1"/>
    <row r="61" spans="1:8" hidden="1">
      <c r="A61" s="2" t="s">
        <v>106</v>
      </c>
      <c r="B61" s="2" t="s">
        <v>107</v>
      </c>
      <c r="C61" s="8">
        <v>380361298.36626935</v>
      </c>
      <c r="E61" s="2" t="s">
        <v>246</v>
      </c>
    </row>
    <row r="62" spans="1:8" hidden="1">
      <c r="A62" s="2" t="s">
        <v>108</v>
      </c>
      <c r="B62" s="11" t="s">
        <v>109</v>
      </c>
      <c r="C62" s="11">
        <v>0.98499999999999999</v>
      </c>
      <c r="E62" s="2" t="s">
        <v>247</v>
      </c>
    </row>
    <row r="63" spans="1:8" hidden="1">
      <c r="A63" s="2" t="s">
        <v>111</v>
      </c>
      <c r="B63" s="2" t="s">
        <v>112</v>
      </c>
      <c r="C63" s="12">
        <f>C62*C61</f>
        <v>374655878.89077532</v>
      </c>
      <c r="E63" s="2" t="s">
        <v>113</v>
      </c>
    </row>
    <row r="64" spans="1:8" hidden="1">
      <c r="C64" s="12"/>
    </row>
    <row r="65" spans="1:8" hidden="1">
      <c r="A65" s="2" t="s">
        <v>114</v>
      </c>
      <c r="B65" s="2" t="s">
        <v>115</v>
      </c>
      <c r="C65" s="8">
        <v>342210406</v>
      </c>
      <c r="E65" s="2" t="s">
        <v>248</v>
      </c>
    </row>
    <row r="66" spans="1:8" hidden="1">
      <c r="A66" s="2" t="s">
        <v>117</v>
      </c>
      <c r="B66" s="2" t="s">
        <v>118</v>
      </c>
      <c r="C66" s="12">
        <f>C63-C65</f>
        <v>32445472.890775323</v>
      </c>
      <c r="E66" s="2" t="s">
        <v>113</v>
      </c>
    </row>
    <row r="67" spans="1:8" hidden="1"/>
    <row r="68" spans="1:8" hidden="1">
      <c r="A68" s="2" t="s">
        <v>119</v>
      </c>
      <c r="B68" s="40" t="s">
        <v>177</v>
      </c>
      <c r="C68" s="41">
        <v>6.7616723895354336E-2</v>
      </c>
      <c r="E68" s="2" t="s">
        <v>246</v>
      </c>
    </row>
    <row r="69" spans="1:8" hidden="1">
      <c r="A69" s="2" t="s">
        <v>120</v>
      </c>
      <c r="B69" s="42" t="s">
        <v>249</v>
      </c>
      <c r="C69" s="43">
        <v>6.283582141416949E-2</v>
      </c>
      <c r="E69" s="2" t="s">
        <v>246</v>
      </c>
    </row>
    <row r="70" spans="1:8" hidden="1">
      <c r="A70" s="2" t="s">
        <v>121</v>
      </c>
      <c r="B70" s="2" t="s">
        <v>27</v>
      </c>
      <c r="C70" s="44">
        <f>C68-C69</f>
        <v>4.7809024811848455E-3</v>
      </c>
      <c r="E70" s="2" t="s">
        <v>113</v>
      </c>
    </row>
    <row r="71" spans="1:8" hidden="1"/>
    <row r="72" spans="1:8" hidden="1">
      <c r="A72" s="2" t="s">
        <v>122</v>
      </c>
      <c r="B72" s="2" t="s">
        <v>123</v>
      </c>
      <c r="C72" s="12">
        <f>C70*C66</f>
        <v>155118.64184672339</v>
      </c>
      <c r="E72" s="2" t="s">
        <v>113</v>
      </c>
    </row>
    <row r="73" spans="1:8" hidden="1">
      <c r="A73" s="2" t="s">
        <v>124</v>
      </c>
      <c r="B73" s="11" t="s">
        <v>51</v>
      </c>
      <c r="C73" s="45">
        <v>1.3446173622372279</v>
      </c>
      <c r="E73" s="2" t="s">
        <v>250</v>
      </c>
    </row>
    <row r="74" spans="1:8" ht="13.5" hidden="1">
      <c r="A74" s="46" t="s">
        <v>126</v>
      </c>
      <c r="B74" s="13" t="s">
        <v>257</v>
      </c>
      <c r="C74" s="47">
        <f>ROUND(C73*C72,0)</f>
        <v>208575</v>
      </c>
      <c r="E74" s="2" t="s">
        <v>113</v>
      </c>
    </row>
    <row r="75" spans="1:8" hidden="1"/>
    <row r="76" spans="1:8" ht="13.5" hidden="1" thickBot="1">
      <c r="A76" s="48" t="s">
        <v>127</v>
      </c>
      <c r="B76" s="2" t="s">
        <v>128</v>
      </c>
      <c r="C76" s="34">
        <f>ROUND(C74/12,0)</f>
        <v>17381</v>
      </c>
    </row>
    <row r="77" spans="1:8" ht="13.5" hidden="1" thickTop="1"/>
    <row r="78" spans="1:8" hidden="1">
      <c r="A78" s="37"/>
      <c r="B78" s="37"/>
      <c r="C78" s="37"/>
      <c r="D78" s="37"/>
      <c r="E78" s="37"/>
      <c r="F78" s="37"/>
      <c r="G78" s="37"/>
      <c r="H78" s="37"/>
    </row>
    <row r="81" spans="1:5">
      <c r="A81" s="2" t="s">
        <v>106</v>
      </c>
      <c r="B81" s="2" t="s">
        <v>107</v>
      </c>
      <c r="C81" s="8">
        <v>496964162</v>
      </c>
      <c r="E81" s="2" t="s">
        <v>246</v>
      </c>
    </row>
    <row r="82" spans="1:5">
      <c r="A82" s="2" t="s">
        <v>108</v>
      </c>
      <c r="B82" s="11" t="s">
        <v>109</v>
      </c>
      <c r="C82" s="11">
        <v>0.98499999999999999</v>
      </c>
      <c r="E82" s="2" t="s">
        <v>247</v>
      </c>
    </row>
    <row r="83" spans="1:5">
      <c r="A83" s="2" t="s">
        <v>111</v>
      </c>
      <c r="B83" s="2" t="s">
        <v>112</v>
      </c>
      <c r="C83" s="12">
        <f>C82*C81</f>
        <v>489509699.56999999</v>
      </c>
      <c r="E83" s="2" t="s">
        <v>113</v>
      </c>
    </row>
    <row r="84" spans="1:5">
      <c r="C84" s="12"/>
    </row>
    <row r="85" spans="1:5">
      <c r="A85" s="2" t="s">
        <v>114</v>
      </c>
      <c r="B85" s="2" t="s">
        <v>115</v>
      </c>
      <c r="C85" s="8">
        <v>342210406</v>
      </c>
      <c r="E85" s="2" t="s">
        <v>248</v>
      </c>
    </row>
    <row r="86" spans="1:5">
      <c r="A86" s="2" t="s">
        <v>117</v>
      </c>
      <c r="B86" s="2" t="s">
        <v>118</v>
      </c>
      <c r="C86" s="12">
        <f>C83-C85</f>
        <v>147299293.56999999</v>
      </c>
      <c r="E86" s="2" t="s">
        <v>113</v>
      </c>
    </row>
    <row r="88" spans="1:5">
      <c r="A88" s="2" t="s">
        <v>119</v>
      </c>
      <c r="B88" s="40" t="s">
        <v>177</v>
      </c>
      <c r="C88" s="41">
        <v>6.4807046708744667E-2</v>
      </c>
      <c r="E88" s="2" t="s">
        <v>267</v>
      </c>
    </row>
    <row r="89" spans="1:5">
      <c r="A89" s="2" t="s">
        <v>120</v>
      </c>
      <c r="B89" s="42" t="s">
        <v>249</v>
      </c>
      <c r="C89" s="43">
        <v>6.283582141416949E-2</v>
      </c>
      <c r="E89" s="2" t="s">
        <v>267</v>
      </c>
    </row>
    <row r="90" spans="1:5">
      <c r="A90" s="2" t="s">
        <v>121</v>
      </c>
      <c r="B90" s="2" t="s">
        <v>27</v>
      </c>
      <c r="C90" s="44">
        <f>C88-C89</f>
        <v>1.9712252945751768E-3</v>
      </c>
      <c r="E90" s="2" t="s">
        <v>113</v>
      </c>
    </row>
    <row r="92" spans="1:5">
      <c r="A92" s="2" t="s">
        <v>122</v>
      </c>
      <c r="B92" s="2" t="s">
        <v>123</v>
      </c>
      <c r="C92" s="12">
        <f>C90*C86</f>
        <v>290360.09335823869</v>
      </c>
      <c r="E92" s="2" t="s">
        <v>113</v>
      </c>
    </row>
    <row r="93" spans="1:5">
      <c r="A93" s="2" t="s">
        <v>124</v>
      </c>
      <c r="B93" s="11" t="s">
        <v>51</v>
      </c>
      <c r="C93" s="45">
        <v>1.4021076482167993</v>
      </c>
      <c r="E93" s="2" t="s">
        <v>268</v>
      </c>
    </row>
    <row r="94" spans="1:5" ht="13.5">
      <c r="A94" s="46" t="s">
        <v>126</v>
      </c>
      <c r="B94" s="13" t="s">
        <v>257</v>
      </c>
      <c r="C94" s="47">
        <f>ROUND(C93*C92,0)</f>
        <v>407116</v>
      </c>
      <c r="E94" s="2" t="s">
        <v>113</v>
      </c>
    </row>
    <row r="96" spans="1:5" ht="13.5" thickBot="1">
      <c r="A96" s="48" t="s">
        <v>127</v>
      </c>
      <c r="B96" s="2" t="s">
        <v>128</v>
      </c>
      <c r="C96" s="34">
        <f>ROUND(C94/12,0)</f>
        <v>33926</v>
      </c>
    </row>
    <row r="97" spans="1:8" ht="13.5" thickTop="1"/>
    <row r="98" spans="1:8">
      <c r="A98" s="37"/>
      <c r="B98" s="37"/>
      <c r="C98" s="37"/>
      <c r="D98" s="37"/>
      <c r="E98" s="37"/>
      <c r="F98" s="37"/>
      <c r="G98" s="37"/>
      <c r="H98" s="37"/>
    </row>
    <row r="101" spans="1:8">
      <c r="A101" s="2" t="s">
        <v>106</v>
      </c>
      <c r="B101" s="2" t="s">
        <v>107</v>
      </c>
      <c r="C101" s="8">
        <v>497312162</v>
      </c>
      <c r="E101" s="2" t="s">
        <v>246</v>
      </c>
    </row>
    <row r="102" spans="1:8">
      <c r="A102" s="2" t="s">
        <v>108</v>
      </c>
      <c r="B102" s="11" t="s">
        <v>109</v>
      </c>
      <c r="C102" s="11">
        <v>0.98499999999999999</v>
      </c>
      <c r="E102" s="2" t="s">
        <v>247</v>
      </c>
    </row>
    <row r="103" spans="1:8">
      <c r="A103" s="2" t="s">
        <v>111</v>
      </c>
      <c r="B103" s="2" t="s">
        <v>112</v>
      </c>
      <c r="C103" s="12">
        <f>C102*C101</f>
        <v>489852479.56999999</v>
      </c>
      <c r="E103" s="2" t="s">
        <v>113</v>
      </c>
    </row>
    <row r="104" spans="1:8">
      <c r="C104" s="12"/>
    </row>
    <row r="105" spans="1:8">
      <c r="A105" s="2" t="s">
        <v>114</v>
      </c>
      <c r="B105" s="2" t="s">
        <v>115</v>
      </c>
      <c r="C105" s="8">
        <v>342210406</v>
      </c>
      <c r="E105" s="2" t="s">
        <v>248</v>
      </c>
    </row>
    <row r="106" spans="1:8">
      <c r="A106" s="2" t="s">
        <v>117</v>
      </c>
      <c r="B106" s="2" t="s">
        <v>118</v>
      </c>
      <c r="C106" s="12">
        <f>C103-C105</f>
        <v>147642073.56999999</v>
      </c>
      <c r="E106" s="2" t="s">
        <v>113</v>
      </c>
    </row>
    <row r="108" spans="1:8">
      <c r="A108" s="2" t="s">
        <v>119</v>
      </c>
      <c r="B108" s="40" t="s">
        <v>177</v>
      </c>
      <c r="C108" s="41">
        <v>6.4807046708744667E-2</v>
      </c>
      <c r="E108" s="2" t="s">
        <v>267</v>
      </c>
    </row>
    <row r="109" spans="1:8">
      <c r="A109" s="2" t="s">
        <v>120</v>
      </c>
      <c r="B109" s="42" t="s">
        <v>249</v>
      </c>
      <c r="C109" s="43">
        <v>6.283582141416949E-2</v>
      </c>
      <c r="E109" s="2" t="s">
        <v>267</v>
      </c>
    </row>
    <row r="110" spans="1:8">
      <c r="A110" s="2" t="s">
        <v>121</v>
      </c>
      <c r="B110" s="2" t="s">
        <v>27</v>
      </c>
      <c r="C110" s="44">
        <f>C108-C109</f>
        <v>1.9712252945751768E-3</v>
      </c>
      <c r="E110" s="2" t="s">
        <v>113</v>
      </c>
    </row>
    <row r="112" spans="1:8">
      <c r="A112" s="2" t="s">
        <v>122</v>
      </c>
      <c r="B112" s="2" t="s">
        <v>123</v>
      </c>
      <c r="C112" s="12">
        <f>C110*C106</f>
        <v>291035.78996471316</v>
      </c>
      <c r="E112" s="2" t="s">
        <v>113</v>
      </c>
    </row>
    <row r="113" spans="1:8">
      <c r="A113" s="2" t="s">
        <v>124</v>
      </c>
      <c r="B113" s="11" t="s">
        <v>51</v>
      </c>
      <c r="C113" s="45">
        <v>1.4021076482167993</v>
      </c>
      <c r="E113" s="2" t="s">
        <v>268</v>
      </c>
    </row>
    <row r="114" spans="1:8" ht="13.5">
      <c r="A114" s="46" t="s">
        <v>126</v>
      </c>
      <c r="B114" s="13" t="s">
        <v>257</v>
      </c>
      <c r="C114" s="47">
        <f>ROUND(C113*C112,0)</f>
        <v>408064</v>
      </c>
      <c r="E114" s="2" t="s">
        <v>113</v>
      </c>
    </row>
    <row r="116" spans="1:8" ht="13.5" thickBot="1">
      <c r="A116" s="48" t="s">
        <v>127</v>
      </c>
      <c r="B116" s="2" t="s">
        <v>128</v>
      </c>
      <c r="C116" s="34">
        <f>ROUND(C114/12,0)</f>
        <v>34005</v>
      </c>
    </row>
    <row r="117" spans="1:8" ht="13.5" thickTop="1"/>
    <row r="118" spans="1:8">
      <c r="A118" s="37"/>
      <c r="B118" s="37"/>
      <c r="C118" s="37"/>
      <c r="D118" s="37"/>
      <c r="E118" s="37"/>
      <c r="F118" s="37"/>
      <c r="G118" s="37"/>
      <c r="H118" s="37"/>
    </row>
    <row r="120" spans="1:8">
      <c r="A120" s="2" t="s">
        <v>106</v>
      </c>
      <c r="B120" s="2" t="s">
        <v>107</v>
      </c>
      <c r="C120" s="8">
        <v>533975292</v>
      </c>
      <c r="E120" s="2" t="s">
        <v>295</v>
      </c>
    </row>
    <row r="121" spans="1:8">
      <c r="A121" s="2" t="s">
        <v>108</v>
      </c>
      <c r="B121" s="11" t="s">
        <v>109</v>
      </c>
      <c r="C121" s="11">
        <v>0.98499999999999999</v>
      </c>
      <c r="E121" s="2" t="s">
        <v>247</v>
      </c>
    </row>
    <row r="122" spans="1:8">
      <c r="A122" s="2" t="s">
        <v>111</v>
      </c>
      <c r="B122" s="2" t="s">
        <v>112</v>
      </c>
      <c r="C122" s="12">
        <f>C121*C120</f>
        <v>525965662.62</v>
      </c>
      <c r="E122" s="2" t="s">
        <v>113</v>
      </c>
    </row>
    <row r="123" spans="1:8">
      <c r="C123" s="12"/>
    </row>
    <row r="124" spans="1:8">
      <c r="A124" s="2" t="s">
        <v>114</v>
      </c>
      <c r="B124" s="2" t="s">
        <v>115</v>
      </c>
      <c r="C124" s="8">
        <v>342210406</v>
      </c>
      <c r="E124" s="2" t="s">
        <v>248</v>
      </c>
    </row>
    <row r="125" spans="1:8">
      <c r="A125" s="2" t="s">
        <v>117</v>
      </c>
      <c r="B125" s="2" t="s">
        <v>118</v>
      </c>
      <c r="C125" s="12">
        <f>C122-C124</f>
        <v>183755256.62</v>
      </c>
      <c r="E125" s="2" t="s">
        <v>113</v>
      </c>
    </row>
    <row r="127" spans="1:8">
      <c r="A127" s="2" t="s">
        <v>119</v>
      </c>
      <c r="B127" s="40" t="s">
        <v>177</v>
      </c>
      <c r="C127" s="223">
        <v>7.5524045299039999E-2</v>
      </c>
      <c r="E127" s="2" t="s">
        <v>295</v>
      </c>
    </row>
    <row r="128" spans="1:8">
      <c r="A128" s="2" t="s">
        <v>120</v>
      </c>
      <c r="B128" s="42" t="s">
        <v>249</v>
      </c>
      <c r="C128" s="43">
        <v>6.283582141416949E-2</v>
      </c>
      <c r="E128" s="222" t="s">
        <v>296</v>
      </c>
    </row>
    <row r="129" spans="1:5">
      <c r="A129" s="2" t="s">
        <v>121</v>
      </c>
      <c r="B129" s="2" t="s">
        <v>27</v>
      </c>
      <c r="C129" s="44">
        <f>C127-C128</f>
        <v>1.2688223884870509E-2</v>
      </c>
      <c r="E129" s="2" t="s">
        <v>113</v>
      </c>
    </row>
    <row r="131" spans="1:5">
      <c r="A131" s="2" t="s">
        <v>122</v>
      </c>
      <c r="B131" s="2" t="s">
        <v>123</v>
      </c>
      <c r="C131" s="12">
        <f>C129*C125</f>
        <v>2331527.8360163937</v>
      </c>
      <c r="E131" s="2" t="s">
        <v>113</v>
      </c>
    </row>
    <row r="132" spans="1:5">
      <c r="A132" s="2" t="s">
        <v>124</v>
      </c>
      <c r="B132" s="11" t="s">
        <v>51</v>
      </c>
      <c r="C132" s="45">
        <v>1.33258531</v>
      </c>
      <c r="E132" s="2" t="s">
        <v>297</v>
      </c>
    </row>
    <row r="133" spans="1:5" ht="13.5">
      <c r="A133" s="46" t="s">
        <v>126</v>
      </c>
      <c r="B133" s="13" t="s">
        <v>257</v>
      </c>
      <c r="C133" s="47">
        <f>ROUND(C132*C131,0)</f>
        <v>3106960</v>
      </c>
      <c r="E133" s="2" t="s">
        <v>113</v>
      </c>
    </row>
    <row r="135" spans="1:5" ht="13.5" thickBot="1">
      <c r="A135" s="48" t="s">
        <v>127</v>
      </c>
      <c r="B135" s="2" t="s">
        <v>128</v>
      </c>
      <c r="C135" s="34">
        <f>ROUND(C133/12,0)</f>
        <v>258913</v>
      </c>
    </row>
    <row r="136" spans="1:5" ht="13.5" thickTop="1"/>
  </sheetData>
  <customSheetViews>
    <customSheetView guid="{0BD4BC22-E7A2-4140-8384-5A5B3339DEED}" fitToPage="1" printArea="1">
      <selection activeCell="B11" sqref="B11"/>
      <pageMargins left="0.7" right="0.7" top="0.75" bottom="0.75" header="0.3" footer="0.3"/>
      <pageSetup scale="67" orientation="portrait" r:id="rId1"/>
    </customSheetView>
    <customSheetView guid="{567BA860-460A-4CE0-A629-0EA7372574F1}" showPageBreaks="1" fitToPage="1" printArea="1">
      <selection activeCell="E36" sqref="E36"/>
      <pageMargins left="0.7" right="0.7" top="0.75" bottom="0.75" header="0.3" footer="0.3"/>
      <pageSetup scale="67" orientation="portrait" r:id="rId2"/>
    </customSheetView>
    <customSheetView guid="{4EF176FC-448F-4BD8-8859-C810312E84E7}" fitToPage="1">
      <selection activeCell="C12" sqref="C12"/>
      <pageMargins left="0.7" right="0.7" top="0.75" bottom="0.75" header="0.3" footer="0.3"/>
      <pageSetup scale="67" orientation="portrait" r:id="rId3"/>
    </customSheetView>
  </customSheetViews>
  <mergeCells count="1">
    <mergeCell ref="B3:C3"/>
  </mergeCells>
  <pageMargins left="0.7" right="0.7" top="0.75" bottom="0.75" header="0.3" footer="0.3"/>
  <pageSetup scale="5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515A-4867-4900-8606-ADA2631DBA5C}">
  <dimension ref="A2:D13"/>
  <sheetViews>
    <sheetView zoomScaleNormal="100" workbookViewId="0">
      <selection activeCell="B7" sqref="B7"/>
    </sheetView>
  </sheetViews>
  <sheetFormatPr defaultRowHeight="12.75"/>
  <cols>
    <col min="1" max="1" width="57.85546875" style="121" bestFit="1" customWidth="1"/>
    <col min="2" max="2" width="22.85546875" style="121" bestFit="1" customWidth="1"/>
    <col min="3" max="3" width="8.140625" style="121" customWidth="1"/>
    <col min="4" max="4" width="14.85546875" style="121" bestFit="1" customWidth="1"/>
    <col min="5" max="16384" width="9.140625" style="121"/>
  </cols>
  <sheetData>
    <row r="2" spans="1:4">
      <c r="A2" s="126" t="s">
        <v>283</v>
      </c>
      <c r="B2" s="243"/>
      <c r="C2" s="243"/>
      <c r="D2" s="243"/>
    </row>
    <row r="3" spans="1:4">
      <c r="A3" s="121" t="s">
        <v>301</v>
      </c>
      <c r="B3" s="121" t="s">
        <v>302</v>
      </c>
    </row>
    <row r="5" spans="1:4">
      <c r="A5" s="121" t="s">
        <v>304</v>
      </c>
      <c r="B5" s="122">
        <v>13897858.318884226</v>
      </c>
      <c r="C5" s="121">
        <f>3/12</f>
        <v>0.25</v>
      </c>
      <c r="D5" s="244">
        <f>B5*C5</f>
        <v>3474464.5797210564</v>
      </c>
    </row>
    <row r="6" spans="1:4">
      <c r="B6" s="122"/>
    </row>
    <row r="7" spans="1:4">
      <c r="A7" s="121" t="s">
        <v>303</v>
      </c>
      <c r="B7" s="122">
        <v>21483082.52901759</v>
      </c>
      <c r="C7" s="245">
        <f>(3/12)+((1/12)*(15/31))</f>
        <v>0.29032258064516131</v>
      </c>
      <c r="D7" s="244">
        <f>B7*C7</f>
        <v>6237023.9600373656</v>
      </c>
    </row>
    <row r="9" spans="1:4">
      <c r="A9" s="121" t="s">
        <v>305</v>
      </c>
      <c r="B9" s="122">
        <v>5253941.6082793167</v>
      </c>
      <c r="C9" s="245">
        <f>(1/12)+((1/12)*(16/31))</f>
        <v>0.12634408602150538</v>
      </c>
      <c r="D9" s="244">
        <f>B9*C9</f>
        <v>663804.45050840825</v>
      </c>
    </row>
    <row r="11" spans="1:4">
      <c r="A11" s="121" t="s">
        <v>306</v>
      </c>
      <c r="B11" s="122">
        <v>23299437.416856918</v>
      </c>
      <c r="C11" s="245">
        <f>4/12</f>
        <v>0.33333333333333331</v>
      </c>
      <c r="D11" s="244">
        <f>B11*C11</f>
        <v>7766479.1389523055</v>
      </c>
    </row>
    <row r="13" spans="1:4">
      <c r="A13" s="124" t="s">
        <v>284</v>
      </c>
      <c r="D13" s="244">
        <f>SUM(D5:D11)</f>
        <v>18141772.129219137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9523-3286-4238-9534-DED76E06A71E}">
  <sheetPr>
    <pageSetUpPr fitToPage="1"/>
  </sheetPr>
  <dimension ref="A1:O42"/>
  <sheetViews>
    <sheetView showGridLines="0" zoomScaleNormal="100" workbookViewId="0">
      <selection activeCell="O35" sqref="O35"/>
    </sheetView>
  </sheetViews>
  <sheetFormatPr defaultColWidth="9.140625" defaultRowHeight="12.75"/>
  <cols>
    <col min="1" max="1" width="2.5703125" style="16" customWidth="1"/>
    <col min="2" max="2" width="14.42578125" style="16" bestFit="1" customWidth="1"/>
    <col min="3" max="9" width="14.5703125" style="16" customWidth="1"/>
    <col min="10" max="10" width="2.42578125" style="16" customWidth="1"/>
    <col min="11" max="11" width="14.5703125" style="16" customWidth="1"/>
    <col min="12" max="12" width="2.85546875" style="16" customWidth="1"/>
    <col min="13" max="14" width="14.5703125" style="16" customWidth="1"/>
    <col min="15" max="15" width="17" style="16" customWidth="1"/>
    <col min="16" max="16" width="9.5703125" style="16" bestFit="1" customWidth="1"/>
    <col min="17" max="16384" width="9.140625" style="16"/>
  </cols>
  <sheetData>
    <row r="1" spans="2:15">
      <c r="B1" s="346" t="s">
        <v>0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2:15">
      <c r="B2" s="346" t="s">
        <v>331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2:15">
      <c r="B3" s="346" t="s">
        <v>328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247"/>
    </row>
    <row r="4" spans="2:15" s="66" customFormat="1"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</row>
    <row r="5" spans="2:15" s="66" customFormat="1" ht="13.5" thickBot="1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2:15" s="66" customFormat="1">
      <c r="B6" s="233"/>
      <c r="C6" s="233"/>
      <c r="D6" s="233"/>
      <c r="E6" s="248"/>
      <c r="F6" s="249"/>
      <c r="G6" s="250" t="s">
        <v>3</v>
      </c>
      <c r="H6" s="250" t="s">
        <v>5</v>
      </c>
      <c r="I6" s="250" t="s">
        <v>6</v>
      </c>
      <c r="J6" s="251"/>
      <c r="K6" s="233"/>
      <c r="L6" s="233"/>
      <c r="M6" s="233"/>
    </row>
    <row r="7" spans="2:15" s="66" customFormat="1">
      <c r="B7" s="233"/>
      <c r="C7" s="233"/>
      <c r="D7" s="233"/>
      <c r="E7" s="252" t="s">
        <v>10</v>
      </c>
      <c r="F7" s="253"/>
      <c r="G7" s="254"/>
      <c r="H7" s="254"/>
      <c r="I7" s="254"/>
      <c r="J7" s="255"/>
      <c r="K7" s="233"/>
      <c r="L7" s="233"/>
      <c r="M7" s="233"/>
    </row>
    <row r="8" spans="2:15" s="66" customFormat="1" ht="13.5" thickBot="1">
      <c r="C8" s="233"/>
      <c r="D8" s="233"/>
      <c r="E8" s="256" t="s">
        <v>7</v>
      </c>
      <c r="F8" s="257"/>
      <c r="G8" s="258">
        <f>'PPA Form 1.0'!G39</f>
        <v>5926456.8148635756</v>
      </c>
      <c r="H8" s="258">
        <f>'PPA Form 1.0'!G40</f>
        <v>4034073.2915763464</v>
      </c>
      <c r="I8" s="258">
        <f>G8+H8</f>
        <v>9960530.106439922</v>
      </c>
      <c r="J8" s="259"/>
      <c r="K8" s="123"/>
      <c r="L8" s="233"/>
      <c r="M8" s="233"/>
    </row>
    <row r="9" spans="2:15" s="66" customFormat="1">
      <c r="B9" s="233"/>
      <c r="C9" s="233"/>
      <c r="D9" s="233"/>
      <c r="E9" s="233"/>
      <c r="F9" s="260"/>
      <c r="G9" s="260"/>
      <c r="H9" s="260"/>
      <c r="I9" s="233"/>
      <c r="J9" s="233"/>
      <c r="K9" s="233"/>
      <c r="L9" s="233"/>
      <c r="M9" s="233"/>
    </row>
    <row r="10" spans="2:15" s="66" customFormat="1"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</row>
    <row r="11" spans="2:15" s="66" customFormat="1"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</row>
    <row r="12" spans="2:15" s="66" customFormat="1">
      <c r="B12" s="261"/>
      <c r="E12" s="261"/>
      <c r="F12" s="261" t="s">
        <v>11</v>
      </c>
      <c r="G12" s="261" t="s">
        <v>12</v>
      </c>
      <c r="H12" s="261" t="s">
        <v>12</v>
      </c>
      <c r="K12" s="261"/>
      <c r="L12" s="261"/>
    </row>
    <row r="13" spans="2:15" s="66" customFormat="1">
      <c r="B13" s="261"/>
      <c r="C13" s="261" t="s">
        <v>309</v>
      </c>
      <c r="D13" s="261" t="s">
        <v>309</v>
      </c>
      <c r="E13" s="261" t="s">
        <v>13</v>
      </c>
      <c r="F13" s="261" t="s">
        <v>3</v>
      </c>
      <c r="G13" s="261" t="s">
        <v>3</v>
      </c>
      <c r="H13" s="261" t="s">
        <v>5</v>
      </c>
      <c r="K13" s="261"/>
      <c r="L13" s="261"/>
    </row>
    <row r="14" spans="2:15" s="66" customFormat="1">
      <c r="B14" s="261"/>
      <c r="C14" s="261" t="s">
        <v>14</v>
      </c>
      <c r="D14" s="261" t="s">
        <v>14</v>
      </c>
      <c r="E14" s="261" t="s">
        <v>15</v>
      </c>
      <c r="F14" s="261" t="s">
        <v>16</v>
      </c>
      <c r="G14" s="261" t="s">
        <v>17</v>
      </c>
      <c r="H14" s="261" t="s">
        <v>17</v>
      </c>
      <c r="I14" s="261" t="s">
        <v>18</v>
      </c>
      <c r="J14" s="261"/>
      <c r="K14" s="261" t="s">
        <v>19</v>
      </c>
      <c r="L14" s="261"/>
      <c r="M14" s="261" t="s">
        <v>20</v>
      </c>
    </row>
    <row r="15" spans="2:15" s="66" customFormat="1">
      <c r="B15" s="262" t="s">
        <v>21</v>
      </c>
      <c r="C15" s="262" t="s">
        <v>5</v>
      </c>
      <c r="D15" s="262" t="s">
        <v>3</v>
      </c>
      <c r="E15" s="262" t="s">
        <v>22</v>
      </c>
      <c r="F15" s="262" t="s">
        <v>23</v>
      </c>
      <c r="G15" s="262" t="s">
        <v>24</v>
      </c>
      <c r="H15" s="262" t="s">
        <v>24</v>
      </c>
      <c r="I15" s="262" t="s">
        <v>25</v>
      </c>
      <c r="J15" s="262"/>
      <c r="K15" s="262" t="s">
        <v>25</v>
      </c>
      <c r="L15" s="262"/>
      <c r="M15" s="262" t="s">
        <v>26</v>
      </c>
      <c r="N15" s="262" t="s">
        <v>27</v>
      </c>
    </row>
    <row r="16" spans="2:15" s="66" customFormat="1">
      <c r="B16" s="263">
        <v>-1</v>
      </c>
      <c r="C16" s="263">
        <v>-2</v>
      </c>
      <c r="D16" s="263">
        <v>-3</v>
      </c>
      <c r="E16" s="264">
        <v>-4</v>
      </c>
      <c r="F16" s="264" t="s">
        <v>28</v>
      </c>
      <c r="G16" s="263">
        <v>-6</v>
      </c>
      <c r="H16" s="263">
        <v>-7</v>
      </c>
      <c r="I16" s="264" t="s">
        <v>29</v>
      </c>
      <c r="J16" s="264"/>
      <c r="K16" s="264" t="s">
        <v>30</v>
      </c>
      <c r="L16" s="263"/>
      <c r="M16" s="263">
        <v>-10</v>
      </c>
      <c r="N16" s="264" t="s">
        <v>31</v>
      </c>
    </row>
    <row r="17" spans="1:15" s="66" customFormat="1">
      <c r="C17" s="263"/>
      <c r="D17" s="263"/>
      <c r="E17" s="264"/>
      <c r="G17" s="263" t="s">
        <v>32</v>
      </c>
      <c r="H17" s="263" t="s">
        <v>33</v>
      </c>
      <c r="K17" s="263"/>
      <c r="L17" s="263"/>
      <c r="N17" s="264" t="s">
        <v>34</v>
      </c>
    </row>
    <row r="18" spans="1:15" s="66" customFormat="1" ht="11.25" customHeight="1"/>
    <row r="19" spans="1:15" s="66" customFormat="1" ht="15.75">
      <c r="B19" s="66" t="s">
        <v>35</v>
      </c>
      <c r="C19" s="265">
        <f>'Input Sheet'!I6</f>
        <v>1877839789.637152</v>
      </c>
      <c r="D19" s="265"/>
      <c r="E19" s="266">
        <v>2.2970286372038902E-4</v>
      </c>
      <c r="F19" s="69">
        <f>ROUND(C19*E19,0)</f>
        <v>431345</v>
      </c>
      <c r="G19" s="267">
        <f>ROUND(G$8*(F19/F$28),0)</f>
        <v>2837448</v>
      </c>
      <c r="H19" s="267">
        <f>ROUND(H$8*(C19/C$28),0)</f>
        <v>1411081</v>
      </c>
      <c r="I19" s="268">
        <f>ROUND(IF(D19&gt;0,G19/D19,0),2)</f>
        <v>0</v>
      </c>
      <c r="J19" s="69"/>
      <c r="K19" s="269">
        <f>ROUND(IF(D19&gt;0,H19/C19,(G19+H19)/C19),5)</f>
        <v>2.2599999999999999E-3</v>
      </c>
      <c r="L19" s="70"/>
      <c r="M19" s="267">
        <f>(C19*K19)+(D19*I19)</f>
        <v>4243917.9245799631</v>
      </c>
      <c r="N19" s="270">
        <f>M19-H19-G19</f>
        <v>-4611.075420036912</v>
      </c>
      <c r="O19" s="271"/>
    </row>
    <row r="20" spans="1:15" s="66" customFormat="1">
      <c r="B20" s="66" t="s">
        <v>90</v>
      </c>
      <c r="C20" s="265">
        <f>'Input Sheet'!I7</f>
        <v>610457831.15751004</v>
      </c>
      <c r="D20" s="265"/>
      <c r="E20" s="266">
        <v>1.8187405141383237E-4</v>
      </c>
      <c r="F20" s="69">
        <f>ROUND(C20*E20,0)</f>
        <v>111026</v>
      </c>
      <c r="G20" s="272">
        <f t="shared" ref="G20:G26" si="0">ROUND(G$8*(F20/F$28),0)</f>
        <v>730345</v>
      </c>
      <c r="H20" s="272">
        <f t="shared" ref="H20:H26" si="1">ROUND(H$8*(C20/C$28),0)</f>
        <v>458721</v>
      </c>
      <c r="I20" s="268">
        <f t="shared" ref="I20:I26" si="2">ROUND(IF(D20&gt;0,G20/D20,0),2)</f>
        <v>0</v>
      </c>
      <c r="J20" s="69"/>
      <c r="K20" s="269">
        <f>ROUND(IF(D20&gt;0,H20/C20,(G20+H20)/C20),5)</f>
        <v>1.9499999999999999E-3</v>
      </c>
      <c r="L20" s="273"/>
      <c r="M20" s="272">
        <f>(C20*K20)+(D20*I20)</f>
        <v>1190392.7707571445</v>
      </c>
      <c r="N20" s="270">
        <f>M20-H20-G20</f>
        <v>1326.7707571445499</v>
      </c>
    </row>
    <row r="21" spans="1:15" s="66" customFormat="1" ht="15.75">
      <c r="B21" s="66" t="s">
        <v>36</v>
      </c>
      <c r="C21" s="265">
        <f>'Input Sheet'!I8</f>
        <v>477061151.73756933</v>
      </c>
      <c r="D21" s="265">
        <f>'Input Sheet'!J8</f>
        <v>1495882.5630449264</v>
      </c>
      <c r="E21" s="266">
        <v>1.6146216275635068E-4</v>
      </c>
      <c r="F21" s="69">
        <f t="shared" ref="F21:F26" si="3">ROUND(C21*E21,0)</f>
        <v>77027</v>
      </c>
      <c r="G21" s="272">
        <f t="shared" si="0"/>
        <v>506694</v>
      </c>
      <c r="H21" s="272">
        <f t="shared" si="1"/>
        <v>358482</v>
      </c>
      <c r="I21" s="268">
        <f>ROUND(IF(D21&gt;0,G21/D21,0),2)</f>
        <v>0.34</v>
      </c>
      <c r="J21" s="69"/>
      <c r="K21" s="269">
        <f>ROUND(IF(D21&gt;0,H21/C21,(G21+H21)/C21),5)</f>
        <v>7.5000000000000002E-4</v>
      </c>
      <c r="L21" s="70"/>
      <c r="M21" s="272">
        <f t="shared" ref="M21:M26" si="4">(C21*K21)+(D21*I21)</f>
        <v>866395.93523845205</v>
      </c>
      <c r="N21" s="270">
        <f>M21-H21-G21</f>
        <v>1219.9352384520462</v>
      </c>
    </row>
    <row r="22" spans="1:15" s="66" customFormat="1">
      <c r="B22" s="66" t="s">
        <v>37</v>
      </c>
      <c r="C22" s="265">
        <f>'Input Sheet'!I9</f>
        <v>921390.16215729865</v>
      </c>
      <c r="D22" s="265"/>
      <c r="E22" s="266">
        <f>E21</f>
        <v>1.6146216275635068E-4</v>
      </c>
      <c r="F22" s="69">
        <f t="shared" si="3"/>
        <v>149</v>
      </c>
      <c r="G22" s="272">
        <f t="shared" si="0"/>
        <v>980</v>
      </c>
      <c r="H22" s="272">
        <f t="shared" si="1"/>
        <v>692</v>
      </c>
      <c r="I22" s="268">
        <f t="shared" si="2"/>
        <v>0</v>
      </c>
      <c r="J22" s="69"/>
      <c r="K22" s="269">
        <f t="shared" ref="K22:K26" si="5">ROUND(IF(D22&gt;0,H22/C22,(G22+H22)/C22),5)</f>
        <v>1.81E-3</v>
      </c>
      <c r="L22" s="273"/>
      <c r="M22" s="272">
        <f t="shared" si="4"/>
        <v>1667.7161935047104</v>
      </c>
      <c r="N22" s="270">
        <f t="shared" ref="N22:N26" si="6">M22-H22-G22</f>
        <v>-4.283806495289582</v>
      </c>
    </row>
    <row r="23" spans="1:15" s="66" customFormat="1" ht="15.75">
      <c r="B23" s="66" t="s">
        <v>91</v>
      </c>
      <c r="C23" s="265">
        <f>'Input Sheet'!I10</f>
        <v>2356807277.8603292</v>
      </c>
      <c r="D23" s="265">
        <f>'Input Sheet'!J10</f>
        <v>4021406.201892145</v>
      </c>
      <c r="E23" s="266">
        <v>1.1831561066534228E-4</v>
      </c>
      <c r="F23" s="69">
        <f t="shared" si="3"/>
        <v>278847</v>
      </c>
      <c r="G23" s="272">
        <f t="shared" si="0"/>
        <v>1834295</v>
      </c>
      <c r="H23" s="272">
        <f t="shared" si="1"/>
        <v>1770995</v>
      </c>
      <c r="I23" s="268">
        <f>ROUND(IF(D23&gt;0,G23/D23,0),2)</f>
        <v>0.46</v>
      </c>
      <c r="J23" s="69"/>
      <c r="K23" s="269">
        <f>ROUND(IF(D23&gt;0,H23/C23,(G23+H23)/C23),5)</f>
        <v>7.5000000000000002E-4</v>
      </c>
      <c r="L23" s="70"/>
      <c r="M23" s="272">
        <f t="shared" si="4"/>
        <v>3617452.3112656334</v>
      </c>
      <c r="N23" s="270">
        <f>M23-H23-G23</f>
        <v>12162.311265633442</v>
      </c>
    </row>
    <row r="24" spans="1:15" s="66" customFormat="1">
      <c r="B24" s="66" t="s">
        <v>38</v>
      </c>
      <c r="C24" s="265">
        <f>'Input Sheet'!I11</f>
        <v>1832436.0983174555</v>
      </c>
      <c r="D24" s="265"/>
      <c r="E24" s="266">
        <v>1.2350031785679681E-4</v>
      </c>
      <c r="F24" s="69">
        <f t="shared" si="3"/>
        <v>226</v>
      </c>
      <c r="G24" s="272">
        <f t="shared" si="0"/>
        <v>1487</v>
      </c>
      <c r="H24" s="272">
        <f t="shared" si="1"/>
        <v>1377</v>
      </c>
      <c r="I24" s="268">
        <f t="shared" si="2"/>
        <v>0</v>
      </c>
      <c r="J24" s="69"/>
      <c r="K24" s="269">
        <f t="shared" si="5"/>
        <v>1.56E-3</v>
      </c>
      <c r="L24" s="273"/>
      <c r="M24" s="272">
        <f t="shared" si="4"/>
        <v>2858.6003133752306</v>
      </c>
      <c r="N24" s="270">
        <f t="shared" si="6"/>
        <v>-5.3996866247694015</v>
      </c>
    </row>
    <row r="25" spans="1:15" s="66" customFormat="1">
      <c r="B25" s="66" t="s">
        <v>39</v>
      </c>
      <c r="C25" s="265">
        <f>'Input Sheet'!I12</f>
        <v>35498560.439231239</v>
      </c>
      <c r="D25" s="265"/>
      <c r="E25" s="266">
        <v>5.2935021460677284E-5</v>
      </c>
      <c r="F25" s="69">
        <f t="shared" si="3"/>
        <v>1879</v>
      </c>
      <c r="G25" s="272">
        <f t="shared" si="0"/>
        <v>12360</v>
      </c>
      <c r="H25" s="272">
        <f t="shared" si="1"/>
        <v>26675</v>
      </c>
      <c r="I25" s="268">
        <f t="shared" si="2"/>
        <v>0</v>
      </c>
      <c r="J25" s="69"/>
      <c r="K25" s="269">
        <f t="shared" si="5"/>
        <v>1.1000000000000001E-3</v>
      </c>
      <c r="L25" s="273"/>
      <c r="M25" s="272">
        <f t="shared" si="4"/>
        <v>39048.416483154368</v>
      </c>
      <c r="N25" s="270">
        <f t="shared" si="6"/>
        <v>13.416483154367597</v>
      </c>
    </row>
    <row r="26" spans="1:15" s="66" customFormat="1">
      <c r="B26" s="66" t="s">
        <v>40</v>
      </c>
      <c r="C26" s="265">
        <f>'Input Sheet'!I13</f>
        <v>8050994.4213424288</v>
      </c>
      <c r="D26" s="265"/>
      <c r="E26" s="266">
        <v>5.3748813764780795E-5</v>
      </c>
      <c r="F26" s="69">
        <f t="shared" si="3"/>
        <v>433</v>
      </c>
      <c r="G26" s="272">
        <f t="shared" si="0"/>
        <v>2848</v>
      </c>
      <c r="H26" s="272">
        <f t="shared" si="1"/>
        <v>6050</v>
      </c>
      <c r="I26" s="268">
        <f t="shared" si="2"/>
        <v>0</v>
      </c>
      <c r="J26" s="69"/>
      <c r="K26" s="269">
        <f t="shared" si="5"/>
        <v>1.1100000000000001E-3</v>
      </c>
      <c r="L26" s="273"/>
      <c r="M26" s="272">
        <f t="shared" si="4"/>
        <v>8936.6038076900968</v>
      </c>
      <c r="N26" s="270">
        <f t="shared" si="6"/>
        <v>38.603807690096801</v>
      </c>
    </row>
    <row r="27" spans="1:15" s="66" customFormat="1">
      <c r="C27" s="69"/>
      <c r="D27" s="69"/>
      <c r="E27" s="274"/>
      <c r="F27" s="69"/>
      <c r="G27" s="69"/>
      <c r="H27" s="69"/>
      <c r="I27" s="69"/>
      <c r="J27" s="69"/>
      <c r="M27" s="69"/>
      <c r="N27" s="69"/>
    </row>
    <row r="28" spans="1:15" s="66" customFormat="1">
      <c r="B28" s="275" t="s">
        <v>6</v>
      </c>
      <c r="C28" s="276">
        <f>SUM(C19:C26)</f>
        <v>5368469431.5136089</v>
      </c>
      <c r="D28" s="276">
        <f>SUM(D19:D26)</f>
        <v>5517288.7649370711</v>
      </c>
      <c r="E28" s="277"/>
      <c r="F28" s="276">
        <f>SUM(F19:F26)</f>
        <v>900932</v>
      </c>
      <c r="G28" s="278">
        <f>SUM(G19:G26)</f>
        <v>5926457</v>
      </c>
      <c r="H28" s="278">
        <f>SUM(H19:H26)</f>
        <v>4034073</v>
      </c>
      <c r="I28" s="278"/>
      <c r="J28" s="278"/>
      <c r="K28" s="275"/>
      <c r="L28" s="275"/>
      <c r="M28" s="278">
        <f>SUM(M19:M26)</f>
        <v>9970670.2786389161</v>
      </c>
      <c r="N28" s="278">
        <f>SUM(N19:N26)</f>
        <v>10140.278638917533</v>
      </c>
    </row>
    <row r="29" spans="1:15" s="66" customFormat="1">
      <c r="C29" s="279"/>
      <c r="D29" s="279"/>
      <c r="M29" s="280"/>
      <c r="N29" s="280"/>
    </row>
    <row r="30" spans="1:15" s="66" customFormat="1">
      <c r="M30" s="281"/>
    </row>
    <row r="31" spans="1:15" s="66" customFormat="1">
      <c r="N31" s="67"/>
    </row>
    <row r="32" spans="1:15" s="66" customFormat="1" ht="15.75">
      <c r="A32" s="68"/>
      <c r="H32" s="69"/>
    </row>
    <row r="33" spans="1:13" s="66" customFormat="1" ht="15.75">
      <c r="A33" s="70"/>
      <c r="M33" s="71"/>
    </row>
    <row r="34" spans="1:13" s="66" customFormat="1"/>
    <row r="35" spans="1:13" s="66" customFormat="1"/>
    <row r="36" spans="1:13" s="66" customFormat="1"/>
    <row r="40" spans="1:13">
      <c r="C40" s="19"/>
      <c r="D40" s="19"/>
    </row>
    <row r="42" spans="1:13">
      <c r="C42" s="282"/>
    </row>
  </sheetData>
  <mergeCells count="3">
    <mergeCell ref="B1:N1"/>
    <mergeCell ref="B2:N2"/>
    <mergeCell ref="B3:N3"/>
  </mergeCells>
  <printOptions horizontalCentered="1"/>
  <pageMargins left="0.75" right="0.75" top="1" bottom="1" header="0.5" footer="0.5"/>
  <pageSetup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3034-36BF-4D82-8BD2-15CE154871B5}">
  <sheetPr>
    <pageSetUpPr fitToPage="1"/>
  </sheetPr>
  <dimension ref="A1:J45"/>
  <sheetViews>
    <sheetView showGridLines="0" zoomScaleNormal="100" workbookViewId="0">
      <selection activeCell="G38" sqref="G38"/>
    </sheetView>
  </sheetViews>
  <sheetFormatPr defaultColWidth="9.140625" defaultRowHeight="12.75"/>
  <cols>
    <col min="1" max="1" width="17.42578125" style="16" customWidth="1"/>
    <col min="2" max="2" width="52.42578125" style="16" customWidth="1"/>
    <col min="3" max="3" width="34.28515625" style="16" customWidth="1"/>
    <col min="4" max="4" width="4.140625" style="16" customWidth="1"/>
    <col min="5" max="5" width="15.28515625" style="16" bestFit="1" customWidth="1"/>
    <col min="6" max="6" width="19.28515625" style="16" bestFit="1" customWidth="1"/>
    <col min="7" max="7" width="18" style="16" customWidth="1"/>
    <col min="8" max="8" width="10.140625" style="16" bestFit="1" customWidth="1"/>
    <col min="9" max="9" width="15.42578125" style="16" bestFit="1" customWidth="1"/>
    <col min="10" max="10" width="12.140625" style="16" bestFit="1" customWidth="1"/>
    <col min="11" max="16384" width="9.140625" style="16"/>
  </cols>
  <sheetData>
    <row r="1" spans="1:7">
      <c r="A1" s="345" t="s">
        <v>0</v>
      </c>
      <c r="B1" s="345"/>
      <c r="C1" s="345"/>
      <c r="D1" s="345"/>
      <c r="E1" s="345"/>
      <c r="F1" s="345"/>
      <c r="G1" s="345"/>
    </row>
    <row r="2" spans="1:7">
      <c r="A2" s="345" t="s">
        <v>332</v>
      </c>
      <c r="B2" s="345"/>
      <c r="C2" s="345"/>
      <c r="D2" s="345"/>
      <c r="E2" s="345"/>
      <c r="F2" s="345"/>
      <c r="G2" s="345"/>
    </row>
    <row r="3" spans="1:7" ht="14.45" customHeight="1">
      <c r="A3" s="344" t="s">
        <v>300</v>
      </c>
      <c r="B3" s="344"/>
      <c r="C3" s="344"/>
      <c r="D3" s="344"/>
      <c r="E3" s="344"/>
      <c r="F3" s="344"/>
      <c r="G3" s="344"/>
    </row>
    <row r="5" spans="1:7" ht="15" customHeight="1">
      <c r="F5" s="283"/>
      <c r="G5" s="283"/>
    </row>
    <row r="7" spans="1:7">
      <c r="A7" s="232" t="s">
        <v>81</v>
      </c>
      <c r="B7" s="232" t="s">
        <v>2</v>
      </c>
      <c r="C7" s="232" t="s">
        <v>85</v>
      </c>
      <c r="D7" s="125"/>
      <c r="E7" s="232" t="s">
        <v>84</v>
      </c>
      <c r="F7" s="232" t="s">
        <v>16</v>
      </c>
      <c r="G7" s="232" t="s">
        <v>94</v>
      </c>
    </row>
    <row r="8" spans="1:7">
      <c r="A8" s="54">
        <v>4561005</v>
      </c>
      <c r="B8" s="16" t="s">
        <v>129</v>
      </c>
      <c r="C8" s="284">
        <f>'PPA Form 3.0a'!P16</f>
        <v>-978746.75290322595</v>
      </c>
      <c r="E8" s="16" t="s">
        <v>3</v>
      </c>
      <c r="F8" s="285">
        <v>1</v>
      </c>
      <c r="G8" s="284">
        <f>F8*C8</f>
        <v>-978746.75290322595</v>
      </c>
    </row>
    <row r="9" spans="1:7" ht="14.45" customHeight="1">
      <c r="A9" s="54">
        <v>4561002</v>
      </c>
      <c r="B9" s="16" t="s">
        <v>130</v>
      </c>
      <c r="C9" s="284">
        <f>'PPA Form 3.0a'!P17</f>
        <v>0</v>
      </c>
      <c r="E9" s="16" t="s">
        <v>3</v>
      </c>
      <c r="F9" s="285">
        <v>1</v>
      </c>
      <c r="G9" s="284">
        <f t="shared" ref="G9:G17" si="0">F9*C9</f>
        <v>0</v>
      </c>
    </row>
    <row r="10" spans="1:7">
      <c r="A10" s="54" t="s">
        <v>100</v>
      </c>
      <c r="B10" s="16" t="s">
        <v>75</v>
      </c>
      <c r="C10" s="284">
        <f>'PPA Form 3.0a'!P19</f>
        <v>31917668.672580644</v>
      </c>
      <c r="E10" s="16" t="s">
        <v>3</v>
      </c>
      <c r="F10" s="285">
        <v>1</v>
      </c>
      <c r="G10" s="284">
        <f t="shared" si="0"/>
        <v>31917668.672580644</v>
      </c>
    </row>
    <row r="11" spans="1:7" ht="14.45" customHeight="1">
      <c r="A11" s="54" t="s">
        <v>101</v>
      </c>
      <c r="B11" s="16" t="s">
        <v>76</v>
      </c>
      <c r="C11" s="284">
        <f>'PPA Form 3.0a'!P20</f>
        <v>46535.815161290317</v>
      </c>
      <c r="E11" s="16" t="s">
        <v>5</v>
      </c>
      <c r="F11" s="285">
        <v>1</v>
      </c>
      <c r="G11" s="284">
        <f t="shared" si="0"/>
        <v>46535.815161290317</v>
      </c>
    </row>
    <row r="12" spans="1:7">
      <c r="A12" s="54" t="s">
        <v>102</v>
      </c>
      <c r="B12" s="16" t="s">
        <v>77</v>
      </c>
      <c r="C12" s="284">
        <f>'PPA Form 3.0a'!P21</f>
        <v>632039.70774193539</v>
      </c>
      <c r="E12" s="16" t="s">
        <v>3</v>
      </c>
      <c r="F12" s="285">
        <v>1</v>
      </c>
      <c r="G12" s="284">
        <f t="shared" si="0"/>
        <v>632039.70774193539</v>
      </c>
    </row>
    <row r="13" spans="1:7" ht="14.45" customHeight="1">
      <c r="A13" s="54">
        <v>5650012</v>
      </c>
      <c r="B13" s="16" t="s">
        <v>78</v>
      </c>
      <c r="C13" s="284">
        <f>'PPA Form 3.0a'!P22</f>
        <v>941201.73967741942</v>
      </c>
      <c r="E13" s="16" t="s">
        <v>3</v>
      </c>
      <c r="F13" s="285">
        <v>1</v>
      </c>
      <c r="G13" s="284">
        <f t="shared" si="0"/>
        <v>941201.73967741942</v>
      </c>
    </row>
    <row r="14" spans="1:7" ht="14.45" customHeight="1">
      <c r="A14" s="54">
        <v>5650016</v>
      </c>
      <c r="B14" s="16" t="s">
        <v>79</v>
      </c>
      <c r="C14" s="284">
        <f>'PPA Form 3.0a'!P23</f>
        <v>38461303.41580645</v>
      </c>
      <c r="E14" s="16" t="s">
        <v>3</v>
      </c>
      <c r="F14" s="285">
        <v>1</v>
      </c>
      <c r="G14" s="284">
        <f t="shared" si="0"/>
        <v>38461303.41580645</v>
      </c>
    </row>
    <row r="15" spans="1:7" ht="14.45" customHeight="1">
      <c r="A15" s="54">
        <v>5650019</v>
      </c>
      <c r="B15" s="16" t="s">
        <v>80</v>
      </c>
      <c r="C15" s="284">
        <f>'PPA Form 3.0a'!P24</f>
        <v>2937700.025161291</v>
      </c>
      <c r="D15" s="57"/>
      <c r="E15" s="57" t="s">
        <v>3</v>
      </c>
      <c r="F15" s="286">
        <v>1</v>
      </c>
      <c r="G15" s="284">
        <f t="shared" si="0"/>
        <v>2937700.025161291</v>
      </c>
    </row>
    <row r="16" spans="1:7" ht="14.45" customHeight="1">
      <c r="A16" s="54">
        <v>5650021</v>
      </c>
      <c r="B16" s="246" t="s">
        <v>197</v>
      </c>
      <c r="C16" s="287">
        <f>'PPA Form 3.0a'!P14</f>
        <v>413057.02741935482</v>
      </c>
      <c r="D16" s="57"/>
      <c r="E16" s="57" t="s">
        <v>3</v>
      </c>
      <c r="F16" s="286">
        <v>1</v>
      </c>
      <c r="G16" s="284">
        <f t="shared" si="0"/>
        <v>413057.02741935482</v>
      </c>
    </row>
    <row r="17" spans="1:10" ht="14.45" customHeight="1">
      <c r="A17" s="54">
        <v>5650015</v>
      </c>
      <c r="B17" s="246" t="s">
        <v>198</v>
      </c>
      <c r="C17" s="287">
        <f>'PPA Form 3.0a'!P15</f>
        <v>-15715.447096774193</v>
      </c>
      <c r="D17" s="57"/>
      <c r="E17" s="57" t="s">
        <v>5</v>
      </c>
      <c r="F17" s="286">
        <v>1</v>
      </c>
      <c r="G17" s="284">
        <f t="shared" si="0"/>
        <v>-15715.447096774193</v>
      </c>
    </row>
    <row r="18" spans="1:10" ht="14.45" customHeight="1">
      <c r="A18" s="54"/>
      <c r="C18" s="287"/>
      <c r="E18" s="57"/>
      <c r="F18" s="286"/>
    </row>
    <row r="19" spans="1:10" s="24" customFormat="1" ht="13.5" thickBot="1">
      <c r="A19" s="24" t="s">
        <v>95</v>
      </c>
      <c r="C19" s="288"/>
      <c r="F19" s="289"/>
      <c r="G19" s="290">
        <f>SUM(G8:G18)</f>
        <v>74355044.203548387</v>
      </c>
    </row>
    <row r="20" spans="1:10" s="24" customFormat="1" ht="13.5" thickTop="1">
      <c r="A20" s="24" t="s">
        <v>73</v>
      </c>
      <c r="B20" s="16"/>
      <c r="F20" s="289"/>
      <c r="G20" s="288">
        <f>'PPA Form 3.0a'!P11</f>
        <v>52355364.774193548</v>
      </c>
      <c r="H20" s="291"/>
    </row>
    <row r="21" spans="1:10" s="24" customFormat="1" ht="13.5" thickBot="1">
      <c r="A21" s="16" t="s">
        <v>318</v>
      </c>
      <c r="F21" s="289"/>
      <c r="G21" s="292">
        <f>'PPA Form 3.0a'!P27</f>
        <v>21999679.429354839</v>
      </c>
      <c r="I21" s="288"/>
    </row>
    <row r="22" spans="1:10" s="24" customFormat="1" ht="13.5" thickTop="1">
      <c r="F22" s="289"/>
      <c r="I22" s="293"/>
    </row>
    <row r="23" spans="1:10" s="24" customFormat="1">
      <c r="F23" s="289"/>
      <c r="J23" s="288"/>
    </row>
    <row r="24" spans="1:10" s="24" customFormat="1">
      <c r="C24" s="294"/>
      <c r="F24" s="289"/>
    </row>
    <row r="25" spans="1:10">
      <c r="A25" s="16" t="s">
        <v>285</v>
      </c>
      <c r="C25" s="98">
        <f>'PPA Form 3.0a'!P42</f>
        <v>824699.23</v>
      </c>
      <c r="E25" s="16" t="s">
        <v>3</v>
      </c>
      <c r="F25" s="285"/>
      <c r="G25" s="106">
        <f>C25</f>
        <v>824699.23</v>
      </c>
      <c r="H25" s="24"/>
    </row>
    <row r="26" spans="1:10">
      <c r="A26" s="16" t="s">
        <v>214</v>
      </c>
      <c r="C26" s="98">
        <f>'PPA Form 3.0a'!P49</f>
        <v>5347138.88</v>
      </c>
      <c r="D26" s="54"/>
      <c r="E26" s="16" t="s">
        <v>5</v>
      </c>
      <c r="F26" s="285" t="s">
        <v>213</v>
      </c>
      <c r="G26" s="106">
        <f>C26</f>
        <v>5347138.88</v>
      </c>
    </row>
    <row r="27" spans="1:10">
      <c r="A27" s="16" t="s">
        <v>215</v>
      </c>
      <c r="C27" s="98">
        <f>'PPA Form 3.0a'!P44</f>
        <v>3698817.0483870963</v>
      </c>
      <c r="D27" s="54"/>
      <c r="F27" s="285"/>
      <c r="G27" s="106">
        <f>C27</f>
        <v>3698817.0483870963</v>
      </c>
    </row>
    <row r="28" spans="1:10">
      <c r="A28" s="16" t="s">
        <v>318</v>
      </c>
      <c r="C28" s="98">
        <f>-'PPA Form 3.0a'!P30</f>
        <v>-329312.23737814178</v>
      </c>
      <c r="E28" s="16" t="s">
        <v>3</v>
      </c>
      <c r="F28" s="16">
        <v>1</v>
      </c>
      <c r="G28" s="295">
        <f>C28*F28</f>
        <v>-329312.23737814178</v>
      </c>
      <c r="J28" s="106"/>
    </row>
    <row r="29" spans="1:10">
      <c r="G29" s="106"/>
      <c r="J29" s="106"/>
    </row>
    <row r="30" spans="1:10" ht="13.5" thickBot="1">
      <c r="A30" s="24" t="s">
        <v>6</v>
      </c>
      <c r="G30" s="290">
        <f>+G21+G25+G26-G27+G28</f>
        <v>24143388.2535896</v>
      </c>
      <c r="H30" s="296"/>
      <c r="I30" s="224"/>
    </row>
    <row r="31" spans="1:10" ht="13.5" thickTop="1"/>
    <row r="32" spans="1:10">
      <c r="A32" s="57"/>
      <c r="C32" s="297"/>
    </row>
    <row r="33" spans="1:8">
      <c r="A33" s="57"/>
      <c r="B33" s="298"/>
      <c r="C33" s="299"/>
    </row>
    <row r="34" spans="1:8">
      <c r="B34" s="300" t="s">
        <v>88</v>
      </c>
      <c r="C34" s="300" t="s">
        <v>89</v>
      </c>
      <c r="D34" s="341"/>
      <c r="E34" s="341"/>
    </row>
    <row r="35" spans="1:8">
      <c r="A35" s="16" t="s">
        <v>86</v>
      </c>
      <c r="B35" s="106">
        <f>G25+'PPA Form 1.0'!G14+'PPA Form 1.0'!G28</f>
        <v>7855481.3869073326</v>
      </c>
      <c r="C35" s="240">
        <f>B35/E37</f>
        <v>0.59499411693277848</v>
      </c>
      <c r="E35" s="106">
        <f>G25+'PPA Form 1.0'!G14+'PPA Form 1.0'!G28</f>
        <v>7855481.3869073326</v>
      </c>
      <c r="H35" s="247"/>
    </row>
    <row r="36" spans="1:8">
      <c r="A36" s="16" t="s">
        <v>87</v>
      </c>
      <c r="B36" s="106">
        <f>G26</f>
        <v>5347138.88</v>
      </c>
      <c r="C36" s="240">
        <f>B36/E37</f>
        <v>0.40500588306722152</v>
      </c>
      <c r="E36" s="106">
        <f>G26</f>
        <v>5347138.88</v>
      </c>
    </row>
    <row r="37" spans="1:8">
      <c r="E37" s="106">
        <f>E36+E35</f>
        <v>13202620.266907332</v>
      </c>
    </row>
    <row r="38" spans="1:8">
      <c r="A38" s="301"/>
    </row>
    <row r="40" spans="1:8">
      <c r="E40" s="106"/>
    </row>
    <row r="41" spans="1:8">
      <c r="E41" s="106"/>
    </row>
    <row r="43" spans="1:8">
      <c r="A43" s="16" t="s">
        <v>319</v>
      </c>
    </row>
    <row r="44" spans="1:8">
      <c r="A44" s="16" t="s">
        <v>320</v>
      </c>
      <c r="E44" s="106"/>
    </row>
    <row r="45" spans="1:8">
      <c r="A45" s="16" t="s">
        <v>104</v>
      </c>
    </row>
  </sheetData>
  <mergeCells count="3">
    <mergeCell ref="A1:G1"/>
    <mergeCell ref="A2:G2"/>
    <mergeCell ref="A3:G3"/>
  </mergeCells>
  <printOptions horizontalCentered="1"/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423D-A304-4E03-AF41-6412FFA78FEA}">
  <sheetPr>
    <pageSetUpPr fitToPage="1"/>
  </sheetPr>
  <dimension ref="A1:Q76"/>
  <sheetViews>
    <sheetView zoomScale="90" zoomScaleNormal="90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22" sqref="C22"/>
    </sheetView>
  </sheetViews>
  <sheetFormatPr defaultColWidth="9.140625" defaultRowHeight="12.75"/>
  <cols>
    <col min="1" max="1" width="12.7109375" style="66" customWidth="1"/>
    <col min="2" max="2" width="11.5703125" style="66" bestFit="1" customWidth="1"/>
    <col min="3" max="3" width="91.85546875" style="66" customWidth="1"/>
    <col min="4" max="11" width="17.140625" style="66" customWidth="1"/>
    <col min="12" max="12" width="19.85546875" style="66" customWidth="1"/>
    <col min="13" max="14" width="16.5703125" style="66" customWidth="1"/>
    <col min="15" max="15" width="18.42578125" style="66" customWidth="1"/>
    <col min="16" max="16" width="17.42578125" style="66" bestFit="1" customWidth="1"/>
    <col min="17" max="17" width="29.28515625" style="66" customWidth="1"/>
    <col min="18" max="16384" width="9.140625" style="66"/>
  </cols>
  <sheetData>
    <row r="1" spans="1:17">
      <c r="A1" s="302" t="s">
        <v>181</v>
      </c>
      <c r="Q1" s="247"/>
    </row>
    <row r="2" spans="1:17">
      <c r="A2" s="302" t="s">
        <v>182</v>
      </c>
      <c r="D2" s="302"/>
      <c r="G2" s="303"/>
      <c r="I2" s="303"/>
      <c r="J2" s="302"/>
    </row>
    <row r="3" spans="1:17">
      <c r="A3" s="302" t="s">
        <v>291</v>
      </c>
      <c r="B3" s="246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</row>
    <row r="4" spans="1:17">
      <c r="A4" s="302"/>
      <c r="D4" s="305">
        <v>2023</v>
      </c>
      <c r="E4" s="304"/>
      <c r="F4" s="304"/>
      <c r="G4" s="304"/>
      <c r="H4" s="304"/>
      <c r="I4" s="304"/>
      <c r="J4" s="305">
        <v>2024</v>
      </c>
      <c r="K4" s="304"/>
      <c r="L4" s="304"/>
      <c r="M4" s="304"/>
      <c r="N4" s="304"/>
      <c r="O4" s="304"/>
    </row>
    <row r="5" spans="1:17">
      <c r="D5" s="261" t="s">
        <v>183</v>
      </c>
      <c r="E5" s="261" t="s">
        <v>183</v>
      </c>
      <c r="F5" s="261" t="s">
        <v>183</v>
      </c>
      <c r="G5" s="261" t="s">
        <v>183</v>
      </c>
      <c r="H5" s="261" t="s">
        <v>183</v>
      </c>
      <c r="I5" s="261" t="s">
        <v>183</v>
      </c>
      <c r="J5" s="261" t="s">
        <v>183</v>
      </c>
      <c r="K5" s="261" t="s">
        <v>183</v>
      </c>
      <c r="L5" s="261" t="s">
        <v>183</v>
      </c>
      <c r="M5" s="261" t="s">
        <v>183</v>
      </c>
      <c r="N5" s="261" t="s">
        <v>183</v>
      </c>
      <c r="O5" s="261" t="s">
        <v>183</v>
      </c>
      <c r="P5" s="66" t="s">
        <v>212</v>
      </c>
    </row>
    <row r="6" spans="1:17">
      <c r="C6" s="306" t="s">
        <v>181</v>
      </c>
      <c r="D6" s="307" t="s">
        <v>227</v>
      </c>
      <c r="E6" s="307" t="s">
        <v>226</v>
      </c>
      <c r="F6" s="307" t="s">
        <v>225</v>
      </c>
      <c r="G6" s="307" t="s">
        <v>224</v>
      </c>
      <c r="H6" s="307" t="s">
        <v>223</v>
      </c>
      <c r="I6" s="307" t="s">
        <v>222</v>
      </c>
      <c r="J6" s="307" t="s">
        <v>184</v>
      </c>
      <c r="K6" s="307" t="s">
        <v>185</v>
      </c>
      <c r="L6" s="307" t="s">
        <v>186</v>
      </c>
      <c r="M6" s="307" t="s">
        <v>187</v>
      </c>
      <c r="N6" s="307" t="s">
        <v>188</v>
      </c>
      <c r="O6" s="307" t="s">
        <v>189</v>
      </c>
    </row>
    <row r="7" spans="1:17">
      <c r="A7" s="306" t="s">
        <v>190</v>
      </c>
      <c r="C7" s="66" t="s">
        <v>236</v>
      </c>
      <c r="D7" s="265">
        <v>981888</v>
      </c>
      <c r="E7" s="265">
        <v>1230983</v>
      </c>
      <c r="F7" s="265">
        <v>1028452</v>
      </c>
      <c r="G7" s="265">
        <v>1460561</v>
      </c>
      <c r="H7" s="265">
        <v>1758475</v>
      </c>
      <c r="I7" s="265">
        <v>2060270.18802796</v>
      </c>
      <c r="J7" s="265">
        <v>1981258.04349991</v>
      </c>
      <c r="K7" s="265">
        <v>336779.48271594202</v>
      </c>
      <c r="L7" s="265">
        <v>1159612.9955345399</v>
      </c>
      <c r="M7" s="265">
        <v>2046197.7520355801</v>
      </c>
      <c r="N7" s="265">
        <v>1813869.94373084</v>
      </c>
      <c r="O7" s="265">
        <v>1837660.14370108</v>
      </c>
      <c r="P7" s="69">
        <f>SUM(D7:O7)</f>
        <v>17696007.549245849</v>
      </c>
    </row>
    <row r="8" spans="1:17">
      <c r="C8" s="66" t="s">
        <v>191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308">
        <f>SUM(D8:O8)</f>
        <v>0</v>
      </c>
    </row>
    <row r="9" spans="1:17">
      <c r="C9" s="302"/>
      <c r="D9" s="309">
        <f t="shared" ref="D9:O9" si="0">SUM(D7:D8)</f>
        <v>981888</v>
      </c>
      <c r="E9" s="309">
        <f t="shared" si="0"/>
        <v>1230983</v>
      </c>
      <c r="F9" s="309">
        <f t="shared" si="0"/>
        <v>1028452</v>
      </c>
      <c r="G9" s="309">
        <f t="shared" si="0"/>
        <v>1460561</v>
      </c>
      <c r="H9" s="309">
        <f t="shared" si="0"/>
        <v>1758475</v>
      </c>
      <c r="I9" s="309">
        <f t="shared" si="0"/>
        <v>2060270.18802796</v>
      </c>
      <c r="J9" s="309">
        <f t="shared" si="0"/>
        <v>1981258.04349991</v>
      </c>
      <c r="K9" s="309">
        <f t="shared" si="0"/>
        <v>336779.48271594202</v>
      </c>
      <c r="L9" s="309">
        <f t="shared" si="0"/>
        <v>1159612.9955345399</v>
      </c>
      <c r="M9" s="309">
        <f t="shared" si="0"/>
        <v>2046197.7520355801</v>
      </c>
      <c r="N9" s="309">
        <f t="shared" si="0"/>
        <v>1813869.94373084</v>
      </c>
      <c r="O9" s="309">
        <f t="shared" si="0"/>
        <v>1837660.14370108</v>
      </c>
      <c r="P9" s="309">
        <f>SUM(D9:O9)</f>
        <v>17696007.549245849</v>
      </c>
    </row>
    <row r="10" spans="1:17">
      <c r="C10" s="306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</row>
    <row r="11" spans="1:17">
      <c r="A11" s="306" t="s">
        <v>192</v>
      </c>
      <c r="B11" s="310"/>
      <c r="C11" s="302" t="s">
        <v>193</v>
      </c>
      <c r="D11" s="311">
        <v>8074708</v>
      </c>
      <c r="E11" s="311">
        <v>8074708</v>
      </c>
      <c r="F11" s="311">
        <v>8074708</v>
      </c>
      <c r="G11" s="311">
        <v>8074708</v>
      </c>
      <c r="H11" s="311">
        <v>8074708</v>
      </c>
      <c r="I11" s="311">
        <v>8074708</v>
      </c>
      <c r="J11" s="311">
        <f>8074708*(15/31)</f>
        <v>3907116.7741935486</v>
      </c>
      <c r="K11" s="311">
        <v>0</v>
      </c>
      <c r="L11" s="311">
        <v>0</v>
      </c>
      <c r="M11" s="311">
        <v>0</v>
      </c>
      <c r="N11" s="311">
        <v>0</v>
      </c>
      <c r="O11" s="311">
        <v>0</v>
      </c>
      <c r="P11" s="69">
        <f>SUM(D11:O11)</f>
        <v>52355364.774193548</v>
      </c>
    </row>
    <row r="12" spans="1:17">
      <c r="C12" s="306"/>
      <c r="D12" s="307"/>
      <c r="E12" s="307"/>
      <c r="F12" s="307"/>
      <c r="G12" s="307"/>
      <c r="H12" s="307"/>
      <c r="I12" s="307"/>
      <c r="J12" s="307"/>
      <c r="K12" s="307"/>
      <c r="L12" s="307"/>
      <c r="M12" s="312"/>
      <c r="N12" s="307"/>
      <c r="O12" s="307"/>
    </row>
    <row r="13" spans="1:17">
      <c r="A13" s="306" t="s">
        <v>194</v>
      </c>
      <c r="B13" s="307" t="s">
        <v>195</v>
      </c>
      <c r="C13" s="306" t="s">
        <v>196</v>
      </c>
      <c r="D13" s="307"/>
      <c r="E13" s="307"/>
      <c r="F13" s="307"/>
      <c r="G13" s="307"/>
      <c r="H13" s="307"/>
      <c r="I13" s="307"/>
      <c r="J13" s="307"/>
      <c r="K13" s="307"/>
      <c r="L13" s="307"/>
      <c r="M13" s="313"/>
      <c r="N13" s="307"/>
      <c r="O13" s="307"/>
    </row>
    <row r="14" spans="1:17">
      <c r="B14" s="261">
        <v>5650021</v>
      </c>
      <c r="C14" s="246" t="s">
        <v>197</v>
      </c>
      <c r="D14" s="314">
        <v>42258.32</v>
      </c>
      <c r="E14" s="314">
        <v>92737.9</v>
      </c>
      <c r="F14" s="314">
        <v>61009.979999999996</v>
      </c>
      <c r="G14" s="314">
        <v>60604.51999999999</v>
      </c>
      <c r="H14" s="314">
        <v>60558.240000000005</v>
      </c>
      <c r="I14" s="314">
        <v>60604.539999999994</v>
      </c>
      <c r="J14" s="314">
        <v>35283.527419354847</v>
      </c>
      <c r="K14" s="315"/>
      <c r="L14" s="315"/>
      <c r="M14" s="315"/>
      <c r="N14" s="315"/>
      <c r="O14" s="315"/>
      <c r="P14" s="314">
        <f>SUM(D14:O14)</f>
        <v>413057.02741935482</v>
      </c>
    </row>
    <row r="15" spans="1:17">
      <c r="B15" s="261">
        <v>5650015</v>
      </c>
      <c r="C15" s="246" t="s">
        <v>198</v>
      </c>
      <c r="D15" s="314">
        <v>-4342.03</v>
      </c>
      <c r="E15" s="314">
        <v>-4244.5600000000004</v>
      </c>
      <c r="F15" s="314">
        <v>-3754.8899999999994</v>
      </c>
      <c r="G15" s="314">
        <v>-3473.7</v>
      </c>
      <c r="H15" s="314">
        <v>-3980.63</v>
      </c>
      <c r="I15" s="314">
        <v>-4535.3999999999996</v>
      </c>
      <c r="J15" s="314">
        <v>8615.7629032258064</v>
      </c>
      <c r="K15" s="315"/>
      <c r="L15" s="315"/>
      <c r="M15" s="315"/>
      <c r="N15" s="315"/>
      <c r="O15" s="315"/>
      <c r="P15" s="314">
        <f t="shared" ref="P15:P23" si="1">SUM(D15:O15)</f>
        <v>-15715.447096774193</v>
      </c>
    </row>
    <row r="16" spans="1:17">
      <c r="B16" s="261">
        <v>4561005</v>
      </c>
      <c r="C16" s="246" t="s">
        <v>199</v>
      </c>
      <c r="D16" s="314">
        <v>-204761.31</v>
      </c>
      <c r="E16" s="314">
        <v>-125126.94999999998</v>
      </c>
      <c r="F16" s="314">
        <v>-93693.08</v>
      </c>
      <c r="G16" s="314">
        <v>-125837</v>
      </c>
      <c r="H16" s="314">
        <v>-71758.600000000006</v>
      </c>
      <c r="I16" s="314">
        <v>-193701.80000000002</v>
      </c>
      <c r="J16" s="314">
        <v>-163868.01290322581</v>
      </c>
      <c r="K16" s="315"/>
      <c r="L16" s="315"/>
      <c r="M16" s="315"/>
      <c r="N16" s="315"/>
      <c r="O16" s="315"/>
      <c r="P16" s="314">
        <f t="shared" si="1"/>
        <v>-978746.75290322595</v>
      </c>
    </row>
    <row r="17" spans="1:16">
      <c r="B17" s="261">
        <v>4561002</v>
      </c>
      <c r="C17" s="246" t="s">
        <v>200</v>
      </c>
      <c r="D17" s="314">
        <v>0</v>
      </c>
      <c r="E17" s="314">
        <v>0</v>
      </c>
      <c r="F17" s="314">
        <v>0</v>
      </c>
      <c r="G17" s="314">
        <v>0</v>
      </c>
      <c r="H17" s="314">
        <v>0</v>
      </c>
      <c r="I17" s="314">
        <v>0</v>
      </c>
      <c r="J17" s="314">
        <v>0</v>
      </c>
      <c r="K17" s="315"/>
      <c r="L17" s="315"/>
      <c r="M17" s="315"/>
      <c r="N17" s="315"/>
      <c r="O17" s="315"/>
      <c r="P17" s="314">
        <f t="shared" si="1"/>
        <v>0</v>
      </c>
    </row>
    <row r="18" spans="1:16">
      <c r="B18" s="261">
        <v>5550155</v>
      </c>
      <c r="C18" s="246" t="s">
        <v>258</v>
      </c>
      <c r="D18" s="314">
        <v>0</v>
      </c>
      <c r="E18" s="314">
        <v>0</v>
      </c>
      <c r="F18" s="314">
        <v>0</v>
      </c>
      <c r="G18" s="314">
        <v>0</v>
      </c>
      <c r="H18" s="314">
        <v>0</v>
      </c>
      <c r="I18" s="314">
        <v>0</v>
      </c>
      <c r="J18" s="314">
        <v>0</v>
      </c>
      <c r="K18" s="315"/>
      <c r="L18" s="315"/>
      <c r="M18" s="315"/>
      <c r="N18" s="315"/>
      <c r="O18" s="315"/>
      <c r="P18" s="314">
        <f t="shared" si="1"/>
        <v>0</v>
      </c>
    </row>
    <row r="19" spans="1:16">
      <c r="B19" s="261">
        <v>4561035</v>
      </c>
      <c r="C19" s="233" t="s">
        <v>201</v>
      </c>
      <c r="D19" s="314">
        <v>4978999.26</v>
      </c>
      <c r="E19" s="314">
        <v>4928519.72</v>
      </c>
      <c r="F19" s="314">
        <v>4798862.16</v>
      </c>
      <c r="G19" s="314">
        <v>4960653.1100000003</v>
      </c>
      <c r="H19" s="314">
        <v>4799313.8899999997</v>
      </c>
      <c r="I19" s="314">
        <v>4960653.1100000003</v>
      </c>
      <c r="J19" s="314">
        <v>2490667.422580645</v>
      </c>
      <c r="K19" s="315"/>
      <c r="L19" s="315"/>
      <c r="M19" s="315"/>
      <c r="N19" s="315"/>
      <c r="O19" s="315"/>
      <c r="P19" s="314">
        <f t="shared" si="1"/>
        <v>31917668.672580644</v>
      </c>
    </row>
    <row r="20" spans="1:16">
      <c r="B20" s="261">
        <v>4561036</v>
      </c>
      <c r="C20" s="246" t="s">
        <v>202</v>
      </c>
      <c r="D20" s="314">
        <v>6765.49</v>
      </c>
      <c r="E20" s="314">
        <v>6613.61</v>
      </c>
      <c r="F20" s="314">
        <v>5850.6399999999994</v>
      </c>
      <c r="G20" s="314">
        <v>5412.53</v>
      </c>
      <c r="H20" s="314">
        <v>6202.37</v>
      </c>
      <c r="I20" s="314">
        <v>7066.78</v>
      </c>
      <c r="J20" s="314">
        <v>8624.395161290322</v>
      </c>
      <c r="K20" s="315"/>
      <c r="L20" s="315"/>
      <c r="M20" s="315"/>
      <c r="N20" s="315"/>
      <c r="O20" s="315"/>
      <c r="P20" s="314">
        <f t="shared" si="1"/>
        <v>46535.815161290317</v>
      </c>
    </row>
    <row r="21" spans="1:16">
      <c r="B21" s="261">
        <v>4561060</v>
      </c>
      <c r="C21" s="246" t="s">
        <v>203</v>
      </c>
      <c r="D21" s="314">
        <v>96681.84</v>
      </c>
      <c r="E21" s="314">
        <v>96681.84</v>
      </c>
      <c r="F21" s="314">
        <v>96681.84</v>
      </c>
      <c r="G21" s="314">
        <v>96681.84</v>
      </c>
      <c r="H21" s="314">
        <v>96681.84</v>
      </c>
      <c r="I21" s="314">
        <v>96681.84</v>
      </c>
      <c r="J21" s="314">
        <v>51948.667741935489</v>
      </c>
      <c r="K21" s="315"/>
      <c r="L21" s="315"/>
      <c r="M21" s="315"/>
      <c r="N21" s="315"/>
      <c r="O21" s="315"/>
      <c r="P21" s="314">
        <f t="shared" si="1"/>
        <v>632039.70774193539</v>
      </c>
    </row>
    <row r="22" spans="1:16">
      <c r="B22" s="261">
        <v>5650012</v>
      </c>
      <c r="C22" s="246" t="s">
        <v>203</v>
      </c>
      <c r="D22" s="314">
        <v>149194.91999999998</v>
      </c>
      <c r="E22" s="314">
        <v>149904.68000000005</v>
      </c>
      <c r="F22" s="314">
        <v>149931.64000000001</v>
      </c>
      <c r="G22" s="314">
        <v>150739.01</v>
      </c>
      <c r="H22" s="314">
        <v>149095.6</v>
      </c>
      <c r="I22" s="314">
        <v>108405.78</v>
      </c>
      <c r="J22" s="314">
        <v>83930.109677419357</v>
      </c>
      <c r="K22" s="315"/>
      <c r="L22" s="315"/>
      <c r="M22" s="315"/>
      <c r="N22" s="315"/>
      <c r="O22" s="315"/>
      <c r="P22" s="314">
        <f t="shared" si="1"/>
        <v>941201.73967741942</v>
      </c>
    </row>
    <row r="23" spans="1:16">
      <c r="B23" s="261">
        <v>5650016</v>
      </c>
      <c r="C23" s="233" t="s">
        <v>204</v>
      </c>
      <c r="D23" s="314">
        <v>5964609.1299999999</v>
      </c>
      <c r="E23" s="314">
        <v>5964609.1299999999</v>
      </c>
      <c r="F23" s="314">
        <v>5771611.8099999996</v>
      </c>
      <c r="G23" s="314">
        <v>5964609.1299999999</v>
      </c>
      <c r="H23" s="314">
        <v>5771611.8099999996</v>
      </c>
      <c r="I23" s="314">
        <v>5964609.1299999999</v>
      </c>
      <c r="J23" s="314">
        <v>3059643.2758064517</v>
      </c>
      <c r="K23" s="315"/>
      <c r="L23" s="315"/>
      <c r="M23" s="315"/>
      <c r="N23" s="315"/>
      <c r="O23" s="315"/>
      <c r="P23" s="314">
        <f t="shared" si="1"/>
        <v>38461303.41580645</v>
      </c>
    </row>
    <row r="24" spans="1:16">
      <c r="B24" s="261">
        <v>5650019</v>
      </c>
      <c r="C24" s="246" t="s">
        <v>203</v>
      </c>
      <c r="D24" s="314">
        <v>452661.09</v>
      </c>
      <c r="E24" s="314">
        <v>452661.1</v>
      </c>
      <c r="F24" s="314">
        <v>452661.10000000003</v>
      </c>
      <c r="G24" s="314">
        <v>452661.09</v>
      </c>
      <c r="H24" s="314">
        <v>452661.10000000009</v>
      </c>
      <c r="I24" s="314">
        <v>452661.10000000009</v>
      </c>
      <c r="J24" s="314">
        <v>221733.44516129032</v>
      </c>
      <c r="K24" s="315"/>
      <c r="L24" s="315"/>
      <c r="M24" s="315"/>
      <c r="N24" s="315"/>
      <c r="O24" s="315"/>
      <c r="P24" s="314">
        <f>SUM(D24:O24)</f>
        <v>2937700.025161291</v>
      </c>
    </row>
    <row r="25" spans="1:16">
      <c r="C25" s="302"/>
      <c r="D25" s="316">
        <f t="shared" ref="D25:O25" si="2">SUM(D14:D24)</f>
        <v>11482066.710000001</v>
      </c>
      <c r="E25" s="316">
        <f t="shared" si="2"/>
        <v>11562356.469999999</v>
      </c>
      <c r="F25" s="316">
        <f t="shared" si="2"/>
        <v>11239161.199999997</v>
      </c>
      <c r="G25" s="316">
        <f t="shared" si="2"/>
        <v>11562050.530000001</v>
      </c>
      <c r="H25" s="316">
        <f t="shared" si="2"/>
        <v>11260385.619999999</v>
      </c>
      <c r="I25" s="316">
        <f t="shared" si="2"/>
        <v>11452445.08</v>
      </c>
      <c r="J25" s="316">
        <f t="shared" si="2"/>
        <v>5796578.5935483873</v>
      </c>
      <c r="K25" s="316">
        <f t="shared" si="2"/>
        <v>0</v>
      </c>
      <c r="L25" s="316">
        <f t="shared" si="2"/>
        <v>0</v>
      </c>
      <c r="M25" s="316">
        <f t="shared" si="2"/>
        <v>0</v>
      </c>
      <c r="N25" s="316">
        <f t="shared" si="2"/>
        <v>0</v>
      </c>
      <c r="O25" s="316">
        <f t="shared" si="2"/>
        <v>0</v>
      </c>
      <c r="P25" s="316">
        <f>SUM(D25:O25)</f>
        <v>74355044.203548387</v>
      </c>
    </row>
    <row r="26" spans="1:16">
      <c r="B26" s="261"/>
      <c r="C26" s="317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69"/>
    </row>
    <row r="27" spans="1:16">
      <c r="B27" s="261"/>
      <c r="C27" s="302" t="s">
        <v>205</v>
      </c>
      <c r="D27" s="319">
        <f>+D25-D11</f>
        <v>3407358.7100000009</v>
      </c>
      <c r="E27" s="319">
        <f t="shared" ref="E27:O27" si="3">+E25-E11</f>
        <v>3487648.4699999988</v>
      </c>
      <c r="F27" s="319">
        <f t="shared" si="3"/>
        <v>3164453.1999999974</v>
      </c>
      <c r="G27" s="319">
        <f t="shared" si="3"/>
        <v>3487342.5300000012</v>
      </c>
      <c r="H27" s="319">
        <f t="shared" si="3"/>
        <v>3185677.6199999992</v>
      </c>
      <c r="I27" s="319">
        <f t="shared" si="3"/>
        <v>3377737.08</v>
      </c>
      <c r="J27" s="319">
        <f t="shared" si="3"/>
        <v>1889461.8193548387</v>
      </c>
      <c r="K27" s="319">
        <f t="shared" si="3"/>
        <v>0</v>
      </c>
      <c r="L27" s="319">
        <f t="shared" si="3"/>
        <v>0</v>
      </c>
      <c r="M27" s="319">
        <f t="shared" si="3"/>
        <v>0</v>
      </c>
      <c r="N27" s="319">
        <f t="shared" si="3"/>
        <v>0</v>
      </c>
      <c r="O27" s="319">
        <f t="shared" si="3"/>
        <v>0</v>
      </c>
      <c r="P27" s="314">
        <f>SUM(D27:O27)</f>
        <v>21999679.429354839</v>
      </c>
    </row>
    <row r="28" spans="1:16">
      <c r="A28" s="310"/>
      <c r="B28" s="310"/>
      <c r="C28" s="317" t="s">
        <v>251</v>
      </c>
      <c r="D28" s="319">
        <f>D27*1</f>
        <v>3407358.7100000009</v>
      </c>
      <c r="E28" s="319">
        <f t="shared" ref="E28:O28" si="4">E27*1</f>
        <v>3487648.4699999988</v>
      </c>
      <c r="F28" s="319">
        <f t="shared" si="4"/>
        <v>3164453.1999999974</v>
      </c>
      <c r="G28" s="319">
        <f t="shared" si="4"/>
        <v>3487342.5300000012</v>
      </c>
      <c r="H28" s="319">
        <f t="shared" si="4"/>
        <v>3185677.6199999992</v>
      </c>
      <c r="I28" s="319">
        <f t="shared" si="4"/>
        <v>3377737.08</v>
      </c>
      <c r="J28" s="319">
        <f t="shared" si="4"/>
        <v>1889461.8193548387</v>
      </c>
      <c r="K28" s="319">
        <f t="shared" si="4"/>
        <v>0</v>
      </c>
      <c r="L28" s="319">
        <f t="shared" si="4"/>
        <v>0</v>
      </c>
      <c r="M28" s="319">
        <f t="shared" si="4"/>
        <v>0</v>
      </c>
      <c r="N28" s="319">
        <f t="shared" si="4"/>
        <v>0</v>
      </c>
      <c r="O28" s="319">
        <f t="shared" si="4"/>
        <v>0</v>
      </c>
      <c r="P28" s="314">
        <f>SUM(D28:O28)</f>
        <v>21999679.429354839</v>
      </c>
    </row>
    <row r="29" spans="1:16">
      <c r="A29" s="310"/>
      <c r="B29" s="310"/>
      <c r="C29" s="317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69"/>
    </row>
    <row r="30" spans="1:16">
      <c r="A30" s="310"/>
      <c r="B30" s="310"/>
      <c r="C30" s="302" t="s">
        <v>217</v>
      </c>
      <c r="D30" s="320">
        <v>34005.292251195679</v>
      </c>
      <c r="E30" s="320">
        <v>34005.292251195679</v>
      </c>
      <c r="F30" s="320">
        <v>34005.292251195679</v>
      </c>
      <c r="G30" s="320">
        <v>34005.292251195679</v>
      </c>
      <c r="H30" s="320">
        <v>34005.292251195679</v>
      </c>
      <c r="I30" s="320">
        <v>34005.292251195679</v>
      </c>
      <c r="J30" s="320">
        <f>'Retail vs TO'!C135*(15/31)</f>
        <v>125280.48387096774</v>
      </c>
      <c r="K30" s="320"/>
      <c r="L30" s="320"/>
      <c r="M30" s="320"/>
      <c r="N30" s="320"/>
      <c r="O30" s="320"/>
      <c r="P30" s="69">
        <f>SUM(D30:O30)</f>
        <v>329312.23737814178</v>
      </c>
    </row>
    <row r="31" spans="1:16">
      <c r="A31" s="310"/>
      <c r="B31" s="310"/>
      <c r="C31" s="317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69"/>
    </row>
    <row r="32" spans="1:16">
      <c r="A32" s="310"/>
      <c r="B32" s="321" t="s">
        <v>175</v>
      </c>
      <c r="C32" s="302" t="s">
        <v>277</v>
      </c>
      <c r="D32" s="320">
        <v>0</v>
      </c>
      <c r="E32" s="320">
        <v>0</v>
      </c>
      <c r="F32" s="320">
        <v>0</v>
      </c>
      <c r="G32" s="320">
        <v>0</v>
      </c>
      <c r="H32" s="320">
        <v>0</v>
      </c>
      <c r="I32" s="320">
        <v>0</v>
      </c>
      <c r="J32" s="320">
        <v>0</v>
      </c>
      <c r="K32" s="320">
        <v>0</v>
      </c>
      <c r="L32" s="320">
        <v>0</v>
      </c>
      <c r="M32" s="320">
        <v>0</v>
      </c>
      <c r="N32" s="320">
        <v>0</v>
      </c>
      <c r="O32" s="320">
        <v>0</v>
      </c>
      <c r="P32" s="69">
        <f>SUM(D32:O32)</f>
        <v>0</v>
      </c>
    </row>
    <row r="33" spans="1:17">
      <c r="A33" s="310"/>
      <c r="B33" s="310"/>
      <c r="C33" s="302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69"/>
    </row>
    <row r="34" spans="1:17">
      <c r="A34" s="310"/>
      <c r="B34" s="310"/>
      <c r="C34" s="302" t="s">
        <v>279</v>
      </c>
      <c r="D34" s="320">
        <v>1128292.47</v>
      </c>
      <c r="E34" s="320">
        <v>1128292.47</v>
      </c>
      <c r="F34" s="320">
        <v>1128292.47</v>
      </c>
      <c r="G34" s="320">
        <v>1128292.47</v>
      </c>
      <c r="H34" s="320">
        <v>1128292.47</v>
      </c>
      <c r="I34" s="320">
        <v>1128292.47</v>
      </c>
      <c r="J34" s="322">
        <f>1128292.47*(15/31)</f>
        <v>545947.96935483871</v>
      </c>
      <c r="K34" s="320"/>
      <c r="L34" s="320"/>
      <c r="M34" s="320"/>
      <c r="N34" s="320"/>
      <c r="O34" s="320"/>
      <c r="P34" s="69">
        <f>SUM(D34:O34)</f>
        <v>7315702.7893548384</v>
      </c>
    </row>
    <row r="35" spans="1:17">
      <c r="A35" s="310"/>
      <c r="B35" s="310"/>
      <c r="C35" s="302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69"/>
    </row>
    <row r="36" spans="1:17">
      <c r="A36" s="310"/>
      <c r="B36" s="310"/>
      <c r="C36" s="302" t="s">
        <v>298</v>
      </c>
      <c r="D36" s="320">
        <v>1898803.78</v>
      </c>
      <c r="E36" s="320">
        <v>1898803.78</v>
      </c>
      <c r="F36" s="320">
        <v>1898803.78</v>
      </c>
      <c r="G36" s="320">
        <v>1898803.78</v>
      </c>
      <c r="H36" s="320">
        <v>1898803.78</v>
      </c>
      <c r="I36" s="320">
        <v>490013.82</v>
      </c>
      <c r="J36" s="320">
        <v>0</v>
      </c>
      <c r="K36" s="320">
        <v>0</v>
      </c>
      <c r="L36" s="320">
        <f>'Rockport Savings-Offset'!$E$35</f>
        <v>1503791.3173814665</v>
      </c>
      <c r="M36" s="320">
        <f>'Rockport Savings-Offset'!$E$35</f>
        <v>1503791.3173814665</v>
      </c>
      <c r="N36" s="320">
        <f>'Rockport Savings-Offset'!$E$35</f>
        <v>1503791.3173814665</v>
      </c>
      <c r="O36" s="320">
        <f>'Rockport Savings-Offset'!$E$35</f>
        <v>1503791.3173814665</v>
      </c>
      <c r="P36" s="69">
        <f>SUM(D36:O36)</f>
        <v>15999197.989525864</v>
      </c>
    </row>
    <row r="37" spans="1:17">
      <c r="A37" s="310"/>
      <c r="B37" s="310"/>
      <c r="C37" s="302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69"/>
    </row>
    <row r="38" spans="1:17">
      <c r="A38" s="310"/>
      <c r="B38" s="310"/>
      <c r="C38" s="302" t="s">
        <v>280</v>
      </c>
      <c r="D38" s="320">
        <v>-3402595.09</v>
      </c>
      <c r="E38" s="320">
        <v>-3402595.09</v>
      </c>
      <c r="F38" s="320">
        <v>-3402595.09</v>
      </c>
      <c r="G38" s="320">
        <v>-3402595.09</v>
      </c>
      <c r="H38" s="320">
        <v>-3402595.09</v>
      </c>
      <c r="I38" s="320">
        <v>-3402595.09</v>
      </c>
      <c r="J38" s="323">
        <v>-1646416.979032258</v>
      </c>
      <c r="K38" s="320"/>
      <c r="L38" s="320"/>
      <c r="M38" s="320"/>
      <c r="N38" s="320"/>
      <c r="O38" s="320"/>
      <c r="P38" s="314">
        <f>SUM(D38:O38)</f>
        <v>-22061987.519032259</v>
      </c>
    </row>
    <row r="39" spans="1:17">
      <c r="A39" s="310"/>
      <c r="B39" s="310"/>
      <c r="C39" s="302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14"/>
    </row>
    <row r="40" spans="1:17">
      <c r="A40" s="310"/>
      <c r="B40" s="321" t="s">
        <v>175</v>
      </c>
      <c r="C40" s="302" t="s">
        <v>277</v>
      </c>
      <c r="D40" s="320">
        <v>0</v>
      </c>
      <c r="E40" s="320">
        <v>0</v>
      </c>
      <c r="F40" s="320">
        <v>0</v>
      </c>
      <c r="G40" s="320">
        <v>0</v>
      </c>
      <c r="H40" s="320">
        <v>0</v>
      </c>
      <c r="I40" s="320">
        <v>0</v>
      </c>
      <c r="J40" s="320">
        <v>0</v>
      </c>
      <c r="K40" s="320">
        <v>0</v>
      </c>
      <c r="L40" s="320">
        <v>0</v>
      </c>
      <c r="M40" s="320">
        <v>0</v>
      </c>
      <c r="N40" s="320">
        <v>0</v>
      </c>
      <c r="O40" s="320">
        <v>0</v>
      </c>
      <c r="P40" s="69">
        <f>SUM(D40:O40)</f>
        <v>0</v>
      </c>
    </row>
    <row r="41" spans="1:17">
      <c r="A41" s="310"/>
      <c r="B41" s="310"/>
      <c r="C41" s="302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</row>
    <row r="42" spans="1:17">
      <c r="A42" s="310"/>
      <c r="B42" s="310"/>
      <c r="C42" s="302" t="s">
        <v>281</v>
      </c>
      <c r="D42" s="320">
        <v>76088.320000000007</v>
      </c>
      <c r="E42" s="320">
        <v>76088.320000000007</v>
      </c>
      <c r="F42" s="320">
        <v>73633.86</v>
      </c>
      <c r="G42" s="320">
        <v>76088.320000000007</v>
      </c>
      <c r="H42" s="320">
        <v>73633.86</v>
      </c>
      <c r="I42" s="320">
        <v>76088.320000000007</v>
      </c>
      <c r="J42" s="320">
        <v>76088.320000000007</v>
      </c>
      <c r="K42" s="320">
        <v>71179.39</v>
      </c>
      <c r="L42" s="320">
        <v>76088.320000000007</v>
      </c>
      <c r="M42" s="320">
        <v>73633.86</v>
      </c>
      <c r="N42" s="320">
        <v>76088.34</v>
      </c>
      <c r="O42" s="320">
        <v>0</v>
      </c>
      <c r="P42" s="69">
        <f>SUM(D42:O42)</f>
        <v>824699.23</v>
      </c>
    </row>
    <row r="43" spans="1:17">
      <c r="A43" s="310"/>
      <c r="B43" s="310"/>
      <c r="C43" s="302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</row>
    <row r="44" spans="1:17">
      <c r="A44" s="310"/>
      <c r="B44" s="310"/>
      <c r="C44" s="302" t="s">
        <v>206</v>
      </c>
      <c r="D44" s="319">
        <v>105767</v>
      </c>
      <c r="E44" s="319">
        <v>105767</v>
      </c>
      <c r="F44" s="319">
        <v>105767</v>
      </c>
      <c r="G44" s="319">
        <v>105767</v>
      </c>
      <c r="H44" s="319">
        <v>105767</v>
      </c>
      <c r="I44" s="319">
        <v>105767</v>
      </c>
      <c r="J44" s="319">
        <f>105767*(15/31)+(6554678/12*16/31)</f>
        <v>333099.21505376342</v>
      </c>
      <c r="K44" s="319">
        <f>6554678/12</f>
        <v>546223.16666666663</v>
      </c>
      <c r="L44" s="319">
        <f t="shared" ref="L44:O44" si="5">6554678/12</f>
        <v>546223.16666666663</v>
      </c>
      <c r="M44" s="319">
        <f t="shared" si="5"/>
        <v>546223.16666666663</v>
      </c>
      <c r="N44" s="319">
        <f t="shared" si="5"/>
        <v>546223.16666666663</v>
      </c>
      <c r="O44" s="319">
        <f t="shared" si="5"/>
        <v>546223.16666666663</v>
      </c>
      <c r="P44" s="69">
        <f>SUM(D44:O44)</f>
        <v>3698817.0483870963</v>
      </c>
      <c r="Q44" s="295"/>
    </row>
    <row r="45" spans="1:17">
      <c r="A45" s="310"/>
      <c r="B45" s="310"/>
      <c r="C45" s="317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</row>
    <row r="46" spans="1:17">
      <c r="B46" s="261"/>
      <c r="C46" s="317" t="s">
        <v>231</v>
      </c>
      <c r="D46" s="324">
        <v>260564.86</v>
      </c>
      <c r="E46" s="324">
        <v>639320.06999999995</v>
      </c>
      <c r="F46" s="324">
        <v>60828.47</v>
      </c>
      <c r="G46" s="324">
        <v>406798.94</v>
      </c>
      <c r="H46" s="324">
        <v>205737.31</v>
      </c>
      <c r="I46" s="324">
        <v>95069.69</v>
      </c>
      <c r="J46" s="324">
        <v>324931.03999999998</v>
      </c>
      <c r="K46" s="324">
        <v>2710070.81</v>
      </c>
      <c r="L46" s="320">
        <v>9773.2800000000007</v>
      </c>
      <c r="M46" s="324">
        <v>373824.19</v>
      </c>
      <c r="N46" s="324">
        <v>209868.28</v>
      </c>
      <c r="O46" s="324">
        <v>203119.12</v>
      </c>
    </row>
    <row r="47" spans="1:17">
      <c r="B47" s="261"/>
      <c r="C47" s="317" t="s">
        <v>232</v>
      </c>
      <c r="D47" s="324">
        <v>-263024.33</v>
      </c>
      <c r="E47" s="324">
        <v>-260564.86</v>
      </c>
      <c r="F47" s="324">
        <v>-639320.06999999995</v>
      </c>
      <c r="G47" s="324">
        <v>-60828.47</v>
      </c>
      <c r="H47" s="324">
        <v>-406798.94</v>
      </c>
      <c r="I47" s="324">
        <v>-205737.31</v>
      </c>
      <c r="J47" s="324">
        <v>-95069.69</v>
      </c>
      <c r="K47" s="324">
        <v>-324931.03999999998</v>
      </c>
      <c r="L47" s="324">
        <v>-2710070.81</v>
      </c>
      <c r="M47" s="324">
        <v>-9773.2800000000007</v>
      </c>
      <c r="N47" s="324">
        <v>-373824.19</v>
      </c>
      <c r="O47" s="324">
        <v>-209868.28</v>
      </c>
    </row>
    <row r="48" spans="1:17">
      <c r="B48" s="261"/>
      <c r="C48" s="66" t="s">
        <v>233</v>
      </c>
      <c r="D48" s="325">
        <v>261579.26</v>
      </c>
      <c r="E48" s="325">
        <v>260235.76</v>
      </c>
      <c r="F48" s="325">
        <v>640742.46</v>
      </c>
      <c r="G48" s="325">
        <v>60975.08</v>
      </c>
      <c r="H48" s="325">
        <v>406967.1</v>
      </c>
      <c r="I48" s="325">
        <v>204979.98</v>
      </c>
      <c r="J48" s="325">
        <v>95000.17</v>
      </c>
      <c r="K48" s="325">
        <v>324132.13</v>
      </c>
      <c r="L48" s="325">
        <v>2719889.15</v>
      </c>
      <c r="M48" s="325">
        <v>9766.41</v>
      </c>
      <c r="N48" s="325">
        <v>373734.81</v>
      </c>
      <c r="O48" s="325">
        <v>49041.78</v>
      </c>
    </row>
    <row r="49" spans="1:17">
      <c r="B49" s="261"/>
      <c r="C49" s="66" t="s">
        <v>207</v>
      </c>
      <c r="D49" s="324">
        <f>SUM(D46:D48)</f>
        <v>259119.78999999998</v>
      </c>
      <c r="E49" s="324">
        <f t="shared" ref="E49:O49" si="6">SUM(E46:E48)</f>
        <v>638990.97</v>
      </c>
      <c r="F49" s="324">
        <f t="shared" si="6"/>
        <v>62250.859999999986</v>
      </c>
      <c r="G49" s="324">
        <f t="shared" si="6"/>
        <v>406945.55</v>
      </c>
      <c r="H49" s="324">
        <f t="shared" si="6"/>
        <v>205905.46999999997</v>
      </c>
      <c r="I49" s="324">
        <f t="shared" si="6"/>
        <v>94312.360000000015</v>
      </c>
      <c r="J49" s="324">
        <f t="shared" si="6"/>
        <v>324861.51999999996</v>
      </c>
      <c r="K49" s="324">
        <f t="shared" si="6"/>
        <v>2709271.9</v>
      </c>
      <c r="L49" s="324">
        <f t="shared" si="6"/>
        <v>19591.619999999646</v>
      </c>
      <c r="M49" s="324">
        <f t="shared" si="6"/>
        <v>373817.31999999995</v>
      </c>
      <c r="N49" s="324">
        <f t="shared" si="6"/>
        <v>209778.9</v>
      </c>
      <c r="O49" s="324">
        <f t="shared" si="6"/>
        <v>42292.619999999995</v>
      </c>
      <c r="P49" s="69">
        <f>SUM(D49:O49)</f>
        <v>5347138.88</v>
      </c>
    </row>
    <row r="50" spans="1:17"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</row>
    <row r="51" spans="1:17">
      <c r="C51" s="66" t="s">
        <v>208</v>
      </c>
      <c r="D51" s="326">
        <f>D49-D44</f>
        <v>153352.78999999998</v>
      </c>
      <c r="E51" s="295">
        <f t="shared" ref="E51:N51" si="7">E49-E44</f>
        <v>533223.97</v>
      </c>
      <c r="F51" s="295">
        <f>F49-F44</f>
        <v>-43516.140000000014</v>
      </c>
      <c r="G51" s="295">
        <f>G49-G44</f>
        <v>301178.55</v>
      </c>
      <c r="H51" s="295">
        <f t="shared" si="7"/>
        <v>100138.46999999997</v>
      </c>
      <c r="I51" s="295">
        <f t="shared" si="7"/>
        <v>-11454.639999999985</v>
      </c>
      <c r="J51" s="295">
        <f t="shared" si="7"/>
        <v>-8237.6950537634548</v>
      </c>
      <c r="K51" s="295">
        <f t="shared" si="7"/>
        <v>2163048.7333333334</v>
      </c>
      <c r="L51" s="295">
        <f t="shared" si="7"/>
        <v>-526631.54666666698</v>
      </c>
      <c r="M51" s="295">
        <f t="shared" si="7"/>
        <v>-172405.84666666668</v>
      </c>
      <c r="N51" s="295">
        <f t="shared" si="7"/>
        <v>-336444.2666666666</v>
      </c>
      <c r="O51" s="295">
        <f>O49-O44</f>
        <v>-503930.54666666663</v>
      </c>
      <c r="P51" s="69">
        <f>SUM(D51:O51)</f>
        <v>1648321.8316129029</v>
      </c>
    </row>
    <row r="52" spans="1:17"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326"/>
    </row>
    <row r="53" spans="1:17" ht="13.5" thickBot="1">
      <c r="A53" s="310"/>
      <c r="B53" s="310"/>
      <c r="C53" s="302" t="s">
        <v>209</v>
      </c>
      <c r="D53" s="327">
        <f>(D28-D30)+D51+D40+D34+D36+D38+D42</f>
        <v>3227295.6877488052</v>
      </c>
      <c r="E53" s="327">
        <f t="shared" ref="E53:O53" si="8">(E28-E30)+E51+E40+E34+E36+E38+E42</f>
        <v>3687456.6277488028</v>
      </c>
      <c r="F53" s="327">
        <f t="shared" si="8"/>
        <v>2785066.787748802</v>
      </c>
      <c r="G53" s="327">
        <f t="shared" si="8"/>
        <v>3455105.2677488052</v>
      </c>
      <c r="H53" s="327">
        <f t="shared" si="8"/>
        <v>2949945.8177488032</v>
      </c>
      <c r="I53" s="327">
        <f t="shared" si="8"/>
        <v>1624076.6677488049</v>
      </c>
      <c r="J53" s="327">
        <f t="shared" si="8"/>
        <v>731562.95075268834</v>
      </c>
      <c r="K53" s="327">
        <f t="shared" si="8"/>
        <v>2234228.1233333335</v>
      </c>
      <c r="L53" s="327">
        <f t="shared" si="8"/>
        <v>1053248.0907147995</v>
      </c>
      <c r="M53" s="327">
        <f t="shared" si="8"/>
        <v>1405019.3307147999</v>
      </c>
      <c r="N53" s="327">
        <f t="shared" si="8"/>
        <v>1243435.3907148</v>
      </c>
      <c r="O53" s="327">
        <f t="shared" si="8"/>
        <v>999860.77071479987</v>
      </c>
      <c r="P53" s="69">
        <f>SUM(D53:O53)</f>
        <v>25396301.513438042</v>
      </c>
    </row>
    <row r="54" spans="1:17" ht="13.5" thickTop="1">
      <c r="A54" s="310"/>
      <c r="B54" s="310"/>
      <c r="C54" s="302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</row>
    <row r="55" spans="1:17">
      <c r="A55" s="310"/>
      <c r="B55" s="310"/>
      <c r="C55" s="310" t="s">
        <v>210</v>
      </c>
      <c r="D55" s="295">
        <f t="shared" ref="D55:O55" si="9">D53-D9</f>
        <v>2245407.6877488052</v>
      </c>
      <c r="E55" s="295">
        <f t="shared" si="9"/>
        <v>2456473.6277488028</v>
      </c>
      <c r="F55" s="295">
        <f t="shared" si="9"/>
        <v>1756614.787748802</v>
      </c>
      <c r="G55" s="295">
        <f t="shared" si="9"/>
        <v>1994544.2677488052</v>
      </c>
      <c r="H55" s="295">
        <f t="shared" si="9"/>
        <v>1191470.8177488032</v>
      </c>
      <c r="I55" s="295">
        <f t="shared" si="9"/>
        <v>-436193.52027915511</v>
      </c>
      <c r="J55" s="295">
        <f t="shared" si="9"/>
        <v>-1249695.0927472217</v>
      </c>
      <c r="K55" s="295">
        <f t="shared" si="9"/>
        <v>1897448.6406173916</v>
      </c>
      <c r="L55" s="295">
        <f t="shared" si="9"/>
        <v>-106364.90481974045</v>
      </c>
      <c r="M55" s="295">
        <f t="shared" si="9"/>
        <v>-641178.42132078018</v>
      </c>
      <c r="N55" s="295">
        <f t="shared" si="9"/>
        <v>-570434.55301604001</v>
      </c>
      <c r="O55" s="295">
        <f t="shared" si="9"/>
        <v>-837799.37298628013</v>
      </c>
      <c r="P55" s="69">
        <f>SUM(D55:O55)</f>
        <v>7700293.9641921921</v>
      </c>
    </row>
    <row r="56" spans="1:17"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</row>
    <row r="57" spans="1:17">
      <c r="A57" s="310"/>
      <c r="B57" s="310"/>
      <c r="C57" s="302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</row>
    <row r="58" spans="1:17">
      <c r="A58" s="328"/>
      <c r="B58" s="275"/>
      <c r="C58" s="329" t="s">
        <v>211</v>
      </c>
      <c r="D58" s="330">
        <f>+D55+D32+D61</f>
        <v>54412711.344241627</v>
      </c>
      <c r="E58" s="330">
        <f>D58+E32+E55</f>
        <v>56869184.971990429</v>
      </c>
      <c r="F58" s="330">
        <f t="shared" ref="F58:N58" si="10">+F55+E58+F32</f>
        <v>58625799.759739228</v>
      </c>
      <c r="G58" s="330">
        <f t="shared" si="10"/>
        <v>60620344.02748803</v>
      </c>
      <c r="H58" s="330">
        <f t="shared" si="10"/>
        <v>61811814.84523683</v>
      </c>
      <c r="I58" s="330">
        <f t="shared" si="10"/>
        <v>61375621.324957676</v>
      </c>
      <c r="J58" s="330">
        <f t="shared" si="10"/>
        <v>60125926.232210457</v>
      </c>
      <c r="K58" s="330">
        <f t="shared" si="10"/>
        <v>62023374.87282785</v>
      </c>
      <c r="L58" s="330">
        <f t="shared" si="10"/>
        <v>61917009.968008108</v>
      </c>
      <c r="M58" s="330">
        <f t="shared" si="10"/>
        <v>61275831.546687327</v>
      </c>
      <c r="N58" s="330">
        <f t="shared" si="10"/>
        <v>60705396.993671291</v>
      </c>
      <c r="O58" s="330">
        <f>+O55+N58+O32</f>
        <v>59867597.620685011</v>
      </c>
    </row>
    <row r="59" spans="1:17">
      <c r="A59" s="331"/>
      <c r="B59" s="253"/>
      <c r="C59" s="332"/>
      <c r="D59" s="333"/>
      <c r="E59" s="333"/>
      <c r="F59" s="333"/>
      <c r="G59" s="333"/>
      <c r="H59" s="333"/>
      <c r="I59" s="334"/>
      <c r="J59" s="333"/>
      <c r="K59" s="333"/>
      <c r="L59" s="335"/>
      <c r="O59" s="336"/>
    </row>
    <row r="60" spans="1:17">
      <c r="A60" s="331"/>
      <c r="B60" s="253"/>
      <c r="C60" s="332"/>
      <c r="D60" s="333"/>
      <c r="E60" s="333"/>
      <c r="F60" s="333"/>
      <c r="G60" s="333"/>
      <c r="H60" s="333"/>
      <c r="I60" s="333"/>
      <c r="J60" s="333"/>
      <c r="K60" s="333"/>
      <c r="L60" s="335"/>
      <c r="O60" s="295">
        <v>59867598.744583257</v>
      </c>
      <c r="P60" s="66" t="s">
        <v>239</v>
      </c>
    </row>
    <row r="61" spans="1:17">
      <c r="D61" s="66">
        <v>52167303.656492822</v>
      </c>
    </row>
    <row r="62" spans="1:17">
      <c r="O62" s="295">
        <f>O58-O60</f>
        <v>-1.1238982453942299</v>
      </c>
      <c r="P62" s="66" t="s">
        <v>282</v>
      </c>
      <c r="Q62" s="247"/>
    </row>
    <row r="63" spans="1:17">
      <c r="B63" s="337" t="s">
        <v>175</v>
      </c>
      <c r="C63" s="347" t="s">
        <v>317</v>
      </c>
      <c r="O63" s="295"/>
    </row>
    <row r="64" spans="1:17">
      <c r="C64" s="347"/>
    </row>
    <row r="65" spans="3:15">
      <c r="C65" s="347"/>
      <c r="D65" s="295"/>
      <c r="E65" s="295"/>
      <c r="F65" s="295"/>
      <c r="G65" s="295"/>
      <c r="H65" s="295"/>
      <c r="I65" s="295"/>
      <c r="O65" s="338"/>
    </row>
    <row r="75" spans="3:15"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</row>
  </sheetData>
  <mergeCells count="1">
    <mergeCell ref="C63:C65"/>
  </mergeCells>
  <pageMargins left="0.7" right="0.7" top="0.75" bottom="0.75" header="0.3" footer="0.3"/>
  <pageSetup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Normal="100" zoomScaleSheetLayoutView="85" workbookViewId="0">
      <selection activeCell="F11" sqref="F11"/>
    </sheetView>
  </sheetViews>
  <sheetFormatPr defaultColWidth="8.7109375" defaultRowHeight="12.75"/>
  <cols>
    <col min="1" max="1" width="8.7109375" style="16"/>
    <col min="2" max="2" width="10.140625" style="16" customWidth="1"/>
    <col min="3" max="4" width="8.7109375" style="16"/>
    <col min="5" max="5" width="4" style="16" customWidth="1"/>
    <col min="6" max="6" width="17.5703125" style="16" bestFit="1" customWidth="1"/>
    <col min="7" max="16384" width="8.7109375" style="16"/>
  </cols>
  <sheetData>
    <row r="1" spans="1:10" ht="15" customHeight="1">
      <c r="A1" s="345" t="s">
        <v>0</v>
      </c>
      <c r="B1" s="345"/>
      <c r="C1" s="345"/>
      <c r="D1" s="345"/>
      <c r="E1" s="345"/>
      <c r="F1" s="345"/>
    </row>
    <row r="2" spans="1:10" ht="15" customHeight="1">
      <c r="A2" s="345" t="s">
        <v>333</v>
      </c>
      <c r="B2" s="345"/>
      <c r="C2" s="345"/>
      <c r="D2" s="345"/>
      <c r="E2" s="345"/>
      <c r="F2" s="345"/>
    </row>
    <row r="3" spans="1:10" ht="12.75" customHeight="1">
      <c r="A3" s="348" t="s">
        <v>329</v>
      </c>
      <c r="B3" s="348"/>
      <c r="C3" s="348"/>
      <c r="D3" s="348"/>
      <c r="E3" s="348"/>
      <c r="F3" s="348"/>
    </row>
    <row r="4" spans="1:10">
      <c r="A4" s="17"/>
      <c r="B4" s="231"/>
      <c r="C4" s="231"/>
      <c r="D4" s="231"/>
      <c r="E4" s="231"/>
      <c r="F4" s="18"/>
    </row>
    <row r="5" spans="1:10">
      <c r="A5" s="17"/>
      <c r="C5" s="229"/>
      <c r="J5" s="18"/>
    </row>
    <row r="6" spans="1:10">
      <c r="A6" s="339" t="s">
        <v>96</v>
      </c>
      <c r="B6" s="339" t="s">
        <v>1</v>
      </c>
      <c r="C6" s="340"/>
      <c r="D6" s="340"/>
      <c r="E6" s="340"/>
      <c r="F6" s="339" t="s">
        <v>43</v>
      </c>
    </row>
    <row r="7" spans="1:10">
      <c r="A7" s="21">
        <v>-1</v>
      </c>
      <c r="B7" s="22" t="s">
        <v>35</v>
      </c>
      <c r="C7" s="19"/>
      <c r="E7" s="19"/>
      <c r="F7" s="23">
        <v>8021071.7000000002</v>
      </c>
    </row>
    <row r="8" spans="1:10">
      <c r="A8" s="21">
        <f>A7-1</f>
        <v>-2</v>
      </c>
      <c r="B8" s="22" t="s">
        <v>99</v>
      </c>
      <c r="C8" s="19"/>
      <c r="E8" s="19"/>
      <c r="F8" s="23">
        <v>2199403.1</v>
      </c>
    </row>
    <row r="9" spans="1:10">
      <c r="A9" s="21">
        <f t="shared" ref="A9:A13" si="0">A8-1</f>
        <v>-3</v>
      </c>
      <c r="B9" s="22" t="s">
        <v>36</v>
      </c>
      <c r="C9" s="19"/>
      <c r="E9" s="19"/>
      <c r="F9" s="23">
        <v>1574558.49</v>
      </c>
    </row>
    <row r="10" spans="1:10">
      <c r="A10" s="21">
        <f t="shared" si="0"/>
        <v>-4</v>
      </c>
      <c r="B10" s="22" t="s">
        <v>42</v>
      </c>
      <c r="C10" s="19"/>
      <c r="E10" s="19"/>
      <c r="F10" s="23">
        <v>3101.72</v>
      </c>
    </row>
    <row r="11" spans="1:10">
      <c r="A11" s="21">
        <f t="shared" si="0"/>
        <v>-5</v>
      </c>
      <c r="B11" s="22" t="s">
        <v>91</v>
      </c>
      <c r="C11" s="19"/>
      <c r="E11" s="19"/>
      <c r="F11" s="23">
        <v>5586405.7799999993</v>
      </c>
    </row>
    <row r="12" spans="1:10">
      <c r="A12" s="21">
        <f t="shared" si="0"/>
        <v>-6</v>
      </c>
      <c r="B12" s="22" t="s">
        <v>38</v>
      </c>
      <c r="C12" s="19"/>
      <c r="E12" s="19"/>
      <c r="F12" s="23">
        <v>4557.53</v>
      </c>
    </row>
    <row r="13" spans="1:10">
      <c r="A13" s="21">
        <f t="shared" si="0"/>
        <v>-7</v>
      </c>
      <c r="B13" s="22" t="s">
        <v>39</v>
      </c>
      <c r="C13" s="19"/>
      <c r="E13" s="19"/>
      <c r="F13" s="23">
        <v>21408.490000000005</v>
      </c>
    </row>
    <row r="14" spans="1:10">
      <c r="A14" s="21">
        <f>A13-1</f>
        <v>-8</v>
      </c>
      <c r="B14" s="22" t="s">
        <v>40</v>
      </c>
      <c r="C14" s="19"/>
      <c r="E14" s="19"/>
      <c r="F14" s="23">
        <v>5135.05</v>
      </c>
    </row>
    <row r="15" spans="1:10">
      <c r="A15" s="21" t="s">
        <v>44</v>
      </c>
      <c r="C15" s="19"/>
    </row>
    <row r="16" spans="1:10">
      <c r="A16" s="21">
        <f>A14-1</f>
        <v>-9</v>
      </c>
      <c r="B16" s="24" t="s">
        <v>234</v>
      </c>
      <c r="C16" s="19"/>
      <c r="E16" s="23"/>
      <c r="F16" s="23">
        <f>SUM(F7:F14)</f>
        <v>17415641.859999999</v>
      </c>
    </row>
    <row r="17" spans="1:6">
      <c r="A17" s="21"/>
      <c r="B17" s="24"/>
      <c r="C17" s="19"/>
      <c r="E17" s="23"/>
      <c r="F17" s="23"/>
    </row>
    <row r="18" spans="1:6">
      <c r="A18" s="21">
        <v>-10</v>
      </c>
      <c r="B18" s="25" t="s">
        <v>235</v>
      </c>
      <c r="F18" s="23">
        <f>'PPA Form 3.0a'!P9-F16</f>
        <v>280365.68924584985</v>
      </c>
    </row>
    <row r="19" spans="1:6">
      <c r="A19" s="21"/>
      <c r="B19" s="22"/>
      <c r="F19" s="23"/>
    </row>
    <row r="20" spans="1:6">
      <c r="A20" s="21">
        <v>-11</v>
      </c>
      <c r="B20" s="24" t="s">
        <v>4</v>
      </c>
      <c r="F20" s="234">
        <f>F16+F18</f>
        <v>17696007.549245849</v>
      </c>
    </row>
  </sheetData>
  <customSheetViews>
    <customSheetView guid="{0BD4BC22-E7A2-4140-8384-5A5B3339DEED}" scale="85" printArea="1" view="pageBreakPreview">
      <selection activeCell="E37" sqref="E37"/>
      <pageMargins left="0.7" right="0.7" top="0.75" bottom="0.75" header="0.3" footer="0.3"/>
      <printOptions horizontalCentered="1"/>
      <pageSetup scale="75" orientation="portrait" r:id="rId1"/>
    </customSheetView>
    <customSheetView guid="{567BA860-460A-4CE0-A629-0EA7372574F1}" scale="85" showPageBreaks="1" printArea="1" view="pageBreakPreview">
      <selection activeCell="B23" sqref="B23"/>
      <pageMargins left="0.7" right="0.7" top="0.75" bottom="0.75" header="0.3" footer="0.3"/>
      <printOptions horizontalCentered="1"/>
      <pageSetup scale="75" orientation="portrait" r:id="rId2"/>
    </customSheetView>
    <customSheetView guid="{4EF176FC-448F-4BD8-8859-C810312E84E7}" scale="85" showPageBreaks="1" printArea="1" view="pageBreakPreview">
      <selection activeCell="E21" sqref="E21"/>
      <pageMargins left="0.7" right="0.7" top="0.75" bottom="0.75" header="0.3" footer="0.3"/>
      <printOptions horizontalCentered="1"/>
      <pageSetup scale="75" orientation="portrait" r:id="rId3"/>
    </customSheetView>
  </customSheetViews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75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5"/>
  <sheetViews>
    <sheetView zoomScale="90" zoomScaleNormal="90" workbookViewId="0">
      <selection activeCell="F1" sqref="F1"/>
    </sheetView>
  </sheetViews>
  <sheetFormatPr defaultColWidth="9.140625" defaultRowHeight="12.75"/>
  <cols>
    <col min="1" max="1" width="8.85546875" style="1"/>
    <col min="2" max="2" width="20.7109375" style="2" customWidth="1"/>
    <col min="3" max="3" width="55.5703125" style="2" customWidth="1"/>
    <col min="4" max="4" width="22.7109375" style="2" bestFit="1" customWidth="1"/>
    <col min="5" max="5" width="3.140625" style="2" customWidth="1"/>
    <col min="6" max="6" width="16.28515625" style="2" customWidth="1"/>
    <col min="7" max="16384" width="9.140625" style="2"/>
  </cols>
  <sheetData>
    <row r="1" spans="1:6">
      <c r="B1" s="7" t="s">
        <v>71</v>
      </c>
      <c r="F1" s="3" t="s">
        <v>97</v>
      </c>
    </row>
    <row r="2" spans="1:6">
      <c r="B2" s="7" t="s">
        <v>93</v>
      </c>
    </row>
    <row r="3" spans="1:6">
      <c r="B3" s="7" t="s">
        <v>72</v>
      </c>
    </row>
    <row r="6" spans="1:6">
      <c r="A6" s="9" t="s">
        <v>96</v>
      </c>
      <c r="B6" s="9" t="s">
        <v>81</v>
      </c>
      <c r="C6" s="9" t="s">
        <v>2</v>
      </c>
      <c r="D6" s="9" t="s">
        <v>82</v>
      </c>
      <c r="E6" s="26"/>
      <c r="F6" s="9" t="s">
        <v>84</v>
      </c>
    </row>
    <row r="7" spans="1:6">
      <c r="A7" s="4">
        <v>-1</v>
      </c>
      <c r="B7" s="5">
        <v>4561005</v>
      </c>
      <c r="C7" s="2" t="s">
        <v>129</v>
      </c>
      <c r="D7" s="27">
        <v>-535143.05000000005</v>
      </c>
      <c r="F7" s="2" t="s">
        <v>3</v>
      </c>
    </row>
    <row r="8" spans="1:6">
      <c r="A8" s="4">
        <f>A7-1</f>
        <v>-2</v>
      </c>
      <c r="B8" s="5">
        <v>4561002</v>
      </c>
      <c r="C8" s="2" t="s">
        <v>130</v>
      </c>
      <c r="D8" s="27">
        <v>196296.08</v>
      </c>
      <c r="F8" s="2" t="s">
        <v>3</v>
      </c>
    </row>
    <row r="9" spans="1:6">
      <c r="A9" s="4">
        <f>A8-1</f>
        <v>-3</v>
      </c>
      <c r="B9" s="5">
        <v>4561035</v>
      </c>
      <c r="C9" s="2" t="s">
        <v>75</v>
      </c>
      <c r="D9" s="27">
        <v>45453207</v>
      </c>
      <c r="F9" s="2" t="s">
        <v>3</v>
      </c>
    </row>
    <row r="10" spans="1:6">
      <c r="A10" s="4">
        <f t="shared" ref="A10:A15" si="0">A9-1</f>
        <v>-4</v>
      </c>
      <c r="B10" s="5">
        <v>4561036</v>
      </c>
      <c r="C10" s="2" t="s">
        <v>76</v>
      </c>
      <c r="D10" s="27">
        <v>566356</v>
      </c>
      <c r="F10" s="2" t="s">
        <v>5</v>
      </c>
    </row>
    <row r="11" spans="1:6">
      <c r="A11" s="4">
        <f t="shared" si="0"/>
        <v>-5</v>
      </c>
      <c r="B11" s="5">
        <v>4561060</v>
      </c>
      <c r="C11" s="2" t="s">
        <v>77</v>
      </c>
      <c r="D11" s="27">
        <v>788524</v>
      </c>
      <c r="F11" s="2" t="s">
        <v>3</v>
      </c>
    </row>
    <row r="12" spans="1:6">
      <c r="A12" s="4">
        <f t="shared" si="0"/>
        <v>-6</v>
      </c>
      <c r="B12" s="5">
        <v>5650012</v>
      </c>
      <c r="C12" s="2" t="s">
        <v>78</v>
      </c>
      <c r="D12" s="27">
        <v>5035193</v>
      </c>
      <c r="F12" s="2" t="s">
        <v>3</v>
      </c>
    </row>
    <row r="13" spans="1:6">
      <c r="A13" s="4">
        <f t="shared" si="0"/>
        <v>-7</v>
      </c>
      <c r="B13" s="5">
        <v>5650016</v>
      </c>
      <c r="C13" s="2" t="s">
        <v>79</v>
      </c>
      <c r="D13" s="27">
        <v>18568254</v>
      </c>
      <c r="F13" s="2" t="s">
        <v>3</v>
      </c>
    </row>
    <row r="14" spans="1:6">
      <c r="A14" s="4">
        <f t="shared" si="0"/>
        <v>-8</v>
      </c>
      <c r="B14" s="5">
        <v>5650019</v>
      </c>
      <c r="C14" s="2" t="s">
        <v>80</v>
      </c>
      <c r="D14" s="28">
        <v>3965830</v>
      </c>
      <c r="F14" s="2" t="s">
        <v>3</v>
      </c>
    </row>
    <row r="15" spans="1:6">
      <c r="A15" s="4">
        <f t="shared" si="0"/>
        <v>-9</v>
      </c>
      <c r="B15" s="2" t="s">
        <v>73</v>
      </c>
      <c r="D15" s="27">
        <f>SUM(D7:D14)</f>
        <v>74038517.030000001</v>
      </c>
      <c r="F15" s="29"/>
    </row>
    <row r="16" spans="1:6">
      <c r="A16" s="4"/>
      <c r="D16" s="27"/>
      <c r="F16" s="29"/>
    </row>
    <row r="17" spans="1:6">
      <c r="A17" s="4" t="s">
        <v>218</v>
      </c>
      <c r="B17" s="2" t="s">
        <v>179</v>
      </c>
      <c r="D17" s="30">
        <f>ROUND(D15/12,0)</f>
        <v>6169876</v>
      </c>
    </row>
    <row r="18" spans="1:6">
      <c r="A18" s="4" t="s">
        <v>44</v>
      </c>
    </row>
    <row r="19" spans="1:6">
      <c r="A19" s="4">
        <f>A15-1</f>
        <v>-10</v>
      </c>
      <c r="B19" s="2" t="s">
        <v>178</v>
      </c>
      <c r="C19" s="31"/>
      <c r="D19" s="8">
        <v>372542</v>
      </c>
      <c r="E19" s="5" t="s">
        <v>44</v>
      </c>
      <c r="F19" s="2" t="s">
        <v>5</v>
      </c>
    </row>
    <row r="20" spans="1:6">
      <c r="A20" s="4" t="s">
        <v>44</v>
      </c>
      <c r="E20" s="5"/>
    </row>
    <row r="21" spans="1:6">
      <c r="A21" s="4">
        <f>A19-1</f>
        <v>-11</v>
      </c>
      <c r="B21" s="2" t="s">
        <v>83</v>
      </c>
      <c r="D21" s="8">
        <v>42026</v>
      </c>
      <c r="E21" s="5" t="s">
        <v>44</v>
      </c>
      <c r="F21" s="2" t="s">
        <v>3</v>
      </c>
    </row>
    <row r="22" spans="1:6">
      <c r="A22" s="4" t="s">
        <v>219</v>
      </c>
      <c r="B22" s="2" t="s">
        <v>180</v>
      </c>
      <c r="D22" s="32">
        <f>SUM(D19:D21)/12</f>
        <v>34547.333333333336</v>
      </c>
      <c r="E22" s="5"/>
    </row>
    <row r="23" spans="1:6">
      <c r="A23" s="4"/>
      <c r="D23" s="8"/>
      <c r="E23" s="5"/>
    </row>
    <row r="24" spans="1:6">
      <c r="A24" s="4" t="s">
        <v>44</v>
      </c>
    </row>
    <row r="25" spans="1:6" ht="13.5" thickBot="1">
      <c r="A25" s="4" t="s">
        <v>220</v>
      </c>
      <c r="B25" s="7" t="s">
        <v>74</v>
      </c>
      <c r="D25" s="33">
        <f>SUM(D21,D19,D15)</f>
        <v>74453085.030000001</v>
      </c>
    </row>
    <row r="26" spans="1:6" ht="13.5" thickTop="1">
      <c r="A26" s="4" t="s">
        <v>44</v>
      </c>
    </row>
    <row r="27" spans="1:6" ht="13.5" thickBot="1">
      <c r="A27" s="4">
        <v>-13</v>
      </c>
      <c r="B27" s="2" t="s">
        <v>261</v>
      </c>
      <c r="D27" s="34">
        <f>D25/12</f>
        <v>6204423.7525000004</v>
      </c>
    </row>
    <row r="28" spans="1:6" ht="13.5" thickTop="1">
      <c r="B28" s="2" t="s">
        <v>44</v>
      </c>
    </row>
    <row r="29" spans="1:6">
      <c r="A29" s="35" t="s">
        <v>221</v>
      </c>
    </row>
    <row r="32" spans="1:6">
      <c r="A32" s="36"/>
      <c r="B32" s="37"/>
      <c r="C32" s="37"/>
      <c r="D32" s="37"/>
      <c r="E32" s="37"/>
      <c r="F32" s="37"/>
    </row>
    <row r="38" spans="1:4">
      <c r="B38" s="7" t="s">
        <v>71</v>
      </c>
    </row>
    <row r="39" spans="1:4">
      <c r="B39" s="7" t="s">
        <v>243</v>
      </c>
    </row>
    <row r="40" spans="1:4">
      <c r="B40" s="7" t="s">
        <v>72</v>
      </c>
    </row>
    <row r="43" spans="1:4">
      <c r="A43" s="9" t="s">
        <v>96</v>
      </c>
      <c r="B43" s="9" t="s">
        <v>81</v>
      </c>
      <c r="C43" s="9" t="s">
        <v>2</v>
      </c>
      <c r="D43" s="9" t="s">
        <v>82</v>
      </c>
    </row>
    <row r="44" spans="1:4">
      <c r="A44" s="4">
        <v>-1</v>
      </c>
      <c r="B44" s="5">
        <v>4561005</v>
      </c>
      <c r="C44" s="2" t="s">
        <v>129</v>
      </c>
      <c r="D44" s="27">
        <v>-766099.98</v>
      </c>
    </row>
    <row r="45" spans="1:4">
      <c r="A45" s="4">
        <f>A44-1</f>
        <v>-2</v>
      </c>
      <c r="B45" s="5">
        <v>4561002</v>
      </c>
      <c r="C45" s="2" t="s">
        <v>130</v>
      </c>
      <c r="D45" s="27">
        <v>135211.87</v>
      </c>
    </row>
    <row r="46" spans="1:4">
      <c r="A46" s="4">
        <f>A45-1</f>
        <v>-3</v>
      </c>
      <c r="B46" s="5">
        <v>4561035</v>
      </c>
      <c r="C46" s="2" t="s">
        <v>75</v>
      </c>
      <c r="D46" s="27">
        <v>41633169.243048489</v>
      </c>
    </row>
    <row r="47" spans="1:4">
      <c r="A47" s="4">
        <f t="shared" ref="A47:A53" si="1">A46-1</f>
        <v>-4</v>
      </c>
      <c r="B47" s="5">
        <v>4561036</v>
      </c>
      <c r="C47" s="2" t="s">
        <v>76</v>
      </c>
      <c r="D47" s="27">
        <v>175036.01285554259</v>
      </c>
    </row>
    <row r="48" spans="1:4">
      <c r="A48" s="4">
        <f t="shared" si="1"/>
        <v>-5</v>
      </c>
      <c r="B48" s="5">
        <v>4561060</v>
      </c>
      <c r="C48" s="2" t="s">
        <v>77</v>
      </c>
      <c r="D48" s="27">
        <v>1012416.823731375</v>
      </c>
    </row>
    <row r="49" spans="1:6">
      <c r="A49" s="4">
        <f t="shared" si="1"/>
        <v>-6</v>
      </c>
      <c r="B49" s="5">
        <v>5650012</v>
      </c>
      <c r="C49" s="2" t="s">
        <v>78</v>
      </c>
      <c r="D49" s="27">
        <v>8898999.1954638269</v>
      </c>
    </row>
    <row r="50" spans="1:6">
      <c r="A50" s="4">
        <f t="shared" si="1"/>
        <v>-7</v>
      </c>
      <c r="B50" s="5">
        <v>5650016</v>
      </c>
      <c r="C50" s="2" t="s">
        <v>79</v>
      </c>
      <c r="D50" s="27">
        <v>39470780.379406027</v>
      </c>
    </row>
    <row r="51" spans="1:6">
      <c r="A51" s="4">
        <f t="shared" si="1"/>
        <v>-8</v>
      </c>
      <c r="B51" s="5">
        <v>5650019</v>
      </c>
      <c r="C51" s="2" t="s">
        <v>80</v>
      </c>
      <c r="D51" s="38">
        <v>5829121.7728403695</v>
      </c>
    </row>
    <row r="52" spans="1:6">
      <c r="A52" s="4">
        <f t="shared" si="1"/>
        <v>-9</v>
      </c>
      <c r="B52" s="5">
        <v>5650021</v>
      </c>
      <c r="C52" s="2" t="s">
        <v>197</v>
      </c>
      <c r="D52" s="38">
        <v>302339.6012114918</v>
      </c>
    </row>
    <row r="53" spans="1:6">
      <c r="A53" s="4">
        <f t="shared" si="1"/>
        <v>-10</v>
      </c>
      <c r="B53" s="5">
        <v>5650015</v>
      </c>
      <c r="C53" s="2" t="s">
        <v>198</v>
      </c>
      <c r="D53" s="28">
        <v>205519.72225703558</v>
      </c>
    </row>
    <row r="54" spans="1:6">
      <c r="A54" s="4">
        <f>A53-1</f>
        <v>-11</v>
      </c>
      <c r="B54" s="2" t="s">
        <v>73</v>
      </c>
      <c r="D54" s="39">
        <f>SUM(D44:D53)</f>
        <v>96896494.640814155</v>
      </c>
    </row>
    <row r="55" spans="1:6">
      <c r="A55" s="4"/>
      <c r="D55" s="27"/>
    </row>
    <row r="56" spans="1:6">
      <c r="A56" s="4" t="s">
        <v>244</v>
      </c>
      <c r="B56" s="2" t="s">
        <v>179</v>
      </c>
      <c r="D56" s="30">
        <f>ROUND(D54/12,0)</f>
        <v>8074708</v>
      </c>
    </row>
    <row r="57" spans="1:6">
      <c r="A57" s="4" t="s">
        <v>44</v>
      </c>
    </row>
    <row r="58" spans="1:6">
      <c r="A58" s="4">
        <f>A54-1</f>
        <v>-12</v>
      </c>
      <c r="B58" s="2" t="s">
        <v>178</v>
      </c>
      <c r="C58" s="31"/>
      <c r="D58" s="8">
        <v>814208.10916925909</v>
      </c>
      <c r="F58" s="2" t="s">
        <v>5</v>
      </c>
    </row>
    <row r="59" spans="1:6">
      <c r="A59" s="4" t="s">
        <v>44</v>
      </c>
    </row>
    <row r="60" spans="1:6">
      <c r="A60" s="4">
        <f>A58-1</f>
        <v>-13</v>
      </c>
      <c r="B60" s="2" t="s">
        <v>83</v>
      </c>
      <c r="D60" s="8">
        <v>454996.62102846097</v>
      </c>
      <c r="F60" s="2" t="s">
        <v>3</v>
      </c>
    </row>
    <row r="61" spans="1:6">
      <c r="A61" s="4" t="s">
        <v>245</v>
      </c>
      <c r="B61" s="2" t="s">
        <v>180</v>
      </c>
      <c r="D61" s="32">
        <f>SUM(D58:D60)/12</f>
        <v>105767.06084981</v>
      </c>
    </row>
    <row r="62" spans="1:6">
      <c r="A62" s="4"/>
      <c r="D62" s="8"/>
    </row>
    <row r="63" spans="1:6">
      <c r="A63" s="4" t="s">
        <v>44</v>
      </c>
    </row>
    <row r="64" spans="1:6" ht="13.5" thickBot="1">
      <c r="A64" s="4">
        <v>-14</v>
      </c>
      <c r="B64" s="7" t="s">
        <v>74</v>
      </c>
      <c r="D64" s="33">
        <f>SUM(D60,D58,D54)</f>
        <v>98165699.371011868</v>
      </c>
    </row>
    <row r="65" spans="1:6" ht="13.5" thickTop="1">
      <c r="A65" s="4" t="s">
        <v>44</v>
      </c>
    </row>
    <row r="66" spans="1:6" ht="13.5" thickBot="1">
      <c r="A66" s="4">
        <v>-15</v>
      </c>
      <c r="B66" s="2" t="s">
        <v>261</v>
      </c>
      <c r="D66" s="34">
        <f>D64/12</f>
        <v>8180474.9475843227</v>
      </c>
    </row>
    <row r="67" spans="1:6" ht="13.5" thickTop="1">
      <c r="B67" s="2" t="s">
        <v>44</v>
      </c>
    </row>
    <row r="69" spans="1:6">
      <c r="A69" s="36"/>
      <c r="B69" s="37"/>
      <c r="C69" s="37"/>
      <c r="D69" s="37"/>
      <c r="E69" s="37"/>
      <c r="F69" s="37"/>
    </row>
    <row r="73" spans="1:6">
      <c r="A73" s="227"/>
      <c r="B73" s="7" t="s">
        <v>71</v>
      </c>
    </row>
    <row r="74" spans="1:6">
      <c r="A74" s="227"/>
      <c r="B74" s="7" t="s">
        <v>313</v>
      </c>
    </row>
    <row r="75" spans="1:6">
      <c r="A75" s="227"/>
      <c r="B75" s="7" t="s">
        <v>72</v>
      </c>
    </row>
    <row r="76" spans="1:6">
      <c r="A76" s="227"/>
    </row>
    <row r="77" spans="1:6">
      <c r="A77" s="227"/>
    </row>
    <row r="78" spans="1:6">
      <c r="A78" s="9" t="s">
        <v>96</v>
      </c>
      <c r="B78" s="9" t="s">
        <v>81</v>
      </c>
      <c r="C78" s="9" t="s">
        <v>2</v>
      </c>
      <c r="D78" s="9" t="s">
        <v>82</v>
      </c>
    </row>
    <row r="79" spans="1:6">
      <c r="A79" s="4">
        <v>-1</v>
      </c>
      <c r="B79" s="5">
        <v>4561005</v>
      </c>
      <c r="C79" s="2" t="s">
        <v>129</v>
      </c>
      <c r="D79" s="27"/>
    </row>
    <row r="80" spans="1:6">
      <c r="A80" s="4">
        <f>A79-1</f>
        <v>-2</v>
      </c>
      <c r="B80" s="5">
        <v>4561002</v>
      </c>
      <c r="C80" s="2" t="s">
        <v>130</v>
      </c>
      <c r="D80" s="27"/>
    </row>
    <row r="81" spans="1:6">
      <c r="A81" s="4">
        <f>A80-1</f>
        <v>-3</v>
      </c>
      <c r="B81" s="5">
        <v>4561035</v>
      </c>
      <c r="C81" s="2" t="s">
        <v>75</v>
      </c>
      <c r="D81" s="27"/>
    </row>
    <row r="82" spans="1:6">
      <c r="A82" s="4">
        <f t="shared" ref="A82:A88" si="2">A81-1</f>
        <v>-4</v>
      </c>
      <c r="B82" s="5">
        <v>4561036</v>
      </c>
      <c r="C82" s="2" t="s">
        <v>76</v>
      </c>
      <c r="D82" s="27"/>
    </row>
    <row r="83" spans="1:6">
      <c r="A83" s="4">
        <f t="shared" si="2"/>
        <v>-5</v>
      </c>
      <c r="B83" s="5">
        <v>4561060</v>
      </c>
      <c r="C83" s="2" t="s">
        <v>77</v>
      </c>
      <c r="D83" s="27"/>
    </row>
    <row r="84" spans="1:6">
      <c r="A84" s="4">
        <f t="shared" si="2"/>
        <v>-6</v>
      </c>
      <c r="B84" s="5">
        <v>5650012</v>
      </c>
      <c r="C84" s="2" t="s">
        <v>78</v>
      </c>
      <c r="D84" s="27"/>
    </row>
    <row r="85" spans="1:6">
      <c r="A85" s="4">
        <f t="shared" si="2"/>
        <v>-7</v>
      </c>
      <c r="B85" s="5">
        <v>5650016</v>
      </c>
      <c r="C85" s="2" t="s">
        <v>79</v>
      </c>
      <c r="D85" s="27"/>
    </row>
    <row r="86" spans="1:6">
      <c r="A86" s="4">
        <f t="shared" si="2"/>
        <v>-8</v>
      </c>
      <c r="B86" s="5">
        <v>5650019</v>
      </c>
      <c r="C86" s="2" t="s">
        <v>80</v>
      </c>
      <c r="D86" s="38"/>
    </row>
    <row r="87" spans="1:6">
      <c r="A87" s="4">
        <f t="shared" si="2"/>
        <v>-9</v>
      </c>
      <c r="B87" s="5">
        <v>5650021</v>
      </c>
      <c r="C87" s="2" t="s">
        <v>197</v>
      </c>
      <c r="D87" s="38"/>
    </row>
    <row r="88" spans="1:6">
      <c r="A88" s="4">
        <f t="shared" si="2"/>
        <v>-10</v>
      </c>
      <c r="B88" s="5">
        <v>5650015</v>
      </c>
      <c r="C88" s="2" t="s">
        <v>198</v>
      </c>
      <c r="D88" s="28"/>
    </row>
    <row r="89" spans="1:6">
      <c r="A89" s="4">
        <f>A88-1</f>
        <v>-11</v>
      </c>
      <c r="B89" s="2" t="s">
        <v>73</v>
      </c>
      <c r="D89" s="39">
        <f>SUM(D79:D88)</f>
        <v>0</v>
      </c>
    </row>
    <row r="90" spans="1:6">
      <c r="A90" s="4"/>
      <c r="D90" s="27"/>
    </row>
    <row r="91" spans="1:6">
      <c r="A91" s="4" t="s">
        <v>244</v>
      </c>
      <c r="B91" s="2" t="s">
        <v>179</v>
      </c>
      <c r="D91" s="30">
        <f>ROUND(D89/12,0)</f>
        <v>0</v>
      </c>
    </row>
    <row r="92" spans="1:6">
      <c r="A92" s="4" t="s">
        <v>44</v>
      </c>
    </row>
    <row r="93" spans="1:6">
      <c r="A93" s="4">
        <f>A89-1</f>
        <v>-12</v>
      </c>
      <c r="B93" s="2" t="s">
        <v>178</v>
      </c>
      <c r="C93" s="31"/>
      <c r="D93" s="98">
        <v>4119364</v>
      </c>
      <c r="F93" s="2" t="s">
        <v>5</v>
      </c>
    </row>
    <row r="94" spans="1:6">
      <c r="A94" s="4" t="s">
        <v>44</v>
      </c>
    </row>
    <row r="95" spans="1:6">
      <c r="A95" s="4">
        <f>A93-1</f>
        <v>-13</v>
      </c>
      <c r="B95" s="2" t="s">
        <v>83</v>
      </c>
      <c r="D95" s="98">
        <v>1165983</v>
      </c>
      <c r="F95" s="2" t="s">
        <v>3</v>
      </c>
    </row>
    <row r="97" spans="1:4">
      <c r="A97" s="4">
        <f>A95-1</f>
        <v>-14</v>
      </c>
      <c r="D97" s="8">
        <v>1269331</v>
      </c>
    </row>
    <row r="98" spans="1:4">
      <c r="A98" s="4"/>
      <c r="D98" s="98"/>
    </row>
    <row r="99" spans="1:4">
      <c r="A99" s="4" t="s">
        <v>314</v>
      </c>
      <c r="B99" s="2" t="s">
        <v>180</v>
      </c>
      <c r="D99" s="32">
        <f>SUM(D93:D98)/12</f>
        <v>546223.16666666663</v>
      </c>
    </row>
    <row r="100" spans="1:4">
      <c r="A100" s="4"/>
      <c r="D100" s="8"/>
    </row>
    <row r="101" spans="1:4">
      <c r="A101" s="4" t="s">
        <v>44</v>
      </c>
    </row>
    <row r="102" spans="1:4" ht="13.5" thickBot="1">
      <c r="A102" s="4">
        <v>-15</v>
      </c>
      <c r="B102" s="7" t="s">
        <v>74</v>
      </c>
      <c r="D102" s="33">
        <f>SUM(D95,D93,D89,D97)</f>
        <v>6554678</v>
      </c>
    </row>
    <row r="103" spans="1:4" ht="13.5" thickTop="1">
      <c r="A103" s="4" t="s">
        <v>44</v>
      </c>
    </row>
    <row r="104" spans="1:4" ht="13.5" thickBot="1">
      <c r="A104" s="4">
        <v>-16</v>
      </c>
      <c r="B104" s="2" t="s">
        <v>261</v>
      </c>
      <c r="D104" s="34">
        <f>D102/12</f>
        <v>546223.16666666663</v>
      </c>
    </row>
    <row r="105" spans="1:4" ht="13.5" thickTop="1"/>
  </sheetData>
  <customSheetViews>
    <customSheetView guid="{0BD4BC22-E7A2-4140-8384-5A5B3339DEED}" scale="115" fitToPage="1" printArea="1">
      <selection activeCell="F23" sqref="F23"/>
      <pageMargins left="0.7" right="0.7" top="0.75" bottom="0.75" header="0.3" footer="0.3"/>
      <pageSetup scale="47" orientation="portrait" r:id="rId1"/>
    </customSheetView>
    <customSheetView guid="{567BA860-460A-4CE0-A629-0EA7372574F1}" scale="115" showPageBreaks="1" fitToPage="1" printArea="1">
      <selection activeCell="C34" sqref="C34"/>
      <pageMargins left="0.7" right="0.7" top="0.75" bottom="0.75" header="0.3" footer="0.3"/>
      <pageSetup scale="71" orientation="portrait" r:id="rId2"/>
    </customSheetView>
    <customSheetView guid="{4EF176FC-448F-4BD8-8859-C810312E84E7}" scale="115" fitToPage="1" topLeftCell="A4">
      <selection activeCell="A29" sqref="A29"/>
      <pageMargins left="0.7" right="0.7" top="0.75" bottom="0.75" header="0.3" footer="0.3"/>
      <pageSetup scale="71" orientation="portrait" r:id="rId3"/>
    </customSheetView>
  </customSheetViews>
  <pageMargins left="0.7" right="0.7" top="0.75" bottom="0.75" header="0.3" footer="0.3"/>
  <pageSetup scale="71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"/>
  <sheetViews>
    <sheetView zoomScaleNormal="100" zoomScaleSheetLayoutView="50" workbookViewId="0">
      <selection activeCell="I8" sqref="I8"/>
    </sheetView>
  </sheetViews>
  <sheetFormatPr defaultColWidth="9.140625" defaultRowHeight="12.75"/>
  <cols>
    <col min="1" max="1" width="11.140625" style="16" bestFit="1" customWidth="1"/>
    <col min="2" max="2" width="12.7109375" style="16" bestFit="1" customWidth="1"/>
    <col min="3" max="3" width="19.85546875" style="16" bestFit="1" customWidth="1"/>
    <col min="4" max="4" width="14.140625" style="16" bestFit="1" customWidth="1"/>
    <col min="5" max="8" width="9.140625" style="16"/>
    <col min="9" max="9" width="20.42578125" style="16" bestFit="1" customWidth="1"/>
    <col min="10" max="10" width="14.140625" style="16" bestFit="1" customWidth="1"/>
    <col min="11" max="11" width="9.140625" style="16"/>
    <col min="12" max="12" width="22" style="17" bestFit="1" customWidth="1"/>
    <col min="13" max="16384" width="9.140625" style="16"/>
  </cols>
  <sheetData>
    <row r="1" spans="1:12">
      <c r="A1" s="349" t="s">
        <v>41</v>
      </c>
      <c r="B1" s="349"/>
      <c r="C1" s="349"/>
      <c r="D1" s="349"/>
      <c r="G1" s="349" t="s">
        <v>41</v>
      </c>
      <c r="H1" s="349"/>
      <c r="I1" s="349"/>
      <c r="J1" s="349"/>
    </row>
    <row r="2" spans="1:12">
      <c r="A2" s="349" t="s">
        <v>291</v>
      </c>
      <c r="B2" s="349"/>
      <c r="C2" s="349"/>
      <c r="D2" s="349"/>
      <c r="G2" s="349" t="s">
        <v>321</v>
      </c>
      <c r="H2" s="349"/>
      <c r="I2" s="349"/>
      <c r="J2" s="349"/>
    </row>
    <row r="3" spans="1:12">
      <c r="A3" s="349" t="s">
        <v>327</v>
      </c>
      <c r="B3" s="349"/>
      <c r="C3" s="349"/>
      <c r="D3" s="349"/>
      <c r="G3" s="349" t="s">
        <v>327</v>
      </c>
      <c r="H3" s="349"/>
      <c r="I3" s="349"/>
      <c r="J3" s="349"/>
    </row>
    <row r="4" spans="1:12">
      <c r="A4" s="61"/>
      <c r="B4" s="62"/>
      <c r="C4" s="225" t="s">
        <v>308</v>
      </c>
      <c r="D4" s="225" t="s">
        <v>308</v>
      </c>
      <c r="G4" s="61"/>
      <c r="H4" s="62"/>
      <c r="I4" s="225" t="s">
        <v>309</v>
      </c>
      <c r="J4" s="225" t="s">
        <v>309</v>
      </c>
      <c r="L4" s="17" t="s">
        <v>311</v>
      </c>
    </row>
    <row r="5" spans="1:12">
      <c r="A5" s="6" t="s">
        <v>21</v>
      </c>
      <c r="B5" s="6"/>
      <c r="C5" s="6" t="s">
        <v>259</v>
      </c>
      <c r="D5" s="6" t="s">
        <v>265</v>
      </c>
      <c r="G5" s="6" t="s">
        <v>21</v>
      </c>
      <c r="H5" s="6"/>
      <c r="I5" s="6" t="s">
        <v>259</v>
      </c>
      <c r="J5" s="6" t="s">
        <v>265</v>
      </c>
    </row>
    <row r="6" spans="1:12">
      <c r="A6" s="63" t="s">
        <v>35</v>
      </c>
      <c r="B6" s="62"/>
      <c r="C6" s="63">
        <v>1811129607</v>
      </c>
      <c r="D6" s="63" t="s">
        <v>266</v>
      </c>
      <c r="G6" s="63" t="s">
        <v>35</v>
      </c>
      <c r="H6" s="62"/>
      <c r="I6" s="63">
        <v>1877839789.637152</v>
      </c>
      <c r="J6" s="63" t="s">
        <v>266</v>
      </c>
      <c r="L6" s="240">
        <f>(I6-C6)/C6</f>
        <v>3.6833467013800497E-2</v>
      </c>
    </row>
    <row r="7" spans="1:12">
      <c r="A7" s="63" t="s">
        <v>90</v>
      </c>
      <c r="B7" s="62"/>
      <c r="C7" s="63">
        <v>602949472</v>
      </c>
      <c r="D7" s="63" t="s">
        <v>266</v>
      </c>
      <c r="G7" s="63" t="s">
        <v>90</v>
      </c>
      <c r="H7" s="62"/>
      <c r="I7" s="63">
        <v>610457831.15751004</v>
      </c>
      <c r="J7" s="63" t="s">
        <v>266</v>
      </c>
      <c r="L7" s="240">
        <f t="shared" ref="L7:L13" si="0">(I7-C7)/C7</f>
        <v>1.2452717028849213E-2</v>
      </c>
    </row>
    <row r="8" spans="1:12" ht="14.45" customHeight="1">
      <c r="A8" s="63" t="s">
        <v>36</v>
      </c>
      <c r="B8" s="62"/>
      <c r="C8" s="63">
        <v>472484525</v>
      </c>
      <c r="D8" s="63">
        <v>1481532</v>
      </c>
      <c r="G8" s="63" t="s">
        <v>36</v>
      </c>
      <c r="H8" s="62"/>
      <c r="I8" s="63">
        <v>477061151.73756933</v>
      </c>
      <c r="J8" s="63">
        <f>(((I8-C8)/C8)+1)*D8</f>
        <v>1495882.5630449264</v>
      </c>
      <c r="L8" s="240">
        <f>(I8-C8)/C8</f>
        <v>9.6862997525037076E-3</v>
      </c>
    </row>
    <row r="9" spans="1:12" ht="14.45" customHeight="1">
      <c r="A9" s="63" t="s">
        <v>37</v>
      </c>
      <c r="B9" s="62"/>
      <c r="C9" s="63">
        <v>909392</v>
      </c>
      <c r="D9" s="63" t="s">
        <v>266</v>
      </c>
      <c r="G9" s="63" t="s">
        <v>37</v>
      </c>
      <c r="H9" s="62"/>
      <c r="I9" s="63">
        <v>921390.16215729865</v>
      </c>
      <c r="J9" s="63" t="s">
        <v>266</v>
      </c>
      <c r="L9" s="240">
        <f t="shared" si="0"/>
        <v>1.3193608649843685E-2</v>
      </c>
    </row>
    <row r="10" spans="1:12" ht="14.45" customHeight="1">
      <c r="A10" s="63" t="s">
        <v>91</v>
      </c>
      <c r="B10" s="62"/>
      <c r="C10" s="63">
        <v>2364007677</v>
      </c>
      <c r="D10" s="63">
        <v>4033692.2</v>
      </c>
      <c r="G10" s="63" t="s">
        <v>91</v>
      </c>
      <c r="H10" s="62"/>
      <c r="I10" s="63">
        <v>2356807277.8603292</v>
      </c>
      <c r="J10" s="63">
        <f>(((I10-C10)/C10)+1)*D10</f>
        <v>4021406.201892145</v>
      </c>
      <c r="L10" s="240">
        <f t="shared" si="0"/>
        <v>-3.0458442287329547E-3</v>
      </c>
    </row>
    <row r="11" spans="1:12" ht="14.45" customHeight="1">
      <c r="A11" s="63" t="s">
        <v>38</v>
      </c>
      <c r="B11" s="62"/>
      <c r="C11" s="63">
        <v>1808555</v>
      </c>
      <c r="D11" s="63" t="s">
        <v>266</v>
      </c>
      <c r="G11" s="63" t="s">
        <v>38</v>
      </c>
      <c r="H11" s="62"/>
      <c r="I11" s="63">
        <v>1832436.0983174555</v>
      </c>
      <c r="J11" s="63" t="s">
        <v>266</v>
      </c>
      <c r="L11" s="240">
        <f t="shared" si="0"/>
        <v>1.3204518699987284E-2</v>
      </c>
    </row>
    <row r="12" spans="1:12">
      <c r="A12" s="63" t="s">
        <v>39</v>
      </c>
      <c r="B12" s="62"/>
      <c r="C12" s="63">
        <v>34576848</v>
      </c>
      <c r="D12" s="63" t="s">
        <v>266</v>
      </c>
      <c r="G12" s="63" t="s">
        <v>39</v>
      </c>
      <c r="H12" s="62"/>
      <c r="I12" s="63">
        <v>35498560.439231239</v>
      </c>
      <c r="J12" s="63" t="s">
        <v>266</v>
      </c>
      <c r="L12" s="240">
        <f t="shared" si="0"/>
        <v>2.6656924865772591E-2</v>
      </c>
    </row>
    <row r="13" spans="1:12">
      <c r="A13" s="63" t="s">
        <v>40</v>
      </c>
      <c r="B13" s="62"/>
      <c r="C13" s="63">
        <v>8195593</v>
      </c>
      <c r="D13" s="63" t="s">
        <v>266</v>
      </c>
      <c r="G13" s="63" t="s">
        <v>40</v>
      </c>
      <c r="H13" s="62"/>
      <c r="I13" s="63">
        <v>8050994.4213424288</v>
      </c>
      <c r="J13" s="63" t="s">
        <v>266</v>
      </c>
      <c r="L13" s="240">
        <f t="shared" si="0"/>
        <v>-1.7643455288417962E-2</v>
      </c>
    </row>
    <row r="14" spans="1:12">
      <c r="A14" s="63"/>
      <c r="B14" s="62"/>
      <c r="C14" s="63"/>
      <c r="D14" s="63"/>
      <c r="G14" s="63"/>
      <c r="H14" s="62"/>
      <c r="I14" s="63"/>
      <c r="J14" s="63"/>
    </row>
    <row r="15" spans="1:12">
      <c r="A15" s="65" t="s">
        <v>6</v>
      </c>
      <c r="B15" s="61"/>
      <c r="C15" s="65">
        <f>SUM(C6:C13)</f>
        <v>5296061669</v>
      </c>
      <c r="D15" s="65">
        <f>SUM(D6:D13)</f>
        <v>5515224.2000000002</v>
      </c>
      <c r="G15" s="65" t="s">
        <v>6</v>
      </c>
      <c r="H15" s="61"/>
      <c r="I15" s="65">
        <f>SUM(I6:I13)</f>
        <v>5368469431.5136089</v>
      </c>
      <c r="J15" s="65">
        <f>SUM(J6:J13)</f>
        <v>5517288.7649370711</v>
      </c>
    </row>
    <row r="16" spans="1:12">
      <c r="A16" s="64"/>
      <c r="B16" s="64"/>
      <c r="C16" s="64"/>
    </row>
    <row r="17" spans="1:3">
      <c r="A17" s="64"/>
      <c r="B17" s="64"/>
      <c r="C17" s="64"/>
    </row>
    <row r="18" spans="1:3">
      <c r="C18" s="64"/>
    </row>
  </sheetData>
  <customSheetViews>
    <customSheetView guid="{0BD4BC22-E7A2-4140-8384-5A5B3339DEED}" fitToPage="1" printArea="1">
      <selection activeCell="D24" sqref="C24:D25"/>
      <pageMargins left="0.7" right="0.7" top="0.75" bottom="0.75" header="0.3" footer="0.3"/>
      <pageSetup orientation="portrait" r:id="rId1"/>
    </customSheetView>
    <customSheetView guid="{567BA860-460A-4CE0-A629-0EA7372574F1}" showPageBreaks="1" fitToPage="1" printArea="1">
      <selection activeCell="D24" sqref="C24:D25"/>
      <pageMargins left="0.7" right="0.7" top="0.75" bottom="0.75" header="0.3" footer="0.3"/>
      <pageSetup orientation="portrait" r:id="rId2"/>
    </customSheetView>
    <customSheetView guid="{4EF176FC-448F-4BD8-8859-C810312E84E7}" fitToPage="1">
      <selection activeCell="N33" sqref="N33"/>
      <pageMargins left="0.7" right="0.7" top="0.75" bottom="0.75" header="0.3" footer="0.3"/>
      <pageSetup orientation="portrait" r:id="rId3"/>
    </customSheetView>
  </customSheetViews>
  <mergeCells count="6">
    <mergeCell ref="G1:J1"/>
    <mergeCell ref="G2:J2"/>
    <mergeCell ref="G3:J3"/>
    <mergeCell ref="A1:D1"/>
    <mergeCell ref="A2:D2"/>
    <mergeCell ref="A3:D3"/>
  </mergeCells>
  <pageMargins left="0.7" right="0.7" top="0.75" bottom="0.75" header="0.3" footer="0.3"/>
  <pageSetup scale="56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123"/>
  <sheetViews>
    <sheetView zoomScaleNormal="100" workbookViewId="0">
      <pane ySplit="4" topLeftCell="A82" activePane="bottomLeft" state="frozen"/>
      <selection pane="bottomLeft" activeCell="AF111" sqref="AF111"/>
    </sheetView>
  </sheetViews>
  <sheetFormatPr defaultColWidth="8.85546875" defaultRowHeight="12.75"/>
  <cols>
    <col min="1" max="1" width="10.7109375" style="127" customWidth="1"/>
    <col min="2" max="2" width="5" style="128" bestFit="1" customWidth="1"/>
    <col min="3" max="3" width="0.28515625" style="127" customWidth="1"/>
    <col min="4" max="4" width="12.7109375" style="127" customWidth="1"/>
    <col min="5" max="5" width="0.28515625" style="127" customWidth="1"/>
    <col min="6" max="6" width="15.7109375" style="127" customWidth="1"/>
    <col min="7" max="7" width="0.28515625" style="127" customWidth="1"/>
    <col min="8" max="8" width="12.85546875" style="127" customWidth="1"/>
    <col min="9" max="9" width="0.28515625" style="127" customWidth="1"/>
    <col min="10" max="10" width="12.7109375" style="127" customWidth="1"/>
    <col min="11" max="11" width="3.7109375" style="127" customWidth="1"/>
    <col min="12" max="12" width="0.28515625" style="127" customWidth="1"/>
    <col min="13" max="13" width="12.7109375" style="127" customWidth="1"/>
    <col min="14" max="14" width="0.28515625" style="127" customWidth="1"/>
    <col min="15" max="15" width="9.7109375" style="127" customWidth="1"/>
    <col min="16" max="16" width="0.28515625" style="127" customWidth="1"/>
    <col min="17" max="17" width="3.7109375" style="127" customWidth="1"/>
    <col min="18" max="18" width="0.28515625" style="127" customWidth="1"/>
    <col min="19" max="19" width="12" style="127" bestFit="1" customWidth="1"/>
    <col min="20" max="20" width="2.28515625" style="127" customWidth="1"/>
    <col min="21" max="16384" width="8.85546875" style="127"/>
  </cols>
  <sheetData>
    <row r="1" spans="2:20" ht="15" customHeight="1">
      <c r="B1" s="350" t="s">
        <v>70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2:20" ht="14.45" customHeight="1">
      <c r="B2" s="351" t="s">
        <v>98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4" spans="2:20">
      <c r="J4" s="128" t="s">
        <v>44</v>
      </c>
    </row>
    <row r="5" spans="2:20" ht="13.5" thickBot="1">
      <c r="B5" s="129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spans="2:20" ht="30" customHeight="1" thickBot="1">
      <c r="B6" s="131" t="s">
        <v>45</v>
      </c>
      <c r="C6" s="132"/>
      <c r="D6" s="133" t="s">
        <v>46</v>
      </c>
      <c r="E6" s="134"/>
      <c r="F6" s="135" t="s">
        <v>47</v>
      </c>
      <c r="G6" s="134"/>
      <c r="H6" s="135" t="s">
        <v>48</v>
      </c>
      <c r="I6" s="134"/>
      <c r="J6" s="135" t="s">
        <v>49</v>
      </c>
      <c r="K6" s="136"/>
      <c r="L6" s="134"/>
      <c r="M6" s="135" t="s">
        <v>50</v>
      </c>
      <c r="N6" s="137"/>
      <c r="O6" s="138" t="s">
        <v>51</v>
      </c>
      <c r="P6" s="138"/>
      <c r="Q6" s="137"/>
      <c r="R6" s="137"/>
      <c r="S6" s="139" t="s">
        <v>52</v>
      </c>
      <c r="T6" s="140"/>
    </row>
    <row r="7" spans="2:20" ht="30" customHeight="1" thickBot="1">
      <c r="B7" s="141"/>
      <c r="C7" s="142"/>
      <c r="D7" s="143"/>
      <c r="E7" s="142"/>
      <c r="F7" s="144" t="s">
        <v>92</v>
      </c>
      <c r="G7" s="142"/>
      <c r="H7" s="143"/>
      <c r="I7" s="142"/>
      <c r="J7" s="143"/>
      <c r="K7" s="145"/>
      <c r="L7" s="142"/>
      <c r="M7" s="143"/>
      <c r="N7" s="146"/>
      <c r="O7" s="147"/>
      <c r="P7" s="147"/>
      <c r="Q7" s="146"/>
      <c r="R7" s="146"/>
      <c r="S7" s="148"/>
      <c r="T7" s="140"/>
    </row>
    <row r="8" spans="2:20" ht="12.75" customHeight="1">
      <c r="B8" s="149"/>
      <c r="C8" s="150"/>
      <c r="D8" s="150"/>
      <c r="E8" s="150"/>
      <c r="F8" s="150"/>
      <c r="G8" s="150"/>
      <c r="H8" s="150"/>
      <c r="I8" s="150"/>
      <c r="J8" s="150"/>
      <c r="K8" s="151"/>
      <c r="L8" s="150"/>
      <c r="M8" s="150"/>
      <c r="N8" s="150"/>
      <c r="O8" s="150"/>
      <c r="P8" s="150"/>
      <c r="Q8" s="150"/>
      <c r="R8" s="150"/>
      <c r="S8" s="152"/>
      <c r="T8" s="130"/>
    </row>
    <row r="9" spans="2:20" ht="15" customHeight="1">
      <c r="B9" s="153">
        <v>1</v>
      </c>
      <c r="C9" s="146"/>
      <c r="D9" s="146" t="s">
        <v>53</v>
      </c>
      <c r="E9" s="146"/>
      <c r="F9" s="154">
        <v>648913758</v>
      </c>
      <c r="G9" s="146"/>
      <c r="H9" s="155">
        <f>ROUND(F9/$F$14,4)-0.01</f>
        <v>0.53449999999999998</v>
      </c>
      <c r="I9" s="146"/>
      <c r="J9" s="156">
        <v>4.36E-2</v>
      </c>
      <c r="K9" s="157"/>
      <c r="L9" s="146"/>
      <c r="M9" s="155">
        <f>ROUND(H9*J9,4)</f>
        <v>2.3300000000000001E-2</v>
      </c>
      <c r="N9" s="146"/>
      <c r="O9" s="158">
        <f>O38</f>
        <v>1.005425</v>
      </c>
      <c r="P9" s="146"/>
      <c r="Q9" s="159"/>
      <c r="R9" s="146"/>
      <c r="S9" s="160">
        <f>ROUND(M9*O9,6)</f>
        <v>2.3425999999999999E-2</v>
      </c>
      <c r="T9" s="161"/>
    </row>
    <row r="10" spans="2:20" ht="15">
      <c r="B10" s="153">
        <f>+B9+1</f>
        <v>2</v>
      </c>
      <c r="C10" s="146"/>
      <c r="D10" s="146" t="s">
        <v>54</v>
      </c>
      <c r="E10" s="146"/>
      <c r="F10" s="154">
        <v>0</v>
      </c>
      <c r="G10" s="146"/>
      <c r="H10" s="155">
        <v>3.2000000000000001E-2</v>
      </c>
      <c r="I10" s="146"/>
      <c r="J10" s="156">
        <v>1.2500000000000001E-2</v>
      </c>
      <c r="K10" s="157"/>
      <c r="L10" s="146"/>
      <c r="M10" s="155">
        <f>ROUND(H10*J10,4)</f>
        <v>4.0000000000000002E-4</v>
      </c>
      <c r="N10" s="146"/>
      <c r="O10" s="158">
        <f>O38</f>
        <v>1.005425</v>
      </c>
      <c r="P10" s="146"/>
      <c r="Q10" s="146"/>
      <c r="R10" s="146"/>
      <c r="S10" s="160">
        <f>ROUND(M10*O10,6)</f>
        <v>4.0200000000000001E-4</v>
      </c>
      <c r="T10" s="161"/>
    </row>
    <row r="11" spans="2:20" ht="33" customHeight="1">
      <c r="B11" s="153">
        <f>+B10+1</f>
        <v>3</v>
      </c>
      <c r="C11" s="146"/>
      <c r="D11" s="142" t="s">
        <v>55</v>
      </c>
      <c r="E11" s="146"/>
      <c r="F11" s="154">
        <v>46105009</v>
      </c>
      <c r="G11" s="146"/>
      <c r="H11" s="155">
        <v>1.67E-2</v>
      </c>
      <c r="I11" s="146"/>
      <c r="J11" s="156">
        <v>1.95E-2</v>
      </c>
      <c r="K11" s="157"/>
      <c r="L11" s="146"/>
      <c r="M11" s="155">
        <f>ROUND(H11*J11,4)</f>
        <v>2.9999999999999997E-4</v>
      </c>
      <c r="N11" s="146"/>
      <c r="O11" s="158">
        <f>O38</f>
        <v>1.005425</v>
      </c>
      <c r="P11" s="146"/>
      <c r="Q11" s="146"/>
      <c r="R11" s="146"/>
      <c r="S11" s="160">
        <f>ROUND(M11*O11,6)</f>
        <v>3.0200000000000002E-4</v>
      </c>
      <c r="T11" s="161"/>
    </row>
    <row r="12" spans="2:20" ht="15">
      <c r="B12" s="153">
        <f>+B11+1</f>
        <v>4</v>
      </c>
      <c r="C12" s="146"/>
      <c r="D12" s="146" t="s">
        <v>56</v>
      </c>
      <c r="E12" s="146"/>
      <c r="F12" s="154">
        <v>496766726</v>
      </c>
      <c r="G12" s="146"/>
      <c r="H12" s="155">
        <f>ROUND(F12/$F$14,4)</f>
        <v>0.4168</v>
      </c>
      <c r="I12" s="146"/>
      <c r="J12" s="162">
        <v>9.7000000000000003E-2</v>
      </c>
      <c r="K12" s="163" t="s">
        <v>57</v>
      </c>
      <c r="L12" s="146"/>
      <c r="M12" s="155">
        <f>ROUND(H12*J12,4)</f>
        <v>4.0399999999999998E-2</v>
      </c>
      <c r="N12" s="146"/>
      <c r="O12" s="164">
        <f>S38</f>
        <v>1.3521160000000001</v>
      </c>
      <c r="P12" s="146"/>
      <c r="Q12" s="165"/>
      <c r="R12" s="146"/>
      <c r="S12" s="160">
        <f>ROUND(M12*O12,6)</f>
        <v>5.4625E-2</v>
      </c>
      <c r="T12" s="161"/>
    </row>
    <row r="13" spans="2:20" ht="15">
      <c r="B13" s="153"/>
      <c r="C13" s="146"/>
      <c r="D13" s="146"/>
      <c r="E13" s="146"/>
      <c r="F13" s="154"/>
      <c r="G13" s="146"/>
      <c r="H13" s="166"/>
      <c r="I13" s="146"/>
      <c r="J13" s="167"/>
      <c r="K13" s="157"/>
      <c r="L13" s="146"/>
      <c r="M13" s="166"/>
      <c r="N13" s="146"/>
      <c r="O13" s="147"/>
      <c r="P13" s="146"/>
      <c r="Q13" s="146"/>
      <c r="R13" s="146"/>
      <c r="S13" s="168"/>
      <c r="T13" s="169"/>
    </row>
    <row r="14" spans="2:20" ht="15">
      <c r="B14" s="153">
        <f>+B12+1</f>
        <v>5</v>
      </c>
      <c r="C14" s="146"/>
      <c r="D14" s="146" t="s">
        <v>58</v>
      </c>
      <c r="E14" s="146"/>
      <c r="F14" s="170">
        <f>SUM(F9:F12)</f>
        <v>1191785493</v>
      </c>
      <c r="G14" s="146"/>
      <c r="H14" s="171">
        <f>SUM(H9:H12)</f>
        <v>1</v>
      </c>
      <c r="I14" s="146"/>
      <c r="J14" s="167"/>
      <c r="K14" s="157"/>
      <c r="L14" s="146"/>
      <c r="M14" s="171" t="s">
        <v>44</v>
      </c>
      <c r="N14" s="146"/>
      <c r="O14" s="146"/>
      <c r="P14" s="146"/>
      <c r="Q14" s="146"/>
      <c r="R14" s="146"/>
      <c r="S14" s="172">
        <f>SUM(S9:S13)</f>
        <v>7.8754999999999992E-2</v>
      </c>
      <c r="T14" s="173"/>
    </row>
    <row r="15" spans="2:20" ht="15">
      <c r="B15" s="153"/>
      <c r="C15" s="146"/>
      <c r="D15" s="146"/>
      <c r="E15" s="146"/>
      <c r="F15" s="146"/>
      <c r="G15" s="146"/>
      <c r="H15" s="146"/>
      <c r="I15" s="146"/>
      <c r="J15" s="146"/>
      <c r="K15" s="157"/>
      <c r="L15" s="146"/>
      <c r="M15" s="146"/>
      <c r="N15" s="146"/>
      <c r="O15" s="146"/>
      <c r="P15" s="146"/>
      <c r="Q15" s="146"/>
      <c r="R15" s="146"/>
      <c r="S15" s="174"/>
      <c r="T15" s="130"/>
    </row>
    <row r="16" spans="2:20" ht="15.75" thickBot="1">
      <c r="B16" s="175"/>
      <c r="C16" s="176"/>
      <c r="D16" s="176"/>
      <c r="E16" s="176"/>
      <c r="F16" s="176"/>
      <c r="G16" s="176"/>
      <c r="H16" s="176"/>
      <c r="I16" s="176"/>
      <c r="J16" s="176"/>
      <c r="K16" s="177"/>
      <c r="L16" s="176"/>
      <c r="M16" s="176"/>
      <c r="N16" s="176"/>
      <c r="O16" s="176"/>
      <c r="P16" s="176"/>
      <c r="Q16" s="176"/>
      <c r="R16" s="176"/>
      <c r="S16" s="178"/>
      <c r="T16" s="130"/>
    </row>
    <row r="17" spans="2:24" hidden="1">
      <c r="B17" s="17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29"/>
      <c r="Q17" s="130"/>
      <c r="R17" s="130"/>
      <c r="S17" s="180"/>
      <c r="T17" s="130"/>
    </row>
    <row r="18" spans="2:24" ht="12" hidden="1" customHeight="1">
      <c r="B18" s="17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29"/>
      <c r="Q18" s="130"/>
      <c r="R18" s="130"/>
      <c r="S18" s="180"/>
      <c r="T18" s="130"/>
    </row>
    <row r="19" spans="2:24" ht="12" customHeight="1">
      <c r="B19" s="129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29"/>
      <c r="Q19" s="130"/>
      <c r="R19" s="130"/>
      <c r="S19" s="130"/>
      <c r="T19" s="130"/>
    </row>
    <row r="20" spans="2:24" ht="12" customHeight="1">
      <c r="B20" s="129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29"/>
      <c r="Q20" s="130"/>
      <c r="R20" s="130"/>
      <c r="S20" s="130"/>
      <c r="T20" s="130"/>
    </row>
    <row r="21" spans="2:24" ht="12" customHeight="1">
      <c r="B21" s="129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81" t="s">
        <v>59</v>
      </c>
      <c r="P21" s="181"/>
      <c r="S21" s="181" t="s">
        <v>60</v>
      </c>
      <c r="T21" s="130"/>
    </row>
    <row r="22" spans="2:24" ht="15">
      <c r="B22" s="165">
        <v>6</v>
      </c>
      <c r="C22" s="146"/>
      <c r="D22" s="159" t="s">
        <v>61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82">
        <v>100</v>
      </c>
      <c r="P22" s="146"/>
      <c r="Q22" s="146"/>
      <c r="R22" s="146"/>
      <c r="S22" s="183">
        <f>O22</f>
        <v>100</v>
      </c>
      <c r="T22" s="146"/>
      <c r="U22" s="184"/>
    </row>
    <row r="23" spans="2:24" ht="15">
      <c r="B23" s="165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5"/>
      <c r="T23" s="184"/>
      <c r="U23" s="184"/>
    </row>
    <row r="24" spans="2:24" ht="15">
      <c r="B24" s="165">
        <v>7</v>
      </c>
      <c r="C24" s="184"/>
      <c r="D24" s="186" t="s">
        <v>62</v>
      </c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7">
        <v>0.34</v>
      </c>
      <c r="P24" s="184"/>
      <c r="Q24" s="184"/>
      <c r="R24" s="184"/>
      <c r="S24" s="185">
        <f>O24</f>
        <v>0.34</v>
      </c>
      <c r="T24" s="184"/>
      <c r="U24" s="184"/>
    </row>
    <row r="25" spans="2:24" ht="15">
      <c r="B25" s="165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5"/>
      <c r="T25" s="184"/>
      <c r="U25" s="184"/>
    </row>
    <row r="26" spans="2:24" ht="15">
      <c r="B26" s="165">
        <v>8</v>
      </c>
      <c r="C26" s="184"/>
      <c r="D26" s="186" t="s">
        <v>63</v>
      </c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>
        <v>0.1996</v>
      </c>
      <c r="P26" s="184"/>
      <c r="Q26" s="184"/>
      <c r="R26" s="184"/>
      <c r="S26" s="185">
        <f>O26</f>
        <v>0.1996</v>
      </c>
      <c r="T26" s="184"/>
      <c r="U26" s="184"/>
    </row>
    <row r="27" spans="2:24" ht="15">
      <c r="B27" s="165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6" t="s">
        <v>44</v>
      </c>
      <c r="P27" s="184"/>
      <c r="Q27" s="184"/>
      <c r="R27" s="184"/>
      <c r="S27" s="185"/>
      <c r="T27" s="184"/>
      <c r="U27" s="184"/>
    </row>
    <row r="28" spans="2:24" ht="15">
      <c r="B28" s="165">
        <v>9</v>
      </c>
      <c r="C28" s="184"/>
      <c r="D28" s="186" t="s">
        <v>64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7">
        <f>O22-O24-O26</f>
        <v>99.460399999999993</v>
      </c>
      <c r="P28" s="184"/>
      <c r="Q28" s="184"/>
      <c r="R28" s="184"/>
      <c r="S28" s="185">
        <f>S22-S24-S26</f>
        <v>99.460399999999993</v>
      </c>
      <c r="T28" s="184"/>
      <c r="U28" s="184"/>
    </row>
    <row r="29" spans="2:24" ht="15">
      <c r="B29" s="165"/>
      <c r="C29" s="184"/>
      <c r="D29" s="186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5"/>
      <c r="T29" s="184"/>
      <c r="U29" s="184"/>
      <c r="X29" s="127" t="s">
        <v>44</v>
      </c>
    </row>
    <row r="30" spans="2:24" ht="15">
      <c r="B30" s="165">
        <v>10</v>
      </c>
      <c r="C30" s="184"/>
      <c r="D30" s="184" t="s">
        <v>65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28"/>
      <c r="P30" s="184"/>
      <c r="Q30" s="184"/>
      <c r="R30" s="184"/>
      <c r="S30" s="185">
        <f>ROUND(S28*0.058742,6)</f>
        <v>5.8425029999999998</v>
      </c>
      <c r="T30" s="184"/>
      <c r="U30" s="184"/>
    </row>
    <row r="31" spans="2:24" ht="15">
      <c r="B31" s="165"/>
      <c r="C31" s="184"/>
      <c r="D31" s="186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8"/>
      <c r="P31" s="184"/>
      <c r="Q31" s="184"/>
      <c r="R31" s="184"/>
      <c r="S31" s="185"/>
      <c r="T31" s="184"/>
      <c r="U31" s="184"/>
    </row>
    <row r="32" spans="2:24" ht="15">
      <c r="B32" s="165">
        <v>11</v>
      </c>
      <c r="C32" s="184"/>
      <c r="D32" s="184" t="s">
        <v>66</v>
      </c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8"/>
      <c r="P32" s="184"/>
      <c r="Q32" s="184"/>
      <c r="R32" s="184"/>
      <c r="S32" s="185">
        <f>S28-S30</f>
        <v>93.617896999999999</v>
      </c>
      <c r="T32" s="184"/>
      <c r="U32" s="184"/>
    </row>
    <row r="33" spans="1:21" ht="15">
      <c r="B33" s="165"/>
      <c r="C33" s="184"/>
      <c r="D33" s="186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5"/>
      <c r="T33" s="184"/>
      <c r="U33" s="184"/>
    </row>
    <row r="34" spans="1:21" ht="15">
      <c r="B34" s="165">
        <f>B32+1</f>
        <v>12</v>
      </c>
      <c r="C34" s="184"/>
      <c r="D34" s="184" t="s">
        <v>216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9">
        <f>S32*0.21</f>
        <v>19.659758369999999</v>
      </c>
      <c r="T34" s="184"/>
      <c r="U34" s="184"/>
    </row>
    <row r="35" spans="1:21" ht="15">
      <c r="B35" s="165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5"/>
      <c r="T35" s="184"/>
      <c r="U35" s="184"/>
    </row>
    <row r="36" spans="1:21" ht="15">
      <c r="B36" s="165">
        <f>B34+1</f>
        <v>13</v>
      </c>
      <c r="C36" s="184"/>
      <c r="D36" s="184" t="s">
        <v>67</v>
      </c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5">
        <f>S32-S34</f>
        <v>73.958138630000008</v>
      </c>
      <c r="T36" s="184"/>
      <c r="U36" s="184"/>
    </row>
    <row r="37" spans="1:21" ht="15">
      <c r="B37" s="165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90"/>
      <c r="T37" s="184"/>
      <c r="U37" s="184"/>
    </row>
    <row r="38" spans="1:21" ht="15">
      <c r="B38" s="165">
        <f>B36+1</f>
        <v>14</v>
      </c>
      <c r="C38" s="184"/>
      <c r="D38" s="184" t="s">
        <v>68</v>
      </c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91">
        <f>ROUND(100/O28,6)</f>
        <v>1.005425</v>
      </c>
      <c r="P38" s="184"/>
      <c r="Q38" s="184"/>
      <c r="R38" s="184"/>
      <c r="S38" s="192">
        <f>ROUND(100/S36,6)</f>
        <v>1.3521160000000001</v>
      </c>
      <c r="T38" s="184"/>
      <c r="U38" s="184"/>
    </row>
    <row r="39" spans="1:21" ht="15">
      <c r="B39" s="165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90"/>
      <c r="T39" s="184"/>
      <c r="U39" s="184"/>
    </row>
    <row r="40" spans="1:21">
      <c r="A40" s="193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6"/>
      <c r="T40" s="184"/>
      <c r="U40" s="184"/>
    </row>
    <row r="41" spans="1:21">
      <c r="A41" s="128" t="s">
        <v>44</v>
      </c>
      <c r="B41" s="188"/>
      <c r="C41" s="184"/>
      <c r="D41" s="127" t="s">
        <v>44</v>
      </c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90"/>
      <c r="T41" s="184"/>
      <c r="U41" s="184"/>
    </row>
    <row r="42" spans="1:21" ht="13.5" thickBot="1">
      <c r="A42" s="197" t="s">
        <v>44</v>
      </c>
      <c r="B42" s="198"/>
      <c r="C42" s="146" t="s">
        <v>69</v>
      </c>
      <c r="D42" s="146" t="s">
        <v>44</v>
      </c>
      <c r="E42" s="146"/>
      <c r="F42" s="146"/>
      <c r="G42" s="146"/>
      <c r="O42" s="184"/>
      <c r="P42" s="184"/>
      <c r="Q42" s="184"/>
      <c r="R42" s="184"/>
      <c r="S42" s="184"/>
      <c r="T42" s="184"/>
      <c r="U42" s="184"/>
    </row>
    <row r="43" spans="1:21" ht="26.25" thickBot="1">
      <c r="B43" s="131" t="s">
        <v>45</v>
      </c>
      <c r="C43" s="132"/>
      <c r="D43" s="133" t="s">
        <v>46</v>
      </c>
      <c r="E43" s="134"/>
      <c r="F43" s="135" t="s">
        <v>47</v>
      </c>
      <c r="G43" s="134"/>
      <c r="H43" s="135" t="s">
        <v>48</v>
      </c>
      <c r="I43" s="134"/>
      <c r="J43" s="135" t="s">
        <v>49</v>
      </c>
      <c r="K43" s="136"/>
      <c r="L43" s="134"/>
      <c r="M43" s="135" t="s">
        <v>50</v>
      </c>
      <c r="N43" s="137"/>
      <c r="O43" s="138" t="s">
        <v>51</v>
      </c>
      <c r="P43" s="138"/>
      <c r="Q43" s="137"/>
      <c r="R43" s="137"/>
      <c r="S43" s="139" t="s">
        <v>52</v>
      </c>
      <c r="T43" s="184"/>
      <c r="U43" s="184"/>
    </row>
    <row r="44" spans="1:21" ht="26.25" thickBot="1">
      <c r="B44" s="141"/>
      <c r="C44" s="142"/>
      <c r="D44" s="143"/>
      <c r="E44" s="142"/>
      <c r="F44" s="144" t="s">
        <v>255</v>
      </c>
      <c r="G44" s="142"/>
      <c r="H44" s="143"/>
      <c r="I44" s="142"/>
      <c r="J44" s="143"/>
      <c r="K44" s="145"/>
      <c r="L44" s="142"/>
      <c r="M44" s="143"/>
      <c r="N44" s="146"/>
      <c r="O44" s="147"/>
      <c r="P44" s="147"/>
      <c r="Q44" s="146"/>
      <c r="R44" s="146"/>
      <c r="S44" s="148"/>
      <c r="T44" s="146"/>
      <c r="U44" s="184"/>
    </row>
    <row r="45" spans="1:21">
      <c r="B45" s="149"/>
      <c r="C45" s="150"/>
      <c r="D45" s="150"/>
      <c r="E45" s="150"/>
      <c r="F45" s="150"/>
      <c r="G45" s="150"/>
      <c r="H45" s="150"/>
      <c r="I45" s="150"/>
      <c r="J45" s="150"/>
      <c r="K45" s="151"/>
      <c r="L45" s="150"/>
      <c r="M45" s="150"/>
      <c r="N45" s="150"/>
      <c r="O45" s="150"/>
      <c r="P45" s="150"/>
      <c r="Q45" s="150"/>
      <c r="R45" s="150"/>
      <c r="S45" s="152"/>
      <c r="T45" s="146"/>
      <c r="U45" s="184"/>
    </row>
    <row r="46" spans="1:21" ht="15">
      <c r="B46" s="153">
        <v>1</v>
      </c>
      <c r="C46" s="146"/>
      <c r="D46" s="146" t="s">
        <v>53</v>
      </c>
      <c r="E46" s="146"/>
      <c r="F46" s="154">
        <v>752127351</v>
      </c>
      <c r="G46" s="146"/>
      <c r="H46" s="155">
        <v>0.5373</v>
      </c>
      <c r="I46" s="146"/>
      <c r="J46" s="156">
        <v>3.8899999999999997E-2</v>
      </c>
      <c r="K46" s="157"/>
      <c r="L46" s="146"/>
      <c r="M46" s="155">
        <f>ROUND(H46*J46,4)</f>
        <v>2.0899999999999998E-2</v>
      </c>
      <c r="N46" s="146"/>
      <c r="O46" s="158">
        <f>O75</f>
        <v>1.0060929999999999</v>
      </c>
      <c r="P46" s="146"/>
      <c r="Q46" s="159"/>
      <c r="R46" s="146"/>
      <c r="S46" s="160">
        <f>ROUND(M46*O46,6)</f>
        <v>2.1027000000000001E-2</v>
      </c>
      <c r="T46" s="146"/>
      <c r="U46" s="184"/>
    </row>
    <row r="47" spans="1:21" ht="15">
      <c r="B47" s="153">
        <f>+B46+1</f>
        <v>2</v>
      </c>
      <c r="C47" s="146"/>
      <c r="D47" s="146" t="s">
        <v>54</v>
      </c>
      <c r="E47" s="146"/>
      <c r="F47" s="154">
        <v>0</v>
      </c>
      <c r="G47" s="146"/>
      <c r="H47" s="155">
        <v>0</v>
      </c>
      <c r="I47" s="146"/>
      <c r="J47" s="156">
        <v>2.23E-2</v>
      </c>
      <c r="K47" s="157"/>
      <c r="L47" s="146"/>
      <c r="M47" s="155">
        <f>ROUND(H47*J47,4)</f>
        <v>0</v>
      </c>
      <c r="N47" s="146"/>
      <c r="O47" s="158">
        <f>O75</f>
        <v>1.0060929999999999</v>
      </c>
      <c r="P47" s="146"/>
      <c r="Q47" s="146"/>
      <c r="R47" s="146"/>
      <c r="S47" s="160">
        <f>ROUND(M47*O47,6)</f>
        <v>0</v>
      </c>
      <c r="T47" s="146"/>
      <c r="U47" s="184"/>
    </row>
    <row r="48" spans="1:21" ht="26.25">
      <c r="B48" s="153">
        <f>+B47+1</f>
        <v>3</v>
      </c>
      <c r="C48" s="146"/>
      <c r="D48" s="142" t="s">
        <v>55</v>
      </c>
      <c r="E48" s="146"/>
      <c r="F48" s="154">
        <v>42248832</v>
      </c>
      <c r="G48" s="146"/>
      <c r="H48" s="155">
        <v>3.0200000000000001E-2</v>
      </c>
      <c r="I48" s="146"/>
      <c r="J48" s="156">
        <v>2.8000000000000001E-2</v>
      </c>
      <c r="K48" s="157"/>
      <c r="L48" s="146"/>
      <c r="M48" s="155">
        <f>ROUND(H48*J48,4)</f>
        <v>8.0000000000000004E-4</v>
      </c>
      <c r="N48" s="146"/>
      <c r="O48" s="158">
        <f>O75</f>
        <v>1.0060929999999999</v>
      </c>
      <c r="P48" s="146"/>
      <c r="Q48" s="146"/>
      <c r="R48" s="146"/>
      <c r="S48" s="160">
        <f>ROUND(M48*O48,6)</f>
        <v>8.0500000000000005E-4</v>
      </c>
      <c r="T48" s="146"/>
      <c r="U48" s="184"/>
    </row>
    <row r="49" spans="1:21" ht="15">
      <c r="B49" s="153">
        <f>+B48+1</f>
        <v>4</v>
      </c>
      <c r="C49" s="146"/>
      <c r="D49" s="146" t="s">
        <v>56</v>
      </c>
      <c r="E49" s="146"/>
      <c r="F49" s="154">
        <v>605509950</v>
      </c>
      <c r="G49" s="146"/>
      <c r="H49" s="155">
        <v>0.4325</v>
      </c>
      <c r="I49" s="146"/>
      <c r="J49" s="162">
        <v>9.0999999999999998E-2</v>
      </c>
      <c r="K49" s="163"/>
      <c r="L49" s="146"/>
      <c r="M49" s="155">
        <f>ROUND(H49*J49,4)</f>
        <v>3.9399999999999998E-2</v>
      </c>
      <c r="N49" s="146"/>
      <c r="O49" s="164">
        <f>S75</f>
        <v>1.3527309999999999</v>
      </c>
      <c r="P49" s="146"/>
      <c r="Q49" s="165"/>
      <c r="R49" s="146"/>
      <c r="S49" s="160">
        <f>ROUND(M49*O49,6)</f>
        <v>5.3297999999999998E-2</v>
      </c>
      <c r="T49" s="146"/>
      <c r="U49" s="184"/>
    </row>
    <row r="50" spans="1:21" ht="15">
      <c r="B50" s="153"/>
      <c r="C50" s="146"/>
      <c r="D50" s="146"/>
      <c r="E50" s="146"/>
      <c r="F50" s="154"/>
      <c r="G50" s="146"/>
      <c r="H50" s="166"/>
      <c r="I50" s="146"/>
      <c r="J50" s="167"/>
      <c r="K50" s="157"/>
      <c r="L50" s="146"/>
      <c r="M50" s="166"/>
      <c r="N50" s="146"/>
      <c r="O50" s="147"/>
      <c r="P50" s="146"/>
      <c r="Q50" s="146"/>
      <c r="R50" s="146"/>
      <c r="S50" s="160"/>
      <c r="T50" s="184"/>
      <c r="U50" s="184"/>
    </row>
    <row r="51" spans="1:21" ht="15">
      <c r="B51" s="153">
        <f>+B49+1</f>
        <v>5</v>
      </c>
      <c r="C51" s="146"/>
      <c r="D51" s="146" t="s">
        <v>58</v>
      </c>
      <c r="E51" s="146"/>
      <c r="F51" s="170">
        <f>SUM(F46:F49)</f>
        <v>1399886133</v>
      </c>
      <c r="G51" s="146"/>
      <c r="H51" s="171">
        <f>SUM(H46:H49)</f>
        <v>1</v>
      </c>
      <c r="I51" s="146"/>
      <c r="J51" s="167"/>
      <c r="K51" s="157"/>
      <c r="L51" s="146"/>
      <c r="M51" s="171" t="s">
        <v>44</v>
      </c>
      <c r="N51" s="146"/>
      <c r="O51" s="146"/>
      <c r="P51" s="146"/>
      <c r="Q51" s="146"/>
      <c r="R51" s="146"/>
      <c r="S51" s="199">
        <f>ROUND(SUM(S46:S50),3)</f>
        <v>7.4999999999999997E-2</v>
      </c>
    </row>
    <row r="52" spans="1:21" ht="15">
      <c r="B52" s="153"/>
      <c r="C52" s="146"/>
      <c r="D52" s="146"/>
      <c r="E52" s="146"/>
      <c r="F52" s="146"/>
      <c r="G52" s="146"/>
      <c r="H52" s="146"/>
      <c r="I52" s="146"/>
      <c r="J52" s="146"/>
      <c r="K52" s="157"/>
      <c r="L52" s="146"/>
      <c r="M52" s="146"/>
      <c r="N52" s="146"/>
      <c r="O52" s="146"/>
      <c r="P52" s="146"/>
      <c r="Q52" s="146"/>
      <c r="R52" s="146"/>
      <c r="S52" s="174"/>
    </row>
    <row r="53" spans="1:21" ht="15.75" thickBot="1">
      <c r="B53" s="175"/>
      <c r="C53" s="176"/>
      <c r="D53" s="176"/>
      <c r="E53" s="176"/>
      <c r="F53" s="176"/>
      <c r="G53" s="176"/>
      <c r="H53" s="176"/>
      <c r="I53" s="176"/>
      <c r="J53" s="176"/>
      <c r="K53" s="177"/>
      <c r="L53" s="176"/>
      <c r="M53" s="176"/>
      <c r="N53" s="176"/>
      <c r="O53" s="176"/>
      <c r="P53" s="176"/>
      <c r="Q53" s="176"/>
      <c r="R53" s="176"/>
      <c r="S53" s="178"/>
    </row>
    <row r="54" spans="1:21">
      <c r="A54" s="130"/>
      <c r="B54" s="129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29"/>
      <c r="Q54" s="130"/>
      <c r="R54" s="130"/>
      <c r="S54" s="130"/>
      <c r="T54" s="130"/>
      <c r="U54" s="130"/>
    </row>
    <row r="55" spans="1:21">
      <c r="A55" s="130"/>
      <c r="B55" s="129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29"/>
      <c r="Q55" s="130"/>
      <c r="R55" s="130"/>
      <c r="S55" s="130"/>
      <c r="T55" s="130"/>
      <c r="U55" s="130"/>
    </row>
    <row r="56" spans="1:21">
      <c r="A56" s="130"/>
      <c r="B56" s="129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29"/>
      <c r="Q56" s="130"/>
      <c r="R56" s="130"/>
      <c r="S56" s="130"/>
      <c r="T56" s="130"/>
      <c r="U56" s="130"/>
    </row>
    <row r="57" spans="1:21">
      <c r="B57" s="129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29"/>
      <c r="Q57" s="130"/>
      <c r="R57" s="130"/>
      <c r="S57" s="130"/>
    </row>
    <row r="58" spans="1:21">
      <c r="B58" s="129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81" t="s">
        <v>59</v>
      </c>
      <c r="P58" s="181"/>
      <c r="S58" s="181" t="s">
        <v>60</v>
      </c>
    </row>
    <row r="59" spans="1:21" ht="15">
      <c r="B59" s="165">
        <v>6</v>
      </c>
      <c r="C59" s="146"/>
      <c r="D59" s="159" t="s">
        <v>61</v>
      </c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82">
        <v>100</v>
      </c>
      <c r="P59" s="146"/>
      <c r="Q59" s="146"/>
      <c r="R59" s="146"/>
      <c r="S59" s="182">
        <f>O59</f>
        <v>100</v>
      </c>
    </row>
    <row r="60" spans="1:21" ht="15">
      <c r="B60" s="165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200"/>
    </row>
    <row r="61" spans="1:21" ht="15">
      <c r="B61" s="165">
        <v>7</v>
      </c>
      <c r="C61" s="184"/>
      <c r="D61" s="186" t="s">
        <v>62</v>
      </c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7">
        <v>0.41</v>
      </c>
      <c r="P61" s="184"/>
      <c r="Q61" s="184"/>
      <c r="R61" s="184"/>
      <c r="S61" s="200">
        <f>O61</f>
        <v>0.41</v>
      </c>
    </row>
    <row r="62" spans="1:21" ht="15">
      <c r="B62" s="165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200"/>
    </row>
    <row r="63" spans="1:21" ht="15">
      <c r="B63" s="165">
        <v>8</v>
      </c>
      <c r="C63" s="184"/>
      <c r="D63" s="186" t="s">
        <v>63</v>
      </c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>
        <v>0.1956</v>
      </c>
      <c r="P63" s="184"/>
      <c r="Q63" s="184"/>
      <c r="R63" s="184"/>
      <c r="S63" s="200">
        <f>O63</f>
        <v>0.1956</v>
      </c>
    </row>
    <row r="64" spans="1:21" ht="15">
      <c r="B64" s="165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6" t="s">
        <v>44</v>
      </c>
      <c r="P64" s="184"/>
      <c r="Q64" s="184"/>
      <c r="R64" s="184"/>
      <c r="S64" s="200"/>
    </row>
    <row r="65" spans="1:19" ht="15">
      <c r="B65" s="165">
        <v>9</v>
      </c>
      <c r="C65" s="184"/>
      <c r="D65" s="186" t="s">
        <v>64</v>
      </c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7">
        <f>O59-O61-O63</f>
        <v>99.394400000000005</v>
      </c>
      <c r="P65" s="184"/>
      <c r="Q65" s="184"/>
      <c r="R65" s="184"/>
      <c r="S65" s="200">
        <f>S59-S61-S63</f>
        <v>99.394400000000005</v>
      </c>
    </row>
    <row r="66" spans="1:19" ht="15">
      <c r="B66" s="165"/>
      <c r="C66" s="184"/>
      <c r="D66" s="186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200"/>
    </row>
    <row r="67" spans="1:19" ht="15">
      <c r="B67" s="165">
        <v>10</v>
      </c>
      <c r="C67" s="184"/>
      <c r="D67" s="184" t="s">
        <v>252</v>
      </c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28"/>
      <c r="P67" s="184"/>
      <c r="Q67" s="184"/>
      <c r="R67" s="184"/>
      <c r="S67" s="200">
        <f>S65*0.058545</f>
        <v>5.8190451479999998</v>
      </c>
    </row>
    <row r="68" spans="1:19" ht="15">
      <c r="B68" s="165"/>
      <c r="C68" s="184"/>
      <c r="D68" s="186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8"/>
      <c r="P68" s="184"/>
      <c r="Q68" s="184"/>
      <c r="R68" s="184"/>
      <c r="S68" s="200"/>
    </row>
    <row r="69" spans="1:19" ht="15">
      <c r="B69" s="165">
        <v>11</v>
      </c>
      <c r="C69" s="184"/>
      <c r="D69" s="184" t="s">
        <v>253</v>
      </c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8"/>
      <c r="P69" s="184"/>
      <c r="Q69" s="184"/>
      <c r="R69" s="184"/>
      <c r="S69" s="200">
        <f>S65-S67</f>
        <v>93.575354852000004</v>
      </c>
    </row>
    <row r="70" spans="1:19" ht="15">
      <c r="B70" s="165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201"/>
    </row>
    <row r="71" spans="1:19" ht="15">
      <c r="B71" s="165">
        <v>12</v>
      </c>
      <c r="C71" s="184"/>
      <c r="D71" s="184" t="s">
        <v>254</v>
      </c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201">
        <f>S69*0.21</f>
        <v>19.65082451892</v>
      </c>
    </row>
    <row r="72" spans="1:19" ht="15">
      <c r="B72" s="165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200"/>
    </row>
    <row r="73" spans="1:19" ht="15">
      <c r="B73" s="165">
        <v>13</v>
      </c>
      <c r="C73" s="184"/>
      <c r="D73" s="184" t="s">
        <v>67</v>
      </c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200">
        <f>S69-S71</f>
        <v>73.92453033308</v>
      </c>
    </row>
    <row r="74" spans="1:19" ht="15">
      <c r="B74" s="165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</row>
    <row r="75" spans="1:19" ht="15">
      <c r="B75" s="165">
        <v>14</v>
      </c>
      <c r="C75" s="184"/>
      <c r="D75" s="184" t="s">
        <v>68</v>
      </c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91">
        <f>ROUND(100/O65,6)</f>
        <v>1.0060929999999999</v>
      </c>
      <c r="P75" s="184"/>
      <c r="Q75" s="184"/>
      <c r="R75" s="184"/>
      <c r="S75" s="184">
        <f>ROUND(100/S73,6)</f>
        <v>1.3527309999999999</v>
      </c>
    </row>
    <row r="80" spans="1:19" ht="33" customHeight="1">
      <c r="A80" s="202" t="s">
        <v>175</v>
      </c>
      <c r="B80" s="188"/>
      <c r="C80" s="184"/>
      <c r="D80" s="352" t="s">
        <v>256</v>
      </c>
      <c r="E80" s="352"/>
      <c r="F80" s="352"/>
      <c r="G80" s="352"/>
      <c r="H80" s="352"/>
      <c r="I80" s="352"/>
      <c r="J80" s="352"/>
      <c r="K80" s="352"/>
      <c r="L80" s="352"/>
      <c r="M80" s="352"/>
      <c r="N80" s="352"/>
      <c r="O80" s="352"/>
      <c r="P80" s="352"/>
      <c r="Q80" s="352"/>
      <c r="R80" s="352"/>
      <c r="S80" s="352"/>
    </row>
    <row r="83" spans="1:19">
      <c r="A83" s="193"/>
      <c r="B83" s="194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6"/>
    </row>
    <row r="85" spans="1:19" ht="13.5" thickBot="1"/>
    <row r="86" spans="1:19" ht="26.25" thickBot="1">
      <c r="B86" s="131" t="s">
        <v>45</v>
      </c>
      <c r="C86" s="132"/>
      <c r="D86" s="133" t="s">
        <v>46</v>
      </c>
      <c r="E86" s="134"/>
      <c r="F86" s="135" t="s">
        <v>47</v>
      </c>
      <c r="G86" s="134"/>
      <c r="H86" s="135" t="s">
        <v>48</v>
      </c>
      <c r="I86" s="134"/>
      <c r="J86" s="135" t="s">
        <v>49</v>
      </c>
      <c r="K86" s="136"/>
      <c r="L86" s="134"/>
      <c r="M86" s="135" t="s">
        <v>50</v>
      </c>
      <c r="N86" s="137"/>
      <c r="O86" s="138" t="s">
        <v>51</v>
      </c>
      <c r="P86" s="138"/>
      <c r="Q86" s="137"/>
      <c r="R86" s="137"/>
      <c r="S86" s="139" t="s">
        <v>52</v>
      </c>
    </row>
    <row r="87" spans="1:19" ht="26.25" thickBot="1">
      <c r="B87" s="141"/>
      <c r="C87" s="142"/>
      <c r="D87" s="143"/>
      <c r="E87" s="142"/>
      <c r="F87" s="144" t="s">
        <v>292</v>
      </c>
      <c r="G87" s="142"/>
      <c r="H87" s="143"/>
      <c r="I87" s="142"/>
      <c r="J87" s="143"/>
      <c r="K87" s="145"/>
      <c r="L87" s="142"/>
      <c r="M87" s="143"/>
      <c r="N87" s="146"/>
      <c r="O87" s="147"/>
      <c r="P87" s="147"/>
      <c r="Q87" s="146"/>
      <c r="R87" s="146"/>
      <c r="S87" s="148"/>
    </row>
    <row r="88" spans="1:19">
      <c r="B88" s="149"/>
      <c r="C88" s="150"/>
      <c r="D88" s="150"/>
      <c r="E88" s="150"/>
      <c r="F88" s="150"/>
      <c r="G88" s="150"/>
      <c r="H88" s="150"/>
      <c r="I88" s="150"/>
      <c r="J88" s="150"/>
      <c r="K88" s="151"/>
      <c r="L88" s="150"/>
      <c r="M88" s="150"/>
      <c r="N88" s="150"/>
      <c r="O88" s="150"/>
      <c r="P88" s="150"/>
      <c r="Q88" s="150"/>
      <c r="R88" s="150"/>
      <c r="S88" s="152"/>
    </row>
    <row r="89" spans="1:19" ht="15">
      <c r="B89" s="153">
        <v>1</v>
      </c>
      <c r="C89" s="146"/>
      <c r="D89" s="146" t="s">
        <v>53</v>
      </c>
      <c r="E89" s="146"/>
      <c r="F89" s="154">
        <v>953547559.57000005</v>
      </c>
      <c r="G89" s="146"/>
      <c r="H89" s="155">
        <f>F89/$F$94</f>
        <v>0.52613045260374214</v>
      </c>
      <c r="I89" s="146"/>
      <c r="J89" s="156">
        <v>4.9099999999999998E-2</v>
      </c>
      <c r="K89" s="157"/>
      <c r="L89" s="146"/>
      <c r="M89" s="155">
        <f>ROUND(H89*J89,4)</f>
        <v>2.58E-2</v>
      </c>
      <c r="N89" s="146"/>
      <c r="O89" s="220">
        <f>O118</f>
        <v>1.0055229999999999</v>
      </c>
      <c r="P89" s="146"/>
      <c r="Q89" s="159"/>
      <c r="R89" s="146"/>
      <c r="S89" s="160">
        <f>ROUND(M89*O89,6)</f>
        <v>2.5942E-2</v>
      </c>
    </row>
    <row r="90" spans="1:19" ht="15">
      <c r="B90" s="153">
        <f>+B89+1</f>
        <v>2</v>
      </c>
      <c r="C90" s="146"/>
      <c r="D90" s="146" t="s">
        <v>54</v>
      </c>
      <c r="E90" s="146"/>
      <c r="F90" s="154">
        <v>111251046</v>
      </c>
      <c r="G90" s="146"/>
      <c r="H90" s="155">
        <f>F90/$F$94</f>
        <v>6.138399977764597E-2</v>
      </c>
      <c r="I90" s="146"/>
      <c r="J90" s="156">
        <v>3.73E-2</v>
      </c>
      <c r="K90" s="157"/>
      <c r="L90" s="146"/>
      <c r="M90" s="155">
        <f>ROUND(H90*J90,4)</f>
        <v>2.3E-3</v>
      </c>
      <c r="N90" s="146"/>
      <c r="O90" s="220">
        <f>O118</f>
        <v>1.0055229999999999</v>
      </c>
      <c r="P90" s="146"/>
      <c r="Q90" s="146"/>
      <c r="R90" s="146"/>
      <c r="S90" s="160">
        <f>ROUND(M90*O90,6)</f>
        <v>2.313E-3</v>
      </c>
    </row>
    <row r="91" spans="1:19" ht="26.25">
      <c r="B91" s="153">
        <f>+B90+1</f>
        <v>3</v>
      </c>
      <c r="C91" s="146"/>
      <c r="D91" s="142" t="s">
        <v>55</v>
      </c>
      <c r="E91" s="146"/>
      <c r="F91" s="154">
        <v>0</v>
      </c>
      <c r="G91" s="146"/>
      <c r="H91" s="155">
        <f>F91/$F$94</f>
        <v>0</v>
      </c>
      <c r="I91" s="146"/>
      <c r="J91" s="156">
        <v>0</v>
      </c>
      <c r="K91" s="157"/>
      <c r="L91" s="146"/>
      <c r="M91" s="155">
        <f>ROUND(H91*J91,4)</f>
        <v>0</v>
      </c>
      <c r="N91" s="146"/>
      <c r="O91" s="220">
        <f>O118</f>
        <v>1.0055229999999999</v>
      </c>
      <c r="P91" s="146"/>
      <c r="Q91" s="146"/>
      <c r="R91" s="146"/>
      <c r="S91" s="160">
        <f>ROUND(M91*O91,6)</f>
        <v>0</v>
      </c>
    </row>
    <row r="92" spans="1:19" ht="15">
      <c r="B92" s="153">
        <f>+B91+1</f>
        <v>4</v>
      </c>
      <c r="C92" s="146"/>
      <c r="D92" s="146" t="s">
        <v>56</v>
      </c>
      <c r="E92" s="146"/>
      <c r="F92" s="154">
        <v>747579968.70000005</v>
      </c>
      <c r="G92" s="146"/>
      <c r="H92" s="155">
        <f>F92/$F$94</f>
        <v>0.41248554761861189</v>
      </c>
      <c r="I92" s="146"/>
      <c r="J92" s="162">
        <v>9.7500000000000003E-2</v>
      </c>
      <c r="K92" s="163"/>
      <c r="L92" s="146"/>
      <c r="M92" s="155">
        <f>ROUND(H92*J92,4)</f>
        <v>4.02E-2</v>
      </c>
      <c r="N92" s="146"/>
      <c r="O92" s="221">
        <f>S118</f>
        <v>1.339896</v>
      </c>
      <c r="P92" s="146"/>
      <c r="Q92" s="165"/>
      <c r="R92" s="146"/>
      <c r="S92" s="160">
        <f>ROUND(M92*O92,6)</f>
        <v>5.3864000000000002E-2</v>
      </c>
    </row>
    <row r="93" spans="1:19" ht="15">
      <c r="B93" s="153"/>
      <c r="C93" s="146"/>
      <c r="D93" s="146"/>
      <c r="E93" s="146"/>
      <c r="F93" s="154"/>
      <c r="G93" s="146"/>
      <c r="H93" s="166"/>
      <c r="I93" s="146"/>
      <c r="J93" s="167"/>
      <c r="K93" s="157"/>
      <c r="L93" s="146"/>
      <c r="M93" s="166"/>
      <c r="N93" s="146"/>
      <c r="O93" s="147"/>
      <c r="P93" s="146"/>
      <c r="Q93" s="146"/>
      <c r="R93" s="146"/>
      <c r="S93" s="160"/>
    </row>
    <row r="94" spans="1:19" ht="15">
      <c r="B94" s="153">
        <f>+B92+1</f>
        <v>5</v>
      </c>
      <c r="C94" s="146"/>
      <c r="D94" s="146" t="s">
        <v>58</v>
      </c>
      <c r="E94" s="146"/>
      <c r="F94" s="170">
        <f>SUM(F89:F92)</f>
        <v>1812378574.27</v>
      </c>
      <c r="G94" s="146"/>
      <c r="H94" s="171">
        <f>SUM(H89:H92)</f>
        <v>1</v>
      </c>
      <c r="I94" s="146"/>
      <c r="J94" s="167"/>
      <c r="K94" s="157"/>
      <c r="L94" s="146"/>
      <c r="M94" s="171">
        <f>SUM(M89:M92)</f>
        <v>6.83E-2</v>
      </c>
      <c r="N94" s="146"/>
      <c r="O94" s="146"/>
      <c r="P94" s="146"/>
      <c r="Q94" s="146"/>
      <c r="R94" s="146"/>
      <c r="S94" s="199">
        <f>ROUND(SUM(S89:S93),4)</f>
        <v>8.2100000000000006E-2</v>
      </c>
    </row>
    <row r="95" spans="1:19" ht="15">
      <c r="B95" s="153"/>
      <c r="C95" s="146"/>
      <c r="D95" s="146"/>
      <c r="E95" s="146"/>
      <c r="F95" s="146"/>
      <c r="G95" s="146"/>
      <c r="H95" s="146"/>
      <c r="I95" s="146"/>
      <c r="J95" s="146"/>
      <c r="K95" s="157"/>
      <c r="L95" s="146"/>
      <c r="M95" s="146"/>
      <c r="N95" s="146"/>
      <c r="O95" s="146"/>
      <c r="P95" s="146"/>
      <c r="Q95" s="146"/>
      <c r="R95" s="146"/>
      <c r="S95" s="174"/>
    </row>
    <row r="96" spans="1:19" ht="15.75" thickBot="1">
      <c r="B96" s="175"/>
      <c r="C96" s="176"/>
      <c r="D96" s="176"/>
      <c r="E96" s="176"/>
      <c r="F96" s="176"/>
      <c r="G96" s="176"/>
      <c r="H96" s="176"/>
      <c r="I96" s="176"/>
      <c r="J96" s="176"/>
      <c r="K96" s="177"/>
      <c r="L96" s="176"/>
      <c r="M96" s="176"/>
      <c r="N96" s="176"/>
      <c r="O96" s="176"/>
      <c r="P96" s="176"/>
      <c r="Q96" s="176"/>
      <c r="R96" s="176"/>
      <c r="S96" s="178"/>
    </row>
    <row r="97" spans="1:19">
      <c r="A97" s="130"/>
      <c r="B97" s="129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29"/>
      <c r="Q97" s="130"/>
      <c r="R97" s="130"/>
      <c r="S97" s="130"/>
    </row>
    <row r="98" spans="1:19">
      <c r="A98" s="130"/>
      <c r="B98" s="129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29"/>
      <c r="Q98" s="130"/>
      <c r="R98" s="130"/>
      <c r="S98" s="130"/>
    </row>
    <row r="99" spans="1:19">
      <c r="A99" s="130"/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29"/>
      <c r="Q99" s="130"/>
      <c r="R99" s="130"/>
      <c r="S99" s="130"/>
    </row>
    <row r="100" spans="1:19">
      <c r="B100" s="129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29"/>
      <c r="Q100" s="130"/>
      <c r="R100" s="130"/>
      <c r="S100" s="130"/>
    </row>
    <row r="101" spans="1:19">
      <c r="B101" s="129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81" t="s">
        <v>59</v>
      </c>
      <c r="P101" s="181"/>
      <c r="S101" s="181" t="s">
        <v>60</v>
      </c>
    </row>
    <row r="102" spans="1:19" ht="15">
      <c r="B102" s="165">
        <v>6</v>
      </c>
      <c r="C102" s="146"/>
      <c r="D102" s="159" t="s">
        <v>61</v>
      </c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82">
        <v>100</v>
      </c>
      <c r="P102" s="146"/>
      <c r="Q102" s="146"/>
      <c r="R102" s="146"/>
      <c r="S102" s="182">
        <f>O102</f>
        <v>100</v>
      </c>
    </row>
    <row r="103" spans="1:19" ht="15">
      <c r="B103" s="165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200"/>
    </row>
    <row r="104" spans="1:19" ht="15">
      <c r="B104" s="165">
        <v>7</v>
      </c>
      <c r="C104" s="184"/>
      <c r="D104" s="186" t="s">
        <v>62</v>
      </c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7">
        <v>0.4</v>
      </c>
      <c r="P104" s="184"/>
      <c r="Q104" s="184"/>
      <c r="R104" s="184"/>
      <c r="S104" s="200">
        <f>O104</f>
        <v>0.4</v>
      </c>
    </row>
    <row r="105" spans="1:19" ht="15">
      <c r="B105" s="165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200"/>
    </row>
    <row r="106" spans="1:19" ht="15">
      <c r="B106" s="165">
        <v>8</v>
      </c>
      <c r="C106" s="184"/>
      <c r="D106" s="186" t="s">
        <v>63</v>
      </c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>
        <v>0.14929999999999999</v>
      </c>
      <c r="P106" s="184"/>
      <c r="Q106" s="184"/>
      <c r="R106" s="184"/>
      <c r="S106" s="200">
        <f>O106</f>
        <v>0.14929999999999999</v>
      </c>
    </row>
    <row r="107" spans="1:19" ht="15">
      <c r="B107" s="165"/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6" t="s">
        <v>44</v>
      </c>
      <c r="P107" s="184"/>
      <c r="Q107" s="184"/>
      <c r="R107" s="184"/>
      <c r="S107" s="200"/>
    </row>
    <row r="108" spans="1:19" ht="15">
      <c r="B108" s="165">
        <v>9</v>
      </c>
      <c r="C108" s="184"/>
      <c r="D108" s="186" t="s">
        <v>64</v>
      </c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7">
        <f>O102-O104-O106</f>
        <v>99.450699999999998</v>
      </c>
      <c r="P108" s="184"/>
      <c r="Q108" s="184"/>
      <c r="R108" s="184"/>
      <c r="S108" s="200">
        <f>S102-S104-S106</f>
        <v>99.450699999999998</v>
      </c>
    </row>
    <row r="109" spans="1:19" ht="15">
      <c r="B109" s="165"/>
      <c r="C109" s="184"/>
      <c r="D109" s="186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200"/>
    </row>
    <row r="110" spans="1:19" ht="15">
      <c r="B110" s="165">
        <v>10</v>
      </c>
      <c r="C110" s="184"/>
      <c r="D110" s="184" t="s">
        <v>293</v>
      </c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28"/>
      <c r="P110" s="184"/>
      <c r="Q110" s="184"/>
      <c r="R110" s="184"/>
      <c r="S110" s="200">
        <f>S108*0.050065</f>
        <v>4.9789992954999995</v>
      </c>
    </row>
    <row r="111" spans="1:19" ht="15">
      <c r="B111" s="165"/>
      <c r="C111" s="184"/>
      <c r="D111" s="186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8"/>
      <c r="P111" s="184"/>
      <c r="Q111" s="184"/>
      <c r="R111" s="184"/>
      <c r="S111" s="200"/>
    </row>
    <row r="112" spans="1:19" ht="15">
      <c r="B112" s="165">
        <v>11</v>
      </c>
      <c r="C112" s="184"/>
      <c r="D112" s="184" t="s">
        <v>253</v>
      </c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8"/>
      <c r="P112" s="184"/>
      <c r="Q112" s="184"/>
      <c r="R112" s="184"/>
      <c r="S112" s="200">
        <f>S108-S110</f>
        <v>94.471700704499995</v>
      </c>
    </row>
    <row r="113" spans="1:19" ht="15">
      <c r="B113" s="165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201"/>
    </row>
    <row r="114" spans="1:19" ht="15">
      <c r="B114" s="165">
        <v>12</v>
      </c>
      <c r="C114" s="184"/>
      <c r="D114" s="184" t="s">
        <v>254</v>
      </c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201">
        <f>S112*0.21</f>
        <v>19.839057147944999</v>
      </c>
    </row>
    <row r="115" spans="1:19" ht="15">
      <c r="B115" s="165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200"/>
    </row>
    <row r="116" spans="1:19" ht="15">
      <c r="B116" s="165">
        <v>13</v>
      </c>
      <c r="C116" s="184"/>
      <c r="D116" s="184" t="s">
        <v>67</v>
      </c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200">
        <f>S112-S114</f>
        <v>74.632643556554996</v>
      </c>
    </row>
    <row r="117" spans="1:19" ht="15">
      <c r="B117" s="165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</row>
    <row r="118" spans="1:19" ht="15">
      <c r="B118" s="165">
        <v>14</v>
      </c>
      <c r="C118" s="184"/>
      <c r="D118" s="184" t="s">
        <v>68</v>
      </c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91">
        <f>ROUND(100/O108,6)</f>
        <v>1.0055229999999999</v>
      </c>
      <c r="P118" s="184"/>
      <c r="Q118" s="184"/>
      <c r="R118" s="184"/>
      <c r="S118" s="184">
        <f>ROUND(100/S116,6)</f>
        <v>1.339896</v>
      </c>
    </row>
    <row r="123" spans="1:19">
      <c r="A123" s="202" t="s">
        <v>175</v>
      </c>
      <c r="B123" s="188"/>
      <c r="C123" s="184"/>
      <c r="D123" s="353" t="s">
        <v>310</v>
      </c>
      <c r="E123" s="353"/>
      <c r="F123" s="353"/>
      <c r="G123" s="353"/>
      <c r="H123" s="353"/>
      <c r="I123" s="353"/>
      <c r="J123" s="353"/>
      <c r="K123" s="353"/>
      <c r="L123" s="353"/>
      <c r="M123" s="353"/>
      <c r="N123" s="353"/>
      <c r="O123" s="353"/>
      <c r="P123" s="353"/>
      <c r="Q123" s="353"/>
      <c r="R123" s="353"/>
      <c r="S123" s="353"/>
    </row>
  </sheetData>
  <customSheetViews>
    <customSheetView guid="{0BD4BC22-E7A2-4140-8384-5A5B3339DEED}" fitToPage="1" printArea="1" hiddenRows="1">
      <pane ySplit="4" topLeftCell="A5" activePane="bottomLeft" state="frozen"/>
      <selection pane="bottomLeft" activeCell="S49" sqref="S49"/>
      <pageMargins left="0" right="0" top="0" bottom="0.2" header="0" footer="0"/>
      <printOptions horizontalCentered="1" verticalCentered="1"/>
      <pageSetup scale="91" orientation="portrait" horizontalDpi="300" verticalDpi="300" r:id="rId1"/>
      <headerFooter alignWithMargins="0"/>
    </customSheetView>
    <customSheetView guid="{567BA860-460A-4CE0-A629-0EA7372574F1}" showPageBreaks="1" fitToPage="1" printArea="1" hiddenRows="1">
      <pane ySplit="4" topLeftCell="A5" activePane="bottomLeft" state="frozen"/>
      <selection pane="bottomLeft" activeCell="B33" sqref="B33"/>
      <pageMargins left="0" right="0" top="0" bottom="0.2" header="0" footer="0"/>
      <printOptions horizontalCentered="1" verticalCentered="1"/>
      <pageSetup scale="91" orientation="portrait" horizontalDpi="300" verticalDpi="300" r:id="rId2"/>
      <headerFooter alignWithMargins="0"/>
    </customSheetView>
    <customSheetView guid="{4EF176FC-448F-4BD8-8859-C810312E84E7}" fitToPage="1" hiddenRows="1">
      <pane ySplit="4" topLeftCell="A5" activePane="bottomLeft" state="frozen"/>
      <selection pane="bottomLeft" activeCell="B33" sqref="B33"/>
      <pageMargins left="0" right="0" top="0" bottom="0.2" header="0" footer="0"/>
      <printOptions horizontalCentered="1" verticalCentered="1"/>
      <pageSetup scale="91" orientation="portrait" horizontalDpi="300" verticalDpi="300" r:id="rId3"/>
      <headerFooter alignWithMargins="0"/>
    </customSheetView>
  </customSheetViews>
  <mergeCells count="4">
    <mergeCell ref="B1:S1"/>
    <mergeCell ref="B2:S2"/>
    <mergeCell ref="D80:S80"/>
    <mergeCell ref="D123:S123"/>
  </mergeCells>
  <printOptions horizontalCentered="1" verticalCentered="1"/>
  <pageMargins left="0" right="0" top="0" bottom="0.2" header="0" footer="0"/>
  <pageSetup scale="97" orientation="portrait" horizontalDpi="300" verticalDpi="300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3F20-D6AE-495B-8F06-17077D16FA79}">
  <dimension ref="C23:F23"/>
  <sheetViews>
    <sheetView showGridLines="0" workbookViewId="0">
      <selection activeCell="Q16" sqref="Q16"/>
    </sheetView>
  </sheetViews>
  <sheetFormatPr defaultRowHeight="12.75"/>
  <cols>
    <col min="1" max="2" width="9.140625" style="121"/>
    <col min="3" max="3" width="32" style="121" bestFit="1" customWidth="1"/>
    <col min="4" max="5" width="9.140625" style="121"/>
    <col min="6" max="6" width="13.42578125" style="121" bestFit="1" customWidth="1"/>
    <col min="7" max="16384" width="9.140625" style="121"/>
  </cols>
  <sheetData>
    <row r="23" spans="3:6">
      <c r="C23" s="121" t="s">
        <v>294</v>
      </c>
      <c r="F23" s="342">
        <v>-488174.43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y8yNS8yMDIyIDQ6NTM6MjA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y8yNi8yMDIyIDM6Mjk6MDAgUE08L0RhdGVUaW1lPjxMYWJlbFN0cmluZz5BRVAgSW50ZXJuYWw8L0xhYmVsU3RyaW5nPjwvaXRlbT48L2xhYmVsSGlzdG9yeT4=</Value>
</WrappedLabelHistory>
</file>

<file path=customXml/itemProps1.xml><?xml version="1.0" encoding="utf-8"?>
<ds:datastoreItem xmlns:ds="http://schemas.openxmlformats.org/officeDocument/2006/customXml" ds:itemID="{AC384B80-D922-415A-95ED-FE915F2C6CD6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9B482F11-42D7-48F6-9F90-CC15E10D26C0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PPA Form 1.0</vt:lpstr>
      <vt:lpstr>PPA Form 2.0</vt:lpstr>
      <vt:lpstr>PPA Form 3.0</vt:lpstr>
      <vt:lpstr>PPA Form 3.0a</vt:lpstr>
      <vt:lpstr>PPA Form 4.0</vt:lpstr>
      <vt:lpstr>PPA Form 5.0</vt:lpstr>
      <vt:lpstr>Input Sheet</vt:lpstr>
      <vt:lpstr>GRCF</vt:lpstr>
      <vt:lpstr>Tariff CC</vt:lpstr>
      <vt:lpstr>Rockport Deferral</vt:lpstr>
      <vt:lpstr>Rockport Savings-Offset</vt:lpstr>
      <vt:lpstr>Retail vs TO</vt:lpstr>
      <vt:lpstr>Ln 13</vt:lpstr>
      <vt:lpstr>GRCF!Print_Area</vt:lpstr>
      <vt:lpstr>'PPA Form 1.0'!Print_Area</vt:lpstr>
      <vt:lpstr>'PPA Form 2.0'!Print_Area</vt:lpstr>
      <vt:lpstr>'PPA Form 3.0'!Print_Area</vt:lpstr>
      <vt:lpstr>'PPA Form 3.0a'!Print_Area</vt:lpstr>
      <vt:lpstr>'PPA Form 5.0'!Print_Area</vt:lpstr>
      <vt:lpstr>'Retail vs TO'!Print_Area</vt:lpstr>
      <vt:lpstr>'Rockport Deferral'!Print_Area</vt:lpstr>
      <vt:lpstr>'Rockport Savings-Offset'!Print_Area</vt:lpstr>
      <vt:lpstr>'Rockport Deferral'!Print_Titles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Hinton, Daniel E (PSC)</cp:lastModifiedBy>
  <cp:lastPrinted>2019-08-13T18:34:04Z</cp:lastPrinted>
  <dcterms:created xsi:type="dcterms:W3CDTF">2015-03-17T12:16:01Z</dcterms:created>
  <dcterms:modified xsi:type="dcterms:W3CDTF">2024-09-03T14:31:46Z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1c746888-9fb9-4801-97db-1538bc0ba19e</vt:lpwstr>
  </property>
  <property fmtid="{D5CDD505-2E9C-101B-9397-08002B2CF9AE}" pid="3" name="bjSaver">
    <vt:lpwstr>82y7WusX6p1G1FJkfwXhV3ab3P1DoTfj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MSIP_Label_69f43042-6bda-44b2-91eb-eca3d3d484f4_SiteId">
    <vt:lpwstr>15f3c881-6b03-4ff6-8559-77bf5177818f</vt:lpwstr>
  </property>
  <property fmtid="{D5CDD505-2E9C-101B-9397-08002B2CF9AE}" pid="7" name="MSIP_Label_69f43042-6bda-44b2-91eb-eca3d3d484f4_Name">
    <vt:lpwstr>AEP Internal</vt:lpwstr>
  </property>
  <property fmtid="{D5CDD505-2E9C-101B-9397-08002B2CF9AE}" pid="8" name="MSIP_Label_69f43042-6bda-44b2-91eb-eca3d3d484f4_Enabled">
    <vt:lpwstr>true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{9B482F11-42D7-48F6-9F90-CC15E10D26C0}</vt:lpwstr>
  </property>
</Properties>
</file>