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bookViews>
    <workbookView xWindow="-120" yWindow="-120" windowWidth="29040" windowHeight="15840" tabRatio="813"/>
  </bookViews>
  <sheets>
    <sheet name="Summary" sheetId="13" r:id="rId1"/>
    <sheet name="PPA Form 1.0" sheetId="1" r:id="rId2"/>
    <sheet name="PPA Form 2.0" sheetId="2" r:id="rId3"/>
    <sheet name="PPA Form 3.0" sheetId="3" r:id="rId4"/>
    <sheet name="PPA Form 3.0a" sheetId="4" r:id="rId5"/>
    <sheet name="PPA Form 4.0" sheetId="5" r:id="rId6"/>
    <sheet name="PPA Form 5.0" sheetId="6" r:id="rId7"/>
    <sheet name="Retail vs TO" sheetId="7" r:id="rId8"/>
    <sheet name="Input Sheet" sheetId="10" r:id="rId9"/>
    <sheet name="GRCF" sheetId="11" r:id="rId10"/>
    <sheet name="Rockport Deferral" sheetId="12" r:id="rId11"/>
    <sheet name="Rockport Savings-Offset" sheetId="9" r:id="rId12"/>
  </sheets>
  <externalReferences>
    <externalReference r:id="rId13"/>
  </externalReferences>
  <definedNames>
    <definedName name="Katy" localSheetId="10">#REF!</definedName>
    <definedName name="Katy">#REF!</definedName>
    <definedName name="Marshall_Rate">'[1]Property Tax'!$B$2</definedName>
    <definedName name="PC_Percent">'[1]Property Tax'!$B$6</definedName>
    <definedName name="_xlnm.Print_Area" localSheetId="9">GRCF!$A$1:$S$38</definedName>
    <definedName name="_xlnm.Print_Area" localSheetId="8">'Input Sheet'!$A$1:$D$16</definedName>
    <definedName name="_xlnm.Print_Area" localSheetId="1">'PPA Form 1.0'!$A$1:$I$44</definedName>
    <definedName name="_xlnm.Print_Area" localSheetId="2">'PPA Form 2.0'!$B$1:$N$31</definedName>
    <definedName name="_xlnm.Print_Area" localSheetId="3">'PPA Form 3.0'!$A$1:$G$42</definedName>
    <definedName name="_xlnm.Print_Area" localSheetId="4">'PPA Form 3.0a'!$A$1:$P$52</definedName>
    <definedName name="_xlnm.Print_Area" localSheetId="5">'PPA Form 4.0'!$A$1:$G$25</definedName>
    <definedName name="_xlnm.Print_Area" localSheetId="6">'PPA Form 5.0'!$A$1:$F$29</definedName>
    <definedName name="_xlnm.Print_Area" localSheetId="7">'Retail vs TO'!$A$1:$G$37</definedName>
    <definedName name="_xlnm.Print_Area" localSheetId="10">'Rockport Deferral'!$A$2:$L$134</definedName>
    <definedName name="_xlnm.Print_Area" localSheetId="11">'Rockport Savings-Offset'!$A$1:$H$31</definedName>
    <definedName name="_xlnm.Print_Area" localSheetId="0">Summary!$A$1:$I$34</definedName>
    <definedName name="_xlnm.Print_Titles" localSheetId="10">'Rockport Deferral'!$2:$9</definedName>
    <definedName name="tim" localSheetId="9">#REF!</definedName>
    <definedName name="tim" localSheetId="10">#REF!</definedName>
    <definedName name="tim">#REF!</definedName>
    <definedName name="WV_List">'[1]Property Tax'!$B$4</definedName>
    <definedName name="Z_0BD4BC22_E7A2_4140_8384_5A5B3339DEED_.wvu.PrintArea" localSheetId="9" hidden="1">GRCF!$A$1:$S$38</definedName>
    <definedName name="Z_0BD4BC22_E7A2_4140_8384_5A5B3339DEED_.wvu.PrintArea" localSheetId="8" hidden="1">'Input Sheet'!$A$1:$D$16</definedName>
    <definedName name="Z_0BD4BC22_E7A2_4140_8384_5A5B3339DEED_.wvu.PrintArea" localSheetId="1" hidden="1">'PPA Form 1.0'!$A$1:$I$44</definedName>
    <definedName name="Z_0BD4BC22_E7A2_4140_8384_5A5B3339DEED_.wvu.PrintArea" localSheetId="2" hidden="1">'PPA Form 2.0'!$B$1:$N$29</definedName>
    <definedName name="Z_0BD4BC22_E7A2_4140_8384_5A5B3339DEED_.wvu.PrintArea" localSheetId="3" hidden="1">'PPA Form 3.0'!$A$1:$G$39</definedName>
    <definedName name="Z_0BD4BC22_E7A2_4140_8384_5A5B3339DEED_.wvu.PrintArea" localSheetId="4" hidden="1">'PPA Form 3.0a'!$A$1:$P$52</definedName>
    <definedName name="Z_0BD4BC22_E7A2_4140_8384_5A5B3339DEED_.wvu.PrintArea" localSheetId="5" hidden="1">'PPA Form 4.0'!$A$1:$G$25</definedName>
    <definedName name="Z_0BD4BC22_E7A2_4140_8384_5A5B3339DEED_.wvu.PrintArea" localSheetId="6" hidden="1">'PPA Form 5.0'!$A$1:$F$29</definedName>
    <definedName name="Z_0BD4BC22_E7A2_4140_8384_5A5B3339DEED_.wvu.PrintArea" localSheetId="7" hidden="1">'Retail vs TO'!$A$1:$E$20</definedName>
    <definedName name="Z_0BD4BC22_E7A2_4140_8384_5A5B3339DEED_.wvu.PrintArea" localSheetId="10" hidden="1">'Rockport Deferral'!$A$2:$L$134</definedName>
    <definedName name="Z_0BD4BC22_E7A2_4140_8384_5A5B3339DEED_.wvu.PrintArea" localSheetId="11" hidden="1">'Rockport Savings-Offset'!$A$1:$H$31</definedName>
    <definedName name="Z_0BD4BC22_E7A2_4140_8384_5A5B3339DEED_.wvu.PrintArea" localSheetId="0" hidden="1">Summary!$A$1:$I$34</definedName>
    <definedName name="Z_0BD4BC22_E7A2_4140_8384_5A5B3339DEED_.wvu.PrintTitles" localSheetId="10" hidden="1">'Rockport Deferral'!$2:$9</definedName>
    <definedName name="Z_0BD4BC22_E7A2_4140_8384_5A5B3339DEED_.wvu.Rows" localSheetId="9" hidden="1">GRCF!$17:$18</definedName>
    <definedName name="Z_4EF176FC_448F_4BD8_8859_C810312E84E7_.wvu.PrintArea" localSheetId="9" hidden="1">GRCF!$A$1:$S$38</definedName>
    <definedName name="Z_4EF176FC_448F_4BD8_8859_C810312E84E7_.wvu.PrintArea" localSheetId="8" hidden="1">'Input Sheet'!$A$1:$D$16</definedName>
    <definedName name="Z_4EF176FC_448F_4BD8_8859_C810312E84E7_.wvu.PrintArea" localSheetId="1" hidden="1">'PPA Form 1.0'!$A$1:$I$44</definedName>
    <definedName name="Z_4EF176FC_448F_4BD8_8859_C810312E84E7_.wvu.PrintArea" localSheetId="2" hidden="1">'PPA Form 2.0'!$B$1:$N$29</definedName>
    <definedName name="Z_4EF176FC_448F_4BD8_8859_C810312E84E7_.wvu.PrintArea" localSheetId="3" hidden="1">'PPA Form 3.0'!$A$1:$G$39</definedName>
    <definedName name="Z_4EF176FC_448F_4BD8_8859_C810312E84E7_.wvu.PrintArea" localSheetId="4" hidden="1">'PPA Form 3.0a'!$A$1:$P$52</definedName>
    <definedName name="Z_4EF176FC_448F_4BD8_8859_C810312E84E7_.wvu.PrintArea" localSheetId="5" hidden="1">'PPA Form 4.0'!$A$1:$G$25</definedName>
    <definedName name="Z_4EF176FC_448F_4BD8_8859_C810312E84E7_.wvu.PrintArea" localSheetId="6" hidden="1">'PPA Form 5.0'!$A$1:$F$29</definedName>
    <definedName name="Z_4EF176FC_448F_4BD8_8859_C810312E84E7_.wvu.PrintArea" localSheetId="7" hidden="1">'Retail vs TO'!$A$1:$E$20</definedName>
    <definedName name="Z_4EF176FC_448F_4BD8_8859_C810312E84E7_.wvu.PrintArea" localSheetId="10" hidden="1">'Rockport Deferral'!$A$2:$L$134</definedName>
    <definedName name="Z_4EF176FC_448F_4BD8_8859_C810312E84E7_.wvu.PrintArea" localSheetId="11" hidden="1">'Rockport Savings-Offset'!$A$1:$H$31</definedName>
    <definedName name="Z_4EF176FC_448F_4BD8_8859_C810312E84E7_.wvu.PrintArea" localSheetId="0" hidden="1">Summary!$A$1:$I$34</definedName>
    <definedName name="Z_4EF176FC_448F_4BD8_8859_C810312E84E7_.wvu.PrintTitles" localSheetId="10" hidden="1">'Rockport Deferral'!$2:$9</definedName>
    <definedName name="Z_4EF176FC_448F_4BD8_8859_C810312E84E7_.wvu.Rows" localSheetId="9" hidden="1">GRCF!$17:$18</definedName>
    <definedName name="Z_4EF176FC_448F_4BD8_8859_C810312E84E7_.wvu.Rows" localSheetId="10" hidden="1">'Rockport Deferral'!$81:$132</definedName>
    <definedName name="Z_567BA860_460A_4CE0_A629_0EA7372574F1_.wvu.PrintArea" localSheetId="9" hidden="1">GRCF!$A$1:$S$38</definedName>
    <definedName name="Z_567BA860_460A_4CE0_A629_0EA7372574F1_.wvu.PrintArea" localSheetId="8" hidden="1">'Input Sheet'!$A$1:$D$16</definedName>
    <definedName name="Z_567BA860_460A_4CE0_A629_0EA7372574F1_.wvu.PrintArea" localSheetId="1" hidden="1">'PPA Form 1.0'!$A$1:$I$44</definedName>
    <definedName name="Z_567BA860_460A_4CE0_A629_0EA7372574F1_.wvu.PrintArea" localSheetId="2" hidden="1">'PPA Form 2.0'!$B$1:$N$29</definedName>
    <definedName name="Z_567BA860_460A_4CE0_A629_0EA7372574F1_.wvu.PrintArea" localSheetId="3" hidden="1">'PPA Form 3.0'!$A$1:$G$39</definedName>
    <definedName name="Z_567BA860_460A_4CE0_A629_0EA7372574F1_.wvu.PrintArea" localSheetId="4" hidden="1">'PPA Form 3.0a'!$A$1:$P$52</definedName>
    <definedName name="Z_567BA860_460A_4CE0_A629_0EA7372574F1_.wvu.PrintArea" localSheetId="5" hidden="1">'PPA Form 4.0'!$A$1:$G$25</definedName>
    <definedName name="Z_567BA860_460A_4CE0_A629_0EA7372574F1_.wvu.PrintArea" localSheetId="6" hidden="1">'PPA Form 5.0'!$A$1:$F$29</definedName>
    <definedName name="Z_567BA860_460A_4CE0_A629_0EA7372574F1_.wvu.PrintArea" localSheetId="7" hidden="1">'Retail vs TO'!$A$1:$E$20</definedName>
    <definedName name="Z_567BA860_460A_4CE0_A629_0EA7372574F1_.wvu.PrintArea" localSheetId="10" hidden="1">'Rockport Deferral'!$A$2:$L$134</definedName>
    <definedName name="Z_567BA860_460A_4CE0_A629_0EA7372574F1_.wvu.PrintArea" localSheetId="11" hidden="1">'Rockport Savings-Offset'!$A$1:$H$31</definedName>
    <definedName name="Z_567BA860_460A_4CE0_A629_0EA7372574F1_.wvu.PrintArea" localSheetId="0" hidden="1">Summary!$A$1:$I$34</definedName>
    <definedName name="Z_567BA860_460A_4CE0_A629_0EA7372574F1_.wvu.PrintTitles" localSheetId="10" hidden="1">'Rockport Deferral'!$2:$9</definedName>
    <definedName name="Z_567BA860_460A_4CE0_A629_0EA7372574F1_.wvu.Rows" localSheetId="9" hidden="1">GRCF!$17:$18</definedName>
    <definedName name="Z_567BA860_460A_4CE0_A629_0EA7372574F1_.wvu.Rows" localSheetId="10" hidden="1">'Rockport Deferral'!$81:$132</definedName>
  </definedNames>
  <calcPr calcId="191029"/>
  <customWorkbookViews>
    <customWorkbookView name="s203707 - Personal View" guid="{0BD4BC22-E7A2-4140-8384-5A5B3339DEED}" mergeInterval="0" personalView="1" maximized="1" xWindow="2869" yWindow="-11" windowWidth="2902" windowHeight="1582" tabRatio="813" activeSheetId="8"/>
    <customWorkbookView name="s207409 - Personal View" guid="{567BA860-460A-4CE0-A629-0EA7372574F1}" mergeInterval="0" personalView="1" maximized="1" windowWidth="1600" windowHeight="675" tabRatio="813" activeSheetId="1"/>
    <customWorkbookView name="s290792 - Personal View" guid="{4EF176FC-448F-4BD8-8859-C810312E84E7}" mergeInterval="0" personalView="1" maximized="1" xWindow="-8" yWindow="-8" windowWidth="1936" windowHeight="1056" tabRatio="81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0" i="13"/>
  <c r="A32" i="13" s="1"/>
  <c r="I22" i="13"/>
  <c r="I20" i="13"/>
  <c r="I14" i="13"/>
  <c r="I12" i="13"/>
  <c r="H12" i="13"/>
  <c r="G30" i="13"/>
  <c r="G26" i="13"/>
  <c r="G32" i="13" s="1"/>
  <c r="G18" i="13"/>
  <c r="I30" i="13"/>
  <c r="I18" i="13"/>
  <c r="I26" i="13" s="1"/>
  <c r="I32" i="13" s="1"/>
  <c r="A8" i="13"/>
  <c r="A10" i="13" s="1"/>
  <c r="A12" i="13" s="1"/>
  <c r="A14" i="13" s="1"/>
  <c r="A16" i="13" s="1"/>
  <c r="A18" i="13" s="1"/>
  <c r="A20" i="13" s="1"/>
  <c r="A22" i="13" s="1"/>
  <c r="A24" i="13" s="1"/>
  <c r="A26" i="13" s="1"/>
  <c r="A28" i="13" s="1"/>
  <c r="G23" i="1" l="1"/>
  <c r="G25" i="1"/>
  <c r="G31" i="1"/>
  <c r="G33" i="1"/>
  <c r="D119" i="12"/>
  <c r="E119" i="12" s="1"/>
  <c r="D103" i="12"/>
  <c r="E103" i="12" s="1"/>
  <c r="D87" i="12"/>
  <c r="E87" i="12" s="1"/>
  <c r="D86" i="12"/>
  <c r="E86" i="12" s="1"/>
  <c r="D83" i="12"/>
  <c r="E83" i="12" s="1"/>
  <c r="D75" i="12"/>
  <c r="E75" i="12" s="1"/>
  <c r="D72" i="12"/>
  <c r="C48" i="12"/>
  <c r="C49" i="12" s="1"/>
  <c r="C50" i="12" s="1"/>
  <c r="C36" i="12"/>
  <c r="C37" i="12" s="1"/>
  <c r="E35" i="12"/>
  <c r="C35" i="12"/>
  <c r="C24" i="12"/>
  <c r="C25" i="12" s="1"/>
  <c r="E23" i="12"/>
  <c r="G23" i="12" s="1"/>
  <c r="C23" i="12"/>
  <c r="E13" i="12"/>
  <c r="C12" i="12"/>
  <c r="C13" i="12" s="1"/>
  <c r="C14" i="12" s="1"/>
  <c r="C11" i="12"/>
  <c r="I10" i="12"/>
  <c r="T6" i="12"/>
  <c r="P6" i="12"/>
  <c r="T5" i="12"/>
  <c r="P5" i="12"/>
  <c r="D4" i="12"/>
  <c r="D127" i="12" s="1"/>
  <c r="E127" i="12" s="1"/>
  <c r="D2" i="12"/>
  <c r="D3" i="12" s="1"/>
  <c r="E11" i="12" l="1"/>
  <c r="C26" i="12"/>
  <c r="E25" i="12"/>
  <c r="G13" i="12"/>
  <c r="C51" i="12"/>
  <c r="E50" i="12"/>
  <c r="C15" i="12"/>
  <c r="E14" i="12"/>
  <c r="C38" i="12"/>
  <c r="E37" i="12"/>
  <c r="E72" i="12"/>
  <c r="E36" i="12"/>
  <c r="G35" i="12"/>
  <c r="D132" i="12"/>
  <c r="E132" i="12" s="1"/>
  <c r="D128" i="12"/>
  <c r="E128" i="12" s="1"/>
  <c r="D124" i="12"/>
  <c r="E124" i="12" s="1"/>
  <c r="D120" i="12"/>
  <c r="E120" i="12" s="1"/>
  <c r="D116" i="12"/>
  <c r="E116" i="12" s="1"/>
  <c r="D112" i="12"/>
  <c r="E112" i="12" s="1"/>
  <c r="D108" i="12"/>
  <c r="E108" i="12" s="1"/>
  <c r="D104" i="12"/>
  <c r="E104" i="12" s="1"/>
  <c r="D100" i="12"/>
  <c r="E100" i="12" s="1"/>
  <c r="D96" i="12"/>
  <c r="E96" i="12" s="1"/>
  <c r="D92" i="12"/>
  <c r="E92" i="12" s="1"/>
  <c r="D88" i="12"/>
  <c r="E88" i="12" s="1"/>
  <c r="D129" i="12"/>
  <c r="E129" i="12" s="1"/>
  <c r="D125" i="12"/>
  <c r="E125" i="12" s="1"/>
  <c r="D121" i="12"/>
  <c r="E121" i="12" s="1"/>
  <c r="D117" i="12"/>
  <c r="E117" i="12" s="1"/>
  <c r="D113" i="12"/>
  <c r="E113" i="12" s="1"/>
  <c r="D109" i="12"/>
  <c r="E109" i="12" s="1"/>
  <c r="D105" i="12"/>
  <c r="E105" i="12" s="1"/>
  <c r="D101" i="12"/>
  <c r="E101" i="12" s="1"/>
  <c r="D97" i="12"/>
  <c r="E97" i="12" s="1"/>
  <c r="D93" i="12"/>
  <c r="E93" i="12" s="1"/>
  <c r="D89" i="12"/>
  <c r="E89" i="12" s="1"/>
  <c r="D130" i="12"/>
  <c r="E130" i="12" s="1"/>
  <c r="D122" i="12"/>
  <c r="E122" i="12" s="1"/>
  <c r="D114" i="12"/>
  <c r="E114" i="12" s="1"/>
  <c r="D106" i="12"/>
  <c r="E106" i="12" s="1"/>
  <c r="D98" i="12"/>
  <c r="E98" i="12" s="1"/>
  <c r="D90" i="12"/>
  <c r="E90" i="12" s="1"/>
  <c r="D82" i="12"/>
  <c r="E82" i="12" s="1"/>
  <c r="D78" i="12"/>
  <c r="E78" i="12" s="1"/>
  <c r="D74" i="12"/>
  <c r="E74" i="12" s="1"/>
  <c r="D126" i="12"/>
  <c r="E126" i="12" s="1"/>
  <c r="D123" i="12"/>
  <c r="E123" i="12" s="1"/>
  <c r="D111" i="12"/>
  <c r="E111" i="12" s="1"/>
  <c r="D94" i="12"/>
  <c r="E94" i="12" s="1"/>
  <c r="D91" i="12"/>
  <c r="E91" i="12" s="1"/>
  <c r="D79" i="12"/>
  <c r="E79" i="12" s="1"/>
  <c r="D76" i="12"/>
  <c r="E76" i="12" s="1"/>
  <c r="D73" i="12"/>
  <c r="E73" i="12" s="1"/>
  <c r="D118" i="12"/>
  <c r="E118" i="12" s="1"/>
  <c r="D110" i="12"/>
  <c r="E110" i="12" s="1"/>
  <c r="D102" i="12"/>
  <c r="E102" i="12" s="1"/>
  <c r="D115" i="12"/>
  <c r="E115" i="12" s="1"/>
  <c r="D107" i="12"/>
  <c r="E107" i="12" s="1"/>
  <c r="D99" i="12"/>
  <c r="E99" i="12" s="1"/>
  <c r="D84" i="12"/>
  <c r="E84" i="12" s="1"/>
  <c r="D80" i="12"/>
  <c r="E80" i="12" s="1"/>
  <c r="D131" i="12"/>
  <c r="E131" i="12" s="1"/>
  <c r="D85" i="12"/>
  <c r="E85" i="12" s="1"/>
  <c r="D81" i="12"/>
  <c r="E81" i="12" s="1"/>
  <c r="D77" i="12"/>
  <c r="E77" i="12" s="1"/>
  <c r="E12" i="12"/>
  <c r="E24" i="12"/>
  <c r="E48" i="12"/>
  <c r="E49" i="12"/>
  <c r="D95" i="12"/>
  <c r="E95" i="12" s="1"/>
  <c r="G50" i="12" l="1"/>
  <c r="G49" i="12"/>
  <c r="C52" i="12"/>
  <c r="E51" i="12"/>
  <c r="G14" i="12"/>
  <c r="G11" i="12"/>
  <c r="F11" i="12"/>
  <c r="L11" i="12"/>
  <c r="F12" i="12"/>
  <c r="G12" i="12"/>
  <c r="C39" i="12"/>
  <c r="E38" i="12"/>
  <c r="G25" i="12"/>
  <c r="D133" i="12"/>
  <c r="C27" i="12"/>
  <c r="E26" i="12"/>
  <c r="G48" i="12"/>
  <c r="G24" i="12"/>
  <c r="G36" i="12"/>
  <c r="G37" i="12"/>
  <c r="C16" i="12"/>
  <c r="E15" i="12"/>
  <c r="C17" i="12" l="1"/>
  <c r="E16" i="12"/>
  <c r="H11" i="12"/>
  <c r="I11" i="12" s="1"/>
  <c r="F13" i="12"/>
  <c r="C28" i="12"/>
  <c r="E27" i="12"/>
  <c r="G38" i="12"/>
  <c r="H12" i="12"/>
  <c r="H13" i="12" s="1"/>
  <c r="H14" i="12" s="1"/>
  <c r="G26" i="12"/>
  <c r="G51" i="12"/>
  <c r="C53" i="12"/>
  <c r="E52" i="12"/>
  <c r="G15" i="12"/>
  <c r="C40" i="12"/>
  <c r="E39" i="12"/>
  <c r="J12" i="12"/>
  <c r="E53" i="12" l="1"/>
  <c r="C54" i="12"/>
  <c r="G27" i="12"/>
  <c r="G39" i="12"/>
  <c r="C41" i="12"/>
  <c r="E40" i="12"/>
  <c r="G16" i="12"/>
  <c r="I12" i="12"/>
  <c r="J13" i="12" s="1"/>
  <c r="H15" i="12"/>
  <c r="L12" i="12"/>
  <c r="C29" i="12"/>
  <c r="E28" i="12"/>
  <c r="G52" i="12"/>
  <c r="I13" i="12"/>
  <c r="J14" i="12" s="1"/>
  <c r="F14" i="12"/>
  <c r="C18" i="12"/>
  <c r="E17" i="12"/>
  <c r="G28" i="12" l="1"/>
  <c r="H16" i="12"/>
  <c r="C30" i="12"/>
  <c r="E29" i="12"/>
  <c r="C42" i="12"/>
  <c r="E41" i="12"/>
  <c r="C55" i="12"/>
  <c r="E54" i="12"/>
  <c r="I14" i="12"/>
  <c r="J15" i="12" s="1"/>
  <c r="F15" i="12"/>
  <c r="L13" i="12"/>
  <c r="L14" i="12" s="1"/>
  <c r="L15" i="12" s="1"/>
  <c r="G53" i="12"/>
  <c r="G17" i="12"/>
  <c r="G40" i="12"/>
  <c r="C19" i="12"/>
  <c r="E18" i="12"/>
  <c r="E55" i="12" l="1"/>
  <c r="C56" i="12"/>
  <c r="G18" i="12"/>
  <c r="I15" i="12"/>
  <c r="J16" i="12" s="1"/>
  <c r="F16" i="12"/>
  <c r="G29" i="12"/>
  <c r="C20" i="12"/>
  <c r="E19" i="12"/>
  <c r="G41" i="12"/>
  <c r="C31" i="12"/>
  <c r="E30" i="12"/>
  <c r="G54" i="12"/>
  <c r="C43" i="12"/>
  <c r="E42" i="12"/>
  <c r="H17" i="12"/>
  <c r="G19" i="12" l="1"/>
  <c r="I16" i="12"/>
  <c r="J17" i="12" s="1"/>
  <c r="F17" i="12"/>
  <c r="G42" i="12"/>
  <c r="C21" i="12"/>
  <c r="E20" i="12"/>
  <c r="C57" i="12"/>
  <c r="E56" i="12"/>
  <c r="C44" i="12"/>
  <c r="E43" i="12"/>
  <c r="L16" i="12"/>
  <c r="L17" i="12" s="1"/>
  <c r="G55" i="12"/>
  <c r="C32" i="12"/>
  <c r="E31" i="12"/>
  <c r="H18" i="12"/>
  <c r="G30" i="12"/>
  <c r="G56" i="12" l="1"/>
  <c r="G20" i="12"/>
  <c r="C33" i="12"/>
  <c r="E32" i="12"/>
  <c r="G43" i="12"/>
  <c r="E57" i="12"/>
  <c r="C58" i="12"/>
  <c r="C22" i="12"/>
  <c r="E22" i="12" s="1"/>
  <c r="E21" i="12"/>
  <c r="H19" i="12"/>
  <c r="G31" i="12"/>
  <c r="C45" i="12"/>
  <c r="E44" i="12"/>
  <c r="I17" i="12"/>
  <c r="J18" i="12" s="1"/>
  <c r="L18" i="12" s="1"/>
  <c r="F18" i="12"/>
  <c r="C46" i="12" l="1"/>
  <c r="E46" i="12" s="1"/>
  <c r="E45" i="12"/>
  <c r="G22" i="12"/>
  <c r="G32" i="12"/>
  <c r="G57" i="12"/>
  <c r="E33" i="12"/>
  <c r="C34" i="12"/>
  <c r="E34" i="12" s="1"/>
  <c r="C59" i="12"/>
  <c r="E58" i="12"/>
  <c r="I18" i="12"/>
  <c r="J19" i="12" s="1"/>
  <c r="L19" i="12" s="1"/>
  <c r="F19" i="12"/>
  <c r="G44" i="12"/>
  <c r="G21" i="12"/>
  <c r="H20" i="12"/>
  <c r="G58" i="12" l="1"/>
  <c r="H32" i="12"/>
  <c r="H21" i="12"/>
  <c r="I19" i="12"/>
  <c r="J20" i="12" s="1"/>
  <c r="L20" i="12" s="1"/>
  <c r="F20" i="12"/>
  <c r="E59" i="12"/>
  <c r="C60" i="12"/>
  <c r="G46" i="12"/>
  <c r="G34" i="12"/>
  <c r="G33" i="12"/>
  <c r="G45" i="12"/>
  <c r="H22" i="12"/>
  <c r="H23" i="12" s="1"/>
  <c r="H24" i="12" s="1"/>
  <c r="H25" i="12" s="1"/>
  <c r="H26" i="12" s="1"/>
  <c r="H27" i="12" s="1"/>
  <c r="H28" i="12" s="1"/>
  <c r="H29" i="12" s="1"/>
  <c r="H30" i="12" s="1"/>
  <c r="H31" i="12" s="1"/>
  <c r="H34" i="12" l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I20" i="12"/>
  <c r="J21" i="12" s="1"/>
  <c r="L21" i="12" s="1"/>
  <c r="F21" i="12"/>
  <c r="H33" i="12"/>
  <c r="E60" i="12"/>
  <c r="C61" i="12"/>
  <c r="G59" i="12"/>
  <c r="G60" i="12" l="1"/>
  <c r="H59" i="12"/>
  <c r="E61" i="12"/>
  <c r="C62" i="12"/>
  <c r="I21" i="12"/>
  <c r="J22" i="12" s="1"/>
  <c r="L22" i="12" s="1"/>
  <c r="F22" i="12"/>
  <c r="I22" i="12" l="1"/>
  <c r="J23" i="12" s="1"/>
  <c r="L23" i="12" s="1"/>
  <c r="F23" i="12"/>
  <c r="H60" i="12"/>
  <c r="E62" i="12"/>
  <c r="C63" i="12"/>
  <c r="G61" i="12"/>
  <c r="H61" i="12" l="1"/>
  <c r="I23" i="12"/>
  <c r="J24" i="12" s="1"/>
  <c r="L24" i="12" s="1"/>
  <c r="F24" i="12"/>
  <c r="E63" i="12"/>
  <c r="C64" i="12"/>
  <c r="G62" i="12"/>
  <c r="H62" i="12" s="1"/>
  <c r="I24" i="12" l="1"/>
  <c r="J25" i="12" s="1"/>
  <c r="L25" i="12" s="1"/>
  <c r="F25" i="12"/>
  <c r="E64" i="12"/>
  <c r="C65" i="12"/>
  <c r="G63" i="12"/>
  <c r="H63" i="12" s="1"/>
  <c r="G64" i="12" l="1"/>
  <c r="H64" i="12" s="1"/>
  <c r="I25" i="12"/>
  <c r="J26" i="12" s="1"/>
  <c r="L26" i="12" s="1"/>
  <c r="F26" i="12"/>
  <c r="C66" i="12"/>
  <c r="E65" i="12"/>
  <c r="E66" i="12" l="1"/>
  <c r="C67" i="12"/>
  <c r="G65" i="12"/>
  <c r="H65" i="12" s="1"/>
  <c r="I26" i="12"/>
  <c r="J27" i="12" s="1"/>
  <c r="L27" i="12" s="1"/>
  <c r="F27" i="12"/>
  <c r="L28" i="12" l="1"/>
  <c r="G66" i="12"/>
  <c r="H66" i="12" s="1"/>
  <c r="I27" i="12"/>
  <c r="J28" i="12" s="1"/>
  <c r="F28" i="12"/>
  <c r="E67" i="12"/>
  <c r="C68" i="12"/>
  <c r="G67" i="12" l="1"/>
  <c r="H67" i="12" s="1"/>
  <c r="I28" i="12"/>
  <c r="J29" i="12" s="1"/>
  <c r="F29" i="12"/>
  <c r="L29" i="12"/>
  <c r="E68" i="12"/>
  <c r="C69" i="12"/>
  <c r="G68" i="12" l="1"/>
  <c r="H68" i="12" s="1"/>
  <c r="I29" i="12"/>
  <c r="J30" i="12" s="1"/>
  <c r="L30" i="12" s="1"/>
  <c r="F30" i="12"/>
  <c r="E69" i="12"/>
  <c r="C70" i="12"/>
  <c r="G69" i="12" l="1"/>
  <c r="H69" i="12" s="1"/>
  <c r="I30" i="12"/>
  <c r="J31" i="12" s="1"/>
  <c r="L31" i="12" s="1"/>
  <c r="F31" i="12"/>
  <c r="E70" i="12"/>
  <c r="C71" i="12"/>
  <c r="E71" i="12" l="1"/>
  <c r="C133" i="12"/>
  <c r="G70" i="12"/>
  <c r="H70" i="12" s="1"/>
  <c r="I31" i="12"/>
  <c r="J32" i="12" s="1"/>
  <c r="L32" i="12" s="1"/>
  <c r="F32" i="12"/>
  <c r="G71" i="12" l="1"/>
  <c r="E133" i="12"/>
  <c r="I32" i="12"/>
  <c r="J33" i="12" s="1"/>
  <c r="L33" i="12" s="1"/>
  <c r="F33" i="12"/>
  <c r="H71" i="12" l="1"/>
  <c r="G82" i="12"/>
  <c r="G124" i="12"/>
  <c r="G106" i="12"/>
  <c r="G125" i="12"/>
  <c r="G120" i="12"/>
  <c r="G104" i="12"/>
  <c r="G110" i="12"/>
  <c r="G118" i="12"/>
  <c r="G76" i="12"/>
  <c r="G96" i="12"/>
  <c r="G128" i="12"/>
  <c r="G90" i="12"/>
  <c r="G109" i="12"/>
  <c r="G129" i="12"/>
  <c r="G97" i="12"/>
  <c r="G91" i="12"/>
  <c r="G95" i="12"/>
  <c r="G80" i="12"/>
  <c r="G122" i="12"/>
  <c r="G111" i="12"/>
  <c r="G84" i="12"/>
  <c r="G72" i="12"/>
  <c r="H72" i="12" s="1"/>
  <c r="G100" i="12"/>
  <c r="G127" i="12"/>
  <c r="G116" i="12"/>
  <c r="G92" i="12"/>
  <c r="G126" i="12"/>
  <c r="G74" i="12"/>
  <c r="G107" i="12"/>
  <c r="G87" i="12"/>
  <c r="G83" i="12"/>
  <c r="G103" i="12"/>
  <c r="G123" i="12"/>
  <c r="G113" i="12"/>
  <c r="G121" i="12"/>
  <c r="G88" i="12"/>
  <c r="G119" i="12"/>
  <c r="G86" i="12"/>
  <c r="G73" i="12"/>
  <c r="G101" i="12"/>
  <c r="G77" i="12"/>
  <c r="G98" i="12"/>
  <c r="G117" i="12"/>
  <c r="G102" i="12"/>
  <c r="G75" i="12"/>
  <c r="G112" i="12"/>
  <c r="G78" i="12"/>
  <c r="G89" i="12"/>
  <c r="G85" i="12"/>
  <c r="G115" i="12"/>
  <c r="G105" i="12"/>
  <c r="G81" i="12"/>
  <c r="G99" i="12"/>
  <c r="G130" i="12"/>
  <c r="G79" i="12"/>
  <c r="G93" i="12"/>
  <c r="G114" i="12"/>
  <c r="G132" i="12"/>
  <c r="G94" i="12"/>
  <c r="G131" i="12"/>
  <c r="G108" i="12"/>
  <c r="I33" i="12"/>
  <c r="J34" i="12" s="1"/>
  <c r="L34" i="12" s="1"/>
  <c r="F34" i="12"/>
  <c r="G133" i="12" l="1"/>
  <c r="H74" i="12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I34" i="12"/>
  <c r="J35" i="12" s="1"/>
  <c r="L35" i="12" s="1"/>
  <c r="F35" i="12"/>
  <c r="H73" i="12"/>
  <c r="I35" i="12" l="1"/>
  <c r="J36" i="12" s="1"/>
  <c r="L36" i="12" s="1"/>
  <c r="F36" i="12"/>
  <c r="I36" i="12" l="1"/>
  <c r="J37" i="12" s="1"/>
  <c r="L37" i="12" s="1"/>
  <c r="F37" i="12"/>
  <c r="I37" i="12" l="1"/>
  <c r="J38" i="12" s="1"/>
  <c r="L38" i="12" s="1"/>
  <c r="F38" i="12"/>
  <c r="I38" i="12" l="1"/>
  <c r="J39" i="12" s="1"/>
  <c r="L39" i="12" s="1"/>
  <c r="F39" i="12"/>
  <c r="I39" i="12" l="1"/>
  <c r="J40" i="12" s="1"/>
  <c r="L40" i="12" s="1"/>
  <c r="F40" i="12"/>
  <c r="I40" i="12" l="1"/>
  <c r="J41" i="12" s="1"/>
  <c r="L41" i="12" s="1"/>
  <c r="F41" i="12"/>
  <c r="I41" i="12" l="1"/>
  <c r="J42" i="12" s="1"/>
  <c r="L42" i="12" s="1"/>
  <c r="F42" i="12"/>
  <c r="I42" i="12" l="1"/>
  <c r="J43" i="12" s="1"/>
  <c r="L43" i="12" s="1"/>
  <c r="F43" i="12"/>
  <c r="I43" i="12" l="1"/>
  <c r="J44" i="12" s="1"/>
  <c r="L44" i="12" s="1"/>
  <c r="F44" i="12"/>
  <c r="I44" i="12" l="1"/>
  <c r="J45" i="12" s="1"/>
  <c r="L45" i="12" s="1"/>
  <c r="F45" i="12"/>
  <c r="I45" i="12" l="1"/>
  <c r="J46" i="12" s="1"/>
  <c r="L46" i="12" s="1"/>
  <c r="F46" i="12"/>
  <c r="I46" i="12" l="1"/>
  <c r="F48" i="12"/>
  <c r="I48" i="12" l="1"/>
  <c r="J49" i="12" s="1"/>
  <c r="F49" i="12"/>
  <c r="J48" i="12"/>
  <c r="J47" i="12"/>
  <c r="L47" i="12" s="1"/>
  <c r="L48" i="12" s="1"/>
  <c r="L49" i="12" s="1"/>
  <c r="I49" i="12" l="1"/>
  <c r="J50" i="12" s="1"/>
  <c r="F50" i="12"/>
  <c r="L50" i="12"/>
  <c r="I50" i="12" l="1"/>
  <c r="J51" i="12" s="1"/>
  <c r="L51" i="12" s="1"/>
  <c r="F51" i="12"/>
  <c r="I51" i="12" l="1"/>
  <c r="J52" i="12" s="1"/>
  <c r="L52" i="12" s="1"/>
  <c r="F52" i="12"/>
  <c r="I52" i="12" l="1"/>
  <c r="J53" i="12" s="1"/>
  <c r="L53" i="12" s="1"/>
  <c r="F53" i="12"/>
  <c r="I53" i="12" l="1"/>
  <c r="J54" i="12" s="1"/>
  <c r="L54" i="12" s="1"/>
  <c r="F54" i="12"/>
  <c r="I54" i="12" l="1"/>
  <c r="J55" i="12" s="1"/>
  <c r="L55" i="12" s="1"/>
  <c r="F55" i="12"/>
  <c r="I55" i="12" l="1"/>
  <c r="J56" i="12" s="1"/>
  <c r="L56" i="12" s="1"/>
  <c r="F56" i="12"/>
  <c r="I56" i="12" l="1"/>
  <c r="J57" i="12" s="1"/>
  <c r="L57" i="12" s="1"/>
  <c r="F57" i="12"/>
  <c r="L58" i="12" l="1"/>
  <c r="I57" i="12"/>
  <c r="J58" i="12" s="1"/>
  <c r="F58" i="12"/>
  <c r="I58" i="12" l="1"/>
  <c r="J59" i="12" s="1"/>
  <c r="L59" i="12" s="1"/>
  <c r="F59" i="12"/>
  <c r="I59" i="12" l="1"/>
  <c r="J60" i="12" s="1"/>
  <c r="L60" i="12" s="1"/>
  <c r="F60" i="12"/>
  <c r="I60" i="12" l="1"/>
  <c r="J61" i="12" s="1"/>
  <c r="L61" i="12" s="1"/>
  <c r="F61" i="12"/>
  <c r="I61" i="12" l="1"/>
  <c r="J62" i="12" s="1"/>
  <c r="L62" i="12" s="1"/>
  <c r="F62" i="12"/>
  <c r="I62" i="12" l="1"/>
  <c r="J63" i="12" s="1"/>
  <c r="L63" i="12" s="1"/>
  <c r="F63" i="12"/>
  <c r="I63" i="12" l="1"/>
  <c r="J64" i="12" s="1"/>
  <c r="L64" i="12" s="1"/>
  <c r="F64" i="12"/>
  <c r="I64" i="12" l="1"/>
  <c r="J65" i="12" s="1"/>
  <c r="L65" i="12" s="1"/>
  <c r="F65" i="12"/>
  <c r="I65" i="12" l="1"/>
  <c r="J66" i="12" s="1"/>
  <c r="L66" i="12" s="1"/>
  <c r="F66" i="12"/>
  <c r="I66" i="12" l="1"/>
  <c r="J67" i="12" s="1"/>
  <c r="L67" i="12" s="1"/>
  <c r="F67" i="12"/>
  <c r="I67" i="12" l="1"/>
  <c r="J68" i="12" s="1"/>
  <c r="L68" i="12" s="1"/>
  <c r="F68" i="12"/>
  <c r="I68" i="12" l="1"/>
  <c r="J69" i="12" s="1"/>
  <c r="L69" i="12" s="1"/>
  <c r="F69" i="12"/>
  <c r="I69" i="12" l="1"/>
  <c r="J70" i="12" s="1"/>
  <c r="L70" i="12" s="1"/>
  <c r="F70" i="12"/>
  <c r="I70" i="12" l="1"/>
  <c r="J71" i="12" s="1"/>
  <c r="J133" i="12" s="1"/>
  <c r="F71" i="12"/>
  <c r="I71" i="12" s="1"/>
  <c r="L71" i="12" l="1"/>
  <c r="K72" i="12" l="1"/>
  <c r="L72" i="12" l="1"/>
  <c r="K73" i="12" l="1"/>
  <c r="L73" i="12"/>
  <c r="I72" i="12"/>
  <c r="K74" i="12" l="1"/>
  <c r="L74" i="12"/>
  <c r="I73" i="12"/>
  <c r="K75" i="12" l="1"/>
  <c r="L75" i="12" s="1"/>
  <c r="I74" i="12"/>
  <c r="K76" i="12" l="1"/>
  <c r="L76" i="12" s="1"/>
  <c r="I75" i="12"/>
  <c r="I76" i="12" l="1"/>
  <c r="K77" i="12"/>
  <c r="L77" i="12" s="1"/>
  <c r="I77" i="12" l="1"/>
  <c r="K78" i="12"/>
  <c r="L78" i="12"/>
  <c r="K79" i="12" l="1"/>
  <c r="I78" i="12"/>
  <c r="L79" i="12"/>
  <c r="I79" i="12" l="1"/>
  <c r="K80" i="12"/>
  <c r="L80" i="12" s="1"/>
  <c r="I80" i="12" l="1"/>
  <c r="K81" i="12"/>
  <c r="L81" i="12" s="1"/>
  <c r="I81" i="12" l="1"/>
  <c r="K82" i="12"/>
  <c r="L82" i="12" s="1"/>
  <c r="K83" i="12" l="1"/>
  <c r="I82" i="12"/>
  <c r="L83" i="12"/>
  <c r="I83" i="12" l="1"/>
  <c r="K84" i="12"/>
  <c r="L84" i="12" s="1"/>
  <c r="K85" i="12" l="1"/>
  <c r="L85" i="12"/>
  <c r="I84" i="12"/>
  <c r="K86" i="12" l="1"/>
  <c r="L86" i="12" s="1"/>
  <c r="I85" i="12"/>
  <c r="K87" i="12" l="1"/>
  <c r="L87" i="12" s="1"/>
  <c r="I86" i="12"/>
  <c r="I87" i="12" l="1"/>
  <c r="K88" i="12"/>
  <c r="L88" i="12" s="1"/>
  <c r="K89" i="12" l="1"/>
  <c r="I88" i="12"/>
  <c r="L89" i="12"/>
  <c r="K90" i="12" l="1"/>
  <c r="L90" i="12" s="1"/>
  <c r="I89" i="12"/>
  <c r="K91" i="12" l="1"/>
  <c r="L91" i="12" s="1"/>
  <c r="I90" i="12"/>
  <c r="K92" i="12" l="1"/>
  <c r="L92" i="12"/>
  <c r="I91" i="12"/>
  <c r="K93" i="12" l="1"/>
  <c r="I92" i="12"/>
  <c r="L93" i="12"/>
  <c r="K94" i="12" l="1"/>
  <c r="L94" i="12" s="1"/>
  <c r="I93" i="12"/>
  <c r="K95" i="12" l="1"/>
  <c r="L95" i="12" s="1"/>
  <c r="I94" i="12"/>
  <c r="I95" i="12" l="1"/>
  <c r="K96" i="12"/>
  <c r="L96" i="12" s="1"/>
  <c r="K97" i="12" l="1"/>
  <c r="I96" i="12"/>
  <c r="L97" i="12"/>
  <c r="K98" i="12" l="1"/>
  <c r="L98" i="12" s="1"/>
  <c r="I97" i="12"/>
  <c r="I98" i="12" l="1"/>
  <c r="K99" i="12"/>
  <c r="L99" i="12" s="1"/>
  <c r="K100" i="12" l="1"/>
  <c r="L100" i="12" s="1"/>
  <c r="I99" i="12"/>
  <c r="K101" i="12" l="1"/>
  <c r="I100" i="12"/>
  <c r="L101" i="12"/>
  <c r="K102" i="12" l="1"/>
  <c r="L102" i="12" s="1"/>
  <c r="I101" i="12"/>
  <c r="K103" i="12" l="1"/>
  <c r="L103" i="12" s="1"/>
  <c r="I102" i="12"/>
  <c r="K104" i="12" l="1"/>
  <c r="L104" i="12" s="1"/>
  <c r="I103" i="12"/>
  <c r="K105" i="12" l="1"/>
  <c r="I104" i="12"/>
  <c r="L105" i="12"/>
  <c r="K106" i="12" l="1"/>
  <c r="L106" i="12" s="1"/>
  <c r="I105" i="12"/>
  <c r="K107" i="12" l="1"/>
  <c r="L107" i="12" s="1"/>
  <c r="I106" i="12"/>
  <c r="I107" i="12" l="1"/>
  <c r="K108" i="12"/>
  <c r="L108" i="12" s="1"/>
  <c r="K109" i="12" l="1"/>
  <c r="I108" i="12"/>
  <c r="L109" i="12"/>
  <c r="K110" i="12" l="1"/>
  <c r="L110" i="12" s="1"/>
  <c r="I109" i="12"/>
  <c r="K111" i="12" l="1"/>
  <c r="L111" i="12" s="1"/>
  <c r="I110" i="12"/>
  <c r="K112" i="12" l="1"/>
  <c r="L112" i="12" s="1"/>
  <c r="I111" i="12"/>
  <c r="K113" i="12" l="1"/>
  <c r="I112" i="12"/>
  <c r="L113" i="12"/>
  <c r="K114" i="12" l="1"/>
  <c r="L114" i="12" s="1"/>
  <c r="I113" i="12"/>
  <c r="I114" i="12" l="1"/>
  <c r="K115" i="12"/>
  <c r="L115" i="12" s="1"/>
  <c r="I115" i="12" l="1"/>
  <c r="K116" i="12"/>
  <c r="L116" i="12" s="1"/>
  <c r="K117" i="12" l="1"/>
  <c r="I116" i="12"/>
  <c r="L117" i="12"/>
  <c r="K118" i="12" l="1"/>
  <c r="L118" i="12" s="1"/>
  <c r="I117" i="12"/>
  <c r="K119" i="12" l="1"/>
  <c r="L119" i="12" s="1"/>
  <c r="I118" i="12"/>
  <c r="K120" i="12" l="1"/>
  <c r="L120" i="12" s="1"/>
  <c r="I119" i="12"/>
  <c r="K121" i="12" l="1"/>
  <c r="I120" i="12"/>
  <c r="L121" i="12"/>
  <c r="K122" i="12" l="1"/>
  <c r="L122" i="12" s="1"/>
  <c r="I121" i="12"/>
  <c r="I122" i="12" l="1"/>
  <c r="K123" i="12"/>
  <c r="L123" i="12" s="1"/>
  <c r="K124" i="12" l="1"/>
  <c r="I123" i="12"/>
  <c r="L124" i="12"/>
  <c r="K125" i="12" l="1"/>
  <c r="I124" i="12"/>
  <c r="L125" i="12"/>
  <c r="K126" i="12" l="1"/>
  <c r="L126" i="12" s="1"/>
  <c r="I125" i="12"/>
  <c r="K127" i="12" l="1"/>
  <c r="L127" i="12" s="1"/>
  <c r="I126" i="12"/>
  <c r="I127" i="12" l="1"/>
  <c r="K128" i="12"/>
  <c r="L128" i="12" s="1"/>
  <c r="K129" i="12" l="1"/>
  <c r="I128" i="12"/>
  <c r="L129" i="12"/>
  <c r="K130" i="12" l="1"/>
  <c r="L130" i="12" s="1"/>
  <c r="I129" i="12"/>
  <c r="I130" i="12" l="1"/>
  <c r="K131" i="12"/>
  <c r="L131" i="12" s="1"/>
  <c r="K132" i="12" l="1"/>
  <c r="K133" i="12" s="1"/>
  <c r="I131" i="12"/>
  <c r="L132" i="12"/>
  <c r="I132" i="12" s="1"/>
  <c r="P34" i="4" l="1"/>
  <c r="P18" i="4" l="1"/>
  <c r="D9" i="4"/>
  <c r="E9" i="4"/>
  <c r="F9" i="4"/>
  <c r="G9" i="4"/>
  <c r="H9" i="4"/>
  <c r="I9" i="4"/>
  <c r="J9" i="4"/>
  <c r="K9" i="4"/>
  <c r="L9" i="4"/>
  <c r="M9" i="4"/>
  <c r="N9" i="4"/>
  <c r="O9" i="4"/>
  <c r="D24" i="2" l="1"/>
  <c r="D22" i="2"/>
  <c r="D15" i="10" l="1"/>
  <c r="B5" i="5" l="1"/>
  <c r="C90" i="7" l="1"/>
  <c r="C83" i="7"/>
  <c r="C86" i="7" s="1"/>
  <c r="K25" i="4"/>
  <c r="L25" i="4"/>
  <c r="M25" i="4"/>
  <c r="N25" i="4"/>
  <c r="O25" i="4"/>
  <c r="C92" i="7" l="1"/>
  <c r="C94" i="7" s="1"/>
  <c r="C96" i="7" s="1"/>
  <c r="J25" i="4"/>
  <c r="D36" i="4" l="1"/>
  <c r="E23" i="2" l="1"/>
  <c r="O65" i="11" l="1"/>
  <c r="O75" i="11" s="1"/>
  <c r="O48" i="11" s="1"/>
  <c r="S48" i="11" s="1"/>
  <c r="S63" i="11"/>
  <c r="S61" i="11"/>
  <c r="S59" i="11"/>
  <c r="S65" i="11" s="1"/>
  <c r="H51" i="11"/>
  <c r="F51" i="11"/>
  <c r="M49" i="11"/>
  <c r="M48" i="11"/>
  <c r="B48" i="11"/>
  <c r="B49" i="11" s="1"/>
  <c r="B51" i="11" s="1"/>
  <c r="M47" i="11"/>
  <c r="B47" i="11"/>
  <c r="M46" i="11"/>
  <c r="S67" i="11" l="1"/>
  <c r="S69" i="11" s="1"/>
  <c r="O46" i="11"/>
  <c r="S46" i="11" s="1"/>
  <c r="O47" i="11"/>
  <c r="S47" i="11" s="1"/>
  <c r="S71" i="11" l="1"/>
  <c r="S73" i="11" s="1"/>
  <c r="S75" i="11" s="1"/>
  <c r="O49" i="11" s="1"/>
  <c r="S49" i="11" s="1"/>
  <c r="S51" i="11" s="1"/>
  <c r="C70" i="7" l="1"/>
  <c r="C63" i="7"/>
  <c r="C66" i="7" s="1"/>
  <c r="D56" i="6"/>
  <c r="D61" i="6"/>
  <c r="D54" i="6"/>
  <c r="D64" i="6" s="1"/>
  <c r="D66" i="6" s="1"/>
  <c r="C72" i="7" l="1"/>
  <c r="C74" i="7" s="1"/>
  <c r="C76" i="7" s="1"/>
  <c r="A45" i="6" l="1"/>
  <c r="A46" i="6" s="1"/>
  <c r="A47" i="6" s="1"/>
  <c r="A48" i="6" s="1"/>
  <c r="A49" i="6" s="1"/>
  <c r="A50" i="6" s="1"/>
  <c r="A51" i="6" s="1"/>
  <c r="L36" i="4"/>
  <c r="M36" i="4" s="1"/>
  <c r="N36" i="4" s="1"/>
  <c r="O36" i="4" s="1"/>
  <c r="A52" i="6" l="1"/>
  <c r="A53" i="6" s="1"/>
  <c r="A54" i="6" s="1"/>
  <c r="A58" i="6" s="1"/>
  <c r="A60" i="6" s="1"/>
  <c r="P30" i="4" l="1"/>
  <c r="C21" i="2" l="1"/>
  <c r="C22" i="2"/>
  <c r="C23" i="2"/>
  <c r="C24" i="2"/>
  <c r="C25" i="2"/>
  <c r="C26" i="2"/>
  <c r="C27" i="2"/>
  <c r="C20" i="2"/>
  <c r="F20" i="2" s="1"/>
  <c r="G18" i="5" l="1"/>
  <c r="P7" i="4" l="1"/>
  <c r="G20" i="5" s="1"/>
  <c r="D41" i="4" l="1"/>
  <c r="C50" i="7"/>
  <c r="C43" i="7"/>
  <c r="C46" i="7" s="1"/>
  <c r="C52" i="7" l="1"/>
  <c r="C54" i="7" s="1"/>
  <c r="C56" i="7" s="1"/>
  <c r="P32" i="4"/>
  <c r="D22" i="6" l="1"/>
  <c r="D15" i="6" l="1"/>
  <c r="P11" i="4" l="1"/>
  <c r="H36" i="4"/>
  <c r="I36" i="4"/>
  <c r="E36" i="4"/>
  <c r="G36" i="4"/>
  <c r="F36" i="4"/>
  <c r="D17" i="6"/>
  <c r="D43" i="4" l="1"/>
  <c r="D25" i="6" l="1"/>
  <c r="D27" i="6"/>
  <c r="G23" i="3" l="1"/>
  <c r="O27" i="4" l="1"/>
  <c r="O28" i="4" s="1"/>
  <c r="D16" i="9"/>
  <c r="C31" i="7" l="1"/>
  <c r="C24" i="7"/>
  <c r="C27" i="7" s="1"/>
  <c r="C33" i="7" l="1"/>
  <c r="C35" i="7" s="1"/>
  <c r="C37" i="7"/>
  <c r="J41" i="4" l="1"/>
  <c r="P36" i="4"/>
  <c r="P24" i="4"/>
  <c r="P15" i="4"/>
  <c r="C20" i="3" s="1"/>
  <c r="G20" i="3" s="1"/>
  <c r="P16" i="4"/>
  <c r="P17" i="4"/>
  <c r="P19" i="4"/>
  <c r="P20" i="4"/>
  <c r="P21" i="4"/>
  <c r="P22" i="4"/>
  <c r="P23" i="4"/>
  <c r="P14" i="4"/>
  <c r="D25" i="4"/>
  <c r="D27" i="4" s="1"/>
  <c r="D28" i="4" l="1"/>
  <c r="D45" i="4" s="1"/>
  <c r="P8" i="4"/>
  <c r="H41" i="4" l="1"/>
  <c r="H43" i="4" s="1"/>
  <c r="H25" i="4"/>
  <c r="H27" i="4" s="1"/>
  <c r="H28" i="4" s="1"/>
  <c r="H45" i="4" s="1"/>
  <c r="G41" i="4"/>
  <c r="G43" i="4" s="1"/>
  <c r="G25" i="4"/>
  <c r="G27" i="4" s="1"/>
  <c r="G28" i="4" s="1"/>
  <c r="F41" i="4"/>
  <c r="F43" i="4" s="1"/>
  <c r="F25" i="4"/>
  <c r="D47" i="4"/>
  <c r="D50" i="4" s="1"/>
  <c r="E25" i="4"/>
  <c r="E41" i="4"/>
  <c r="G45" i="4" l="1"/>
  <c r="G47" i="4"/>
  <c r="E43" i="4"/>
  <c r="E27" i="4"/>
  <c r="E28" i="4" s="1"/>
  <c r="E45" i="4" s="1"/>
  <c r="F27" i="4"/>
  <c r="F28" i="4" l="1"/>
  <c r="E47" i="4"/>
  <c r="C15" i="10"/>
  <c r="F45" i="4" l="1"/>
  <c r="F47" i="4" s="1"/>
  <c r="E50" i="4"/>
  <c r="A3" i="4"/>
  <c r="F50" i="4" l="1"/>
  <c r="C11" i="3"/>
  <c r="G11" i="3" s="1"/>
  <c r="C19" i="3"/>
  <c r="G19" i="3" s="1"/>
  <c r="O41" i="4"/>
  <c r="O43" i="4" s="1"/>
  <c r="O45" i="4" s="1"/>
  <c r="N41" i="4"/>
  <c r="M41" i="4"/>
  <c r="L41" i="4"/>
  <c r="K27" i="4"/>
  <c r="K28" i="4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5" i="4"/>
  <c r="I27" i="4" s="1"/>
  <c r="I28" i="4" s="1"/>
  <c r="O47" i="4" l="1"/>
  <c r="G50" i="4"/>
  <c r="M27" i="4"/>
  <c r="M28" i="4" s="1"/>
  <c r="C30" i="3"/>
  <c r="G30" i="3" s="1"/>
  <c r="L27" i="4"/>
  <c r="L28" i="4" s="1"/>
  <c r="K41" i="4"/>
  <c r="K43" i="4" s="1"/>
  <c r="K45" i="4" s="1"/>
  <c r="N27" i="4"/>
  <c r="N28" i="4" s="1"/>
  <c r="N43" i="4"/>
  <c r="C12" i="3"/>
  <c r="G12" i="3" s="1"/>
  <c r="I41" i="4"/>
  <c r="P41" i="4" s="1"/>
  <c r="L43" i="4"/>
  <c r="M43" i="4"/>
  <c r="L45" i="4" l="1"/>
  <c r="N45" i="4"/>
  <c r="N47" i="4" s="1"/>
  <c r="M45" i="4"/>
  <c r="M47" i="4" s="1"/>
  <c r="L47" i="4"/>
  <c r="G22" i="3"/>
  <c r="C31" i="3"/>
  <c r="G11" i="1"/>
  <c r="I43" i="4"/>
  <c r="I45" i="4" s="1"/>
  <c r="P25" i="4"/>
  <c r="G31" i="3" l="1"/>
  <c r="E38" i="3" s="1"/>
  <c r="I47" i="4"/>
  <c r="C29" i="3"/>
  <c r="G29" i="3" s="1"/>
  <c r="J27" i="4"/>
  <c r="J43" i="4"/>
  <c r="P43" i="4" s="1"/>
  <c r="K47" i="4"/>
  <c r="P27" i="4" l="1"/>
  <c r="G24" i="3" s="1"/>
  <c r="J28" i="4"/>
  <c r="J45" i="4" s="1"/>
  <c r="B38" i="3"/>
  <c r="E39" i="3"/>
  <c r="E40" i="3" s="1"/>
  <c r="B39" i="3"/>
  <c r="G9" i="1"/>
  <c r="P45" i="4" l="1"/>
  <c r="P28" i="4"/>
  <c r="P50" i="4" s="1"/>
  <c r="C39" i="3"/>
  <c r="C38" i="3"/>
  <c r="G25" i="3" l="1"/>
  <c r="G26" i="3" s="1"/>
  <c r="G33" i="3" s="1"/>
  <c r="G13" i="1" s="1"/>
  <c r="G19" i="1" s="1"/>
  <c r="J47" i="4"/>
  <c r="G21" i="1" l="1"/>
  <c r="G29" i="1" s="1"/>
  <c r="A11" i="9"/>
  <c r="D23" i="9" l="1"/>
  <c r="D27" i="9" s="1"/>
  <c r="D29" i="9" s="1"/>
  <c r="A8" i="6" l="1"/>
  <c r="A9" i="6" s="1"/>
  <c r="A10" i="6" s="1"/>
  <c r="A11" i="6" s="1"/>
  <c r="A12" i="6" s="1"/>
  <c r="A13" i="6" s="1"/>
  <c r="A14" i="6" s="1"/>
  <c r="A15" i="6" s="1"/>
  <c r="A19" i="6" s="1"/>
  <c r="C13" i="7" l="1"/>
  <c r="C6" i="7"/>
  <c r="C9" i="7" s="1"/>
  <c r="C15" i="7" l="1"/>
  <c r="C17" i="7" s="1"/>
  <c r="C19" i="7" s="1"/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5" i="1" l="1"/>
  <c r="A10" i="5" l="1"/>
  <c r="A11" i="5" s="1"/>
  <c r="A12" i="5" s="1"/>
  <c r="A13" i="5" s="1"/>
  <c r="A14" i="5" s="1"/>
  <c r="A15" i="5" s="1"/>
  <c r="A16" i="5" s="1"/>
  <c r="A18" i="5" l="1"/>
  <c r="A21" i="6"/>
  <c r="B34" i="11"/>
  <c r="B36" i="11" s="1"/>
  <c r="B38" i="11" s="1"/>
  <c r="O28" i="11"/>
  <c r="O38" i="11" s="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S28" i="11"/>
  <c r="S30" i="11" s="1"/>
  <c r="S32" i="11" s="1"/>
  <c r="S34" i="11" s="1"/>
  <c r="O11" i="11"/>
  <c r="S11" i="11" s="1"/>
  <c r="O9" i="11"/>
  <c r="O10" i="11"/>
  <c r="S10" i="11" s="1"/>
  <c r="H14" i="11"/>
  <c r="S9" i="11" l="1"/>
  <c r="S36" i="11"/>
  <c r="S38" i="11" s="1"/>
  <c r="O12" i="11" s="1"/>
  <c r="S12" i="11" s="1"/>
  <c r="S14" i="11" s="1"/>
  <c r="I27" i="2" l="1"/>
  <c r="F27" i="2"/>
  <c r="I26" i="2"/>
  <c r="F26" i="2"/>
  <c r="I25" i="2"/>
  <c r="F24" i="2"/>
  <c r="I23" i="2"/>
  <c r="F23" i="2"/>
  <c r="F22" i="2"/>
  <c r="D29" i="2"/>
  <c r="I21" i="2"/>
  <c r="F21" i="2"/>
  <c r="I20" i="2"/>
  <c r="G22" i="5"/>
  <c r="G35" i="1" s="1"/>
  <c r="D39" i="1" l="1"/>
  <c r="D38" i="1"/>
  <c r="F25" i="2"/>
  <c r="F29" i="2" s="1"/>
  <c r="C29" i="2"/>
  <c r="G9" i="2" l="1"/>
  <c r="D40" i="1" l="1"/>
  <c r="H9" i="2" l="1"/>
  <c r="H20" i="2" s="1"/>
  <c r="G20" i="2"/>
  <c r="H25" i="2" l="1"/>
  <c r="G21" i="2"/>
  <c r="G27" i="2"/>
  <c r="G26" i="2"/>
  <c r="G24" i="2"/>
  <c r="I24" i="2" s="1"/>
  <c r="G23" i="2"/>
  <c r="G22" i="2"/>
  <c r="I22" i="2" s="1"/>
  <c r="G25" i="2"/>
  <c r="H27" i="2"/>
  <c r="I9" i="2"/>
  <c r="H24" i="2"/>
  <c r="K24" i="2" s="1"/>
  <c r="H22" i="2"/>
  <c r="K22" i="2" s="1"/>
  <c r="H21" i="2"/>
  <c r="H26" i="2"/>
  <c r="H23" i="2"/>
  <c r="K25" i="2" l="1"/>
  <c r="M25" i="2" s="1"/>
  <c r="N25" i="2" s="1"/>
  <c r="K21" i="2"/>
  <c r="M21" i="2" s="1"/>
  <c r="N21" i="2" s="1"/>
  <c r="K20" i="2"/>
  <c r="M20" i="2" s="1"/>
  <c r="K23" i="2"/>
  <c r="M23" i="2" s="1"/>
  <c r="N23" i="2" s="1"/>
  <c r="K27" i="2"/>
  <c r="M27" i="2" s="1"/>
  <c r="N27" i="2" s="1"/>
  <c r="M24" i="2"/>
  <c r="N24" i="2" s="1"/>
  <c r="K26" i="2"/>
  <c r="M26" i="2" s="1"/>
  <c r="N26" i="2" s="1"/>
  <c r="G29" i="2"/>
  <c r="M22" i="2"/>
  <c r="N22" i="2" s="1"/>
  <c r="H29" i="2"/>
  <c r="N20" i="2" l="1"/>
  <c r="N29" i="2" s="1"/>
  <c r="M29" i="2"/>
  <c r="H47" i="4" l="1"/>
  <c r="P9" i="4"/>
  <c r="P47" i="4" l="1"/>
  <c r="H50" i="4"/>
  <c r="I50" i="4" l="1"/>
  <c r="J50" i="4" l="1"/>
  <c r="K50" i="4" s="1"/>
  <c r="L50" i="4" l="1"/>
  <c r="M50" i="4" l="1"/>
  <c r="N50" i="4" l="1"/>
  <c r="O50" i="4" s="1"/>
</calcChain>
</file>

<file path=xl/sharedStrings.xml><?xml version="1.0" encoding="utf-8"?>
<sst xmlns="http://schemas.openxmlformats.org/spreadsheetml/2006/main" count="659" uniqueCount="316">
  <si>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</si>
  <si>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</si>
  <si>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</si>
  <si>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</si>
  <si>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</si>
  <si>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</si>
  <si>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</si>
  <si>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</si>
  <si>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</si>
  <si>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</si>
  <si>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</si>
  <si>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</si>
  <si>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</si>
  <si>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</si>
  <si>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</si>
  <si>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</si>
  <si>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</si>
  <si>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</si>
  <si>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</si>
  <si>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</si>
  <si>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</si>
  <si>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</si>
  <si>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</si>
  <si>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</si>
  <si>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</si>
  <si>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</si>
  <si>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</si>
  <si>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</si>
  <si>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</si>
  <si>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</si>
  <si>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</si>
  <si>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</si>
  <si>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</si>
  <si>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</si>
  <si>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</si>
  <si>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</si>
  <si>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</si>
  <si>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</si>
  <si>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</si>
  <si>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</si>
  <si>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</si>
  <si>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</si>
  <si>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</si>
  <si>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</si>
  <si>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</si>
  <si>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</si>
  <si>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</si>
  <si>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</si>
  <si>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</si>
  <si>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</si>
  <si>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</si>
  <si>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</si>
  <si>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</si>
  <si>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</si>
  <si>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</si>
  <si>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</si>
  <si>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</si>
  <si>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</si>
  <si>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</si>
  <si>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</si>
  <si>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</si>
  <si>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</si>
  <si>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</si>
  <si>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</si>
  <si>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</si>
  <si>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</si>
  <si>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</si>
  <si>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</si>
  <si>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</si>
  <si>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</si>
  <si>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</si>
  <si>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</si>
  <si>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</si>
  <si>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</si>
  <si>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</si>
  <si>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</si>
  <si>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</si>
  <si>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</si>
  <si>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</si>
  <si>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</si>
  <si>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</si>
  <si>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</si>
  <si>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</si>
  <si>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</si>
  <si>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</si>
  <si>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</si>
  <si>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</si>
  <si>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</si>
  <si>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</si>
  <si>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</si>
  <si>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</si>
  <si>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</si>
  <si>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</si>
  <si>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</si>
  <si>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</si>
  <si>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</si>
  <si>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</si>
  <si>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</si>
  <si>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</si>
  <si>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</si>
  <si>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</si>
  <si>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</si>
  <si>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</si>
  <si>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</si>
  <si>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</si>
  <si>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</si>
  <si>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</si>
  <si>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</si>
  <si>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</si>
  <si>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</si>
  <si>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</si>
  <si>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</si>
  <si>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</si>
  <si>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</si>
  <si>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</si>
  <si>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</si>
  <si>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</si>
  <si>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</si>
  <si>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</si>
  <si>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</si>
  <si>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</si>
  <si>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</si>
  <si>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</si>
  <si>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</si>
  <si>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</si>
  <si>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</si>
  <si>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</si>
  <si>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</si>
  <si>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</si>
  <si>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</si>
  <si>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</si>
  <si>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</si>
  <si>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</si>
  <si>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</si>
  <si>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</si>
  <si>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</si>
  <si>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</si>
  <si>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</si>
  <si>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</si>
  <si>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</si>
  <si>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</si>
  <si>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</si>
  <si>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</si>
  <si>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</si>
  <si>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</si>
  <si>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</si>
  <si>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</si>
  <si>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</si>
  <si>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</si>
  <si>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</si>
  <si>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</si>
  <si>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</si>
  <si>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</si>
  <si>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</si>
  <si>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</si>
  <si>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</si>
  <si>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</si>
  <si>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</si>
  <si>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</si>
  <si>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</si>
  <si>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</si>
  <si>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</si>
  <si>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</si>
  <si>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</si>
  <si>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</si>
  <si>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</si>
  <si>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</si>
  <si>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>13 Month Average Common Equity</t>
  </si>
  <si>
    <t xml:space="preserve">Kentucky Power Company </t>
  </si>
  <si>
    <t>Non-Rockport PPA Base Rate Amount - Form 5.0 (Based on No. of Months)</t>
  </si>
  <si>
    <t>Incremental PJM LSE OATT</t>
  </si>
  <si>
    <t>PJM LSE OATT To be included in PPA</t>
  </si>
  <si>
    <t xml:space="preserve"> 2023 Rockport Offset Calculation</t>
  </si>
  <si>
    <t>Net GAAP Income Increase Required to Earn Allowed Retail ROE</t>
  </si>
  <si>
    <t>12 Month Net GAAP Income</t>
  </si>
  <si>
    <t>Rockport Fixed Cost Savings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</si>
  <si>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</si>
  <si>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</si>
  <si>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</si>
  <si>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</si>
  <si>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</si>
  <si>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</si>
  <si>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</si>
  <si>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</si>
  <si>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</si>
  <si>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Fixed Cost Savings (Dec 9, 2022+)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</si>
  <si>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</si>
  <si>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</si>
  <si>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</si>
  <si>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</si>
  <si>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</si>
  <si>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 xml:space="preserve">  $5 million in 2020, $10 million in 2021 and 2022</t>
  </si>
  <si>
    <t>TO WACC @ 9.70 ROE</t>
  </si>
  <si>
    <t>TO WACC @ 10.35 ROE</t>
  </si>
  <si>
    <t>Forced Outage Purchase Power Limitation Base Amount - Acct 555</t>
  </si>
  <si>
    <t>NA This Filing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</si>
  <si>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</si>
  <si>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</si>
  <si>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</si>
  <si>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</si>
  <si>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</si>
  <si>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</si>
  <si>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</si>
  <si>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</si>
  <si>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</si>
  <si>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</si>
  <si>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</si>
  <si>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</si>
  <si>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</si>
  <si>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</si>
  <si>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</si>
  <si>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</si>
  <si>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</si>
  <si>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</si>
  <si>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</si>
  <si>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</si>
  <si>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</si>
  <si>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</si>
  <si>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</si>
  <si>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</si>
  <si>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</si>
  <si>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</si>
  <si>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</si>
  <si>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</si>
  <si>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</si>
  <si>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</si>
  <si>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</si>
  <si>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</si>
  <si>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</si>
  <si>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</si>
  <si>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</si>
  <si>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</si>
  <si>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</si>
  <si>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</si>
  <si>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</si>
  <si>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</si>
  <si>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</si>
  <si>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</si>
  <si>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</si>
  <si>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Biling units are 12 months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</si>
  <si>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</si>
  <si>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</si>
  <si>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</si>
  <si>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</si>
  <si>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</si>
  <si>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</si>
  <si>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</si>
  <si>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</si>
  <si>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</si>
  <si>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</si>
  <si>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</si>
  <si>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</si>
  <si>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</si>
  <si>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</si>
  <si>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</si>
  <si>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</si>
  <si>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Purchase Power Adjustment</t>
  </si>
  <si>
    <t>Calculated Going Level PPA Revenue Requirement (Line 11 - Line 12 + Line 13)</t>
  </si>
  <si>
    <r>
      <t>Recovery of Declining Deferral of Rockport Costs</t>
    </r>
    <r>
      <rPr>
        <b/>
        <sz val="10"/>
        <color rgb="FFFF0000"/>
        <rFont val="Arial"/>
        <family val="2"/>
      </rPr>
      <t xml:space="preserve"> (UPDATE Every January through 2022)</t>
    </r>
  </si>
  <si>
    <t>accounting file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</si>
  <si>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</si>
  <si>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</si>
  <si>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</si>
  <si>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</si>
  <si>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</si>
  <si>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</si>
  <si>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Incremental PJM LSE OATT*</t>
  </si>
  <si>
    <t>Notes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</si>
  <si>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</si>
  <si>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</si>
  <si>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</si>
  <si>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</si>
  <si>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</si>
  <si>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</si>
  <si>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Less State Income Taxes (Ln 4 x 5.8545)</t>
  </si>
  <si>
    <t>Taxable Income for Federal Income Taxes</t>
  </si>
  <si>
    <t>Less Federal Income Taxes (Ln 11*21%)</t>
  </si>
  <si>
    <t xml:space="preserve">                   3/31/2020*</t>
  </si>
  <si>
    <t>As provided in Appendix A, Page 3 of 3, by the Public Service Commission in Order dated January 13, 2021 in Case No. 2020-00174 and as amended by the March 17, 2021 Order.</t>
  </si>
  <si>
    <t>Gross-Up (Line 6 X .006093)</t>
  </si>
  <si>
    <t>* Previously 80% incremental recovery; now 100% incremental recovery as issued by the Public Service Commission in Order dated January 13, 2021 in Case No. 2020-00174</t>
  </si>
  <si>
    <t>2021 Tariff PPA Revenue Credit</t>
  </si>
  <si>
    <t>Recovery of Amortization of Interest Expense Deferral (October 2021-September 2022)</t>
  </si>
  <si>
    <t>Purchase Power VCS Credit</t>
  </si>
  <si>
    <t>12 -Month Period ended June 30, 2022</t>
  </si>
  <si>
    <t>Billing Energy</t>
  </si>
  <si>
    <t>Non-Rockport Current Period Revenue Requirement - Form 3.0</t>
  </si>
  <si>
    <t>Increase in Rockport Collection - Reduction of Amount of Rockport Base Rate Deferral (2020 - Dec 8, 2022)*</t>
  </si>
  <si>
    <t>Actual Operating Expenses for the 12 Month period ended June 30, 2022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</si>
  <si>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</si>
  <si>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</si>
  <si>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</si>
  <si>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</si>
  <si>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</si>
  <si>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</si>
  <si>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Actual Non-Rockport PPA Costs  12-Months Ended June 30, 2022 - Form 3.0</t>
  </si>
  <si>
    <t>Actual PPA Revenue Collected For  12-Months Ended June 30, 2022  from PPA  Form 4.0</t>
  </si>
  <si>
    <t>2022 OATT TCOS</t>
  </si>
  <si>
    <t xml:space="preserve">2022 OATT TCOS </t>
  </si>
  <si>
    <t>Rockport Savings-Offset</t>
  </si>
  <si>
    <t>Available Q1 2024</t>
  </si>
  <si>
    <t xml:space="preserve">Estimate - Q2 2022 Per Books as Reported SEC Kentucky Power Company
Actual - Q4 2023 Per Books as Reported SEC Kentucky Power Company </t>
  </si>
  <si>
    <t xml:space="preserve">
Estimate - Q2 2022 Per Books as Reported SEC Kentucky Power Company
Actual - Q4 2023 Per Books as Reported SEC Kentucky Power Company </t>
  </si>
  <si>
    <t>Commission Order in Case No. 2020-00174</t>
  </si>
  <si>
    <t>Jan 2018 - Jan 13 2021</t>
  </si>
  <si>
    <t>Jan 14 2021 - Current</t>
  </si>
  <si>
    <t>Monthly WACC</t>
  </si>
  <si>
    <t>January  2021 Prorate</t>
  </si>
  <si>
    <t>Based on 12 -Month Period ended June 30, 2022</t>
  </si>
  <si>
    <t>Summary of Changes to Form 1.0</t>
  </si>
  <si>
    <t>From August 2022 Filing</t>
  </si>
  <si>
    <t>As Filed
August 2022</t>
  </si>
  <si>
    <t>Adjustment</t>
  </si>
  <si>
    <t>Beginning December 9, 2022 (Annualized Basis)</t>
  </si>
  <si>
    <t>With Impact of the Rockport Fixed Cost Savings and the Estimated Rockport Offset As Approved in 2017 Settlement Agreement**</t>
  </si>
  <si>
    <t xml:space="preserve">Forecaseted replacement capacity costs is not included.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</si>
</sst>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  <numFmt numFmtId="183" formatCode="0.0%"/>
    <numFmt numFmtId="184" formatCode="_(&quot;$&quot;* #,##0.0_);_(&quot;$&quot;* \(#,##0.0\);_(&quot;$&quot;* &quot;-&quot;??_);_(@_)"/>
    <numFmt numFmtId="185" formatCode="0.00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vertAlign val="superscript"/>
      <sz val="14"/>
      <name val="Times New Roman"/>
      <family val="1"/>
    </font>
    <font>
      <vertAlign val="superscript"/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5" fillId="24" borderId="17" applyNumberFormat="0" applyFon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1" fillId="0" borderId="0"/>
  </cellStyleXfs>
  <cellXfs count="367">
    <xf numFmtId="0" fontId="0" fillId="0" borderId="0" xfId="0"/>
    <xf numFmtId="0" fontId="0" fillId="0" borderId="0" xfId="0" applyFill="1"/>
    <xf numFmtId="0" fontId="4" fillId="25" borderId="0" xfId="55" applyFill="1"/>
    <xf numFmtId="0" fontId="4" fillId="25" borderId="0" xfId="55" applyFill="1" applyAlignment="1">
      <alignment horizontal="center"/>
    </xf>
    <xf numFmtId="0" fontId="4" fillId="25" borderId="0" xfId="55" applyFont="1" applyFill="1"/>
    <xf numFmtId="0" fontId="4" fillId="25" borderId="0" xfId="55" applyFill="1" applyBorder="1" applyAlignment="1">
      <alignment horizontal="center"/>
    </xf>
    <xf numFmtId="0" fontId="4" fillId="25" borderId="0" xfId="55" applyFill="1" applyBorder="1"/>
    <xf numFmtId="49" fontId="6" fillId="25" borderId="22" xfId="56" applyNumberFormat="1" applyFill="1" applyBorder="1" applyAlignment="1">
      <alignment horizontal="center" wrapText="1"/>
    </xf>
    <xf numFmtId="49" fontId="6" fillId="25" borderId="4" xfId="56" applyNumberFormat="1" applyFill="1" applyBorder="1" applyAlignment="1">
      <alignment wrapText="1"/>
    </xf>
    <xf numFmtId="49" fontId="4" fillId="25" borderId="0" xfId="55" applyNumberFormat="1" applyFill="1" applyBorder="1" applyAlignment="1">
      <alignment horizontal="center" wrapText="1"/>
    </xf>
    <xf numFmtId="49" fontId="6" fillId="25" borderId="6" xfId="56" applyNumberFormat="1" applyFill="1" applyBorder="1" applyAlignment="1">
      <alignment horizontal="center" wrapText="1"/>
    </xf>
    <xf numFmtId="49" fontId="6" fillId="25" borderId="0" xfId="56" applyNumberFormat="1" applyFill="1" applyBorder="1" applyAlignment="1">
      <alignment wrapText="1"/>
    </xf>
    <xf numFmtId="0" fontId="6" fillId="25" borderId="0" xfId="56" applyFill="1" applyBorder="1"/>
    <xf numFmtId="0" fontId="6" fillId="25" borderId="0" xfId="56" applyFill="1" applyBorder="1" applyAlignment="1">
      <alignment horizontal="center"/>
    </xf>
    <xf numFmtId="0" fontId="6" fillId="25" borderId="25" xfId="56" applyFill="1" applyBorder="1" applyAlignment="1">
      <alignment horizontal="center"/>
    </xf>
    <xf numFmtId="0" fontId="6" fillId="25" borderId="4" xfId="56" applyFill="1" applyBorder="1"/>
    <xf numFmtId="0" fontId="0" fillId="25" borderId="24" xfId="56" applyFont="1" applyFill="1" applyBorder="1" applyAlignment="1">
      <alignment horizontal="center"/>
    </xf>
    <xf numFmtId="10" fontId="6" fillId="25" borderId="0" xfId="56" applyNumberFormat="1" applyFill="1" applyBorder="1"/>
    <xf numFmtId="10" fontId="4" fillId="25" borderId="0" xfId="55" applyNumberFormat="1" applyFill="1" applyBorder="1"/>
    <xf numFmtId="0" fontId="0" fillId="25" borderId="0" xfId="56" applyFont="1" applyFill="1" applyBorder="1" applyAlignment="1">
      <alignment horizontal="center"/>
    </xf>
    <xf numFmtId="176" fontId="4" fillId="25" borderId="0" xfId="55" applyNumberFormat="1" applyFill="1" applyBorder="1"/>
    <xf numFmtId="10" fontId="31" fillId="25" borderId="0" xfId="55" applyNumberFormat="1" applyFont="1" applyFill="1" applyBorder="1" applyAlignment="1">
      <alignment horizontal="center" wrapText="1"/>
    </xf>
    <xf numFmtId="0" fontId="0" fillId="25" borderId="26" xfId="56" applyFont="1" applyFill="1" applyBorder="1" applyAlignment="1">
      <alignment horizontal="center"/>
    </xf>
    <xf numFmtId="0" fontId="6" fillId="25" borderId="9" xfId="56" applyFill="1" applyBorder="1"/>
    <xf numFmtId="0" fontId="4" fillId="25" borderId="6" xfId="55" applyFill="1" applyBorder="1" applyAlignment="1">
      <alignment horizontal="center"/>
    </xf>
    <xf numFmtId="0" fontId="6" fillId="25" borderId="0" xfId="56" applyFill="1"/>
    <xf numFmtId="0" fontId="4" fillId="25" borderId="0" xfId="56" applyFont="1" applyFill="1"/>
    <xf numFmtId="0" fontId="4" fillId="25" borderId="0" xfId="55" applyFont="1" applyFill="1" applyAlignment="1">
      <alignment horizontal="center"/>
    </xf>
    <xf numFmtId="0" fontId="6" fillId="25" borderId="0" xfId="56" applyFill="1" applyAlignment="1">
      <alignment horizontal="center"/>
    </xf>
    <xf numFmtId="0" fontId="6" fillId="25" borderId="0" xfId="56" applyFill="1" applyAlignment="1">
      <alignment horizontal="right"/>
    </xf>
    <xf numFmtId="0" fontId="4" fillId="25" borderId="0" xfId="56" applyFont="1" applyFill="1" applyAlignment="1">
      <alignment horizontal="center"/>
    </xf>
    <xf numFmtId="0" fontId="4" fillId="25" borderId="0" xfId="56" applyFont="1" applyFill="1" applyAlignment="1">
      <alignment horizontal="right"/>
    </xf>
    <xf numFmtId="0" fontId="31" fillId="25" borderId="0" xfId="56" applyFont="1" applyFill="1" applyBorder="1" applyAlignment="1">
      <alignment horizontal="center"/>
    </xf>
    <xf numFmtId="37" fontId="4" fillId="25" borderId="0" xfId="56" applyNumberFormat="1" applyFont="1" applyFill="1" applyBorder="1" applyAlignment="1">
      <alignment horizontal="center"/>
    </xf>
    <xf numFmtId="0" fontId="4" fillId="25" borderId="0" xfId="56" applyFont="1" applyFill="1" applyBorder="1"/>
    <xf numFmtId="0" fontId="4" fillId="0" borderId="0" xfId="0" applyFont="1" applyFill="1" applyAlignment="1">
      <alignment horizontal="left"/>
    </xf>
    <xf numFmtId="9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1" fillId="0" borderId="0" xfId="787" applyFont="1" applyFill="1"/>
    <xf numFmtId="0" fontId="31" fillId="0" borderId="0" xfId="0" applyFont="1" applyFill="1"/>
    <xf numFmtId="38" fontId="4" fillId="0" borderId="0" xfId="0" applyNumberFormat="1" applyFont="1" applyFill="1"/>
    <xf numFmtId="43" fontId="4" fillId="0" borderId="0" xfId="1" applyFont="1" applyFill="1"/>
    <xf numFmtId="0" fontId="39" fillId="0" borderId="0" xfId="0" applyFont="1" applyFill="1"/>
    <xf numFmtId="0" fontId="37" fillId="0" borderId="0" xfId="0" applyFont="1" applyFill="1"/>
    <xf numFmtId="43" fontId="4" fillId="0" borderId="0" xfId="0" applyNumberFormat="1" applyFont="1" applyFill="1"/>
    <xf numFmtId="0" fontId="40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40" fontId="4" fillId="0" borderId="0" xfId="788" applyNumberFormat="1" applyFont="1" applyFill="1" applyBorder="1"/>
    <xf numFmtId="40" fontId="32" fillId="0" borderId="0" xfId="0" applyNumberFormat="1" applyFont="1" applyFill="1" applyAlignment="1">
      <alignment horizontal="center"/>
    </xf>
    <xf numFmtId="44" fontId="4" fillId="0" borderId="0" xfId="3" applyFont="1" applyFill="1" applyBorder="1"/>
    <xf numFmtId="0" fontId="4" fillId="0" borderId="0" xfId="0" applyFont="1" applyFill="1" applyAlignment="1"/>
    <xf numFmtId="44" fontId="4" fillId="0" borderId="0" xfId="0" applyNumberFormat="1" applyFont="1" applyFill="1"/>
    <xf numFmtId="40" fontId="4" fillId="0" borderId="0" xfId="0" applyNumberFormat="1" applyFont="1" applyFill="1"/>
    <xf numFmtId="0" fontId="4" fillId="0" borderId="2" xfId="787" applyFont="1" applyFill="1" applyBorder="1"/>
    <xf numFmtId="0" fontId="4" fillId="0" borderId="2" xfId="0" applyFont="1" applyFill="1" applyBorder="1"/>
    <xf numFmtId="43" fontId="4" fillId="0" borderId="2" xfId="0" applyNumberFormat="1" applyFont="1" applyFill="1" applyBorder="1"/>
    <xf numFmtId="0" fontId="4" fillId="0" borderId="0" xfId="787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171" fontId="4" fillId="0" borderId="0" xfId="54" applyNumberFormat="1" applyFont="1" applyFill="1"/>
    <xf numFmtId="185" fontId="4" fillId="0" borderId="0" xfId="785" applyNumberFormat="1" applyFont="1" applyFill="1"/>
    <xf numFmtId="0" fontId="4" fillId="26" borderId="0" xfId="55" applyFont="1" applyFill="1"/>
    <xf numFmtId="0" fontId="4" fillId="26" borderId="0" xfId="56" applyFont="1" applyFill="1" applyAlignment="1">
      <alignment horizontal="center"/>
    </xf>
    <xf numFmtId="0" fontId="4" fillId="26" borderId="0" xfId="56" applyFont="1" applyFill="1"/>
    <xf numFmtId="0" fontId="4" fillId="26" borderId="0" xfId="56" applyFont="1" applyFill="1" applyAlignment="1">
      <alignment horizontal="right"/>
    </xf>
    <xf numFmtId="49" fontId="6" fillId="25" borderId="20" xfId="56" applyNumberFormat="1" applyFill="1" applyBorder="1" applyAlignment="1">
      <alignment horizontal="center" wrapText="1"/>
    </xf>
    <xf numFmtId="49" fontId="6" fillId="25" borderId="23" xfId="56" applyNumberFormat="1" applyFill="1" applyBorder="1" applyAlignment="1">
      <alignment wrapText="1"/>
    </xf>
    <xf numFmtId="49" fontId="6" fillId="25" borderId="23" xfId="56" applyNumberFormat="1" applyFill="1" applyBorder="1" applyAlignment="1">
      <alignment horizontal="center" wrapText="1"/>
    </xf>
    <xf numFmtId="49" fontId="6" fillId="25" borderId="22" xfId="56" applyNumberFormat="1" applyFill="1" applyBorder="1" applyAlignment="1">
      <alignment wrapText="1"/>
    </xf>
    <xf numFmtId="0" fontId="6" fillId="25" borderId="23" xfId="56" applyFill="1" applyBorder="1"/>
    <xf numFmtId="0" fontId="6" fillId="25" borderId="23" xfId="56" applyFill="1" applyBorder="1" applyAlignment="1">
      <alignment horizontal="center"/>
    </xf>
    <xf numFmtId="49" fontId="6" fillId="25" borderId="21" xfId="56" applyNumberFormat="1" applyFill="1" applyBorder="1" applyAlignment="1">
      <alignment horizontal="center" wrapText="1"/>
    </xf>
    <xf numFmtId="49" fontId="6" fillId="25" borderId="0" xfId="56" applyNumberFormat="1" applyFill="1" applyBorder="1" applyAlignment="1">
      <alignment horizontal="center" wrapText="1"/>
    </xf>
    <xf numFmtId="49" fontId="27" fillId="25" borderId="0" xfId="56" applyNumberFormat="1" applyFont="1" applyFill="1" applyBorder="1" applyAlignment="1">
      <alignment horizontal="center" wrapText="1"/>
    </xf>
    <xf numFmtId="49" fontId="6" fillId="25" borderId="24" xfId="56" applyNumberFormat="1" applyFill="1" applyBorder="1" applyAlignment="1">
      <alignment wrapText="1"/>
    </xf>
    <xf numFmtId="49" fontId="6" fillId="25" borderId="7" xfId="56" applyNumberFormat="1" applyFill="1" applyBorder="1" applyAlignment="1">
      <alignment horizontal="center" wrapText="1"/>
    </xf>
    <xf numFmtId="0" fontId="6" fillId="25" borderId="25" xfId="56" applyFill="1" applyBorder="1"/>
    <xf numFmtId="0" fontId="6" fillId="25" borderId="5" xfId="56" applyFill="1" applyBorder="1"/>
    <xf numFmtId="5" fontId="28" fillId="25" borderId="0" xfId="56" applyNumberFormat="1" applyFont="1" applyFill="1" applyBorder="1"/>
    <xf numFmtId="10" fontId="28" fillId="25" borderId="0" xfId="56" applyNumberFormat="1" applyFont="1" applyFill="1" applyBorder="1"/>
    <xf numFmtId="0" fontId="6" fillId="25" borderId="24" xfId="56" applyFill="1" applyBorder="1"/>
    <xf numFmtId="175" fontId="6" fillId="25" borderId="0" xfId="56" applyNumberFormat="1" applyFill="1" applyBorder="1" applyAlignment="1">
      <alignment horizontal="center"/>
    </xf>
    <xf numFmtId="0" fontId="0" fillId="25" borderId="0" xfId="56" applyFont="1" applyFill="1" applyBorder="1"/>
    <xf numFmtId="10" fontId="6" fillId="25" borderId="7" xfId="56" applyNumberFormat="1" applyFill="1" applyBorder="1"/>
    <xf numFmtId="10" fontId="27" fillId="25" borderId="0" xfId="56" applyNumberFormat="1" applyFont="1" applyFill="1" applyBorder="1"/>
    <xf numFmtId="0" fontId="4" fillId="25" borderId="24" xfId="56" applyFont="1" applyFill="1" applyBorder="1" applyAlignment="1">
      <alignment horizontal="center"/>
    </xf>
    <xf numFmtId="175" fontId="27" fillId="25" borderId="0" xfId="56" applyNumberFormat="1" applyFont="1" applyFill="1" applyBorder="1" applyAlignment="1">
      <alignment horizontal="center"/>
    </xf>
    <xf numFmtId="173" fontId="6" fillId="25" borderId="0" xfId="56" applyNumberFormat="1" applyFill="1" applyBorder="1"/>
    <xf numFmtId="173" fontId="29" fillId="25" borderId="0" xfId="56" applyNumberFormat="1" applyFont="1" applyFill="1" applyBorder="1"/>
    <xf numFmtId="176" fontId="6" fillId="25" borderId="7" xfId="56" applyNumberFormat="1" applyFill="1" applyBorder="1"/>
    <xf numFmtId="5" fontId="30" fillId="25" borderId="0" xfId="56" applyNumberFormat="1" applyFont="1" applyFill="1" applyBorder="1"/>
    <xf numFmtId="10" fontId="31" fillId="25" borderId="0" xfId="56" applyNumberFormat="1" applyFont="1" applyFill="1" applyBorder="1"/>
    <xf numFmtId="10" fontId="31" fillId="25" borderId="7" xfId="56" applyNumberFormat="1" applyFont="1" applyFill="1" applyBorder="1" applyAlignment="1">
      <alignment horizontal="right" wrapText="1"/>
    </xf>
    <xf numFmtId="0" fontId="6" fillId="25" borderId="7" xfId="56" applyFill="1" applyBorder="1"/>
    <xf numFmtId="0" fontId="6" fillId="25" borderId="26" xfId="56" applyFill="1" applyBorder="1"/>
    <xf numFmtId="0" fontId="6" fillId="25" borderId="10" xfId="56" applyFill="1" applyBorder="1"/>
    <xf numFmtId="0" fontId="4" fillId="25" borderId="7" xfId="55" applyFill="1" applyBorder="1"/>
    <xf numFmtId="0" fontId="32" fillId="25" borderId="0" xfId="55" applyFont="1" applyFill="1" applyBorder="1" applyAlignment="1">
      <alignment horizontal="center"/>
    </xf>
    <xf numFmtId="177" fontId="6" fillId="25" borderId="0" xfId="57" applyNumberFormat="1" applyFont="1" applyFill="1" applyBorder="1"/>
    <xf numFmtId="177" fontId="6" fillId="25" borderId="0" xfId="57" applyNumberFormat="1" applyFont="1" applyFill="1" applyBorder="1" applyAlignment="1">
      <alignment horizontal="right"/>
    </xf>
    <xf numFmtId="177" fontId="6" fillId="25" borderId="0" xfId="57" applyNumberFormat="1" applyFont="1" applyFill="1" applyAlignment="1">
      <alignment horizontal="right"/>
    </xf>
    <xf numFmtId="0" fontId="0" fillId="25" borderId="0" xfId="56" applyFont="1" applyFill="1"/>
    <xf numFmtId="178" fontId="6" fillId="25" borderId="0" xfId="56" applyNumberFormat="1" applyFill="1"/>
    <xf numFmtId="177" fontId="6" fillId="25" borderId="0" xfId="57" applyNumberFormat="1" applyFont="1" applyFill="1" applyAlignment="1">
      <alignment horizontal="right" vertical="center"/>
    </xf>
    <xf numFmtId="175" fontId="6" fillId="25" borderId="0" xfId="56" applyNumberFormat="1" applyFill="1"/>
    <xf numFmtId="178" fontId="6" fillId="25" borderId="0" xfId="56" applyNumberFormat="1" applyFill="1" applyAlignment="1">
      <alignment horizontal="right"/>
    </xf>
    <xf numFmtId="10" fontId="31" fillId="25" borderId="7" xfId="56" quotePrefix="1" applyNumberFormat="1" applyFont="1" applyFill="1" applyBorder="1" applyAlignment="1">
      <alignment horizontal="right" wrapText="1"/>
    </xf>
    <xf numFmtId="177" fontId="6" fillId="25" borderId="0" xfId="57" applyNumberFormat="1" applyFont="1" applyFill="1"/>
    <xf numFmtId="177" fontId="6" fillId="25" borderId="0" xfId="57" applyNumberFormat="1" applyFont="1" applyFill="1" applyAlignment="1">
      <alignment vertical="center"/>
    </xf>
    <xf numFmtId="0" fontId="4" fillId="25" borderId="0" xfId="55" applyFont="1" applyFill="1" applyAlignment="1">
      <alignment horizontal="center" vertical="center"/>
    </xf>
    <xf numFmtId="0" fontId="43" fillId="25" borderId="0" xfId="0" applyFont="1" applyFill="1" applyAlignment="1">
      <alignment horizontal="center"/>
    </xf>
    <xf numFmtId="0" fontId="43" fillId="25" borderId="0" xfId="0" applyFont="1" applyFill="1"/>
    <xf numFmtId="165" fontId="43" fillId="25" borderId="0" xfId="1" applyNumberFormat="1" applyFont="1" applyFill="1" applyAlignment="1">
      <alignment horizontal="right"/>
    </xf>
    <xf numFmtId="166" fontId="44" fillId="25" borderId="0" xfId="0" applyNumberFormat="1" applyFont="1" applyFill="1" applyAlignment="1">
      <alignment horizontal="center"/>
    </xf>
    <xf numFmtId="0" fontId="43" fillId="25" borderId="0" xfId="0" applyFont="1" applyFill="1" applyAlignment="1">
      <alignment horizontal="left"/>
    </xf>
    <xf numFmtId="0" fontId="48" fillId="0" borderId="0" xfId="0" applyFont="1" applyFill="1"/>
    <xf numFmtId="0" fontId="50" fillId="0" borderId="0" xfId="11" applyFont="1" applyFill="1" applyAlignment="1">
      <alignment horizontal="center"/>
    </xf>
    <xf numFmtId="0" fontId="44" fillId="25" borderId="0" xfId="0" applyFont="1" applyFill="1"/>
    <xf numFmtId="171" fontId="43" fillId="25" borderId="0" xfId="54" applyNumberFormat="1" applyFont="1" applyFill="1"/>
    <xf numFmtId="0" fontId="44" fillId="25" borderId="1" xfId="0" applyFont="1" applyFill="1" applyBorder="1" applyAlignment="1">
      <alignment horizontal="center"/>
    </xf>
    <xf numFmtId="0" fontId="52" fillId="25" borderId="0" xfId="0" applyFont="1" applyFill="1" applyAlignment="1">
      <alignment horizontal="center"/>
    </xf>
    <xf numFmtId="0" fontId="43" fillId="25" borderId="1" xfId="0" applyFont="1" applyFill="1" applyBorder="1"/>
    <xf numFmtId="171" fontId="43" fillId="25" borderId="0" xfId="0" applyNumberFormat="1" applyFont="1" applyFill="1"/>
    <xf numFmtId="0" fontId="53" fillId="25" borderId="0" xfId="0" applyFont="1" applyFill="1" applyBorder="1"/>
    <xf numFmtId="10" fontId="43" fillId="0" borderId="0" xfId="785" applyNumberFormat="1" applyFont="1" applyFill="1"/>
    <xf numFmtId="0" fontId="43" fillId="0" borderId="0" xfId="0" applyFont="1" applyFill="1" applyAlignment="1">
      <alignment horizontal="right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165" fontId="43" fillId="0" borderId="0" xfId="1" applyNumberFormat="1" applyFont="1" applyFill="1" applyAlignment="1">
      <alignment horizontal="right"/>
    </xf>
    <xf numFmtId="165" fontId="43" fillId="0" borderId="0" xfId="1" applyNumberFormat="1" applyFont="1" applyFill="1"/>
    <xf numFmtId="0" fontId="45" fillId="0" borderId="0" xfId="0" applyFont="1" applyFill="1" applyAlignment="1">
      <alignment horizontal="center"/>
    </xf>
    <xf numFmtId="0" fontId="44" fillId="0" borderId="1" xfId="0" applyFont="1" applyFill="1" applyBorder="1" applyAlignment="1">
      <alignment horizontal="center"/>
    </xf>
    <xf numFmtId="166" fontId="44" fillId="0" borderId="0" xfId="0" applyNumberFormat="1" applyFont="1" applyFill="1" applyAlignment="1">
      <alignment horizontal="center"/>
    </xf>
    <xf numFmtId="164" fontId="43" fillId="0" borderId="0" xfId="0" applyNumberFormat="1" applyFont="1" applyFill="1"/>
    <xf numFmtId="165" fontId="43" fillId="0" borderId="0" xfId="0" applyNumberFormat="1" applyFont="1" applyFill="1"/>
    <xf numFmtId="0" fontId="44" fillId="0" borderId="0" xfId="0" applyFont="1" applyFill="1"/>
    <xf numFmtId="164" fontId="44" fillId="0" borderId="0" xfId="0" applyNumberFormat="1" applyFont="1" applyFill="1"/>
    <xf numFmtId="0" fontId="45" fillId="0" borderId="0" xfId="0" applyFont="1" applyFill="1"/>
    <xf numFmtId="165" fontId="44" fillId="0" borderId="0" xfId="1" applyNumberFormat="1" applyFont="1" applyFill="1"/>
    <xf numFmtId="165" fontId="44" fillId="0" borderId="0" xfId="0" applyNumberFormat="1" applyFont="1" applyFill="1"/>
    <xf numFmtId="0" fontId="44" fillId="25" borderId="1" xfId="0" applyFont="1" applyFill="1" applyBorder="1"/>
    <xf numFmtId="6" fontId="43" fillId="25" borderId="0" xfId="0" applyNumberFormat="1" applyFont="1" applyFill="1"/>
    <xf numFmtId="6" fontId="43" fillId="25" borderId="1" xfId="0" applyNumberFormat="1" applyFont="1" applyFill="1" applyBorder="1"/>
    <xf numFmtId="8" fontId="43" fillId="25" borderId="0" xfId="0" applyNumberFormat="1" applyFont="1" applyFill="1"/>
    <xf numFmtId="6" fontId="44" fillId="25" borderId="0" xfId="0" applyNumberFormat="1" applyFont="1" applyFill="1"/>
    <xf numFmtId="0" fontId="54" fillId="25" borderId="0" xfId="0" applyFont="1" applyFill="1"/>
    <xf numFmtId="171" fontId="44" fillId="25" borderId="0" xfId="54" applyNumberFormat="1" applyFont="1" applyFill="1"/>
    <xf numFmtId="171" fontId="44" fillId="25" borderId="27" xfId="0" applyNumberFormat="1" applyFont="1" applyFill="1" applyBorder="1"/>
    <xf numFmtId="6" fontId="44" fillId="25" borderId="28" xfId="0" applyNumberFormat="1" applyFont="1" applyFill="1" applyBorder="1"/>
    <xf numFmtId="0" fontId="49" fillId="25" borderId="0" xfId="0" applyFont="1" applyFill="1" applyAlignment="1">
      <alignment horizontal="left"/>
    </xf>
    <xf numFmtId="0" fontId="43" fillId="26" borderId="0" xfId="0" applyFont="1" applyFill="1" applyAlignment="1">
      <alignment horizontal="center"/>
    </xf>
    <xf numFmtId="0" fontId="43" fillId="26" borderId="0" xfId="0" applyFont="1" applyFill="1"/>
    <xf numFmtId="6" fontId="43" fillId="25" borderId="0" xfId="0" applyNumberFormat="1" applyFont="1" applyFill="1" applyBorder="1"/>
    <xf numFmtId="6" fontId="43" fillId="0" borderId="0" xfId="0" applyNumberFormat="1" applyFont="1" applyFill="1"/>
    <xf numFmtId="0" fontId="55" fillId="25" borderId="0" xfId="0" applyFont="1" applyFill="1"/>
    <xf numFmtId="173" fontId="43" fillId="25" borderId="0" xfId="785" applyNumberFormat="1" applyFont="1" applyFill="1"/>
    <xf numFmtId="0" fontId="55" fillId="25" borderId="1" xfId="0" applyFont="1" applyFill="1" applyBorder="1"/>
    <xf numFmtId="173" fontId="43" fillId="25" borderId="1" xfId="785" applyNumberFormat="1" applyFont="1" applyFill="1" applyBorder="1"/>
    <xf numFmtId="174" fontId="43" fillId="25" borderId="0" xfId="0" applyNumberFormat="1" applyFont="1" applyFill="1"/>
    <xf numFmtId="178" fontId="43" fillId="25" borderId="1" xfId="0" applyNumberFormat="1" applyFont="1" applyFill="1" applyBorder="1"/>
    <xf numFmtId="0" fontId="43" fillId="25" borderId="0" xfId="0" quotePrefix="1" applyFont="1" applyFill="1"/>
    <xf numFmtId="171" fontId="53" fillId="25" borderId="0" xfId="0" applyNumberFormat="1" applyFont="1" applyFill="1"/>
    <xf numFmtId="166" fontId="43" fillId="25" borderId="0" xfId="0" applyNumberFormat="1" applyFont="1" applyFill="1" applyAlignment="1">
      <alignment horizontal="left"/>
    </xf>
    <xf numFmtId="6" fontId="43" fillId="26" borderId="0" xfId="0" applyNumberFormat="1" applyFont="1" applyFill="1"/>
    <xf numFmtId="0" fontId="43" fillId="0" borderId="0" xfId="0" applyFont="1" applyFill="1" applyAlignment="1"/>
    <xf numFmtId="0" fontId="43" fillId="0" borderId="0" xfId="0" applyFont="1" applyFill="1" applyAlignment="1">
      <alignment horizontal="center" wrapText="1"/>
    </xf>
    <xf numFmtId="165" fontId="43" fillId="0" borderId="0" xfId="1" applyNumberFormat="1" applyFont="1" applyFill="1" applyBorder="1" applyAlignment="1"/>
    <xf numFmtId="6" fontId="43" fillId="0" borderId="0" xfId="0" applyNumberFormat="1" applyFont="1" applyFill="1" applyAlignment="1"/>
    <xf numFmtId="165" fontId="43" fillId="0" borderId="0" xfId="1" applyNumberFormat="1" applyFont="1" applyFill="1" applyAlignment="1"/>
    <xf numFmtId="165" fontId="43" fillId="0" borderId="0" xfId="0" applyNumberFormat="1" applyFont="1" applyFill="1" applyAlignment="1"/>
    <xf numFmtId="0" fontId="43" fillId="0" borderId="0" xfId="0" applyFont="1" applyFill="1" applyAlignment="1">
      <alignment horizontal="left"/>
    </xf>
    <xf numFmtId="43" fontId="43" fillId="0" borderId="0" xfId="0" applyNumberFormat="1" applyFont="1" applyFill="1" applyAlignment="1"/>
    <xf numFmtId="5" fontId="43" fillId="0" borderId="0" xfId="0" applyNumberFormat="1" applyFont="1" applyFill="1" applyBorder="1"/>
    <xf numFmtId="0" fontId="43" fillId="0" borderId="0" xfId="0" applyFont="1" applyFill="1" applyBorder="1"/>
    <xf numFmtId="5" fontId="43" fillId="0" borderId="0" xfId="0" applyNumberFormat="1" applyFont="1" applyFill="1"/>
    <xf numFmtId="0" fontId="46" fillId="0" borderId="0" xfId="0" applyFont="1" applyFill="1" applyAlignment="1">
      <alignment horizontal="center"/>
    </xf>
    <xf numFmtId="0" fontId="47" fillId="0" borderId="0" xfId="2" applyFont="1" applyFill="1"/>
    <xf numFmtId="172" fontId="43" fillId="0" borderId="0" xfId="1" applyNumberFormat="1" applyFont="1" applyFill="1"/>
    <xf numFmtId="43" fontId="43" fillId="0" borderId="0" xfId="1" applyFont="1" applyFill="1"/>
    <xf numFmtId="171" fontId="4" fillId="0" borderId="0" xfId="0" applyNumberFormat="1" applyFont="1" applyFill="1" applyBorder="1"/>
    <xf numFmtId="171" fontId="4" fillId="0" borderId="0" xfId="0" applyNumberFormat="1" applyFont="1" applyFill="1"/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center"/>
    </xf>
    <xf numFmtId="165" fontId="43" fillId="0" borderId="28" xfId="1" applyNumberFormat="1" applyFont="1" applyFill="1" applyBorder="1" applyAlignment="1"/>
    <xf numFmtId="5" fontId="43" fillId="0" borderId="1" xfId="0" applyNumberFormat="1" applyFont="1" applyFill="1" applyBorder="1"/>
    <xf numFmtId="165" fontId="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 applyAlignment="1">
      <alignment horizontal="left"/>
    </xf>
    <xf numFmtId="171" fontId="0" fillId="0" borderId="0" xfId="54" applyNumberFormat="1" applyFont="1" applyFill="1" applyBorder="1" applyAlignment="1">
      <alignment horizontal="center"/>
    </xf>
    <xf numFmtId="2" fontId="0" fillId="0" borderId="0" xfId="0" applyNumberFormat="1" applyFill="1"/>
    <xf numFmtId="171" fontId="0" fillId="0" borderId="0" xfId="54" applyNumberFormat="1" applyFont="1" applyFill="1"/>
    <xf numFmtId="0" fontId="0" fillId="0" borderId="0" xfId="0" applyFill="1" applyBorder="1"/>
    <xf numFmtId="2" fontId="0" fillId="0" borderId="0" xfId="0" applyNumberFormat="1" applyFill="1" applyBorder="1"/>
    <xf numFmtId="171" fontId="0" fillId="0" borderId="0" xfId="54" applyNumberFormat="1" applyFont="1" applyFill="1" applyBorder="1"/>
    <xf numFmtId="0" fontId="2" fillId="0" borderId="0" xfId="0" applyFont="1" applyFill="1"/>
    <xf numFmtId="171" fontId="2" fillId="0" borderId="0" xfId="0" applyNumberFormat="1" applyFont="1" applyFill="1"/>
    <xf numFmtId="2" fontId="2" fillId="0" borderId="0" xfId="0" applyNumberFormat="1" applyFont="1" applyFill="1"/>
    <xf numFmtId="171" fontId="2" fillId="0" borderId="27" xfId="0" applyNumberFormat="1" applyFont="1" applyFill="1" applyBorder="1"/>
    <xf numFmtId="171" fontId="2" fillId="0" borderId="0" xfId="54" applyNumberFormat="1" applyFont="1" applyFill="1"/>
    <xf numFmtId="171" fontId="0" fillId="0" borderId="27" xfId="0" applyNumberFormat="1" applyFont="1" applyFill="1" applyBorder="1"/>
    <xf numFmtId="44" fontId="2" fillId="0" borderId="0" xfId="0" applyNumberFormat="1" applyFont="1" applyFill="1"/>
    <xf numFmtId="6" fontId="2" fillId="0" borderId="0" xfId="0" applyNumberFormat="1" applyFont="1" applyFill="1"/>
    <xf numFmtId="184" fontId="2" fillId="0" borderId="0" xfId="0" applyNumberFormat="1" applyFont="1" applyFill="1"/>
    <xf numFmtId="184" fontId="0" fillId="0" borderId="0" xfId="0" applyNumberFormat="1" applyFill="1"/>
    <xf numFmtId="171" fontId="0" fillId="0" borderId="0" xfId="0" applyNumberFormat="1" applyFill="1"/>
    <xf numFmtId="0" fontId="38" fillId="0" borderId="0" xfId="0" applyFont="1" applyFill="1"/>
    <xf numFmtId="6" fontId="0" fillId="0" borderId="0" xfId="0" applyNumberFormat="1" applyFill="1"/>
    <xf numFmtId="171" fontId="26" fillId="0" borderId="0" xfId="0" applyNumberFormat="1" applyFont="1" applyFill="1"/>
    <xf numFmtId="0" fontId="36" fillId="0" borderId="0" xfId="0" applyFont="1" applyFill="1"/>
    <xf numFmtId="171" fontId="36" fillId="0" borderId="27" xfId="0" applyNumberFormat="1" applyFont="1" applyFill="1" applyBorder="1"/>
    <xf numFmtId="4" fontId="0" fillId="0" borderId="0" xfId="0" applyNumberFormat="1" applyFill="1"/>
    <xf numFmtId="44" fontId="0" fillId="0" borderId="0" xfId="0" applyNumberFormat="1" applyFill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0" fontId="0" fillId="0" borderId="0" xfId="785" applyNumberFormat="1" applyFont="1" applyFill="1" applyAlignment="1">
      <alignment horizontal="center"/>
    </xf>
    <xf numFmtId="0" fontId="3" fillId="0" borderId="0" xfId="0" applyFont="1" applyFill="1"/>
    <xf numFmtId="165" fontId="4" fillId="0" borderId="0" xfId="1" applyNumberFormat="1" applyFont="1" applyFill="1"/>
    <xf numFmtId="38" fontId="4" fillId="0" borderId="1" xfId="0" applyNumberFormat="1" applyFont="1" applyFill="1" applyBorder="1"/>
    <xf numFmtId="165" fontId="4" fillId="0" borderId="2" xfId="0" applyNumberFormat="1" applyFont="1" applyFill="1" applyBorder="1"/>
    <xf numFmtId="38" fontId="4" fillId="0" borderId="0" xfId="0" applyNumberFormat="1" applyFont="1" applyFill="1" applyBorder="1"/>
    <xf numFmtId="165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5" fontId="4" fillId="0" borderId="2" xfId="54" applyNumberFormat="1" applyFont="1" applyFill="1" applyBorder="1"/>
    <xf numFmtId="171" fontId="4" fillId="0" borderId="0" xfId="54" applyNumberFormat="1" applyFont="1" applyFill="1" applyBorder="1"/>
    <xf numFmtId="44" fontId="4" fillId="0" borderId="0" xfId="54" applyFont="1" applyFill="1"/>
    <xf numFmtId="171" fontId="4" fillId="0" borderId="0" xfId="3" applyNumberFormat="1" applyFont="1" applyFill="1" applyBorder="1"/>
    <xf numFmtId="171" fontId="4" fillId="0" borderId="1" xfId="3" applyNumberFormat="1" applyFont="1" applyFill="1" applyBorder="1"/>
    <xf numFmtId="171" fontId="4" fillId="0" borderId="27" xfId="0" applyNumberFormat="1" applyFont="1" applyFill="1" applyBorder="1"/>
    <xf numFmtId="171" fontId="4" fillId="0" borderId="0" xfId="1" applyNumberFormat="1" applyFont="1" applyFill="1"/>
    <xf numFmtId="0" fontId="49" fillId="0" borderId="0" xfId="11" applyFont="1" applyFill="1"/>
    <xf numFmtId="0" fontId="47" fillId="0" borderId="0" xfId="11" applyFont="1" applyFill="1"/>
    <xf numFmtId="165" fontId="47" fillId="0" borderId="0" xfId="4" applyNumberFormat="1" applyFont="1" applyFill="1"/>
    <xf numFmtId="3" fontId="43" fillId="0" borderId="0" xfId="0" applyNumberFormat="1" applyFont="1" applyFill="1"/>
    <xf numFmtId="165" fontId="49" fillId="0" borderId="0" xfId="11" applyNumberFormat="1" applyFont="1" applyFill="1"/>
    <xf numFmtId="183" fontId="43" fillId="0" borderId="0" xfId="785" applyNumberFormat="1" applyFont="1" applyFill="1"/>
    <xf numFmtId="9" fontId="43" fillId="0" borderId="0" xfId="785" applyFont="1" applyFill="1"/>
    <xf numFmtId="165" fontId="43" fillId="27" borderId="0" xfId="1" applyNumberFormat="1" applyFont="1" applyFill="1" applyBorder="1" applyAlignment="1"/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center"/>
    </xf>
    <xf numFmtId="165" fontId="43" fillId="0" borderId="1" xfId="1" applyNumberFormat="1" applyFont="1" applyFill="1" applyBorder="1" applyAlignment="1"/>
    <xf numFmtId="165" fontId="44" fillId="0" borderId="1" xfId="1" applyNumberFormat="1" applyFont="1" applyFill="1" applyBorder="1" applyAlignment="1">
      <alignment horizontal="center" vertical="center" wrapText="1"/>
    </xf>
    <xf numFmtId="0" fontId="58" fillId="0" borderId="0" xfId="0" applyFont="1" applyFill="1"/>
    <xf numFmtId="0" fontId="58" fillId="0" borderId="0" xfId="0" applyFont="1" applyFill="1" applyAlignment="1"/>
    <xf numFmtId="165" fontId="58" fillId="0" borderId="0" xfId="1" applyNumberFormat="1" applyFont="1" applyFill="1" applyAlignment="1">
      <alignment horizontal="right"/>
    </xf>
    <xf numFmtId="0" fontId="59" fillId="0" borderId="0" xfId="0" applyFont="1" applyFill="1" applyAlignment="1"/>
    <xf numFmtId="0" fontId="59" fillId="0" borderId="0" xfId="0" applyFont="1" applyFill="1"/>
    <xf numFmtId="0" fontId="60" fillId="0" borderId="0" xfId="0" applyFont="1" applyFill="1" applyAlignment="1"/>
    <xf numFmtId="0" fontId="60" fillId="0" borderId="3" xfId="0" applyFont="1" applyFill="1" applyBorder="1" applyAlignment="1"/>
    <xf numFmtId="0" fontId="60" fillId="0" borderId="4" xfId="0" applyFont="1" applyFill="1" applyBorder="1"/>
    <xf numFmtId="0" fontId="61" fillId="0" borderId="4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/>
    </xf>
    <xf numFmtId="0" fontId="60" fillId="0" borderId="0" xfId="0" applyFont="1" applyFill="1"/>
    <xf numFmtId="0" fontId="60" fillId="0" borderId="6" xfId="0" applyFont="1" applyFill="1" applyBorder="1" applyAlignment="1"/>
    <xf numFmtId="0" fontId="60" fillId="0" borderId="0" xfId="0" applyFont="1" applyFill="1" applyBorder="1"/>
    <xf numFmtId="0" fontId="61" fillId="0" borderId="0" xfId="0" applyFont="1" applyFill="1" applyBorder="1" applyAlignment="1">
      <alignment horizontal="center"/>
    </xf>
    <xf numFmtId="0" fontId="61" fillId="0" borderId="7" xfId="0" applyFont="1" applyFill="1" applyBorder="1" applyAlignment="1">
      <alignment horizontal="center"/>
    </xf>
    <xf numFmtId="0" fontId="60" fillId="0" borderId="8" xfId="0" applyFont="1" applyFill="1" applyBorder="1" applyAlignment="1"/>
    <xf numFmtId="0" fontId="60" fillId="0" borderId="9" xfId="0" applyFont="1" applyFill="1" applyBorder="1"/>
    <xf numFmtId="5" fontId="60" fillId="0" borderId="9" xfId="0" applyNumberFormat="1" applyFont="1" applyFill="1" applyBorder="1"/>
    <xf numFmtId="5" fontId="60" fillId="0" borderId="10" xfId="0" applyNumberFormat="1" applyFont="1" applyFill="1" applyBorder="1" applyAlignment="1"/>
    <xf numFmtId="37" fontId="60" fillId="0" borderId="0" xfId="0" applyNumberFormat="1" applyFont="1" applyFill="1" applyAlignment="1"/>
    <xf numFmtId="0" fontId="60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166" fontId="60" fillId="0" borderId="0" xfId="0" applyNumberFormat="1" applyFont="1" applyFill="1" applyAlignment="1">
      <alignment horizontal="center"/>
    </xf>
    <xf numFmtId="166" fontId="60" fillId="0" borderId="0" xfId="0" quotePrefix="1" applyNumberFormat="1" applyFont="1" applyFill="1" applyAlignment="1">
      <alignment horizontal="center"/>
    </xf>
    <xf numFmtId="165" fontId="60" fillId="0" borderId="0" xfId="1" applyNumberFormat="1" applyFont="1" applyFill="1"/>
    <xf numFmtId="167" fontId="60" fillId="0" borderId="0" xfId="0" applyNumberFormat="1" applyFont="1" applyFill="1"/>
    <xf numFmtId="38" fontId="60" fillId="0" borderId="0" xfId="0" applyNumberFormat="1" applyFont="1" applyFill="1"/>
    <xf numFmtId="6" fontId="60" fillId="0" borderId="0" xfId="382" applyNumberFormat="1" applyFont="1" applyFill="1"/>
    <xf numFmtId="44" fontId="60" fillId="0" borderId="0" xfId="382" applyNumberFormat="1" applyFont="1" applyFill="1"/>
    <xf numFmtId="168" fontId="60" fillId="0" borderId="0" xfId="382" applyNumberFormat="1" applyFont="1" applyFill="1"/>
    <xf numFmtId="166" fontId="62" fillId="0" borderId="0" xfId="0" applyNumberFormat="1" applyFont="1" applyFill="1"/>
    <xf numFmtId="169" fontId="60" fillId="0" borderId="0" xfId="382" applyNumberFormat="1" applyFont="1" applyFill="1"/>
    <xf numFmtId="38" fontId="60" fillId="0" borderId="0" xfId="382" applyNumberFormat="1" applyFont="1" applyFill="1"/>
    <xf numFmtId="170" fontId="60" fillId="0" borderId="0" xfId="0" applyNumberFormat="1" applyFont="1" applyFill="1"/>
    <xf numFmtId="3" fontId="60" fillId="0" borderId="0" xfId="0" applyNumberFormat="1" applyFont="1" applyFill="1"/>
    <xf numFmtId="0" fontId="60" fillId="0" borderId="2" xfId="0" applyFont="1" applyFill="1" applyBorder="1"/>
    <xf numFmtId="38" fontId="60" fillId="0" borderId="2" xfId="0" applyNumberFormat="1" applyFont="1" applyFill="1" applyBorder="1"/>
    <xf numFmtId="3" fontId="60" fillId="0" borderId="2" xfId="0" applyNumberFormat="1" applyFont="1" applyFill="1" applyBorder="1"/>
    <xf numFmtId="6" fontId="60" fillId="0" borderId="2" xfId="0" applyNumberFormat="1" applyFont="1" applyFill="1" applyBorder="1"/>
    <xf numFmtId="165" fontId="59" fillId="0" borderId="0" xfId="58" applyNumberFormat="1" applyFont="1" applyFill="1"/>
    <xf numFmtId="37" fontId="59" fillId="0" borderId="0" xfId="0" applyNumberFormat="1" applyFont="1" applyFill="1"/>
    <xf numFmtId="171" fontId="59" fillId="0" borderId="0" xfId="382" applyNumberFormat="1" applyFont="1" applyFill="1" applyAlignment="1">
      <alignment horizontal="right"/>
    </xf>
    <xf numFmtId="0" fontId="47" fillId="0" borderId="0" xfId="0" applyFont="1" applyFill="1"/>
    <xf numFmtId="173" fontId="47" fillId="0" borderId="0" xfId="785" applyNumberFormat="1" applyFont="1" applyFill="1"/>
    <xf numFmtId="0" fontId="63" fillId="0" borderId="0" xfId="0" applyFont="1" applyFill="1"/>
    <xf numFmtId="38" fontId="47" fillId="0" borderId="0" xfId="0" applyNumberFormat="1" applyFont="1" applyFill="1"/>
    <xf numFmtId="166" fontId="63" fillId="0" borderId="0" xfId="0" applyNumberFormat="1" applyFont="1" applyFill="1"/>
    <xf numFmtId="6" fontId="47" fillId="0" borderId="0" xfId="0" applyNumberFormat="1" applyFont="1" applyFill="1"/>
    <xf numFmtId="165" fontId="58" fillId="0" borderId="0" xfId="1" applyNumberFormat="1" applyFont="1" applyFill="1"/>
    <xf numFmtId="38" fontId="58" fillId="0" borderId="0" xfId="0" applyNumberFormat="1" applyFont="1" applyFill="1"/>
    <xf numFmtId="0" fontId="44" fillId="0" borderId="0" xfId="0" applyFont="1" applyFill="1" applyAlignment="1">
      <alignment horizontal="center"/>
    </xf>
    <xf numFmtId="165" fontId="1" fillId="0" borderId="0" xfId="214" applyNumberFormat="1" applyFont="1" applyFill="1"/>
    <xf numFmtId="0" fontId="1" fillId="0" borderId="0" xfId="408" applyFill="1"/>
    <xf numFmtId="0" fontId="42" fillId="0" borderId="0" xfId="408" applyFont="1" applyFill="1"/>
    <xf numFmtId="0" fontId="25" fillId="0" borderId="0" xfId="408" applyFont="1" applyFill="1"/>
    <xf numFmtId="0" fontId="25" fillId="0" borderId="0" xfId="408" applyFont="1" applyFill="1" applyAlignment="1">
      <alignment horizontal="right"/>
    </xf>
    <xf numFmtId="165" fontId="1" fillId="0" borderId="0" xfId="1" applyNumberFormat="1" applyFill="1"/>
    <xf numFmtId="10" fontId="1" fillId="0" borderId="0" xfId="539" applyNumberFormat="1" applyFont="1" applyFill="1"/>
    <xf numFmtId="174" fontId="1" fillId="0" borderId="0" xfId="539" applyNumberFormat="1" applyFont="1" applyFill="1"/>
    <xf numFmtId="10" fontId="1" fillId="0" borderId="0" xfId="785" applyNumberFormat="1" applyFill="1"/>
    <xf numFmtId="6" fontId="1" fillId="0" borderId="0" xfId="214" applyNumberFormat="1" applyFont="1" applyFill="1"/>
    <xf numFmtId="43" fontId="1" fillId="0" borderId="0" xfId="214" applyFont="1" applyFill="1"/>
    <xf numFmtId="174" fontId="1" fillId="0" borderId="0" xfId="785" applyNumberFormat="1" applyFill="1"/>
    <xf numFmtId="43" fontId="1" fillId="0" borderId="0" xfId="408" applyNumberFormat="1" applyFill="1" applyAlignment="1">
      <alignment horizontal="center"/>
    </xf>
    <xf numFmtId="165" fontId="1" fillId="0" borderId="0" xfId="408" applyNumberFormat="1" applyFill="1" applyAlignment="1">
      <alignment horizontal="center"/>
    </xf>
    <xf numFmtId="0" fontId="1" fillId="0" borderId="0" xfId="408" applyFill="1" applyAlignment="1">
      <alignment horizontal="center"/>
    </xf>
    <xf numFmtId="0" fontId="25" fillId="0" borderId="0" xfId="408" applyFont="1" applyFill="1" applyAlignment="1">
      <alignment horizontal="center"/>
    </xf>
    <xf numFmtId="174" fontId="1" fillId="0" borderId="0" xfId="539" applyNumberFormat="1" applyFont="1" applyFill="1" applyAlignment="1">
      <alignment horizontal="center"/>
    </xf>
    <xf numFmtId="0" fontId="1" fillId="0" borderId="0" xfId="408" applyFill="1" applyAlignment="1">
      <alignment horizontal="center" wrapText="1"/>
    </xf>
    <xf numFmtId="0" fontId="26" fillId="0" borderId="0" xfId="408" applyFont="1" applyFill="1" applyAlignment="1">
      <alignment horizontal="center" wrapText="1"/>
    </xf>
    <xf numFmtId="180" fontId="1" fillId="0" borderId="0" xfId="408" applyNumberFormat="1" applyFill="1"/>
    <xf numFmtId="165" fontId="26" fillId="0" borderId="0" xfId="214" applyNumberFormat="1" applyFont="1" applyFill="1"/>
    <xf numFmtId="165" fontId="1" fillId="0" borderId="0" xfId="214" applyNumberFormat="1" applyFont="1" applyFill="1" applyBorder="1"/>
    <xf numFmtId="165" fontId="1" fillId="0" borderId="0" xfId="786" applyNumberFormat="1" applyFont="1" applyFill="1"/>
    <xf numFmtId="165" fontId="1" fillId="0" borderId="0" xfId="408" applyNumberFormat="1" applyFill="1"/>
    <xf numFmtId="180" fontId="1" fillId="0" borderId="0" xfId="408" applyNumberFormat="1" applyFill="1" applyAlignment="1">
      <alignment horizontal="right"/>
    </xf>
    <xf numFmtId="0" fontId="51" fillId="0" borderId="0" xfId="0" applyFont="1" applyFill="1"/>
    <xf numFmtId="171" fontId="43" fillId="0" borderId="0" xfId="54" applyNumberFormat="1" applyFont="1" applyFill="1"/>
    <xf numFmtId="0" fontId="5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171" fontId="43" fillId="0" borderId="0" xfId="54" applyNumberFormat="1" applyFont="1" applyFill="1" applyAlignment="1">
      <alignment vertical="center"/>
    </xf>
    <xf numFmtId="0" fontId="43" fillId="0" borderId="0" xfId="0" applyFont="1" applyFill="1" applyAlignment="1">
      <alignment vertical="center" wrapText="1"/>
    </xf>
    <xf numFmtId="0" fontId="43" fillId="0" borderId="1" xfId="0" applyFont="1" applyFill="1" applyBorder="1" applyAlignment="1">
      <alignment vertical="center"/>
    </xf>
    <xf numFmtId="171" fontId="43" fillId="0" borderId="1" xfId="54" applyNumberFormat="1" applyFont="1" applyFill="1" applyBorder="1" applyAlignment="1">
      <alignment vertical="center"/>
    </xf>
    <xf numFmtId="171" fontId="43" fillId="0" borderId="0" xfId="0" applyNumberFormat="1" applyFont="1" applyFill="1"/>
    <xf numFmtId="0" fontId="56" fillId="0" borderId="0" xfId="0" applyFont="1" applyFill="1"/>
    <xf numFmtId="44" fontId="43" fillId="0" borderId="0" xfId="54" applyFont="1" applyFill="1"/>
    <xf numFmtId="10" fontId="43" fillId="0" borderId="0" xfId="785" applyNumberFormat="1" applyFont="1" applyFill="1" applyBorder="1"/>
    <xf numFmtId="10" fontId="43" fillId="0" borderId="0" xfId="0" applyNumberFormat="1" applyFont="1" applyFill="1" applyBorder="1"/>
    <xf numFmtId="0" fontId="43" fillId="0" borderId="1" xfId="0" applyFont="1" applyFill="1" applyBorder="1" applyAlignment="1">
      <alignment horizontal="center" wrapText="1"/>
    </xf>
    <xf numFmtId="171" fontId="43" fillId="0" borderId="1" xfId="0" applyNumberFormat="1" applyFont="1" applyFill="1" applyBorder="1"/>
    <xf numFmtId="171" fontId="43" fillId="0" borderId="1" xfId="54" applyNumberFormat="1" applyFont="1" applyFill="1" applyBorder="1"/>
    <xf numFmtId="171" fontId="43" fillId="0" borderId="0" xfId="0" applyNumberFormat="1" applyFont="1" applyFill="1" applyBorder="1"/>
    <xf numFmtId="182" fontId="43" fillId="0" borderId="0" xfId="0" applyNumberFormat="1" applyFont="1" applyFill="1" applyBorder="1"/>
    <xf numFmtId="0" fontId="43" fillId="0" borderId="0" xfId="0" quotePrefix="1" applyFont="1" applyFill="1" applyAlignment="1">
      <alignment horizontal="center"/>
    </xf>
    <xf numFmtId="0" fontId="53" fillId="0" borderId="0" xfId="0" applyFont="1" applyFill="1" applyBorder="1"/>
    <xf numFmtId="171" fontId="53" fillId="0" borderId="0" xfId="0" applyNumberFormat="1" applyFont="1" applyFill="1" applyBorder="1"/>
    <xf numFmtId="181" fontId="43" fillId="0" borderId="0" xfId="0" applyNumberFormat="1" applyFont="1" applyFill="1"/>
    <xf numFmtId="171" fontId="43" fillId="0" borderId="0" xfId="54" applyNumberFormat="1" applyFont="1" applyFill="1" applyBorder="1"/>
    <xf numFmtId="0" fontId="53" fillId="0" borderId="1" xfId="0" applyFont="1" applyFill="1" applyBorder="1"/>
    <xf numFmtId="181" fontId="53" fillId="0" borderId="1" xfId="0" applyNumberFormat="1" applyFont="1" applyFill="1" applyBorder="1"/>
    <xf numFmtId="181" fontId="53" fillId="0" borderId="0" xfId="0" applyNumberFormat="1" applyFont="1" applyFill="1" applyBorder="1"/>
    <xf numFmtId="0" fontId="44" fillId="0" borderId="0" xfId="0" applyFont="1" applyFill="1" applyAlignment="1">
      <alignment horizontal="center" wrapText="1"/>
    </xf>
    <xf numFmtId="0" fontId="43" fillId="0" borderId="0" xfId="0" applyFont="1" applyFill="1" applyAlignment="1">
      <alignment horizontal="left" wrapText="1"/>
    </xf>
    <xf numFmtId="0" fontId="44" fillId="27" borderId="0" xfId="0" applyFont="1" applyFill="1" applyAlignment="1">
      <alignment horizontal="center" wrapText="1"/>
    </xf>
    <xf numFmtId="0" fontId="44" fillId="27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9" fillId="0" borderId="0" xfId="11" applyFont="1" applyFill="1" applyAlignment="1">
      <alignment horizontal="center" wrapText="1"/>
    </xf>
    <xf numFmtId="0" fontId="43" fillId="25" borderId="0" xfId="0" applyFont="1" applyFill="1" applyAlignment="1">
      <alignment horizontal="center"/>
    </xf>
    <xf numFmtId="0" fontId="49" fillId="0" borderId="0" xfId="11" applyFont="1" applyFill="1" applyAlignment="1">
      <alignment horizontal="center"/>
    </xf>
    <xf numFmtId="49" fontId="4" fillId="25" borderId="0" xfId="55" applyNumberFormat="1" applyFill="1" applyAlignment="1">
      <alignment horizontal="center"/>
    </xf>
    <xf numFmtId="0" fontId="4" fillId="25" borderId="0" xfId="55" applyFill="1" applyAlignment="1">
      <alignment horizontal="center" wrapText="1"/>
    </xf>
    <xf numFmtId="0" fontId="4" fillId="25" borderId="0" xfId="55" applyFont="1" applyFill="1" applyAlignment="1">
      <alignment horizontal="left" wrapText="1"/>
    </xf>
    <xf numFmtId="0" fontId="1" fillId="0" borderId="0" xfId="408" applyFill="1" applyAlignment="1">
      <alignment horizontal="center"/>
    </xf>
    <xf numFmtId="0" fontId="44" fillId="0" borderId="1" xfId="0" applyFont="1" applyFill="1" applyBorder="1" applyAlignment="1">
      <alignment horizontal="center"/>
    </xf>
  </cellXfs>
  <cellStyles count="789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10" xfId="58"/>
    <cellStyle name="Comma 10 2" xfId="59"/>
    <cellStyle name="Comma 10 3" xfId="60"/>
    <cellStyle name="Comma 10 3 2" xfId="61"/>
    <cellStyle name="Comma 10 3 3" xfId="62"/>
    <cellStyle name="Comma 10 4" xfId="63"/>
    <cellStyle name="Comma 10 4 2" xfId="64"/>
    <cellStyle name="Comma 10 4 3" xfId="65"/>
    <cellStyle name="Comma 10 4 4" xfId="66"/>
    <cellStyle name="Comma 10 5" xfId="67"/>
    <cellStyle name="Comma 10 5 2" xfId="68"/>
    <cellStyle name="Comma 10 5 2 2" xfId="69"/>
    <cellStyle name="Comma 10 5 2 3" xfId="70"/>
    <cellStyle name="Comma 10 5 2 3 2" xfId="71"/>
    <cellStyle name="Comma 10 5 3" xfId="72"/>
    <cellStyle name="Comma 10 6" xfId="73"/>
    <cellStyle name="Comma 10 6 2" xfId="74"/>
    <cellStyle name="Comma 10 6 3" xfId="75"/>
    <cellStyle name="Comma 10 6 3 2" xfId="76"/>
    <cellStyle name="Comma 10 7" xfId="77"/>
    <cellStyle name="Comma 10 8" xfId="78"/>
    <cellStyle name="Comma 10 8 2" xfId="79"/>
    <cellStyle name="Comma 11" xfId="80"/>
    <cellStyle name="Comma 11 10" xfId="81"/>
    <cellStyle name="Comma 11 11" xfId="82"/>
    <cellStyle name="Comma 11 11 2" xfId="83"/>
    <cellStyle name="Comma 11 11 2 2" xfId="84"/>
    <cellStyle name="Comma 11 11 2 3" xfId="85"/>
    <cellStyle name="Comma 11 11 2 3 2" xfId="86"/>
    <cellStyle name="Comma 11 12" xfId="87"/>
    <cellStyle name="Comma 11 13" xfId="88"/>
    <cellStyle name="Comma 11 13 2" xfId="89"/>
    <cellStyle name="Comma 11 13 2 2" xfId="90"/>
    <cellStyle name="Comma 11 13 2 3" xfId="91"/>
    <cellStyle name="Comma 11 13 2 3 2" xfId="92"/>
    <cellStyle name="Comma 11 2" xfId="93"/>
    <cellStyle name="Comma 11 3" xfId="94"/>
    <cellStyle name="Comma 11 4" xfId="95"/>
    <cellStyle name="Comma 11 5" xfId="96"/>
    <cellStyle name="Comma 11 6" xfId="97"/>
    <cellStyle name="Comma 11 7" xfId="98"/>
    <cellStyle name="Comma 11 7 2" xfId="99"/>
    <cellStyle name="Comma 11 7 2 2" xfId="100"/>
    <cellStyle name="Comma 11 7 2 3" xfId="101"/>
    <cellStyle name="Comma 11 8" xfId="102"/>
    <cellStyle name="Comma 11 9" xfId="103"/>
    <cellStyle name="Comma 12" xfId="104"/>
    <cellStyle name="Comma 12 10" xfId="105"/>
    <cellStyle name="Comma 12 10 2" xfId="106"/>
    <cellStyle name="Comma 12 10 2 2" xfId="107"/>
    <cellStyle name="Comma 12 10 2 3" xfId="108"/>
    <cellStyle name="Comma 12 10 2 3 2" xfId="109"/>
    <cellStyle name="Comma 12 11" xfId="110"/>
    <cellStyle name="Comma 12 12" xfId="111"/>
    <cellStyle name="Comma 12 12 2" xfId="112"/>
    <cellStyle name="Comma 12 12 2 2" xfId="113"/>
    <cellStyle name="Comma 12 12 2 3" xfId="114"/>
    <cellStyle name="Comma 12 12 2 3 2" xfId="115"/>
    <cellStyle name="Comma 12 2" xfId="116"/>
    <cellStyle name="Comma 12 3" xfId="117"/>
    <cellStyle name="Comma 12 4" xfId="118"/>
    <cellStyle name="Comma 12 5" xfId="119"/>
    <cellStyle name="Comma 12 6" xfId="120"/>
    <cellStyle name="Comma 12 6 2" xfId="121"/>
    <cellStyle name="Comma 12 6 2 2" xfId="122"/>
    <cellStyle name="Comma 12 6 2 3" xfId="123"/>
    <cellStyle name="Comma 12 7" xfId="124"/>
    <cellStyle name="Comma 12 8" xfId="125"/>
    <cellStyle name="Comma 12 9" xfId="126"/>
    <cellStyle name="Comma 13" xfId="127"/>
    <cellStyle name="Comma 13 2" xfId="128"/>
    <cellStyle name="Comma 13 3" xfId="129"/>
    <cellStyle name="Comma 13 4" xfId="130"/>
    <cellStyle name="Comma 13 5" xfId="131"/>
    <cellStyle name="Comma 13 6" xfId="132"/>
    <cellStyle name="Comma 14" xfId="133"/>
    <cellStyle name="Comma 14 2" xfId="134"/>
    <cellStyle name="Comma 14 3" xfId="135"/>
    <cellStyle name="Comma 14 4" xfId="136"/>
    <cellStyle name="Comma 14 5" xfId="137"/>
    <cellStyle name="Comma 15" xfId="138"/>
    <cellStyle name="Comma 15 2" xfId="139"/>
    <cellStyle name="Comma 15 3" xfId="140"/>
    <cellStyle name="Comma 15 4" xfId="141"/>
    <cellStyle name="Comma 15 5" xfId="142"/>
    <cellStyle name="Comma 16" xfId="143"/>
    <cellStyle name="Comma 16 2" xfId="144"/>
    <cellStyle name="Comma 16 3" xfId="145"/>
    <cellStyle name="Comma 16 3 2" xfId="146"/>
    <cellStyle name="Comma 16 3 3" xfId="147"/>
    <cellStyle name="Comma 16 3 3 2" xfId="148"/>
    <cellStyle name="Comma 17" xfId="149"/>
    <cellStyle name="Comma 17 2" xfId="150"/>
    <cellStyle name="Comma 17 3" xfId="151"/>
    <cellStyle name="Comma 17 3 2" xfId="152"/>
    <cellStyle name="Comma 17 4" xfId="786"/>
    <cellStyle name="Comma 18" xfId="153"/>
    <cellStyle name="Comma 18 2" xfId="154"/>
    <cellStyle name="Comma 18 3" xfId="155"/>
    <cellStyle name="Comma 18 3 2" xfId="156"/>
    <cellStyle name="Comma 19" xfId="157"/>
    <cellStyle name="Comma 19 2" xfId="158"/>
    <cellStyle name="Comma 19 3" xfId="159"/>
    <cellStyle name="Comma 19 3 2" xfId="160"/>
    <cellStyle name="Comma 2" xfId="4"/>
    <cellStyle name="Comma 2 2" xfId="57"/>
    <cellStyle name="Comma 2 2 2" xfId="161"/>
    <cellStyle name="Comma 2 2 3" xfId="162"/>
    <cellStyle name="Comma 2 2 4" xfId="163"/>
    <cellStyle name="Comma 2 2 5" xfId="164"/>
    <cellStyle name="Comma 2 3" xfId="165"/>
    <cellStyle name="Comma 2 3 2" xfId="166"/>
    <cellStyle name="Comma 2 3 3" xfId="167"/>
    <cellStyle name="Comma 2 3 4" xfId="168"/>
    <cellStyle name="Comma 2 3 4 2" xfId="169"/>
    <cellStyle name="Comma 2 3 4 2 2" xfId="170"/>
    <cellStyle name="Comma 2 3 4 3" xfId="171"/>
    <cellStyle name="Comma 2 3 4 4" xfId="172"/>
    <cellStyle name="Comma 2 3 4 5" xfId="173"/>
    <cellStyle name="Comma 2 3 4 5 2" xfId="174"/>
    <cellStyle name="Comma 2 3 5" xfId="175"/>
    <cellStyle name="Comma 2 4" xfId="176"/>
    <cellStyle name="Comma 2 5" xfId="177"/>
    <cellStyle name="Comma 20" xfId="178"/>
    <cellStyle name="Comma 20 2" xfId="179"/>
    <cellStyle name="Comma 20 3" xfId="180"/>
    <cellStyle name="Comma 20 3 2" xfId="181"/>
    <cellStyle name="Comma 21" xfId="182"/>
    <cellStyle name="Comma 21 2" xfId="183"/>
    <cellStyle name="Comma 21 3" xfId="184"/>
    <cellStyle name="Comma 21 3 2" xfId="185"/>
    <cellStyle name="Comma 22" xfId="186"/>
    <cellStyle name="Comma 22 2" xfId="187"/>
    <cellStyle name="Comma 22 3" xfId="188"/>
    <cellStyle name="Comma 22 3 2" xfId="189"/>
    <cellStyle name="Comma 23" xfId="190"/>
    <cellStyle name="Comma 23 2" xfId="191"/>
    <cellStyle name="Comma 23 3" xfId="192"/>
    <cellStyle name="Comma 23 3 2" xfId="193"/>
    <cellStyle name="Comma 24" xfId="194"/>
    <cellStyle name="Comma 24 2" xfId="195"/>
    <cellStyle name="Comma 24 3" xfId="196"/>
    <cellStyle name="Comma 24 3 2" xfId="197"/>
    <cellStyle name="Comma 25" xfId="198"/>
    <cellStyle name="Comma 25 2" xfId="199"/>
    <cellStyle name="Comma 25 3" xfId="200"/>
    <cellStyle name="Comma 25 3 2" xfId="201"/>
    <cellStyle name="Comma 26" xfId="202"/>
    <cellStyle name="Comma 26 2" xfId="203"/>
    <cellStyle name="Comma 26 3" xfId="204"/>
    <cellStyle name="Comma 26 3 2" xfId="205"/>
    <cellStyle name="Comma 27" xfId="206"/>
    <cellStyle name="Comma 27 2" xfId="207"/>
    <cellStyle name="Comma 27 3" xfId="208"/>
    <cellStyle name="Comma 27 3 2" xfId="209"/>
    <cellStyle name="Comma 28" xfId="210"/>
    <cellStyle name="Comma 28 2" xfId="211"/>
    <cellStyle name="Comma 29" xfId="212"/>
    <cellStyle name="Comma 29 2" xfId="213"/>
    <cellStyle name="Comma 3" xfId="214"/>
    <cellStyle name="Comma 3 2" xfId="215"/>
    <cellStyle name="Comma 3 3" xfId="216"/>
    <cellStyle name="Comma 3 4" xfId="217"/>
    <cellStyle name="Comma 30" xfId="218"/>
    <cellStyle name="Comma 31" xfId="219"/>
    <cellStyle name="Comma 31 2" xfId="220"/>
    <cellStyle name="Comma 31 3" xfId="221"/>
    <cellStyle name="Comma 31 3 2" xfId="222"/>
    <cellStyle name="Comma 32" xfId="223"/>
    <cellStyle name="Comma 32 2" xfId="224"/>
    <cellStyle name="Comma 32 2 2" xfId="225"/>
    <cellStyle name="Comma 32 3" xfId="226"/>
    <cellStyle name="Comma 32 4" xfId="227"/>
    <cellStyle name="Comma 32 4 2" xfId="228"/>
    <cellStyle name="Comma 33" xfId="229"/>
    <cellStyle name="Comma 33 2" xfId="230"/>
    <cellStyle name="Comma 33 3" xfId="231"/>
    <cellStyle name="Comma 33 3 2" xfId="232"/>
    <cellStyle name="Comma 34" xfId="233"/>
    <cellStyle name="Comma 35" xfId="234"/>
    <cellStyle name="Comma 35 2" xfId="235"/>
    <cellStyle name="Comma 36" xfId="236"/>
    <cellStyle name="Comma 37" xfId="237"/>
    <cellStyle name="Comma 38" xfId="238"/>
    <cellStyle name="Comma 4" xfId="239"/>
    <cellStyle name="Comma 4 2" xfId="240"/>
    <cellStyle name="Comma 4 3" xfId="241"/>
    <cellStyle name="Comma 4 4" xfId="242"/>
    <cellStyle name="Comma 4 5" xfId="243"/>
    <cellStyle name="Comma 5" xfId="244"/>
    <cellStyle name="Comma 5 2" xfId="245"/>
    <cellStyle name="Comma 5 3" xfId="246"/>
    <cellStyle name="Comma 5 4" xfId="247"/>
    <cellStyle name="Comma 5 5" xfId="248"/>
    <cellStyle name="Comma 5 6" xfId="249"/>
    <cellStyle name="Comma 6" xfId="250"/>
    <cellStyle name="Comma 6 2" xfId="251"/>
    <cellStyle name="Comma 6 3" xfId="252"/>
    <cellStyle name="Comma 6 4" xfId="253"/>
    <cellStyle name="Comma 6 4 2" xfId="254"/>
    <cellStyle name="Comma 6 4 2 2" xfId="255"/>
    <cellStyle name="Comma 6 4 3" xfId="256"/>
    <cellStyle name="Comma 6 4 4" xfId="257"/>
    <cellStyle name="Comma 6 4 5" xfId="258"/>
    <cellStyle name="Comma 6 4 5 2" xfId="259"/>
    <cellStyle name="Comma 6 5" xfId="260"/>
    <cellStyle name="Comma 7" xfId="261"/>
    <cellStyle name="Comma 7 2" xfId="262"/>
    <cellStyle name="Comma 7 2 2" xfId="263"/>
    <cellStyle name="Comma 7 2 2 2" xfId="264"/>
    <cellStyle name="Comma 7 2 2 2 2" xfId="265"/>
    <cellStyle name="Comma 7 2 2 3" xfId="266"/>
    <cellStyle name="Comma 7 2 2 3 2" xfId="267"/>
    <cellStyle name="Comma 7 2 2 3 2 2" xfId="268"/>
    <cellStyle name="Comma 7 2 2 3 3" xfId="269"/>
    <cellStyle name="Comma 7 2 2 4" xfId="270"/>
    <cellStyle name="Comma 7 2 3" xfId="271"/>
    <cellStyle name="Comma 7 3" xfId="272"/>
    <cellStyle name="Comma 7 3 2" xfId="273"/>
    <cellStyle name="Comma 7 3 2 2" xfId="274"/>
    <cellStyle name="Comma 7 3 3" xfId="275"/>
    <cellStyle name="Comma 7 3 3 2" xfId="276"/>
    <cellStyle name="Comma 7 3 3 2 2" xfId="277"/>
    <cellStyle name="Comma 7 3 3 3" xfId="278"/>
    <cellStyle name="Comma 7 3 4" xfId="279"/>
    <cellStyle name="Comma 7 4" xfId="280"/>
    <cellStyle name="Comma 7 4 2" xfId="281"/>
    <cellStyle name="Comma 7 5" xfId="282"/>
    <cellStyle name="Comma 7 5 2" xfId="283"/>
    <cellStyle name="Comma 7 5 2 2" xfId="284"/>
    <cellStyle name="Comma 7 5 3" xfId="285"/>
    <cellStyle name="Comma 7 6" xfId="286"/>
    <cellStyle name="Comma 8" xfId="287"/>
    <cellStyle name="Comma 8 2" xfId="288"/>
    <cellStyle name="Comma 8 2 2" xfId="289"/>
    <cellStyle name="Comma 8 2 3" xfId="290"/>
    <cellStyle name="Comma 8 2 4" xfId="291"/>
    <cellStyle name="Comma 8 2 4 10" xfId="292"/>
    <cellStyle name="Comma 8 2 4 11" xfId="293"/>
    <cellStyle name="Comma 8 2 4 11 2" xfId="294"/>
    <cellStyle name="Comma 8 2 4 11 2 2" xfId="295"/>
    <cellStyle name="Comma 8 2 4 11 2 3" xfId="296"/>
    <cellStyle name="Comma 8 2 4 11 2 3 2" xfId="297"/>
    <cellStyle name="Comma 8 2 4 2" xfId="298"/>
    <cellStyle name="Comma 8 2 4 3" xfId="299"/>
    <cellStyle name="Comma 8 2 4 4" xfId="300"/>
    <cellStyle name="Comma 8 2 4 5" xfId="301"/>
    <cellStyle name="Comma 8 2 4 5 2" xfId="302"/>
    <cellStyle name="Comma 8 2 4 5 2 2" xfId="303"/>
    <cellStyle name="Comma 8 2 4 5 2 3" xfId="304"/>
    <cellStyle name="Comma 8 2 4 6" xfId="305"/>
    <cellStyle name="Comma 8 2 4 7" xfId="306"/>
    <cellStyle name="Comma 8 2 4 8" xfId="307"/>
    <cellStyle name="Comma 8 2 4 9" xfId="308"/>
    <cellStyle name="Comma 8 2 4 9 2" xfId="309"/>
    <cellStyle name="Comma 8 2 4 9 2 2" xfId="310"/>
    <cellStyle name="Comma 8 2 4 9 2 3" xfId="311"/>
    <cellStyle name="Comma 8 2 4 9 2 3 2" xfId="312"/>
    <cellStyle name="Comma 8 2 5" xfId="313"/>
    <cellStyle name="Comma 8 2 5 2" xfId="314"/>
    <cellStyle name="Comma 8 2 5 3" xfId="315"/>
    <cellStyle name="Comma 8 2 5 4" xfId="316"/>
    <cellStyle name="Comma 8 2 6" xfId="317"/>
    <cellStyle name="Comma 8 2 6 2" xfId="318"/>
    <cellStyle name="Comma 8 2 6 2 2" xfId="319"/>
    <cellStyle name="Comma 8 2 6 2 3" xfId="320"/>
    <cellStyle name="Comma 8 2 6 2 3 2" xfId="321"/>
    <cellStyle name="Comma 8 2 6 3" xfId="322"/>
    <cellStyle name="Comma 8 2 7" xfId="323"/>
    <cellStyle name="Comma 8 2 7 2" xfId="324"/>
    <cellStyle name="Comma 8 2 7 3" xfId="325"/>
    <cellStyle name="Comma 8 2 7 3 2" xfId="326"/>
    <cellStyle name="Comma 8 2 8" xfId="327"/>
    <cellStyle name="Comma 8 2 9" xfId="328"/>
    <cellStyle name="Comma 8 2 9 2" xfId="329"/>
    <cellStyle name="Comma 8 3" xfId="330"/>
    <cellStyle name="Comma 8 4" xfId="331"/>
    <cellStyle name="Comma 8 5" xfId="332"/>
    <cellStyle name="Comma 8 5 2" xfId="333"/>
    <cellStyle name="Comma 8 6" xfId="334"/>
    <cellStyle name="Comma 8 6 2" xfId="335"/>
    <cellStyle name="Comma 9" xfId="336"/>
    <cellStyle name="Comma 9 2" xfId="337"/>
    <cellStyle name="Comma 9 2 2" xfId="338"/>
    <cellStyle name="Comma 9 2 3" xfId="339"/>
    <cellStyle name="Comma 9 2 3 2" xfId="340"/>
    <cellStyle name="Comma 9 2 3 3" xfId="341"/>
    <cellStyle name="Comma 9 2 3 4" xfId="342"/>
    <cellStyle name="Comma 9 2 4" xfId="343"/>
    <cellStyle name="Comma 9 2 4 2" xfId="344"/>
    <cellStyle name="Comma 9 2 4 2 2" xfId="345"/>
    <cellStyle name="Comma 9 2 4 2 3" xfId="346"/>
    <cellStyle name="Comma 9 2 4 2 3 2" xfId="347"/>
    <cellStyle name="Comma 9 2 4 3" xfId="348"/>
    <cellStyle name="Comma 9 2 5" xfId="349"/>
    <cellStyle name="Comma 9 2 5 2" xfId="350"/>
    <cellStyle name="Comma 9 2 5 3" xfId="351"/>
    <cellStyle name="Comma 9 2 5 3 2" xfId="352"/>
    <cellStyle name="Comma 9 2 6" xfId="353"/>
    <cellStyle name="Comma 9 2 7" xfId="354"/>
    <cellStyle name="Comma 9 2 7 2" xfId="355"/>
    <cellStyle name="Comma 9 3" xfId="356"/>
    <cellStyle name="Comma 9 4" xfId="357"/>
    <cellStyle name="Comma 9 5" xfId="358"/>
    <cellStyle name="Comma 9 6" xfId="359"/>
    <cellStyle name="Comma 9 6 10" xfId="360"/>
    <cellStyle name="Comma 9 6 11" xfId="361"/>
    <cellStyle name="Comma 9 6 11 2" xfId="362"/>
    <cellStyle name="Comma 9 6 11 2 2" xfId="363"/>
    <cellStyle name="Comma 9 6 11 2 3" xfId="364"/>
    <cellStyle name="Comma 9 6 11 2 3 2" xfId="365"/>
    <cellStyle name="Comma 9 6 2" xfId="366"/>
    <cellStyle name="Comma 9 6 3" xfId="367"/>
    <cellStyle name="Comma 9 6 4" xfId="368"/>
    <cellStyle name="Comma 9 6 5" xfId="369"/>
    <cellStyle name="Comma 9 6 5 2" xfId="370"/>
    <cellStyle name="Comma 9 6 5 2 2" xfId="371"/>
    <cellStyle name="Comma 9 6 5 2 3" xfId="372"/>
    <cellStyle name="Comma 9 6 6" xfId="373"/>
    <cellStyle name="Comma 9 6 7" xfId="374"/>
    <cellStyle name="Comma 9 6 8" xfId="375"/>
    <cellStyle name="Comma 9 6 9" xfId="376"/>
    <cellStyle name="Comma 9 6 9 2" xfId="377"/>
    <cellStyle name="Comma 9 6 9 2 2" xfId="378"/>
    <cellStyle name="Comma 9 6 9 2 3" xfId="379"/>
    <cellStyle name="Comma 9 6 9 2 3 2" xfId="380"/>
    <cellStyle name="Currency" xfId="54" builtinId="4"/>
    <cellStyle name="Currency 2" xfId="3"/>
    <cellStyle name="Currency 3" xfId="381"/>
    <cellStyle name="Currency 4" xfId="382"/>
    <cellStyle name="Currency 4 2" xfId="383"/>
    <cellStyle name="Currency 4 3" xfId="384"/>
    <cellStyle name="Currency 4 3 2" xfId="385"/>
    <cellStyle name="Currency 5" xfId="386"/>
    <cellStyle name="Currency 5 2" xfId="387"/>
    <cellStyle name="Currency 5 3" xfId="388"/>
    <cellStyle name="Currency 5 3 2" xfId="389"/>
    <cellStyle name="Currency 6" xfId="390"/>
    <cellStyle name="Currency 7" xfId="391"/>
    <cellStyle name="Currency 7 2" xfId="392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3"/>
    <cellStyle name="Normal 11" xfId="394"/>
    <cellStyle name="Normal 12" xfId="395"/>
    <cellStyle name="Normal 13" xfId="396"/>
    <cellStyle name="Normal 13 2" xfId="788"/>
    <cellStyle name="Normal 14" xfId="397"/>
    <cellStyle name="Normal 2" xfId="2"/>
    <cellStyle name="Normal 2 2" xfId="56"/>
    <cellStyle name="Normal 2 2 2" xfId="398"/>
    <cellStyle name="Normal 2 2 3" xfId="399"/>
    <cellStyle name="Normal 2 2 4" xfId="400"/>
    <cellStyle name="Normal 2 2 4 2" xfId="401"/>
    <cellStyle name="Normal 2 2 4 2 2" xfId="402"/>
    <cellStyle name="Normal 2 2 4 3" xfId="403"/>
    <cellStyle name="Normal 2 2 4 4" xfId="404"/>
    <cellStyle name="Normal 2 2 4 5" xfId="405"/>
    <cellStyle name="Normal 2 2 4 5 2" xfId="406"/>
    <cellStyle name="Normal 2 2 5" xfId="407"/>
    <cellStyle name="Normal 2 2 6" xfId="408"/>
    <cellStyle name="Normal 2 3" xfId="409"/>
    <cellStyle name="Normal 2 4" xfId="410"/>
    <cellStyle name="Normal 3" xfId="11"/>
    <cellStyle name="Normal 3 2" xfId="55"/>
    <cellStyle name="Normal 3 2 2" xfId="411"/>
    <cellStyle name="Normal 3 3" xfId="412"/>
    <cellStyle name="Normal 3 3 2" xfId="413"/>
    <cellStyle name="Normal 3 4" xfId="414"/>
    <cellStyle name="Normal 4" xfId="415"/>
    <cellStyle name="Normal 4 2" xfId="416"/>
    <cellStyle name="Normal 4 3" xfId="417"/>
    <cellStyle name="Normal 4 3 2" xfId="418"/>
    <cellStyle name="Normal 4 3 3" xfId="419"/>
    <cellStyle name="Normal 5" xfId="420"/>
    <cellStyle name="Normal 5 2" xfId="421"/>
    <cellStyle name="Normal 5 2 2" xfId="422"/>
    <cellStyle name="Normal 5 2 3" xfId="423"/>
    <cellStyle name="Normal 5 2 3 2" xfId="424"/>
    <cellStyle name="Normal 5 3" xfId="425"/>
    <cellStyle name="Normal 5 4" xfId="426"/>
    <cellStyle name="Normal 6" xfId="427"/>
    <cellStyle name="Normal 6 2" xfId="428"/>
    <cellStyle name="Normal 7" xfId="429"/>
    <cellStyle name="Normal 7 2" xfId="430"/>
    <cellStyle name="Normal 7 3" xfId="431"/>
    <cellStyle name="Normal 7 3 2" xfId="432"/>
    <cellStyle name="Normal 8" xfId="433"/>
    <cellStyle name="Normal 9" xfId="434"/>
    <cellStyle name="Normal 9 2" xfId="435"/>
    <cellStyle name="Normal_Summary" xfId="787"/>
    <cellStyle name="Note 2" xfId="48"/>
    <cellStyle name="Output 2" xfId="49"/>
    <cellStyle name="Percent" xfId="785" builtinId="5"/>
    <cellStyle name="Percent 10" xfId="436"/>
    <cellStyle name="Percent 10 2" xfId="437"/>
    <cellStyle name="Percent 10 3" xfId="438"/>
    <cellStyle name="Percent 10 3 2" xfId="439"/>
    <cellStyle name="Percent 10 3 3" xfId="440"/>
    <cellStyle name="Percent 10 3 3 2" xfId="441"/>
    <cellStyle name="Percent 11" xfId="442"/>
    <cellStyle name="Percent 11 2" xfId="443"/>
    <cellStyle name="Percent 11 3" xfId="444"/>
    <cellStyle name="Percent 11 3 2" xfId="445"/>
    <cellStyle name="Percent 12" xfId="446"/>
    <cellStyle name="Percent 12 2" xfId="447"/>
    <cellStyle name="Percent 12 3" xfId="448"/>
    <cellStyle name="Percent 12 3 2" xfId="449"/>
    <cellStyle name="Percent 13" xfId="450"/>
    <cellStyle name="Percent 13 2" xfId="451"/>
    <cellStyle name="Percent 13 3" xfId="452"/>
    <cellStyle name="Percent 13 3 2" xfId="453"/>
    <cellStyle name="Percent 14" xfId="454"/>
    <cellStyle name="Percent 14 2" xfId="455"/>
    <cellStyle name="Percent 14 3" xfId="456"/>
    <cellStyle name="Percent 14 3 2" xfId="457"/>
    <cellStyle name="Percent 15" xfId="458"/>
    <cellStyle name="Percent 15 2" xfId="459"/>
    <cellStyle name="Percent 15 3" xfId="460"/>
    <cellStyle name="Percent 15 3 2" xfId="461"/>
    <cellStyle name="Percent 16" xfId="462"/>
    <cellStyle name="Percent 16 2" xfId="463"/>
    <cellStyle name="Percent 16 3" xfId="464"/>
    <cellStyle name="Percent 16 3 2" xfId="465"/>
    <cellStyle name="Percent 17" xfId="466"/>
    <cellStyle name="Percent 17 2" xfId="467"/>
    <cellStyle name="Percent 17 3" xfId="468"/>
    <cellStyle name="Percent 17 3 2" xfId="469"/>
    <cellStyle name="Percent 18" xfId="470"/>
    <cellStyle name="Percent 18 2" xfId="471"/>
    <cellStyle name="Percent 18 3" xfId="472"/>
    <cellStyle name="Percent 18 3 2" xfId="473"/>
    <cellStyle name="Percent 19" xfId="474"/>
    <cellStyle name="Percent 19 2" xfId="475"/>
    <cellStyle name="Percent 19 3" xfId="476"/>
    <cellStyle name="Percent 19 3 2" xfId="477"/>
    <cellStyle name="Percent 2" xfId="53"/>
    <cellStyle name="Percent 2 2" xfId="478"/>
    <cellStyle name="Percent 2 2 2" xfId="479"/>
    <cellStyle name="Percent 2 2 2 2" xfId="480"/>
    <cellStyle name="Percent 2 2 2 3" xfId="481"/>
    <cellStyle name="Percent 2 2 2 3 2" xfId="482"/>
    <cellStyle name="Percent 2 2 2 3 3" xfId="483"/>
    <cellStyle name="Percent 2 2 2 3 3 2" xfId="484"/>
    <cellStyle name="Percent 2 2 2 3 3 3" xfId="485"/>
    <cellStyle name="Percent 2 2 2 3 3 4" xfId="486"/>
    <cellStyle name="Percent 2 2 2 3 4" xfId="487"/>
    <cellStyle name="Percent 2 2 2 3 4 2" xfId="488"/>
    <cellStyle name="Percent 2 2 2 3 4 2 2" xfId="489"/>
    <cellStyle name="Percent 2 2 2 3 4 2 3" xfId="490"/>
    <cellStyle name="Percent 2 2 2 3 4 2 3 2" xfId="491"/>
    <cellStyle name="Percent 2 2 2 3 4 3" xfId="492"/>
    <cellStyle name="Percent 2 2 2 3 5" xfId="493"/>
    <cellStyle name="Percent 2 2 2 3 5 2" xfId="494"/>
    <cellStyle name="Percent 2 2 2 3 5 3" xfId="495"/>
    <cellStyle name="Percent 2 2 2 3 5 3 2" xfId="496"/>
    <cellStyle name="Percent 2 2 2 3 6" xfId="497"/>
    <cellStyle name="Percent 2 2 2 3 7" xfId="498"/>
    <cellStyle name="Percent 2 2 2 3 7 2" xfId="499"/>
    <cellStyle name="Percent 2 2 2 4" xfId="500"/>
    <cellStyle name="Percent 2 2 2 4 2" xfId="501"/>
    <cellStyle name="Percent 2 2 2 4 2 2" xfId="502"/>
    <cellStyle name="Percent 2 2 2 4 2 3" xfId="503"/>
    <cellStyle name="Percent 2 2 2 4 2 3 2" xfId="504"/>
    <cellStyle name="Percent 2 2 2 4 3" xfId="505"/>
    <cellStyle name="Percent 2 2 2 5" xfId="506"/>
    <cellStyle name="Percent 2 2 2 5 2" xfId="507"/>
    <cellStyle name="Percent 2 2 2 5 3" xfId="508"/>
    <cellStyle name="Percent 2 2 2 5 3 2" xfId="509"/>
    <cellStyle name="Percent 2 2 2 6" xfId="510"/>
    <cellStyle name="Percent 2 2 2 6 2" xfId="511"/>
    <cellStyle name="Percent 2 2 3" xfId="512"/>
    <cellStyle name="Percent 2 2 3 2" xfId="513"/>
    <cellStyle name="Percent 2 2 3 3" xfId="514"/>
    <cellStyle name="Percent 2 2 3 4" xfId="515"/>
    <cellStyle name="Percent 2 3" xfId="516"/>
    <cellStyle name="Percent 2 4" xfId="517"/>
    <cellStyle name="Percent 2 4 10" xfId="518"/>
    <cellStyle name="Percent 2 4 11" xfId="519"/>
    <cellStyle name="Percent 2 4 11 2" xfId="520"/>
    <cellStyle name="Percent 2 4 11 2 2" xfId="521"/>
    <cellStyle name="Percent 2 4 11 2 3" xfId="522"/>
    <cellStyle name="Percent 2 4 11 2 3 2" xfId="523"/>
    <cellStyle name="Percent 2 4 2" xfId="524"/>
    <cellStyle name="Percent 2 4 3" xfId="525"/>
    <cellStyle name="Percent 2 4 4" xfId="526"/>
    <cellStyle name="Percent 2 4 5" xfId="527"/>
    <cellStyle name="Percent 2 4 5 2" xfId="528"/>
    <cellStyle name="Percent 2 4 5 2 2" xfId="529"/>
    <cellStyle name="Percent 2 4 5 2 3" xfId="530"/>
    <cellStyle name="Percent 2 4 6" xfId="531"/>
    <cellStyle name="Percent 2 4 7" xfId="532"/>
    <cellStyle name="Percent 2 4 8" xfId="533"/>
    <cellStyle name="Percent 2 4 9" xfId="534"/>
    <cellStyle name="Percent 2 4 9 2" xfId="535"/>
    <cellStyle name="Percent 2 4 9 2 2" xfId="536"/>
    <cellStyle name="Percent 2 4 9 2 3" xfId="537"/>
    <cellStyle name="Percent 2 4 9 2 3 2" xfId="538"/>
    <cellStyle name="Percent 2 5" xfId="539"/>
    <cellStyle name="Percent 20" xfId="540"/>
    <cellStyle name="Percent 20 2" xfId="541"/>
    <cellStyle name="Percent 20 3" xfId="542"/>
    <cellStyle name="Percent 20 3 2" xfId="543"/>
    <cellStyle name="Percent 21" xfId="544"/>
    <cellStyle name="Percent 21 2" xfId="545"/>
    <cellStyle name="Percent 21 3" xfId="546"/>
    <cellStyle name="Percent 21 3 2" xfId="547"/>
    <cellStyle name="Percent 22" xfId="548"/>
    <cellStyle name="Percent 22 2" xfId="549"/>
    <cellStyle name="Percent 23" xfId="550"/>
    <cellStyle name="Percent 23 2" xfId="551"/>
    <cellStyle name="Percent 24" xfId="552"/>
    <cellStyle name="Percent 25" xfId="553"/>
    <cellStyle name="Percent 25 2" xfId="554"/>
    <cellStyle name="Percent 25 3" xfId="555"/>
    <cellStyle name="Percent 25 3 2" xfId="556"/>
    <cellStyle name="Percent 26" xfId="557"/>
    <cellStyle name="Percent 27" xfId="558"/>
    <cellStyle name="Percent 27 2" xfId="559"/>
    <cellStyle name="Percent 3" xfId="560"/>
    <cellStyle name="Percent 3 2" xfId="561"/>
    <cellStyle name="Percent 3 2 2" xfId="562"/>
    <cellStyle name="Percent 3 2 3" xfId="563"/>
    <cellStyle name="Percent 3 2 3 2" xfId="564"/>
    <cellStyle name="Percent 3 2 3 3" xfId="565"/>
    <cellStyle name="Percent 3 2 3 4" xfId="566"/>
    <cellStyle name="Percent 3 2 4" xfId="567"/>
    <cellStyle name="Percent 3 2 4 2" xfId="568"/>
    <cellStyle name="Percent 3 2 4 2 2" xfId="569"/>
    <cellStyle name="Percent 3 2 4 2 3" xfId="570"/>
    <cellStyle name="Percent 3 2 4 2 3 2" xfId="571"/>
    <cellStyle name="Percent 3 2 4 3" xfId="572"/>
    <cellStyle name="Percent 3 2 5" xfId="573"/>
    <cellStyle name="Percent 3 2 5 2" xfId="574"/>
    <cellStyle name="Percent 3 2 5 3" xfId="575"/>
    <cellStyle name="Percent 3 2 5 3 2" xfId="576"/>
    <cellStyle name="Percent 3 2 6" xfId="577"/>
    <cellStyle name="Percent 3 2 7" xfId="578"/>
    <cellStyle name="Percent 3 2 7 2" xfId="579"/>
    <cellStyle name="Percent 3 3" xfId="580"/>
    <cellStyle name="Percent 3 4" xfId="581"/>
    <cellStyle name="Percent 3 5" xfId="582"/>
    <cellStyle name="Percent 3 5 2" xfId="583"/>
    <cellStyle name="Percent 3 5 3" xfId="584"/>
    <cellStyle name="Percent 3 5 4" xfId="585"/>
    <cellStyle name="Percent 4" xfId="586"/>
    <cellStyle name="Percent 4 2" xfId="587"/>
    <cellStyle name="Percent 4 3" xfId="588"/>
    <cellStyle name="Percent 4 3 2" xfId="589"/>
    <cellStyle name="Percent 4 3 3" xfId="590"/>
    <cellStyle name="Percent 4 3 4" xfId="591"/>
    <cellStyle name="Percent 4 4" xfId="592"/>
    <cellStyle name="Percent 4 4 2" xfId="593"/>
    <cellStyle name="Percent 4 4 2 2" xfId="594"/>
    <cellStyle name="Percent 4 4 2 3" xfId="595"/>
    <cellStyle name="Percent 4 4 2 3 2" xfId="596"/>
    <cellStyle name="Percent 4 4 3" xfId="597"/>
    <cellStyle name="Percent 4 5" xfId="598"/>
    <cellStyle name="Percent 4 5 2" xfId="599"/>
    <cellStyle name="Percent 4 5 3" xfId="600"/>
    <cellStyle name="Percent 4 5 3 2" xfId="601"/>
    <cellStyle name="Percent 4 6" xfId="602"/>
    <cellStyle name="Percent 4 7" xfId="603"/>
    <cellStyle name="Percent 4 7 2" xfId="604"/>
    <cellStyle name="Percent 5" xfId="605"/>
    <cellStyle name="Percent 5 2" xfId="606"/>
    <cellStyle name="Percent 5 3" xfId="607"/>
    <cellStyle name="Percent 5 3 2" xfId="608"/>
    <cellStyle name="Percent 5 3 3" xfId="609"/>
    <cellStyle name="Percent 5 4" xfId="610"/>
    <cellStyle name="Percent 5 4 2" xfId="611"/>
    <cellStyle name="Percent 5 4 3" xfId="612"/>
    <cellStyle name="Percent 5 4 4" xfId="613"/>
    <cellStyle name="Percent 5 5" xfId="614"/>
    <cellStyle name="Percent 5 5 2" xfId="615"/>
    <cellStyle name="Percent 5 5 2 2" xfId="616"/>
    <cellStyle name="Percent 5 5 2 3" xfId="617"/>
    <cellStyle name="Percent 5 5 2 3 2" xfId="618"/>
    <cellStyle name="Percent 5 5 3" xfId="619"/>
    <cellStyle name="Percent 5 6" xfId="620"/>
    <cellStyle name="Percent 5 6 2" xfId="621"/>
    <cellStyle name="Percent 5 6 3" xfId="622"/>
    <cellStyle name="Percent 5 6 3 2" xfId="623"/>
    <cellStyle name="Percent 5 7" xfId="624"/>
    <cellStyle name="Percent 5 8" xfId="625"/>
    <cellStyle name="Percent 5 8 2" xfId="626"/>
    <cellStyle name="Percent 5 9" xfId="627"/>
    <cellStyle name="Percent 5 9 2" xfId="628"/>
    <cellStyle name="Percent 5 9 3" xfId="629"/>
    <cellStyle name="Percent 5 9 3 2" xfId="630"/>
    <cellStyle name="Percent 6" xfId="631"/>
    <cellStyle name="Percent 6 10" xfId="632"/>
    <cellStyle name="Percent 6 11" xfId="633"/>
    <cellStyle name="Percent 6 11 2" xfId="634"/>
    <cellStyle name="Percent 6 11 2 2" xfId="635"/>
    <cellStyle name="Percent 6 11 2 3" xfId="636"/>
    <cellStyle name="Percent 6 11 2 3 2" xfId="637"/>
    <cellStyle name="Percent 6 12" xfId="638"/>
    <cellStyle name="Percent 6 13" xfId="639"/>
    <cellStyle name="Percent 6 13 2" xfId="640"/>
    <cellStyle name="Percent 6 13 2 2" xfId="641"/>
    <cellStyle name="Percent 6 13 2 3" xfId="642"/>
    <cellStyle name="Percent 6 13 2 3 2" xfId="643"/>
    <cellStyle name="Percent 6 14" xfId="644"/>
    <cellStyle name="Percent 6 14 2" xfId="645"/>
    <cellStyle name="Percent 6 15" xfId="646"/>
    <cellStyle name="Percent 6 16" xfId="647"/>
    <cellStyle name="Percent 6 16 2" xfId="648"/>
    <cellStyle name="Percent 6 2" xfId="649"/>
    <cellStyle name="Percent 6 3" xfId="650"/>
    <cellStyle name="Percent 6 4" xfId="651"/>
    <cellStyle name="Percent 6 5" xfId="652"/>
    <cellStyle name="Percent 6 6" xfId="653"/>
    <cellStyle name="Percent 6 7" xfId="654"/>
    <cellStyle name="Percent 6 7 2" xfId="655"/>
    <cellStyle name="Percent 6 7 2 2" xfId="656"/>
    <cellStyle name="Percent 6 7 2 3" xfId="657"/>
    <cellStyle name="Percent 6 8" xfId="658"/>
    <cellStyle name="Percent 6 9" xfId="659"/>
    <cellStyle name="Percent 7" xfId="660"/>
    <cellStyle name="Percent 7 10" xfId="661"/>
    <cellStyle name="Percent 7 11" xfId="662"/>
    <cellStyle name="Percent 7 11 2" xfId="663"/>
    <cellStyle name="Percent 7 11 2 2" xfId="664"/>
    <cellStyle name="Percent 7 11 2 3" xfId="665"/>
    <cellStyle name="Percent 7 11 2 3 2" xfId="666"/>
    <cellStyle name="Percent 7 12" xfId="667"/>
    <cellStyle name="Percent 7 12 2" xfId="668"/>
    <cellStyle name="Percent 7 13" xfId="669"/>
    <cellStyle name="Percent 7 14" xfId="670"/>
    <cellStyle name="Percent 7 14 2" xfId="671"/>
    <cellStyle name="Percent 7 2" xfId="672"/>
    <cellStyle name="Percent 7 3" xfId="673"/>
    <cellStyle name="Percent 7 4" xfId="674"/>
    <cellStyle name="Percent 7 5" xfId="675"/>
    <cellStyle name="Percent 7 5 2" xfId="676"/>
    <cellStyle name="Percent 7 5 2 2" xfId="677"/>
    <cellStyle name="Percent 7 5 2 3" xfId="678"/>
    <cellStyle name="Percent 7 5 2 4" xfId="679"/>
    <cellStyle name="Percent 7 6" xfId="680"/>
    <cellStyle name="Percent 7 7" xfId="681"/>
    <cellStyle name="Percent 7 8" xfId="682"/>
    <cellStyle name="Percent 7 9" xfId="683"/>
    <cellStyle name="Percent 7 9 2" xfId="684"/>
    <cellStyle name="Percent 7 9 2 2" xfId="685"/>
    <cellStyle name="Percent 7 9 2 3" xfId="686"/>
    <cellStyle name="Percent 7 9 2 3 2" xfId="687"/>
    <cellStyle name="Percent 8" xfId="688"/>
    <cellStyle name="Percent 8 2" xfId="689"/>
    <cellStyle name="Percent 8 3" xfId="690"/>
    <cellStyle name="Percent 8 4" xfId="691"/>
    <cellStyle name="Percent 8 5" xfId="692"/>
    <cellStyle name="Percent 9" xfId="693"/>
    <cellStyle name="Percent 9 2" xfId="694"/>
    <cellStyle name="Percent 9 3" xfId="695"/>
    <cellStyle name="Percent 9 4" xfId="696"/>
    <cellStyle name="Percent 9 5" xfId="697"/>
    <cellStyle name="PSChar" xfId="5"/>
    <cellStyle name="PSChar 2" xfId="698"/>
    <cellStyle name="PSChar 2 2" xfId="699"/>
    <cellStyle name="PSChar 2 2 2" xfId="700"/>
    <cellStyle name="PSChar 3" xfId="701"/>
    <cellStyle name="PSChar 3 2" xfId="702"/>
    <cellStyle name="PSChar 4" xfId="703"/>
    <cellStyle name="PSChar 4 2" xfId="704"/>
    <cellStyle name="PSChar 5" xfId="705"/>
    <cellStyle name="PSChar 5 2" xfId="706"/>
    <cellStyle name="PSChar 5 3" xfId="707"/>
    <cellStyle name="PSChar 5 3 2" xfId="708"/>
    <cellStyle name="PSChar 6" xfId="709"/>
    <cellStyle name="PSChar 6 2" xfId="710"/>
    <cellStyle name="PSChar 7" xfId="711"/>
    <cellStyle name="PSChar 8" xfId="712"/>
    <cellStyle name="PSChar 9" xfId="713"/>
    <cellStyle name="PSDate" xfId="6"/>
    <cellStyle name="PSDate 2" xfId="714"/>
    <cellStyle name="PSDate 2 2" xfId="715"/>
    <cellStyle name="PSDate 2 2 2" xfId="716"/>
    <cellStyle name="PSDate 3" xfId="717"/>
    <cellStyle name="PSDate 3 2" xfId="718"/>
    <cellStyle name="PSDate 4" xfId="719"/>
    <cellStyle name="PSDate 4 2" xfId="720"/>
    <cellStyle name="PSDate 5" xfId="721"/>
    <cellStyle name="PSDate 5 2" xfId="722"/>
    <cellStyle name="PSDate 5 3" xfId="723"/>
    <cellStyle name="PSDate 5 3 2" xfId="724"/>
    <cellStyle name="PSDate 6" xfId="725"/>
    <cellStyle name="PSDate 6 2" xfId="726"/>
    <cellStyle name="PSDate 7" xfId="727"/>
    <cellStyle name="PSDate 8" xfId="728"/>
    <cellStyle name="PSDec" xfId="7"/>
    <cellStyle name="PSDec 2" xfId="729"/>
    <cellStyle name="PSDec 2 2" xfId="730"/>
    <cellStyle name="PSDec 2 2 2" xfId="731"/>
    <cellStyle name="PSDec 3" xfId="732"/>
    <cellStyle name="PSDec 3 2" xfId="733"/>
    <cellStyle name="PSDec 4" xfId="734"/>
    <cellStyle name="PSDec 4 2" xfId="735"/>
    <cellStyle name="PSDec 5" xfId="736"/>
    <cellStyle name="PSDec 5 2" xfId="737"/>
    <cellStyle name="PSDec 5 3" xfId="738"/>
    <cellStyle name="PSDec 5 3 2" xfId="739"/>
    <cellStyle name="PSDec 6" xfId="740"/>
    <cellStyle name="PSDec 6 2" xfId="741"/>
    <cellStyle name="PSDec 7" xfId="742"/>
    <cellStyle name="PSDec 8" xfId="743"/>
    <cellStyle name="PSDec 9" xfId="744"/>
    <cellStyle name="PSHeading" xfId="8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9"/>
    <cellStyle name="PSInt 2" xfId="755"/>
    <cellStyle name="PSInt 2 2" xfId="756"/>
    <cellStyle name="PSInt 2 2 2" xfId="757"/>
    <cellStyle name="PSInt 3" xfId="758"/>
    <cellStyle name="PSInt 3 2" xfId="759"/>
    <cellStyle name="PSInt 4" xfId="760"/>
    <cellStyle name="PSInt 4 2" xfId="761"/>
    <cellStyle name="PSInt 5" xfId="762"/>
    <cellStyle name="PSInt 5 2" xfId="763"/>
    <cellStyle name="PSInt 5 3" xfId="764"/>
    <cellStyle name="PSInt 5 3 2" xfId="765"/>
    <cellStyle name="PSInt 6" xfId="766"/>
    <cellStyle name="PSInt 6 2" xfId="767"/>
    <cellStyle name="PSInt 7" xfId="768"/>
    <cellStyle name="PSInt 8" xfId="769"/>
    <cellStyle name="PSInt 9" xfId="770"/>
    <cellStyle name="PSSpacer" xfId="10"/>
    <cellStyle name="PSSpacer 2" xfId="771"/>
    <cellStyle name="PSSpacer 2 2" xfId="772"/>
    <cellStyle name="PSSpacer 3" xfId="773"/>
    <cellStyle name="PSSpacer 3 2" xfId="774"/>
    <cellStyle name="PSSpacer 4" xfId="775"/>
    <cellStyle name="PSSpacer 4 2" xfId="776"/>
    <cellStyle name="PSSpacer 5" xfId="777"/>
    <cellStyle name="PSSpacer 5 2" xfId="778"/>
    <cellStyle name="PSSpacer 5 3" xfId="779"/>
    <cellStyle name="PSSpacer 5 3 2" xfId="780"/>
    <cellStyle name="PSSpacer 6" xfId="781"/>
    <cellStyle name="PSSpacer 6 2" xfId="782"/>
    <cellStyle name="PSSpacer 7" xfId="783"/>
    <cellStyle name="PSSpacer 8" xfId="784"/>
    <cellStyle name="Title 2" xfId="50"/>
    <cellStyle name="Total 2" xfId="51"/>
    <cellStyle name="Warning Text 2" xfId="52"/>
  </cellStyles>
  <dxfs count="0"/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Regulatory%20Services/2014%20Compliance%20Plan/Workpapers/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tabSelected="1" zoomScaleNormal="100" workbookViewId="0">
      <selection activeCell="L19" sqref="L19"/>
    </sheetView>
  </sheetViews>
  <sheetFormatPr defaultColWidth="9.140625" defaultRowHeight="12.75"/>
  <cols>
    <col min="1" max="1" width="6.28515625" style="129" customWidth="1"/>
    <col min="2" max="2" width="34" style="128" customWidth="1"/>
    <col min="3" max="3" width="15.7109375" style="128" customWidth="1"/>
    <col min="4" max="4" width="16.28515625" style="128" customWidth="1"/>
    <col min="5" max="5" width="13.140625" style="128" customWidth="1"/>
    <col min="6" max="6" width="14.7109375" style="128" customWidth="1"/>
    <col min="7" max="7" width="15.42578125" style="131" customWidth="1"/>
    <col min="8" max="9" width="15.42578125" style="128" customWidth="1"/>
    <col min="10" max="10" width="13.28515625" style="128" bestFit="1" customWidth="1"/>
    <col min="11" max="11" width="21.42578125" style="128" bestFit="1" customWidth="1"/>
    <col min="12" max="12" width="43.5703125" style="128" bestFit="1" customWidth="1"/>
    <col min="13" max="13" width="13.28515625" style="128" bestFit="1" customWidth="1"/>
    <col min="14" max="14" width="10" style="128" bestFit="1" customWidth="1"/>
    <col min="15" max="15" width="9.140625" style="128"/>
    <col min="16" max="16" width="12.5703125" style="128" bestFit="1" customWidth="1"/>
    <col min="17" max="17" width="9.140625" style="128"/>
    <col min="18" max="18" width="10" style="128" bestFit="1" customWidth="1"/>
    <col min="19" max="16384" width="9.140625" style="128"/>
  </cols>
  <sheetData>
    <row r="1" spans="1:18" ht="12.75" customHeight="1">
      <c r="A1" s="353" t="s">
        <v>309</v>
      </c>
      <c r="B1" s="353"/>
      <c r="C1" s="353"/>
      <c r="D1" s="353"/>
      <c r="E1" s="353"/>
      <c r="F1" s="353"/>
      <c r="G1" s="353"/>
      <c r="H1" s="353"/>
      <c r="I1" s="353"/>
    </row>
    <row r="2" spans="1:18">
      <c r="A2" s="354" t="s">
        <v>310</v>
      </c>
      <c r="B2" s="354"/>
      <c r="C2" s="354"/>
      <c r="D2" s="354"/>
      <c r="E2" s="354"/>
      <c r="F2" s="354"/>
      <c r="G2" s="354"/>
      <c r="H2" s="354"/>
      <c r="I2" s="354"/>
    </row>
    <row r="3" spans="1:18">
      <c r="A3" s="351"/>
      <c r="B3" s="351"/>
      <c r="C3" s="351"/>
      <c r="D3" s="351"/>
      <c r="E3" s="351"/>
      <c r="F3" s="351"/>
      <c r="G3" s="351"/>
    </row>
    <row r="4" spans="1:18" ht="51">
      <c r="A4" s="167"/>
      <c r="B4" s="167"/>
      <c r="C4" s="167"/>
      <c r="D4" s="167"/>
      <c r="E4" s="167"/>
      <c r="F4" s="167"/>
      <c r="G4" s="246" t="s">
        <v>311</v>
      </c>
      <c r="H4" s="246" t="s">
        <v>312</v>
      </c>
      <c r="I4" s="246" t="s">
        <v>313</v>
      </c>
      <c r="K4" s="129"/>
      <c r="L4" s="129"/>
    </row>
    <row r="5" spans="1:18">
      <c r="A5" s="132" t="s">
        <v>103</v>
      </c>
    </row>
    <row r="6" spans="1:18" s="166" customFormat="1">
      <c r="A6" s="134">
        <v>-1</v>
      </c>
      <c r="B6" s="352" t="s">
        <v>295</v>
      </c>
      <c r="C6" s="352"/>
      <c r="D6" s="352"/>
      <c r="E6" s="352"/>
      <c r="F6" s="352"/>
      <c r="G6" s="168">
        <v>116724304.57782549</v>
      </c>
      <c r="H6" s="168"/>
      <c r="I6" s="168">
        <v>116724304.57782549</v>
      </c>
      <c r="J6" s="169"/>
      <c r="K6" s="170"/>
      <c r="L6" s="171"/>
    </row>
    <row r="7" spans="1:18" s="166" customFormat="1">
      <c r="A7" s="244"/>
      <c r="B7" s="243"/>
      <c r="C7" s="243"/>
      <c r="D7" s="243"/>
      <c r="E7" s="243"/>
      <c r="F7" s="243"/>
      <c r="G7" s="168"/>
      <c r="H7" s="168"/>
      <c r="I7" s="168"/>
      <c r="K7" s="170"/>
      <c r="L7" s="171"/>
    </row>
    <row r="8" spans="1:18" s="166" customFormat="1" ht="14.45" customHeight="1">
      <c r="A8" s="134">
        <f>A6-1</f>
        <v>-2</v>
      </c>
      <c r="B8" s="172" t="s">
        <v>169</v>
      </c>
      <c r="C8" s="243"/>
      <c r="D8" s="243"/>
      <c r="E8" s="243"/>
      <c r="F8" s="243"/>
      <c r="G8" s="168">
        <v>98165700.365098864</v>
      </c>
      <c r="H8" s="168"/>
      <c r="I8" s="168">
        <v>98165700.365098864</v>
      </c>
      <c r="J8" s="171"/>
      <c r="K8" s="170"/>
      <c r="L8" s="171"/>
    </row>
    <row r="9" spans="1:18" s="166" customFormat="1">
      <c r="A9" s="244"/>
      <c r="B9" s="243"/>
      <c r="C9" s="243"/>
      <c r="D9" s="243"/>
      <c r="E9" s="243"/>
      <c r="F9" s="243"/>
      <c r="G9" s="168"/>
      <c r="H9" s="168"/>
      <c r="I9" s="168"/>
      <c r="K9" s="170"/>
      <c r="L9" s="171"/>
    </row>
    <row r="10" spans="1:18" s="166" customFormat="1">
      <c r="A10" s="134">
        <f>A8-1</f>
        <v>-3</v>
      </c>
      <c r="B10" s="172" t="s">
        <v>286</v>
      </c>
      <c r="C10" s="243"/>
      <c r="D10" s="243"/>
      <c r="E10" s="243"/>
      <c r="F10" s="243"/>
      <c r="G10" s="168">
        <v>18558604.212726615</v>
      </c>
      <c r="H10" s="168"/>
      <c r="I10" s="168">
        <v>18558604.212726615</v>
      </c>
      <c r="J10" s="171"/>
      <c r="K10" s="170"/>
      <c r="L10" s="171"/>
      <c r="R10" s="171"/>
    </row>
    <row r="11" spans="1:18" s="166" customFormat="1">
      <c r="A11" s="134"/>
      <c r="B11" s="172"/>
      <c r="C11" s="243"/>
      <c r="D11" s="243"/>
      <c r="E11" s="243"/>
      <c r="F11" s="243"/>
      <c r="G11" s="168"/>
      <c r="H11" s="168"/>
      <c r="I11" s="168"/>
      <c r="J11" s="173"/>
      <c r="K11" s="170"/>
      <c r="L11" s="171"/>
    </row>
    <row r="12" spans="1:18" s="166" customFormat="1">
      <c r="A12" s="134">
        <f>A10-1</f>
        <v>-4</v>
      </c>
      <c r="B12" s="172" t="s">
        <v>287</v>
      </c>
      <c r="C12" s="243"/>
      <c r="D12" s="243"/>
      <c r="E12" s="243"/>
      <c r="F12" s="243"/>
      <c r="G12" s="242">
        <v>9999999.959999999</v>
      </c>
      <c r="H12" s="242">
        <f>-G12</f>
        <v>-9999999.959999999</v>
      </c>
      <c r="I12" s="242">
        <f>SUM(G12:H12)</f>
        <v>0</v>
      </c>
      <c r="J12" s="173"/>
      <c r="K12" s="170"/>
      <c r="L12" s="171"/>
    </row>
    <row r="13" spans="1:18" s="166" customFormat="1">
      <c r="A13" s="134"/>
      <c r="B13" s="172"/>
      <c r="C13" s="243"/>
      <c r="D13" s="243"/>
      <c r="E13" s="243"/>
      <c r="F13" s="243"/>
      <c r="G13" s="168"/>
      <c r="H13" s="168"/>
      <c r="I13" s="168"/>
      <c r="K13" s="170"/>
      <c r="L13" s="171"/>
    </row>
    <row r="14" spans="1:18" s="166" customFormat="1">
      <c r="A14" s="134">
        <f>A12-1</f>
        <v>-5</v>
      </c>
      <c r="B14" s="172" t="s">
        <v>185</v>
      </c>
      <c r="C14" s="243"/>
      <c r="D14" s="243"/>
      <c r="E14" s="243"/>
      <c r="F14" s="243"/>
      <c r="G14" s="242">
        <v>0</v>
      </c>
      <c r="H14" s="242">
        <v>-40831141</v>
      </c>
      <c r="I14" s="242">
        <f>SUM(G14:H14)</f>
        <v>-40831141</v>
      </c>
      <c r="K14" s="170"/>
      <c r="L14" s="171"/>
    </row>
    <row r="15" spans="1:18" s="166" customFormat="1">
      <c r="A15" s="244"/>
      <c r="B15" s="243"/>
      <c r="C15" s="243"/>
      <c r="D15" s="243"/>
      <c r="E15" s="243"/>
      <c r="F15" s="243"/>
      <c r="G15" s="168"/>
      <c r="H15" s="168"/>
      <c r="I15" s="168"/>
      <c r="K15" s="170"/>
      <c r="L15" s="171"/>
    </row>
    <row r="16" spans="1:18" s="166" customFormat="1">
      <c r="A16" s="134">
        <f>A14-1</f>
        <v>-6</v>
      </c>
      <c r="B16" s="166" t="s">
        <v>184</v>
      </c>
      <c r="G16" s="171">
        <v>28558604.172726616</v>
      </c>
      <c r="H16" s="171"/>
      <c r="I16" s="171">
        <v>-22272536.787273385</v>
      </c>
      <c r="K16" s="170"/>
      <c r="L16" s="171"/>
    </row>
    <row r="17" spans="1:16" s="166" customFormat="1">
      <c r="A17" s="134"/>
    </row>
    <row r="18" spans="1:16" s="166" customFormat="1">
      <c r="A18" s="134">
        <f>A16-1</f>
        <v>-7</v>
      </c>
      <c r="B18" s="172" t="s">
        <v>279</v>
      </c>
      <c r="C18" s="243"/>
      <c r="D18" s="243"/>
      <c r="E18" s="243"/>
      <c r="F18" s="243"/>
      <c r="G18" s="168">
        <f>G16*0.006093</f>
        <v>174007.57522442329</v>
      </c>
      <c r="H18" s="168"/>
      <c r="I18" s="168">
        <f>I16*0.006093</f>
        <v>-135706.56664485674</v>
      </c>
    </row>
    <row r="19" spans="1:16" s="166" customFormat="1">
      <c r="A19" s="134"/>
      <c r="B19" s="172"/>
      <c r="C19" s="243"/>
      <c r="D19" s="243"/>
      <c r="E19" s="243"/>
      <c r="F19" s="243"/>
      <c r="G19" s="168"/>
      <c r="H19" s="168"/>
      <c r="I19" s="168"/>
    </row>
    <row r="20" spans="1:16">
      <c r="A20" s="134">
        <f>A18-1</f>
        <v>-8</v>
      </c>
      <c r="B20" s="172" t="s">
        <v>186</v>
      </c>
      <c r="C20" s="243"/>
      <c r="D20" s="243"/>
      <c r="E20" s="243"/>
      <c r="F20" s="243"/>
      <c r="G20" s="242">
        <v>0</v>
      </c>
      <c r="H20" s="242">
        <v>13539509.601463126</v>
      </c>
      <c r="I20" s="242">
        <f>SUM(G20:H20)</f>
        <v>13539509.601463126</v>
      </c>
      <c r="J20" s="166"/>
    </row>
    <row r="21" spans="1:16" s="166" customFormat="1">
      <c r="A21" s="134"/>
      <c r="B21" s="172"/>
      <c r="C21" s="243"/>
      <c r="D21" s="243"/>
      <c r="E21" s="243"/>
      <c r="F21" s="243"/>
      <c r="G21" s="168"/>
      <c r="H21" s="168"/>
      <c r="I21" s="168"/>
    </row>
    <row r="22" spans="1:16" s="166" customFormat="1">
      <c r="A22" s="134">
        <f>A20-1</f>
        <v>-9</v>
      </c>
      <c r="B22" s="172" t="s">
        <v>180</v>
      </c>
      <c r="C22" s="243"/>
      <c r="D22" s="243"/>
      <c r="E22" s="243"/>
      <c r="F22" s="243"/>
      <c r="G22" s="242">
        <v>0</v>
      </c>
      <c r="H22" s="242">
        <v>22785645.301422402</v>
      </c>
      <c r="I22" s="242">
        <f>SUM(G22:H22)</f>
        <v>22785645.301422402</v>
      </c>
    </row>
    <row r="23" spans="1:16" s="166" customFormat="1">
      <c r="A23" s="134"/>
      <c r="B23" s="172"/>
      <c r="C23" s="243"/>
      <c r="D23" s="243"/>
      <c r="E23" s="243"/>
      <c r="F23" s="243"/>
      <c r="G23" s="168"/>
      <c r="H23" s="168"/>
      <c r="I23" s="168"/>
    </row>
    <row r="24" spans="1:16" s="166" customFormat="1">
      <c r="A24" s="134">
        <f>A22-1</f>
        <v>-10</v>
      </c>
      <c r="B24" s="172" t="s">
        <v>181</v>
      </c>
      <c r="C24" s="243"/>
      <c r="D24" s="243"/>
      <c r="E24" s="243"/>
      <c r="F24" s="243"/>
      <c r="G24" s="168">
        <v>0</v>
      </c>
      <c r="H24" s="168"/>
      <c r="I24" s="168">
        <v>0</v>
      </c>
      <c r="J24" s="166" t="s">
        <v>195</v>
      </c>
    </row>
    <row r="25" spans="1:16" s="166" customFormat="1">
      <c r="A25" s="134"/>
      <c r="B25" s="172"/>
      <c r="C25" s="243"/>
      <c r="D25" s="243"/>
      <c r="E25" s="243"/>
      <c r="F25" s="243"/>
      <c r="G25" s="168"/>
      <c r="H25" s="168"/>
      <c r="I25" s="168"/>
    </row>
    <row r="26" spans="1:16" s="166" customFormat="1">
      <c r="A26" s="134">
        <f>A24-1</f>
        <v>-11</v>
      </c>
      <c r="B26" s="172" t="s">
        <v>182</v>
      </c>
      <c r="C26" s="243"/>
      <c r="D26" s="243"/>
      <c r="E26" s="243"/>
      <c r="F26" s="243"/>
      <c r="G26" s="168">
        <f>G16+G18+G20+G22+G24</f>
        <v>28732611.747951038</v>
      </c>
      <c r="H26" s="168"/>
      <c r="I26" s="168">
        <f>I16+I18+I20+I22+I24</f>
        <v>13916911.548967285</v>
      </c>
      <c r="N26" s="171"/>
    </row>
    <row r="27" spans="1:16" s="166" customFormat="1" ht="14.1" customHeight="1">
      <c r="A27" s="134"/>
      <c r="B27" s="172"/>
      <c r="C27" s="243"/>
      <c r="D27" s="243"/>
      <c r="E27" s="243"/>
      <c r="F27" s="243"/>
      <c r="G27" s="168"/>
      <c r="H27" s="168"/>
      <c r="I27" s="168"/>
    </row>
    <row r="28" spans="1:16" s="166" customFormat="1">
      <c r="A28" s="134">
        <f>A26-1</f>
        <v>-12</v>
      </c>
      <c r="B28" s="128" t="s">
        <v>296</v>
      </c>
      <c r="C28" s="128"/>
      <c r="D28" s="128"/>
      <c r="E28" s="128"/>
      <c r="F28" s="128"/>
      <c r="G28" s="168">
        <v>20956127.23008306</v>
      </c>
      <c r="H28" s="168"/>
      <c r="I28" s="168">
        <v>20956127.23008306</v>
      </c>
    </row>
    <row r="29" spans="1:16" s="166" customFormat="1">
      <c r="A29" s="134" t="s">
        <v>45</v>
      </c>
      <c r="B29" s="128"/>
      <c r="C29" s="128"/>
      <c r="D29" s="128"/>
      <c r="E29" s="128"/>
      <c r="F29" s="128"/>
      <c r="G29" s="168"/>
      <c r="H29" s="168"/>
      <c r="I29" s="168"/>
      <c r="M29" s="173"/>
    </row>
    <row r="30" spans="1:16" s="166" customFormat="1" ht="13.9" customHeight="1">
      <c r="A30" s="134">
        <f>A28-1</f>
        <v>-13</v>
      </c>
      <c r="B30" s="128" t="s">
        <v>112</v>
      </c>
      <c r="C30" s="128"/>
      <c r="D30" s="128"/>
      <c r="E30" s="128"/>
      <c r="F30" s="128"/>
      <c r="G30" s="245">
        <f>(3/12)*14559836+(9/12)*23062820</f>
        <v>20937074</v>
      </c>
      <c r="H30" s="245"/>
      <c r="I30" s="245">
        <f>(3/12)*14559836+(9/12)*23062820</f>
        <v>20937074</v>
      </c>
      <c r="J30" s="128"/>
      <c r="M30" s="171"/>
    </row>
    <row r="31" spans="1:16" s="166" customFormat="1" ht="18.600000000000001" customHeight="1">
      <c r="A31" s="129"/>
      <c r="B31" s="128"/>
      <c r="C31" s="128"/>
      <c r="D31" s="128"/>
      <c r="E31" s="128"/>
      <c r="F31" s="128"/>
      <c r="G31" s="168"/>
      <c r="H31" s="168"/>
      <c r="I31" s="168"/>
      <c r="J31" s="128"/>
      <c r="M31" s="173"/>
      <c r="P31" s="173"/>
    </row>
    <row r="32" spans="1:16" s="166" customFormat="1" ht="13.5" thickBot="1">
      <c r="A32" s="134">
        <f>A30-1</f>
        <v>-14</v>
      </c>
      <c r="B32" s="128" t="s">
        <v>257</v>
      </c>
      <c r="C32" s="128"/>
      <c r="D32" s="128"/>
      <c r="E32" s="128"/>
      <c r="F32" s="128"/>
      <c r="G32" s="185">
        <f>G26-G28+G30</f>
        <v>28713558.517867979</v>
      </c>
      <c r="H32" s="185"/>
      <c r="I32" s="185">
        <f>I26-I28+I30</f>
        <v>13897858.318884226</v>
      </c>
      <c r="J32" s="128"/>
    </row>
    <row r="33" spans="4:10" ht="13.5" thickTop="1">
      <c r="H33" s="166"/>
      <c r="I33" s="166"/>
      <c r="J33" s="166"/>
    </row>
    <row r="34" spans="4:10">
      <c r="I34" s="166"/>
    </row>
    <row r="35" spans="4:10">
      <c r="D35" s="178"/>
      <c r="F35" s="179"/>
      <c r="G35" s="180"/>
    </row>
    <row r="36" spans="4:10">
      <c r="D36" s="178"/>
      <c r="F36" s="179"/>
      <c r="G36" s="180"/>
    </row>
    <row r="37" spans="4:10">
      <c r="D37" s="178"/>
      <c r="F37" s="179"/>
      <c r="G37" s="180"/>
    </row>
    <row r="38" spans="4:10">
      <c r="D38" s="178"/>
      <c r="F38" s="179"/>
      <c r="G38" s="180"/>
    </row>
    <row r="39" spans="4:10">
      <c r="D39" s="178"/>
      <c r="F39" s="179"/>
      <c r="G39" s="180"/>
    </row>
    <row r="40" spans="4:10">
      <c r="D40" s="178"/>
      <c r="F40" s="179"/>
      <c r="G40" s="180"/>
    </row>
    <row r="41" spans="4:10">
      <c r="D41" s="178"/>
      <c r="F41" s="179"/>
      <c r="G41" s="180"/>
    </row>
    <row r="42" spans="4:10">
      <c r="D42" s="178"/>
      <c r="F42" s="179"/>
      <c r="G42" s="180"/>
    </row>
  </sheetData>
  <mergeCells count="4">
    <mergeCell ref="A3:G3"/>
    <mergeCell ref="B6:F6"/>
    <mergeCell ref="A1:I1"/>
    <mergeCell ref="A2:I2"/>
  </mergeCells>
  <printOptions horizontalCentered="1"/>
  <pageMargins left="0.7" right="0.7" top="0.75" bottom="0.75" header="0.3" footer="0.3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zoomScaleNormal="100" workbookViewId="0">
      <pane ySplit="4" topLeftCell="A40" activePane="bottomLeft" state="frozen"/>
      <selection pane="bottomLeft" activeCell="D66" sqref="D66"/>
    </sheetView>
  </sheetViews>
  <sheetFormatPr defaultColWidth="8.85546875" defaultRowHeight="12.75"/>
  <cols>
    <col min="1" max="1" width="10.7109375" style="2" customWidth="1"/>
    <col min="2" max="2" width="5" style="3" bestFit="1" customWidth="1"/>
    <col min="3" max="3" width="0.28515625" style="2" customWidth="1"/>
    <col min="4" max="4" width="12.7109375" style="2" customWidth="1"/>
    <col min="5" max="5" width="0.28515625" style="2" customWidth="1"/>
    <col min="6" max="6" width="15.7109375" style="2" customWidth="1"/>
    <col min="7" max="7" width="0.28515625" style="2" customWidth="1"/>
    <col min="8" max="8" width="12.85546875" style="2" customWidth="1"/>
    <col min="9" max="9" width="0.28515625" style="2" customWidth="1"/>
    <col min="10" max="10" width="12.7109375" style="2" customWidth="1"/>
    <col min="11" max="11" width="3.7109375" style="2" customWidth="1"/>
    <col min="12" max="12" width="0.28515625" style="2" customWidth="1"/>
    <col min="13" max="13" width="12.7109375" style="2" customWidth="1"/>
    <col min="14" max="14" width="0.28515625" style="2" customWidth="1"/>
    <col min="15" max="15" width="9.7109375" style="2" customWidth="1"/>
    <col min="16" max="16" width="0.28515625" style="2" customWidth="1"/>
    <col min="17" max="17" width="3.7109375" style="2" customWidth="1"/>
    <col min="18" max="18" width="0.28515625" style="2" customWidth="1"/>
    <col min="19" max="19" width="12" style="2" bestFit="1" customWidth="1"/>
    <col min="20" max="20" width="2.28515625" style="2" customWidth="1"/>
    <col min="21" max="16384" width="8.85546875" style="2"/>
  </cols>
  <sheetData>
    <row r="1" spans="2:20" ht="15" customHeight="1">
      <c r="B1" s="362" t="s">
        <v>71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20" ht="14.45" customHeight="1">
      <c r="B2" s="363" t="s">
        <v>107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</row>
    <row r="4" spans="2:20">
      <c r="J4" s="3" t="s">
        <v>45</v>
      </c>
    </row>
    <row r="5" spans="2:20" ht="13.5" thickBo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2:20" ht="30" customHeight="1" thickBot="1">
      <c r="B6" s="7" t="s">
        <v>46</v>
      </c>
      <c r="C6" s="8"/>
      <c r="D6" s="67" t="s">
        <v>47</v>
      </c>
      <c r="E6" s="68"/>
      <c r="F6" s="69" t="s">
        <v>48</v>
      </c>
      <c r="G6" s="68"/>
      <c r="H6" s="69" t="s">
        <v>49</v>
      </c>
      <c r="I6" s="68"/>
      <c r="J6" s="69" t="s">
        <v>50</v>
      </c>
      <c r="K6" s="70"/>
      <c r="L6" s="68"/>
      <c r="M6" s="69" t="s">
        <v>51</v>
      </c>
      <c r="N6" s="71"/>
      <c r="O6" s="72" t="s">
        <v>52</v>
      </c>
      <c r="P6" s="72"/>
      <c r="Q6" s="71"/>
      <c r="R6" s="71"/>
      <c r="S6" s="73" t="s">
        <v>53</v>
      </c>
      <c r="T6" s="9"/>
    </row>
    <row r="7" spans="2:20" ht="30" customHeight="1" thickBot="1">
      <c r="B7" s="10"/>
      <c r="C7" s="11"/>
      <c r="D7" s="74"/>
      <c r="E7" s="11"/>
      <c r="F7" s="75" t="s">
        <v>98</v>
      </c>
      <c r="G7" s="11"/>
      <c r="H7" s="74"/>
      <c r="I7" s="11"/>
      <c r="J7" s="74"/>
      <c r="K7" s="76"/>
      <c r="L7" s="11"/>
      <c r="M7" s="74"/>
      <c r="N7" s="12"/>
      <c r="O7" s="13"/>
      <c r="P7" s="13"/>
      <c r="Q7" s="12"/>
      <c r="R7" s="12"/>
      <c r="S7" s="77"/>
      <c r="T7" s="9"/>
    </row>
    <row r="8" spans="2:20" ht="12.75" customHeight="1">
      <c r="B8" s="14"/>
      <c r="C8" s="15"/>
      <c r="D8" s="15"/>
      <c r="E8" s="15"/>
      <c r="F8" s="15"/>
      <c r="G8" s="15"/>
      <c r="H8" s="15"/>
      <c r="I8" s="15"/>
      <c r="J8" s="15"/>
      <c r="K8" s="78"/>
      <c r="L8" s="15"/>
      <c r="M8" s="15"/>
      <c r="N8" s="15"/>
      <c r="O8" s="15"/>
      <c r="P8" s="15"/>
      <c r="Q8" s="15"/>
      <c r="R8" s="15"/>
      <c r="S8" s="79"/>
      <c r="T8" s="6"/>
    </row>
    <row r="9" spans="2:20" ht="15" customHeight="1">
      <c r="B9" s="16">
        <v>1</v>
      </c>
      <c r="C9" s="12"/>
      <c r="D9" s="12" t="s">
        <v>54</v>
      </c>
      <c r="E9" s="12"/>
      <c r="F9" s="80">
        <v>648913758</v>
      </c>
      <c r="G9" s="12"/>
      <c r="H9" s="17">
        <f>ROUND(F9/$F$14,4)-0.01</f>
        <v>0.53449999999999998</v>
      </c>
      <c r="I9" s="12"/>
      <c r="J9" s="81">
        <v>4.36E-2</v>
      </c>
      <c r="K9" s="82"/>
      <c r="L9" s="12"/>
      <c r="M9" s="17">
        <f>ROUND(H9*J9,4)</f>
        <v>2.3300000000000001E-2</v>
      </c>
      <c r="N9" s="12"/>
      <c r="O9" s="83">
        <f>O38</f>
        <v>1.005425</v>
      </c>
      <c r="P9" s="12"/>
      <c r="Q9" s="84"/>
      <c r="R9" s="12"/>
      <c r="S9" s="85">
        <f>ROUND(M9*O9,6)</f>
        <v>2.3425999999999999E-2</v>
      </c>
      <c r="T9" s="18"/>
    </row>
    <row r="10" spans="2:20" ht="15">
      <c r="B10" s="16">
        <f>+B9+1</f>
        <v>2</v>
      </c>
      <c r="C10" s="12"/>
      <c r="D10" s="12" t="s">
        <v>55</v>
      </c>
      <c r="E10" s="12"/>
      <c r="F10" s="80">
        <v>0</v>
      </c>
      <c r="G10" s="12"/>
      <c r="H10" s="17">
        <v>3.2000000000000001E-2</v>
      </c>
      <c r="I10" s="12"/>
      <c r="J10" s="81">
        <v>1.2500000000000001E-2</v>
      </c>
      <c r="K10" s="82"/>
      <c r="L10" s="12"/>
      <c r="M10" s="17">
        <f>ROUND(H10*J10,4)</f>
        <v>4.0000000000000002E-4</v>
      </c>
      <c r="N10" s="12"/>
      <c r="O10" s="83">
        <f>O38</f>
        <v>1.005425</v>
      </c>
      <c r="P10" s="12"/>
      <c r="Q10" s="12"/>
      <c r="R10" s="12"/>
      <c r="S10" s="85">
        <f>ROUND(M10*O10,6)</f>
        <v>4.0200000000000001E-4</v>
      </c>
      <c r="T10" s="18"/>
    </row>
    <row r="11" spans="2:20" ht="33" customHeight="1">
      <c r="B11" s="16">
        <f>+B10+1</f>
        <v>3</v>
      </c>
      <c r="C11" s="12"/>
      <c r="D11" s="11" t="s">
        <v>56</v>
      </c>
      <c r="E11" s="12"/>
      <c r="F11" s="80">
        <v>46105009</v>
      </c>
      <c r="G11" s="12"/>
      <c r="H11" s="17">
        <v>1.67E-2</v>
      </c>
      <c r="I11" s="12"/>
      <c r="J11" s="81">
        <v>1.95E-2</v>
      </c>
      <c r="K11" s="82"/>
      <c r="L11" s="12"/>
      <c r="M11" s="17">
        <f>ROUND(H11*J11,4)</f>
        <v>2.9999999999999997E-4</v>
      </c>
      <c r="N11" s="12"/>
      <c r="O11" s="83">
        <f>O38</f>
        <v>1.005425</v>
      </c>
      <c r="P11" s="12"/>
      <c r="Q11" s="12"/>
      <c r="R11" s="12"/>
      <c r="S11" s="85">
        <f>ROUND(M11*O11,6)</f>
        <v>3.0200000000000002E-4</v>
      </c>
      <c r="T11" s="18"/>
    </row>
    <row r="12" spans="2:20" ht="15">
      <c r="B12" s="16">
        <f>+B11+1</f>
        <v>4</v>
      </c>
      <c r="C12" s="12"/>
      <c r="D12" s="12" t="s">
        <v>57</v>
      </c>
      <c r="E12" s="12"/>
      <c r="F12" s="80">
        <v>496766726</v>
      </c>
      <c r="G12" s="12"/>
      <c r="H12" s="17">
        <f>ROUND(F12/$F$14,4)</f>
        <v>0.4168</v>
      </c>
      <c r="I12" s="12"/>
      <c r="J12" s="86">
        <v>9.7000000000000003E-2</v>
      </c>
      <c r="K12" s="87" t="s">
        <v>58</v>
      </c>
      <c r="L12" s="12"/>
      <c r="M12" s="17">
        <f>ROUND(H12*J12,4)</f>
        <v>4.0399999999999998E-2</v>
      </c>
      <c r="N12" s="12"/>
      <c r="O12" s="88">
        <f>S38</f>
        <v>1.3521160000000001</v>
      </c>
      <c r="P12" s="12"/>
      <c r="Q12" s="19"/>
      <c r="R12" s="12"/>
      <c r="S12" s="85">
        <f>ROUND(M12*O12,6)</f>
        <v>5.4625E-2</v>
      </c>
      <c r="T12" s="18"/>
    </row>
    <row r="13" spans="2:20" ht="15">
      <c r="B13" s="16"/>
      <c r="C13" s="12"/>
      <c r="D13" s="12"/>
      <c r="E13" s="12"/>
      <c r="F13" s="80"/>
      <c r="G13" s="12"/>
      <c r="H13" s="89"/>
      <c r="I13" s="12"/>
      <c r="J13" s="90"/>
      <c r="K13" s="82"/>
      <c r="L13" s="12"/>
      <c r="M13" s="89"/>
      <c r="N13" s="12"/>
      <c r="O13" s="13"/>
      <c r="P13" s="12"/>
      <c r="Q13" s="12"/>
      <c r="R13" s="12"/>
      <c r="S13" s="91"/>
      <c r="T13" s="20"/>
    </row>
    <row r="14" spans="2:20" ht="15">
      <c r="B14" s="16">
        <f>+B12+1</f>
        <v>5</v>
      </c>
      <c r="C14" s="12"/>
      <c r="D14" s="12" t="s">
        <v>59</v>
      </c>
      <c r="E14" s="12"/>
      <c r="F14" s="92">
        <f>SUM(F9:F12)</f>
        <v>1191785493</v>
      </c>
      <c r="G14" s="12"/>
      <c r="H14" s="93">
        <f>SUM(H9:H12)</f>
        <v>1</v>
      </c>
      <c r="I14" s="12"/>
      <c r="J14" s="90"/>
      <c r="K14" s="82"/>
      <c r="L14" s="12"/>
      <c r="M14" s="93" t="s">
        <v>45</v>
      </c>
      <c r="N14" s="12"/>
      <c r="O14" s="12"/>
      <c r="P14" s="12"/>
      <c r="Q14" s="12"/>
      <c r="R14" s="12"/>
      <c r="S14" s="94">
        <f>SUM(S9:S13)</f>
        <v>7.8754999999999992E-2</v>
      </c>
      <c r="T14" s="21"/>
    </row>
    <row r="15" spans="2:20" ht="15">
      <c r="B15" s="16"/>
      <c r="C15" s="12"/>
      <c r="D15" s="12"/>
      <c r="E15" s="12"/>
      <c r="F15" s="12"/>
      <c r="G15" s="12"/>
      <c r="H15" s="12"/>
      <c r="I15" s="12"/>
      <c r="J15" s="12"/>
      <c r="K15" s="82"/>
      <c r="L15" s="12"/>
      <c r="M15" s="12"/>
      <c r="N15" s="12"/>
      <c r="O15" s="12"/>
      <c r="P15" s="12"/>
      <c r="Q15" s="12"/>
      <c r="R15" s="12"/>
      <c r="S15" s="95"/>
      <c r="T15" s="6"/>
    </row>
    <row r="16" spans="2:20" ht="15.75" thickBot="1">
      <c r="B16" s="22"/>
      <c r="C16" s="23"/>
      <c r="D16" s="23"/>
      <c r="E16" s="23"/>
      <c r="F16" s="23"/>
      <c r="G16" s="23"/>
      <c r="H16" s="23"/>
      <c r="I16" s="23"/>
      <c r="J16" s="23"/>
      <c r="K16" s="96"/>
      <c r="L16" s="23"/>
      <c r="M16" s="23"/>
      <c r="N16" s="23"/>
      <c r="O16" s="23"/>
      <c r="P16" s="23"/>
      <c r="Q16" s="23"/>
      <c r="R16" s="23"/>
      <c r="S16" s="97"/>
      <c r="T16" s="6"/>
    </row>
    <row r="17" spans="2:24" hidden="1">
      <c r="B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5"/>
      <c r="Q17" s="6"/>
      <c r="R17" s="6"/>
      <c r="S17" s="98"/>
      <c r="T17" s="6"/>
    </row>
    <row r="18" spans="2:24" ht="12" hidden="1" customHeight="1">
      <c r="B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5"/>
      <c r="Q18" s="6"/>
      <c r="R18" s="6"/>
      <c r="S18" s="98"/>
      <c r="T18" s="6"/>
    </row>
    <row r="19" spans="2:24" ht="12" customHeigh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5"/>
      <c r="Q19" s="6"/>
      <c r="R19" s="6"/>
      <c r="S19" s="6"/>
      <c r="T19" s="6"/>
    </row>
    <row r="20" spans="2:24" ht="12" customHeigh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5"/>
      <c r="Q20" s="6"/>
      <c r="R20" s="6"/>
      <c r="S20" s="6"/>
      <c r="T20" s="6"/>
    </row>
    <row r="21" spans="2:24" ht="12" customHeight="1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9" t="s">
        <v>60</v>
      </c>
      <c r="P21" s="99"/>
      <c r="S21" s="99" t="s">
        <v>61</v>
      </c>
      <c r="T21" s="6"/>
    </row>
    <row r="22" spans="2:24" ht="15">
      <c r="B22" s="19">
        <v>6</v>
      </c>
      <c r="C22" s="12"/>
      <c r="D22" s="84" t="s">
        <v>62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0">
        <v>100</v>
      </c>
      <c r="P22" s="12"/>
      <c r="Q22" s="12"/>
      <c r="R22" s="12"/>
      <c r="S22" s="101">
        <f>O22</f>
        <v>100</v>
      </c>
      <c r="T22" s="12"/>
      <c r="U22" s="25"/>
    </row>
    <row r="23" spans="2:24" ht="15"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02"/>
      <c r="T23" s="25"/>
      <c r="U23" s="25"/>
    </row>
    <row r="24" spans="2:24" ht="15">
      <c r="B24" s="19">
        <v>7</v>
      </c>
      <c r="C24" s="25"/>
      <c r="D24" s="103" t="s">
        <v>63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04">
        <v>0.34</v>
      </c>
      <c r="P24" s="25"/>
      <c r="Q24" s="25"/>
      <c r="R24" s="25"/>
      <c r="S24" s="102">
        <f>O24</f>
        <v>0.34</v>
      </c>
      <c r="T24" s="25"/>
      <c r="U24" s="25"/>
    </row>
    <row r="25" spans="2:24" ht="15">
      <c r="B25" s="1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102"/>
      <c r="T25" s="25"/>
      <c r="U25" s="25"/>
    </row>
    <row r="26" spans="2:24" ht="15">
      <c r="B26" s="19">
        <v>8</v>
      </c>
      <c r="C26" s="25"/>
      <c r="D26" s="103" t="s">
        <v>64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>
        <v>0.1996</v>
      </c>
      <c r="P26" s="25"/>
      <c r="Q26" s="25"/>
      <c r="R26" s="25"/>
      <c r="S26" s="102">
        <f>O26</f>
        <v>0.1996</v>
      </c>
      <c r="T26" s="25"/>
      <c r="U26" s="25"/>
    </row>
    <row r="27" spans="2:24" ht="15">
      <c r="B27" s="1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03" t="s">
        <v>45</v>
      </c>
      <c r="P27" s="25"/>
      <c r="Q27" s="25"/>
      <c r="R27" s="25"/>
      <c r="S27" s="102"/>
      <c r="T27" s="25"/>
      <c r="U27" s="25"/>
    </row>
    <row r="28" spans="2:24" ht="15">
      <c r="B28" s="19">
        <v>9</v>
      </c>
      <c r="C28" s="25"/>
      <c r="D28" s="103" t="s">
        <v>65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04">
        <f>O22-O24-O26</f>
        <v>99.460399999999993</v>
      </c>
      <c r="P28" s="25"/>
      <c r="Q28" s="25"/>
      <c r="R28" s="25"/>
      <c r="S28" s="102">
        <f>S22-S24-S26</f>
        <v>99.460399999999993</v>
      </c>
      <c r="T28" s="25"/>
      <c r="U28" s="25"/>
    </row>
    <row r="29" spans="2:24" ht="15">
      <c r="B29" s="19"/>
      <c r="C29" s="25"/>
      <c r="D29" s="10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02"/>
      <c r="T29" s="25"/>
      <c r="U29" s="25"/>
      <c r="X29" s="2" t="s">
        <v>45</v>
      </c>
    </row>
    <row r="30" spans="2:24" ht="15">
      <c r="B30" s="19">
        <v>10</v>
      </c>
      <c r="C30" s="25"/>
      <c r="D30" s="26" t="s">
        <v>66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/>
      <c r="P30" s="25"/>
      <c r="Q30" s="25"/>
      <c r="R30" s="25"/>
      <c r="S30" s="102">
        <f>ROUND(S28*0.058742,6)</f>
        <v>5.8425029999999998</v>
      </c>
      <c r="T30" s="25"/>
      <c r="U30" s="25"/>
    </row>
    <row r="31" spans="2:24" ht="15">
      <c r="B31" s="19"/>
      <c r="C31" s="25"/>
      <c r="D31" s="10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8"/>
      <c r="P31" s="25"/>
      <c r="Q31" s="25"/>
      <c r="R31" s="25"/>
      <c r="S31" s="102"/>
      <c r="T31" s="25"/>
      <c r="U31" s="25"/>
    </row>
    <row r="32" spans="2:24" ht="15">
      <c r="B32" s="19">
        <v>11</v>
      </c>
      <c r="C32" s="25"/>
      <c r="D32" s="26" t="s">
        <v>67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8"/>
      <c r="P32" s="25"/>
      <c r="Q32" s="25"/>
      <c r="R32" s="25"/>
      <c r="S32" s="102">
        <f>S28-S30</f>
        <v>93.617896999999999</v>
      </c>
      <c r="T32" s="25"/>
      <c r="U32" s="25"/>
    </row>
    <row r="33" spans="1:23" ht="15">
      <c r="B33" s="19"/>
      <c r="C33" s="25"/>
      <c r="D33" s="10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02"/>
      <c r="T33" s="25"/>
      <c r="U33" s="25"/>
    </row>
    <row r="34" spans="1:23" ht="15">
      <c r="B34" s="19">
        <f>B32+1</f>
        <v>12</v>
      </c>
      <c r="C34" s="25"/>
      <c r="D34" s="26" t="s">
        <v>233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05">
        <f>S32*0.21</f>
        <v>19.659758369999999</v>
      </c>
      <c r="T34" s="25"/>
      <c r="U34" s="25"/>
    </row>
    <row r="35" spans="1:23" ht="15">
      <c r="B35" s="19"/>
      <c r="C35" s="25"/>
      <c r="D35" s="2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02"/>
      <c r="T35" s="25"/>
      <c r="U35" s="25"/>
    </row>
    <row r="36" spans="1:23" ht="15">
      <c r="B36" s="19">
        <f>B34+1</f>
        <v>13</v>
      </c>
      <c r="C36" s="25"/>
      <c r="D36" s="26" t="s">
        <v>68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102">
        <f>S32-S34</f>
        <v>73.958138630000008</v>
      </c>
      <c r="T36" s="25"/>
      <c r="U36" s="25"/>
    </row>
    <row r="37" spans="1:23" ht="15">
      <c r="B37" s="19"/>
      <c r="C37" s="25"/>
      <c r="D37" s="26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9"/>
      <c r="T37" s="25"/>
      <c r="U37" s="25"/>
    </row>
    <row r="38" spans="1:23" ht="15">
      <c r="B38" s="19">
        <f>B36+1</f>
        <v>14</v>
      </c>
      <c r="C38" s="25"/>
      <c r="D38" s="26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06">
        <f>ROUND(100/O28,6)</f>
        <v>1.005425</v>
      </c>
      <c r="P38" s="25"/>
      <c r="Q38" s="25"/>
      <c r="R38" s="25"/>
      <c r="S38" s="107">
        <f>ROUND(100/S36,6)</f>
        <v>1.3521160000000001</v>
      </c>
      <c r="T38" s="25"/>
      <c r="U38" s="25"/>
    </row>
    <row r="39" spans="1:23" ht="15">
      <c r="B39" s="1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9"/>
      <c r="T39" s="25"/>
      <c r="U39" s="25"/>
    </row>
    <row r="40" spans="1:23">
      <c r="A40" s="63"/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26"/>
      <c r="U40" s="26"/>
      <c r="V40" s="4"/>
      <c r="W40" s="4"/>
    </row>
    <row r="41" spans="1:23">
      <c r="A41" s="27" t="s">
        <v>45</v>
      </c>
      <c r="B41" s="30"/>
      <c r="C41" s="26"/>
      <c r="D41" s="4" t="s">
        <v>45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31"/>
      <c r="T41" s="26"/>
      <c r="U41" s="26"/>
      <c r="V41" s="4"/>
      <c r="W41" s="4"/>
    </row>
    <row r="42" spans="1:23" ht="13.5" thickBot="1">
      <c r="A42" s="32" t="s">
        <v>45</v>
      </c>
      <c r="B42" s="33"/>
      <c r="C42" s="34" t="s">
        <v>70</v>
      </c>
      <c r="D42" s="34" t="s">
        <v>45</v>
      </c>
      <c r="E42" s="34"/>
      <c r="F42" s="34"/>
      <c r="G42" s="34"/>
      <c r="H42" s="4"/>
      <c r="I42" s="4"/>
      <c r="J42" s="4"/>
      <c r="K42" s="4"/>
      <c r="L42" s="4"/>
      <c r="M42" s="4"/>
      <c r="N42" s="4"/>
      <c r="O42" s="26"/>
      <c r="P42" s="26"/>
      <c r="Q42" s="26"/>
      <c r="R42" s="26"/>
      <c r="S42" s="26"/>
      <c r="T42" s="26"/>
      <c r="U42" s="26"/>
      <c r="V42" s="4"/>
      <c r="W42" s="4"/>
    </row>
    <row r="43" spans="1:23" ht="39" thickBot="1">
      <c r="B43" s="7" t="s">
        <v>46</v>
      </c>
      <c r="C43" s="8"/>
      <c r="D43" s="67" t="s">
        <v>47</v>
      </c>
      <c r="E43" s="68"/>
      <c r="F43" s="69" t="s">
        <v>48</v>
      </c>
      <c r="G43" s="68"/>
      <c r="H43" s="69" t="s">
        <v>49</v>
      </c>
      <c r="I43" s="68"/>
      <c r="J43" s="69" t="s">
        <v>50</v>
      </c>
      <c r="K43" s="70"/>
      <c r="L43" s="68"/>
      <c r="M43" s="69" t="s">
        <v>51</v>
      </c>
      <c r="N43" s="71"/>
      <c r="O43" s="72" t="s">
        <v>52</v>
      </c>
      <c r="P43" s="72"/>
      <c r="Q43" s="71"/>
      <c r="R43" s="71"/>
      <c r="S43" s="73" t="s">
        <v>53</v>
      </c>
      <c r="T43" s="25"/>
      <c r="U43" s="25"/>
    </row>
    <row r="44" spans="1:23" ht="26.25" thickBot="1">
      <c r="B44" s="10"/>
      <c r="C44" s="11"/>
      <c r="D44" s="74"/>
      <c r="E44" s="11"/>
      <c r="F44" s="75" t="s">
        <v>277</v>
      </c>
      <c r="G44" s="11"/>
      <c r="H44" s="74"/>
      <c r="I44" s="11"/>
      <c r="J44" s="74"/>
      <c r="K44" s="76"/>
      <c r="L44" s="11"/>
      <c r="M44" s="74"/>
      <c r="N44" s="12"/>
      <c r="O44" s="13"/>
      <c r="P44" s="13"/>
      <c r="Q44" s="12"/>
      <c r="R44" s="12"/>
      <c r="S44" s="77"/>
      <c r="T44" s="12"/>
      <c r="U44" s="25"/>
    </row>
    <row r="45" spans="1:23">
      <c r="B45" s="14"/>
      <c r="C45" s="15"/>
      <c r="D45" s="15"/>
      <c r="E45" s="15"/>
      <c r="F45" s="15"/>
      <c r="G45" s="15"/>
      <c r="H45" s="15"/>
      <c r="I45" s="15"/>
      <c r="J45" s="15"/>
      <c r="K45" s="78"/>
      <c r="L45" s="15"/>
      <c r="M45" s="15"/>
      <c r="N45" s="15"/>
      <c r="O45" s="15"/>
      <c r="P45" s="15"/>
      <c r="Q45" s="15"/>
      <c r="R45" s="15"/>
      <c r="S45" s="79"/>
      <c r="T45" s="12"/>
      <c r="U45" s="25"/>
    </row>
    <row r="46" spans="1:23" ht="15">
      <c r="B46" s="16">
        <v>1</v>
      </c>
      <c r="C46" s="12"/>
      <c r="D46" s="12" t="s">
        <v>54</v>
      </c>
      <c r="E46" s="12"/>
      <c r="F46" s="80">
        <v>752127351</v>
      </c>
      <c r="G46" s="12"/>
      <c r="H46" s="17">
        <v>0.5373</v>
      </c>
      <c r="I46" s="12"/>
      <c r="J46" s="81">
        <v>3.8899999999999997E-2</v>
      </c>
      <c r="K46" s="82"/>
      <c r="L46" s="12"/>
      <c r="M46" s="17">
        <f>ROUND(H46*J46,4)</f>
        <v>2.0899999999999998E-2</v>
      </c>
      <c r="N46" s="12"/>
      <c r="O46" s="83">
        <f>O75</f>
        <v>1.0060929999999999</v>
      </c>
      <c r="P46" s="12"/>
      <c r="Q46" s="84"/>
      <c r="R46" s="12"/>
      <c r="S46" s="85">
        <f>ROUND(M46*O46,6)</f>
        <v>2.1027000000000001E-2</v>
      </c>
      <c r="T46" s="12"/>
      <c r="U46" s="25"/>
    </row>
    <row r="47" spans="1:23" ht="15">
      <c r="B47" s="16">
        <f>+B46+1</f>
        <v>2</v>
      </c>
      <c r="C47" s="12"/>
      <c r="D47" s="12" t="s">
        <v>55</v>
      </c>
      <c r="E47" s="12"/>
      <c r="F47" s="80">
        <v>0</v>
      </c>
      <c r="G47" s="12"/>
      <c r="H47" s="17">
        <v>0</v>
      </c>
      <c r="I47" s="12"/>
      <c r="J47" s="81">
        <v>2.23E-2</v>
      </c>
      <c r="K47" s="82"/>
      <c r="L47" s="12"/>
      <c r="M47" s="17">
        <f>ROUND(H47*J47,4)</f>
        <v>0</v>
      </c>
      <c r="N47" s="12"/>
      <c r="O47" s="83">
        <f>O75</f>
        <v>1.0060929999999999</v>
      </c>
      <c r="P47" s="12"/>
      <c r="Q47" s="12"/>
      <c r="R47" s="12"/>
      <c r="S47" s="85">
        <f>ROUND(M47*O47,6)</f>
        <v>0</v>
      </c>
      <c r="T47" s="12"/>
      <c r="U47" s="25"/>
    </row>
    <row r="48" spans="1:23" ht="26.25">
      <c r="B48" s="16">
        <f>+B47+1</f>
        <v>3</v>
      </c>
      <c r="C48" s="12"/>
      <c r="D48" s="11" t="s">
        <v>56</v>
      </c>
      <c r="E48" s="12"/>
      <c r="F48" s="80">
        <v>42248832</v>
      </c>
      <c r="G48" s="12"/>
      <c r="H48" s="17">
        <v>3.0200000000000001E-2</v>
      </c>
      <c r="I48" s="12"/>
      <c r="J48" s="81">
        <v>2.8000000000000001E-2</v>
      </c>
      <c r="K48" s="82"/>
      <c r="L48" s="12"/>
      <c r="M48" s="17">
        <f>ROUND(H48*J48,4)</f>
        <v>8.0000000000000004E-4</v>
      </c>
      <c r="N48" s="12"/>
      <c r="O48" s="83">
        <f>O75</f>
        <v>1.0060929999999999</v>
      </c>
      <c r="P48" s="12"/>
      <c r="Q48" s="12"/>
      <c r="R48" s="12"/>
      <c r="S48" s="85">
        <f>ROUND(M48*O48,6)</f>
        <v>8.0500000000000005E-4</v>
      </c>
      <c r="T48" s="12"/>
      <c r="U48" s="25"/>
    </row>
    <row r="49" spans="2:21" ht="15">
      <c r="B49" s="16">
        <f>+B48+1</f>
        <v>4</v>
      </c>
      <c r="C49" s="12"/>
      <c r="D49" s="12" t="s">
        <v>57</v>
      </c>
      <c r="E49" s="12"/>
      <c r="F49" s="80">
        <v>605509950</v>
      </c>
      <c r="G49" s="12"/>
      <c r="H49" s="17">
        <v>0.4325</v>
      </c>
      <c r="I49" s="12"/>
      <c r="J49" s="86">
        <v>9.0999999999999998E-2</v>
      </c>
      <c r="K49" s="87"/>
      <c r="L49" s="12"/>
      <c r="M49" s="17">
        <f>ROUND(H49*J49,4)</f>
        <v>3.9399999999999998E-2</v>
      </c>
      <c r="N49" s="12"/>
      <c r="O49" s="88">
        <f>S75</f>
        <v>1.3527309999999999</v>
      </c>
      <c r="P49" s="12"/>
      <c r="Q49" s="19"/>
      <c r="R49" s="12"/>
      <c r="S49" s="85">
        <f>ROUND(M49*O49,6)</f>
        <v>5.3297999999999998E-2</v>
      </c>
      <c r="T49" s="12"/>
      <c r="U49" s="25"/>
    </row>
    <row r="50" spans="2:21" ht="15">
      <c r="B50" s="16"/>
      <c r="C50" s="12"/>
      <c r="D50" s="12"/>
      <c r="E50" s="12"/>
      <c r="F50" s="80"/>
      <c r="G50" s="12"/>
      <c r="H50" s="89"/>
      <c r="I50" s="12"/>
      <c r="J50" s="90"/>
      <c r="K50" s="82"/>
      <c r="L50" s="12"/>
      <c r="M50" s="89"/>
      <c r="N50" s="12"/>
      <c r="O50" s="13"/>
      <c r="P50" s="12"/>
      <c r="Q50" s="12"/>
      <c r="R50" s="12"/>
      <c r="S50" s="85"/>
      <c r="T50" s="25"/>
      <c r="U50" s="25"/>
    </row>
    <row r="51" spans="2:21" ht="15">
      <c r="B51" s="16">
        <f>+B49+1</f>
        <v>5</v>
      </c>
      <c r="C51" s="12"/>
      <c r="D51" s="12" t="s">
        <v>59</v>
      </c>
      <c r="E51" s="12"/>
      <c r="F51" s="92">
        <f>SUM(F46:F49)</f>
        <v>1399886133</v>
      </c>
      <c r="G51" s="12"/>
      <c r="H51" s="93">
        <f>SUM(H46:H49)</f>
        <v>1</v>
      </c>
      <c r="I51" s="12"/>
      <c r="J51" s="90"/>
      <c r="K51" s="82"/>
      <c r="L51" s="12"/>
      <c r="M51" s="93" t="s">
        <v>45</v>
      </c>
      <c r="N51" s="12"/>
      <c r="O51" s="12"/>
      <c r="P51" s="12"/>
      <c r="Q51" s="12"/>
      <c r="R51" s="12"/>
      <c r="S51" s="108">
        <f>ROUND(SUM(S46:S50),3)</f>
        <v>7.4999999999999997E-2</v>
      </c>
    </row>
    <row r="52" spans="2:21" ht="15">
      <c r="B52" s="16"/>
      <c r="C52" s="12"/>
      <c r="D52" s="12"/>
      <c r="E52" s="12"/>
      <c r="F52" s="12"/>
      <c r="G52" s="12"/>
      <c r="H52" s="12"/>
      <c r="I52" s="12"/>
      <c r="J52" s="12"/>
      <c r="K52" s="82"/>
      <c r="L52" s="12"/>
      <c r="M52" s="12"/>
      <c r="N52" s="12"/>
      <c r="O52" s="12"/>
      <c r="P52" s="12"/>
      <c r="Q52" s="12"/>
      <c r="R52" s="12"/>
      <c r="S52" s="95"/>
    </row>
    <row r="53" spans="2:21" ht="15.75" thickBot="1">
      <c r="B53" s="22"/>
      <c r="C53" s="23"/>
      <c r="D53" s="23"/>
      <c r="E53" s="23"/>
      <c r="F53" s="23"/>
      <c r="G53" s="23"/>
      <c r="H53" s="23"/>
      <c r="I53" s="23"/>
      <c r="J53" s="23"/>
      <c r="K53" s="96"/>
      <c r="L53" s="23"/>
      <c r="M53" s="23"/>
      <c r="N53" s="23"/>
      <c r="O53" s="23"/>
      <c r="P53" s="23"/>
      <c r="Q53" s="23"/>
      <c r="R53" s="23"/>
      <c r="S53" s="97"/>
    </row>
    <row r="54" spans="2:21">
      <c r="B54" s="2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5"/>
      <c r="Q54" s="6"/>
      <c r="R54" s="6"/>
      <c r="S54" s="98"/>
    </row>
    <row r="55" spans="2:21">
      <c r="B55" s="2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5"/>
      <c r="Q55" s="6"/>
      <c r="R55" s="6"/>
      <c r="S55" s="98"/>
    </row>
    <row r="56" spans="2:21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5"/>
      <c r="Q56" s="6"/>
      <c r="R56" s="6"/>
      <c r="S56" s="6"/>
    </row>
    <row r="57" spans="2:21"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5"/>
      <c r="Q57" s="6"/>
      <c r="R57" s="6"/>
      <c r="S57" s="6"/>
    </row>
    <row r="58" spans="2:21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9" t="s">
        <v>60</v>
      </c>
      <c r="P58" s="99"/>
      <c r="S58" s="99" t="s">
        <v>61</v>
      </c>
    </row>
    <row r="59" spans="2:21" ht="15">
      <c r="B59" s="19">
        <v>6</v>
      </c>
      <c r="C59" s="12"/>
      <c r="D59" s="84" t="s">
        <v>62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0">
        <v>100</v>
      </c>
      <c r="P59" s="12"/>
      <c r="Q59" s="12"/>
      <c r="R59" s="12"/>
      <c r="S59" s="100">
        <f>O59</f>
        <v>100</v>
      </c>
    </row>
    <row r="60" spans="2:21" ht="15">
      <c r="B60" s="1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109"/>
    </row>
    <row r="61" spans="2:21" ht="15">
      <c r="B61" s="19">
        <v>7</v>
      </c>
      <c r="C61" s="25"/>
      <c r="D61" s="103" t="s">
        <v>63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104">
        <v>0.41</v>
      </c>
      <c r="P61" s="25"/>
      <c r="Q61" s="25"/>
      <c r="R61" s="25"/>
      <c r="S61" s="109">
        <f>O61</f>
        <v>0.41</v>
      </c>
    </row>
    <row r="62" spans="2:21" ht="15">
      <c r="B62" s="1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109"/>
    </row>
    <row r="63" spans="2:21" ht="15">
      <c r="B63" s="19">
        <v>8</v>
      </c>
      <c r="C63" s="25"/>
      <c r="D63" s="103" t="s">
        <v>64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>
        <v>0.1956</v>
      </c>
      <c r="P63" s="25"/>
      <c r="Q63" s="25"/>
      <c r="R63" s="25"/>
      <c r="S63" s="109">
        <f>O63</f>
        <v>0.1956</v>
      </c>
    </row>
    <row r="64" spans="2:21" ht="15">
      <c r="B64" s="1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103" t="s">
        <v>45</v>
      </c>
      <c r="P64" s="25"/>
      <c r="Q64" s="25"/>
      <c r="R64" s="25"/>
      <c r="S64" s="109"/>
    </row>
    <row r="65" spans="1:19" ht="15">
      <c r="B65" s="19">
        <v>9</v>
      </c>
      <c r="C65" s="25"/>
      <c r="D65" s="103" t="s">
        <v>65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104">
        <f>O59-O61-O63</f>
        <v>99.394400000000005</v>
      </c>
      <c r="P65" s="25"/>
      <c r="Q65" s="25"/>
      <c r="R65" s="25"/>
      <c r="S65" s="109">
        <f>S59-S61-S63</f>
        <v>99.394400000000005</v>
      </c>
    </row>
    <row r="66" spans="1:19" ht="15">
      <c r="B66" s="19"/>
      <c r="C66" s="25"/>
      <c r="D66" s="103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109"/>
    </row>
    <row r="67" spans="1:19" ht="15">
      <c r="B67" s="19">
        <v>10</v>
      </c>
      <c r="C67" s="25"/>
      <c r="D67" s="26" t="s">
        <v>274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7"/>
      <c r="P67" s="25"/>
      <c r="Q67" s="25"/>
      <c r="R67" s="25"/>
      <c r="S67" s="109">
        <f>S65*0.058545</f>
        <v>5.8190451479999998</v>
      </c>
    </row>
    <row r="68" spans="1:19" ht="15">
      <c r="B68" s="19"/>
      <c r="C68" s="25"/>
      <c r="D68" s="103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8"/>
      <c r="P68" s="25"/>
      <c r="Q68" s="25"/>
      <c r="R68" s="25"/>
      <c r="S68" s="109"/>
    </row>
    <row r="69" spans="1:19" ht="15">
      <c r="B69" s="19">
        <v>11</v>
      </c>
      <c r="C69" s="25"/>
      <c r="D69" s="26" t="s">
        <v>275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8"/>
      <c r="P69" s="25"/>
      <c r="Q69" s="25"/>
      <c r="R69" s="25"/>
      <c r="S69" s="109">
        <f>S65-S67</f>
        <v>93.575354852000004</v>
      </c>
    </row>
    <row r="70" spans="1:19" ht="15">
      <c r="B70" s="19"/>
      <c r="C70" s="25"/>
      <c r="D70" s="26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110"/>
    </row>
    <row r="71" spans="1:19" ht="15">
      <c r="B71" s="19">
        <v>12</v>
      </c>
      <c r="C71" s="25"/>
      <c r="D71" s="26" t="s">
        <v>276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110">
        <f>S69*0.21</f>
        <v>19.65082451892</v>
      </c>
    </row>
    <row r="72" spans="1:19" ht="15">
      <c r="B72" s="19"/>
      <c r="C72" s="25"/>
      <c r="D72" s="26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109"/>
    </row>
    <row r="73" spans="1:19" ht="15">
      <c r="B73" s="19">
        <v>13</v>
      </c>
      <c r="C73" s="25"/>
      <c r="D73" s="26" t="s">
        <v>68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109">
        <f>S69-S71</f>
        <v>73.92453033308</v>
      </c>
    </row>
    <row r="74" spans="1:19" ht="15">
      <c r="B74" s="19"/>
      <c r="C74" s="25"/>
      <c r="D74" s="26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19" ht="15">
      <c r="B75" s="19">
        <v>14</v>
      </c>
      <c r="C75" s="25"/>
      <c r="D75" s="26" t="s">
        <v>69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106">
        <f>ROUND(100/O65,6)</f>
        <v>1.0060929999999999</v>
      </c>
      <c r="P75" s="25"/>
      <c r="Q75" s="25"/>
      <c r="R75" s="25"/>
      <c r="S75" s="25">
        <f>ROUND(100/S73,6)</f>
        <v>1.3527309999999999</v>
      </c>
    </row>
    <row r="80" spans="1:19" ht="33" customHeight="1">
      <c r="A80" s="111" t="s">
        <v>190</v>
      </c>
      <c r="B80" s="30"/>
      <c r="C80" s="26"/>
      <c r="D80" s="364" t="s">
        <v>278</v>
      </c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S80" s="364"/>
    </row>
  </sheetData>
  <customSheetViews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80:S80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3"/>
  <sheetViews>
    <sheetView showGridLines="0" zoomScale="80" zoomScaleNormal="80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D5" sqref="D5"/>
    </sheetView>
  </sheetViews>
  <sheetFormatPr defaultRowHeight="15" outlineLevelRow="1"/>
  <cols>
    <col min="1" max="1" width="4.7109375" style="299" bestFit="1" customWidth="1"/>
    <col min="2" max="2" width="24.28515625" style="299" bestFit="1" customWidth="1"/>
    <col min="3" max="3" width="15.140625" style="299" bestFit="1" customWidth="1"/>
    <col min="4" max="4" width="12.28515625" style="299" bestFit="1" customWidth="1"/>
    <col min="5" max="5" width="15.140625" style="299" bestFit="1" customWidth="1"/>
    <col min="6" max="6" width="14.42578125" style="301" bestFit="1" customWidth="1"/>
    <col min="7" max="7" width="10.7109375" style="301" bestFit="1" customWidth="1"/>
    <col min="8" max="8" width="13" style="301" bestFit="1" customWidth="1"/>
    <col min="9" max="9" width="12.42578125" style="301" bestFit="1" customWidth="1"/>
    <col min="10" max="11" width="14.5703125" style="299" bestFit="1" customWidth="1"/>
    <col min="12" max="12" width="12.28515625" style="299" bestFit="1" customWidth="1"/>
    <col min="13" max="13" width="9.85546875" style="299" bestFit="1" customWidth="1"/>
    <col min="14" max="15" width="9.140625" style="299"/>
    <col min="16" max="16" width="23.28515625" style="299" bestFit="1" customWidth="1"/>
    <col min="17" max="19" width="9.140625" style="299"/>
    <col min="20" max="20" width="21.85546875" style="299" bestFit="1" customWidth="1"/>
    <col min="21" max="22" width="9.140625" style="299"/>
    <col min="23" max="23" width="14.28515625" style="299" bestFit="1" customWidth="1"/>
    <col min="24" max="29" width="9.140625" style="299"/>
    <col min="30" max="30" width="14.28515625" style="299" bestFit="1" customWidth="1"/>
    <col min="31" max="256" width="9.140625" style="299"/>
    <col min="257" max="257" width="4.7109375" style="299" bestFit="1" customWidth="1"/>
    <col min="258" max="258" width="24.28515625" style="299" bestFit="1" customWidth="1"/>
    <col min="259" max="259" width="11.85546875" style="299" bestFit="1" customWidth="1"/>
    <col min="260" max="260" width="12.28515625" style="299" bestFit="1" customWidth="1"/>
    <col min="261" max="261" width="12.5703125" style="299" bestFit="1" customWidth="1"/>
    <col min="262" max="262" width="12.28515625" style="299" bestFit="1" customWidth="1"/>
    <col min="263" max="263" width="10.7109375" style="299" bestFit="1" customWidth="1"/>
    <col min="264" max="265" width="12.42578125" style="299" bestFit="1" customWidth="1"/>
    <col min="266" max="266" width="12.140625" style="299" customWidth="1"/>
    <col min="267" max="267" width="14.5703125" style="299" bestFit="1" customWidth="1"/>
    <col min="268" max="268" width="11.85546875" style="299" bestFit="1" customWidth="1"/>
    <col min="269" max="269" width="9.85546875" style="299" bestFit="1" customWidth="1"/>
    <col min="270" max="512" width="9.140625" style="299"/>
    <col min="513" max="513" width="4.7109375" style="299" bestFit="1" customWidth="1"/>
    <col min="514" max="514" width="24.28515625" style="299" bestFit="1" customWidth="1"/>
    <col min="515" max="515" width="11.85546875" style="299" bestFit="1" customWidth="1"/>
    <col min="516" max="516" width="12.28515625" style="299" bestFit="1" customWidth="1"/>
    <col min="517" max="517" width="12.5703125" style="299" bestFit="1" customWidth="1"/>
    <col min="518" max="518" width="12.28515625" style="299" bestFit="1" customWidth="1"/>
    <col min="519" max="519" width="10.7109375" style="299" bestFit="1" customWidth="1"/>
    <col min="520" max="521" width="12.42578125" style="299" bestFit="1" customWidth="1"/>
    <col min="522" max="522" width="12.140625" style="299" customWidth="1"/>
    <col min="523" max="523" width="14.5703125" style="299" bestFit="1" customWidth="1"/>
    <col min="524" max="524" width="11.85546875" style="299" bestFit="1" customWidth="1"/>
    <col min="525" max="525" width="9.85546875" style="299" bestFit="1" customWidth="1"/>
    <col min="526" max="768" width="9.140625" style="299"/>
    <col min="769" max="769" width="4.7109375" style="299" bestFit="1" customWidth="1"/>
    <col min="770" max="770" width="24.28515625" style="299" bestFit="1" customWidth="1"/>
    <col min="771" max="771" width="11.85546875" style="299" bestFit="1" customWidth="1"/>
    <col min="772" max="772" width="12.28515625" style="299" bestFit="1" customWidth="1"/>
    <col min="773" max="773" width="12.5703125" style="299" bestFit="1" customWidth="1"/>
    <col min="774" max="774" width="12.28515625" style="299" bestFit="1" customWidth="1"/>
    <col min="775" max="775" width="10.7109375" style="299" bestFit="1" customWidth="1"/>
    <col min="776" max="777" width="12.42578125" style="299" bestFit="1" customWidth="1"/>
    <col min="778" max="778" width="12.140625" style="299" customWidth="1"/>
    <col min="779" max="779" width="14.5703125" style="299" bestFit="1" customWidth="1"/>
    <col min="780" max="780" width="11.85546875" style="299" bestFit="1" customWidth="1"/>
    <col min="781" max="781" width="9.85546875" style="299" bestFit="1" customWidth="1"/>
    <col min="782" max="1024" width="9.140625" style="299"/>
    <col min="1025" max="1025" width="4.7109375" style="299" bestFit="1" customWidth="1"/>
    <col min="1026" max="1026" width="24.28515625" style="299" bestFit="1" customWidth="1"/>
    <col min="1027" max="1027" width="11.85546875" style="299" bestFit="1" customWidth="1"/>
    <col min="1028" max="1028" width="12.28515625" style="299" bestFit="1" customWidth="1"/>
    <col min="1029" max="1029" width="12.5703125" style="299" bestFit="1" customWidth="1"/>
    <col min="1030" max="1030" width="12.28515625" style="299" bestFit="1" customWidth="1"/>
    <col min="1031" max="1031" width="10.7109375" style="299" bestFit="1" customWidth="1"/>
    <col min="1032" max="1033" width="12.42578125" style="299" bestFit="1" customWidth="1"/>
    <col min="1034" max="1034" width="12.140625" style="299" customWidth="1"/>
    <col min="1035" max="1035" width="14.5703125" style="299" bestFit="1" customWidth="1"/>
    <col min="1036" max="1036" width="11.85546875" style="299" bestFit="1" customWidth="1"/>
    <col min="1037" max="1037" width="9.85546875" style="299" bestFit="1" customWidth="1"/>
    <col min="1038" max="1280" width="9.140625" style="299"/>
    <col min="1281" max="1281" width="4.7109375" style="299" bestFit="1" customWidth="1"/>
    <col min="1282" max="1282" width="24.28515625" style="299" bestFit="1" customWidth="1"/>
    <col min="1283" max="1283" width="11.85546875" style="299" bestFit="1" customWidth="1"/>
    <col min="1284" max="1284" width="12.28515625" style="299" bestFit="1" customWidth="1"/>
    <col min="1285" max="1285" width="12.5703125" style="299" bestFit="1" customWidth="1"/>
    <col min="1286" max="1286" width="12.28515625" style="299" bestFit="1" customWidth="1"/>
    <col min="1287" max="1287" width="10.7109375" style="299" bestFit="1" customWidth="1"/>
    <col min="1288" max="1289" width="12.42578125" style="299" bestFit="1" customWidth="1"/>
    <col min="1290" max="1290" width="12.140625" style="299" customWidth="1"/>
    <col min="1291" max="1291" width="14.5703125" style="299" bestFit="1" customWidth="1"/>
    <col min="1292" max="1292" width="11.85546875" style="299" bestFit="1" customWidth="1"/>
    <col min="1293" max="1293" width="9.85546875" style="299" bestFit="1" customWidth="1"/>
    <col min="1294" max="1536" width="9.140625" style="299"/>
    <col min="1537" max="1537" width="4.7109375" style="299" bestFit="1" customWidth="1"/>
    <col min="1538" max="1538" width="24.28515625" style="299" bestFit="1" customWidth="1"/>
    <col min="1539" max="1539" width="11.85546875" style="299" bestFit="1" customWidth="1"/>
    <col min="1540" max="1540" width="12.28515625" style="299" bestFit="1" customWidth="1"/>
    <col min="1541" max="1541" width="12.5703125" style="299" bestFit="1" customWidth="1"/>
    <col min="1542" max="1542" width="12.28515625" style="299" bestFit="1" customWidth="1"/>
    <col min="1543" max="1543" width="10.7109375" style="299" bestFit="1" customWidth="1"/>
    <col min="1544" max="1545" width="12.42578125" style="299" bestFit="1" customWidth="1"/>
    <col min="1546" max="1546" width="12.140625" style="299" customWidth="1"/>
    <col min="1547" max="1547" width="14.5703125" style="299" bestFit="1" customWidth="1"/>
    <col min="1548" max="1548" width="11.85546875" style="299" bestFit="1" customWidth="1"/>
    <col min="1549" max="1549" width="9.85546875" style="299" bestFit="1" customWidth="1"/>
    <col min="1550" max="1792" width="9.140625" style="299"/>
    <col min="1793" max="1793" width="4.7109375" style="299" bestFit="1" customWidth="1"/>
    <col min="1794" max="1794" width="24.28515625" style="299" bestFit="1" customWidth="1"/>
    <col min="1795" max="1795" width="11.85546875" style="299" bestFit="1" customWidth="1"/>
    <col min="1796" max="1796" width="12.28515625" style="299" bestFit="1" customWidth="1"/>
    <col min="1797" max="1797" width="12.5703125" style="299" bestFit="1" customWidth="1"/>
    <col min="1798" max="1798" width="12.28515625" style="299" bestFit="1" customWidth="1"/>
    <col min="1799" max="1799" width="10.7109375" style="299" bestFit="1" customWidth="1"/>
    <col min="1800" max="1801" width="12.42578125" style="299" bestFit="1" customWidth="1"/>
    <col min="1802" max="1802" width="12.140625" style="299" customWidth="1"/>
    <col min="1803" max="1803" width="14.5703125" style="299" bestFit="1" customWidth="1"/>
    <col min="1804" max="1804" width="11.85546875" style="299" bestFit="1" customWidth="1"/>
    <col min="1805" max="1805" width="9.85546875" style="299" bestFit="1" customWidth="1"/>
    <col min="1806" max="2048" width="9.140625" style="299"/>
    <col min="2049" max="2049" width="4.7109375" style="299" bestFit="1" customWidth="1"/>
    <col min="2050" max="2050" width="24.28515625" style="299" bestFit="1" customWidth="1"/>
    <col min="2051" max="2051" width="11.85546875" style="299" bestFit="1" customWidth="1"/>
    <col min="2052" max="2052" width="12.28515625" style="299" bestFit="1" customWidth="1"/>
    <col min="2053" max="2053" width="12.5703125" style="299" bestFit="1" customWidth="1"/>
    <col min="2054" max="2054" width="12.28515625" style="299" bestFit="1" customWidth="1"/>
    <col min="2055" max="2055" width="10.7109375" style="299" bestFit="1" customWidth="1"/>
    <col min="2056" max="2057" width="12.42578125" style="299" bestFit="1" customWidth="1"/>
    <col min="2058" max="2058" width="12.140625" style="299" customWidth="1"/>
    <col min="2059" max="2059" width="14.5703125" style="299" bestFit="1" customWidth="1"/>
    <col min="2060" max="2060" width="11.85546875" style="299" bestFit="1" customWidth="1"/>
    <col min="2061" max="2061" width="9.85546875" style="299" bestFit="1" customWidth="1"/>
    <col min="2062" max="2304" width="9.140625" style="299"/>
    <col min="2305" max="2305" width="4.7109375" style="299" bestFit="1" customWidth="1"/>
    <col min="2306" max="2306" width="24.28515625" style="299" bestFit="1" customWidth="1"/>
    <col min="2307" max="2307" width="11.85546875" style="299" bestFit="1" customWidth="1"/>
    <col min="2308" max="2308" width="12.28515625" style="299" bestFit="1" customWidth="1"/>
    <col min="2309" max="2309" width="12.5703125" style="299" bestFit="1" customWidth="1"/>
    <col min="2310" max="2310" width="12.28515625" style="299" bestFit="1" customWidth="1"/>
    <col min="2311" max="2311" width="10.7109375" style="299" bestFit="1" customWidth="1"/>
    <col min="2312" max="2313" width="12.42578125" style="299" bestFit="1" customWidth="1"/>
    <col min="2314" max="2314" width="12.140625" style="299" customWidth="1"/>
    <col min="2315" max="2315" width="14.5703125" style="299" bestFit="1" customWidth="1"/>
    <col min="2316" max="2316" width="11.85546875" style="299" bestFit="1" customWidth="1"/>
    <col min="2317" max="2317" width="9.85546875" style="299" bestFit="1" customWidth="1"/>
    <col min="2318" max="2560" width="9.140625" style="299"/>
    <col min="2561" max="2561" width="4.7109375" style="299" bestFit="1" customWidth="1"/>
    <col min="2562" max="2562" width="24.28515625" style="299" bestFit="1" customWidth="1"/>
    <col min="2563" max="2563" width="11.85546875" style="299" bestFit="1" customWidth="1"/>
    <col min="2564" max="2564" width="12.28515625" style="299" bestFit="1" customWidth="1"/>
    <col min="2565" max="2565" width="12.5703125" style="299" bestFit="1" customWidth="1"/>
    <col min="2566" max="2566" width="12.28515625" style="299" bestFit="1" customWidth="1"/>
    <col min="2567" max="2567" width="10.7109375" style="299" bestFit="1" customWidth="1"/>
    <col min="2568" max="2569" width="12.42578125" style="299" bestFit="1" customWidth="1"/>
    <col min="2570" max="2570" width="12.140625" style="299" customWidth="1"/>
    <col min="2571" max="2571" width="14.5703125" style="299" bestFit="1" customWidth="1"/>
    <col min="2572" max="2572" width="11.85546875" style="299" bestFit="1" customWidth="1"/>
    <col min="2573" max="2573" width="9.85546875" style="299" bestFit="1" customWidth="1"/>
    <col min="2574" max="2816" width="9.140625" style="299"/>
    <col min="2817" max="2817" width="4.7109375" style="299" bestFit="1" customWidth="1"/>
    <col min="2818" max="2818" width="24.28515625" style="299" bestFit="1" customWidth="1"/>
    <col min="2819" max="2819" width="11.85546875" style="299" bestFit="1" customWidth="1"/>
    <col min="2820" max="2820" width="12.28515625" style="299" bestFit="1" customWidth="1"/>
    <col min="2821" max="2821" width="12.5703125" style="299" bestFit="1" customWidth="1"/>
    <col min="2822" max="2822" width="12.28515625" style="299" bestFit="1" customWidth="1"/>
    <col min="2823" max="2823" width="10.7109375" style="299" bestFit="1" customWidth="1"/>
    <col min="2824" max="2825" width="12.42578125" style="299" bestFit="1" customWidth="1"/>
    <col min="2826" max="2826" width="12.140625" style="299" customWidth="1"/>
    <col min="2827" max="2827" width="14.5703125" style="299" bestFit="1" customWidth="1"/>
    <col min="2828" max="2828" width="11.85546875" style="299" bestFit="1" customWidth="1"/>
    <col min="2829" max="2829" width="9.85546875" style="299" bestFit="1" customWidth="1"/>
    <col min="2830" max="3072" width="9.140625" style="299"/>
    <col min="3073" max="3073" width="4.7109375" style="299" bestFit="1" customWidth="1"/>
    <col min="3074" max="3074" width="24.28515625" style="299" bestFit="1" customWidth="1"/>
    <col min="3075" max="3075" width="11.85546875" style="299" bestFit="1" customWidth="1"/>
    <col min="3076" max="3076" width="12.28515625" style="299" bestFit="1" customWidth="1"/>
    <col min="3077" max="3077" width="12.5703125" style="299" bestFit="1" customWidth="1"/>
    <col min="3078" max="3078" width="12.28515625" style="299" bestFit="1" customWidth="1"/>
    <col min="3079" max="3079" width="10.7109375" style="299" bestFit="1" customWidth="1"/>
    <col min="3080" max="3081" width="12.42578125" style="299" bestFit="1" customWidth="1"/>
    <col min="3082" max="3082" width="12.140625" style="299" customWidth="1"/>
    <col min="3083" max="3083" width="14.5703125" style="299" bestFit="1" customWidth="1"/>
    <col min="3084" max="3084" width="11.85546875" style="299" bestFit="1" customWidth="1"/>
    <col min="3085" max="3085" width="9.85546875" style="299" bestFit="1" customWidth="1"/>
    <col min="3086" max="3328" width="9.140625" style="299"/>
    <col min="3329" max="3329" width="4.7109375" style="299" bestFit="1" customWidth="1"/>
    <col min="3330" max="3330" width="24.28515625" style="299" bestFit="1" customWidth="1"/>
    <col min="3331" max="3331" width="11.85546875" style="299" bestFit="1" customWidth="1"/>
    <col min="3332" max="3332" width="12.28515625" style="299" bestFit="1" customWidth="1"/>
    <col min="3333" max="3333" width="12.5703125" style="299" bestFit="1" customWidth="1"/>
    <col min="3334" max="3334" width="12.28515625" style="299" bestFit="1" customWidth="1"/>
    <col min="3335" max="3335" width="10.7109375" style="299" bestFit="1" customWidth="1"/>
    <col min="3336" max="3337" width="12.42578125" style="299" bestFit="1" customWidth="1"/>
    <col min="3338" max="3338" width="12.140625" style="299" customWidth="1"/>
    <col min="3339" max="3339" width="14.5703125" style="299" bestFit="1" customWidth="1"/>
    <col min="3340" max="3340" width="11.85546875" style="299" bestFit="1" customWidth="1"/>
    <col min="3341" max="3341" width="9.85546875" style="299" bestFit="1" customWidth="1"/>
    <col min="3342" max="3584" width="9.140625" style="299"/>
    <col min="3585" max="3585" width="4.7109375" style="299" bestFit="1" customWidth="1"/>
    <col min="3586" max="3586" width="24.28515625" style="299" bestFit="1" customWidth="1"/>
    <col min="3587" max="3587" width="11.85546875" style="299" bestFit="1" customWidth="1"/>
    <col min="3588" max="3588" width="12.28515625" style="299" bestFit="1" customWidth="1"/>
    <col min="3589" max="3589" width="12.5703125" style="299" bestFit="1" customWidth="1"/>
    <col min="3590" max="3590" width="12.28515625" style="299" bestFit="1" customWidth="1"/>
    <col min="3591" max="3591" width="10.7109375" style="299" bestFit="1" customWidth="1"/>
    <col min="3592" max="3593" width="12.42578125" style="299" bestFit="1" customWidth="1"/>
    <col min="3594" max="3594" width="12.140625" style="299" customWidth="1"/>
    <col min="3595" max="3595" width="14.5703125" style="299" bestFit="1" customWidth="1"/>
    <col min="3596" max="3596" width="11.85546875" style="299" bestFit="1" customWidth="1"/>
    <col min="3597" max="3597" width="9.85546875" style="299" bestFit="1" customWidth="1"/>
    <col min="3598" max="3840" width="9.140625" style="299"/>
    <col min="3841" max="3841" width="4.7109375" style="299" bestFit="1" customWidth="1"/>
    <col min="3842" max="3842" width="24.28515625" style="299" bestFit="1" customWidth="1"/>
    <col min="3843" max="3843" width="11.85546875" style="299" bestFit="1" customWidth="1"/>
    <col min="3844" max="3844" width="12.28515625" style="299" bestFit="1" customWidth="1"/>
    <col min="3845" max="3845" width="12.5703125" style="299" bestFit="1" customWidth="1"/>
    <col min="3846" max="3846" width="12.28515625" style="299" bestFit="1" customWidth="1"/>
    <col min="3847" max="3847" width="10.7109375" style="299" bestFit="1" customWidth="1"/>
    <col min="3848" max="3849" width="12.42578125" style="299" bestFit="1" customWidth="1"/>
    <col min="3850" max="3850" width="12.140625" style="299" customWidth="1"/>
    <col min="3851" max="3851" width="14.5703125" style="299" bestFit="1" customWidth="1"/>
    <col min="3852" max="3852" width="11.85546875" style="299" bestFit="1" customWidth="1"/>
    <col min="3853" max="3853" width="9.85546875" style="299" bestFit="1" customWidth="1"/>
    <col min="3854" max="4096" width="9.140625" style="299"/>
    <col min="4097" max="4097" width="4.7109375" style="299" bestFit="1" customWidth="1"/>
    <col min="4098" max="4098" width="24.28515625" style="299" bestFit="1" customWidth="1"/>
    <col min="4099" max="4099" width="11.85546875" style="299" bestFit="1" customWidth="1"/>
    <col min="4100" max="4100" width="12.28515625" style="299" bestFit="1" customWidth="1"/>
    <col min="4101" max="4101" width="12.5703125" style="299" bestFit="1" customWidth="1"/>
    <col min="4102" max="4102" width="12.28515625" style="299" bestFit="1" customWidth="1"/>
    <col min="4103" max="4103" width="10.7109375" style="299" bestFit="1" customWidth="1"/>
    <col min="4104" max="4105" width="12.42578125" style="299" bestFit="1" customWidth="1"/>
    <col min="4106" max="4106" width="12.140625" style="299" customWidth="1"/>
    <col min="4107" max="4107" width="14.5703125" style="299" bestFit="1" customWidth="1"/>
    <col min="4108" max="4108" width="11.85546875" style="299" bestFit="1" customWidth="1"/>
    <col min="4109" max="4109" width="9.85546875" style="299" bestFit="1" customWidth="1"/>
    <col min="4110" max="4352" width="9.140625" style="299"/>
    <col min="4353" max="4353" width="4.7109375" style="299" bestFit="1" customWidth="1"/>
    <col min="4354" max="4354" width="24.28515625" style="299" bestFit="1" customWidth="1"/>
    <col min="4355" max="4355" width="11.85546875" style="299" bestFit="1" customWidth="1"/>
    <col min="4356" max="4356" width="12.28515625" style="299" bestFit="1" customWidth="1"/>
    <col min="4357" max="4357" width="12.5703125" style="299" bestFit="1" customWidth="1"/>
    <col min="4358" max="4358" width="12.28515625" style="299" bestFit="1" customWidth="1"/>
    <col min="4359" max="4359" width="10.7109375" style="299" bestFit="1" customWidth="1"/>
    <col min="4360" max="4361" width="12.42578125" style="299" bestFit="1" customWidth="1"/>
    <col min="4362" max="4362" width="12.140625" style="299" customWidth="1"/>
    <col min="4363" max="4363" width="14.5703125" style="299" bestFit="1" customWidth="1"/>
    <col min="4364" max="4364" width="11.85546875" style="299" bestFit="1" customWidth="1"/>
    <col min="4365" max="4365" width="9.85546875" style="299" bestFit="1" customWidth="1"/>
    <col min="4366" max="4608" width="9.140625" style="299"/>
    <col min="4609" max="4609" width="4.7109375" style="299" bestFit="1" customWidth="1"/>
    <col min="4610" max="4610" width="24.28515625" style="299" bestFit="1" customWidth="1"/>
    <col min="4611" max="4611" width="11.85546875" style="299" bestFit="1" customWidth="1"/>
    <col min="4612" max="4612" width="12.28515625" style="299" bestFit="1" customWidth="1"/>
    <col min="4613" max="4613" width="12.5703125" style="299" bestFit="1" customWidth="1"/>
    <col min="4614" max="4614" width="12.28515625" style="299" bestFit="1" customWidth="1"/>
    <col min="4615" max="4615" width="10.7109375" style="299" bestFit="1" customWidth="1"/>
    <col min="4616" max="4617" width="12.42578125" style="299" bestFit="1" customWidth="1"/>
    <col min="4618" max="4618" width="12.140625" style="299" customWidth="1"/>
    <col min="4619" max="4619" width="14.5703125" style="299" bestFit="1" customWidth="1"/>
    <col min="4620" max="4620" width="11.85546875" style="299" bestFit="1" customWidth="1"/>
    <col min="4621" max="4621" width="9.85546875" style="299" bestFit="1" customWidth="1"/>
    <col min="4622" max="4864" width="9.140625" style="299"/>
    <col min="4865" max="4865" width="4.7109375" style="299" bestFit="1" customWidth="1"/>
    <col min="4866" max="4866" width="24.28515625" style="299" bestFit="1" customWidth="1"/>
    <col min="4867" max="4867" width="11.85546875" style="299" bestFit="1" customWidth="1"/>
    <col min="4868" max="4868" width="12.28515625" style="299" bestFit="1" customWidth="1"/>
    <col min="4869" max="4869" width="12.5703125" style="299" bestFit="1" customWidth="1"/>
    <col min="4870" max="4870" width="12.28515625" style="299" bestFit="1" customWidth="1"/>
    <col min="4871" max="4871" width="10.7109375" style="299" bestFit="1" customWidth="1"/>
    <col min="4872" max="4873" width="12.42578125" style="299" bestFit="1" customWidth="1"/>
    <col min="4874" max="4874" width="12.140625" style="299" customWidth="1"/>
    <col min="4875" max="4875" width="14.5703125" style="299" bestFit="1" customWidth="1"/>
    <col min="4876" max="4876" width="11.85546875" style="299" bestFit="1" customWidth="1"/>
    <col min="4877" max="4877" width="9.85546875" style="299" bestFit="1" customWidth="1"/>
    <col min="4878" max="5120" width="9.140625" style="299"/>
    <col min="5121" max="5121" width="4.7109375" style="299" bestFit="1" customWidth="1"/>
    <col min="5122" max="5122" width="24.28515625" style="299" bestFit="1" customWidth="1"/>
    <col min="5123" max="5123" width="11.85546875" style="299" bestFit="1" customWidth="1"/>
    <col min="5124" max="5124" width="12.28515625" style="299" bestFit="1" customWidth="1"/>
    <col min="5125" max="5125" width="12.5703125" style="299" bestFit="1" customWidth="1"/>
    <col min="5126" max="5126" width="12.28515625" style="299" bestFit="1" customWidth="1"/>
    <col min="5127" max="5127" width="10.7109375" style="299" bestFit="1" customWidth="1"/>
    <col min="5128" max="5129" width="12.42578125" style="299" bestFit="1" customWidth="1"/>
    <col min="5130" max="5130" width="12.140625" style="299" customWidth="1"/>
    <col min="5131" max="5131" width="14.5703125" style="299" bestFit="1" customWidth="1"/>
    <col min="5132" max="5132" width="11.85546875" style="299" bestFit="1" customWidth="1"/>
    <col min="5133" max="5133" width="9.85546875" style="299" bestFit="1" customWidth="1"/>
    <col min="5134" max="5376" width="9.140625" style="299"/>
    <col min="5377" max="5377" width="4.7109375" style="299" bestFit="1" customWidth="1"/>
    <col min="5378" max="5378" width="24.28515625" style="299" bestFit="1" customWidth="1"/>
    <col min="5379" max="5379" width="11.85546875" style="299" bestFit="1" customWidth="1"/>
    <col min="5380" max="5380" width="12.28515625" style="299" bestFit="1" customWidth="1"/>
    <col min="5381" max="5381" width="12.5703125" style="299" bestFit="1" customWidth="1"/>
    <col min="5382" max="5382" width="12.28515625" style="299" bestFit="1" customWidth="1"/>
    <col min="5383" max="5383" width="10.7109375" style="299" bestFit="1" customWidth="1"/>
    <col min="5384" max="5385" width="12.42578125" style="299" bestFit="1" customWidth="1"/>
    <col min="5386" max="5386" width="12.140625" style="299" customWidth="1"/>
    <col min="5387" max="5387" width="14.5703125" style="299" bestFit="1" customWidth="1"/>
    <col min="5388" max="5388" width="11.85546875" style="299" bestFit="1" customWidth="1"/>
    <col min="5389" max="5389" width="9.85546875" style="299" bestFit="1" customWidth="1"/>
    <col min="5390" max="5632" width="9.140625" style="299"/>
    <col min="5633" max="5633" width="4.7109375" style="299" bestFit="1" customWidth="1"/>
    <col min="5634" max="5634" width="24.28515625" style="299" bestFit="1" customWidth="1"/>
    <col min="5635" max="5635" width="11.85546875" style="299" bestFit="1" customWidth="1"/>
    <col min="5636" max="5636" width="12.28515625" style="299" bestFit="1" customWidth="1"/>
    <col min="5637" max="5637" width="12.5703125" style="299" bestFit="1" customWidth="1"/>
    <col min="5638" max="5638" width="12.28515625" style="299" bestFit="1" customWidth="1"/>
    <col min="5639" max="5639" width="10.7109375" style="299" bestFit="1" customWidth="1"/>
    <col min="5640" max="5641" width="12.42578125" style="299" bestFit="1" customWidth="1"/>
    <col min="5642" max="5642" width="12.140625" style="299" customWidth="1"/>
    <col min="5643" max="5643" width="14.5703125" style="299" bestFit="1" customWidth="1"/>
    <col min="5644" max="5644" width="11.85546875" style="299" bestFit="1" customWidth="1"/>
    <col min="5645" max="5645" width="9.85546875" style="299" bestFit="1" customWidth="1"/>
    <col min="5646" max="5888" width="9.140625" style="299"/>
    <col min="5889" max="5889" width="4.7109375" style="299" bestFit="1" customWidth="1"/>
    <col min="5890" max="5890" width="24.28515625" style="299" bestFit="1" customWidth="1"/>
    <col min="5891" max="5891" width="11.85546875" style="299" bestFit="1" customWidth="1"/>
    <col min="5892" max="5892" width="12.28515625" style="299" bestFit="1" customWidth="1"/>
    <col min="5893" max="5893" width="12.5703125" style="299" bestFit="1" customWidth="1"/>
    <col min="5894" max="5894" width="12.28515625" style="299" bestFit="1" customWidth="1"/>
    <col min="5895" max="5895" width="10.7109375" style="299" bestFit="1" customWidth="1"/>
    <col min="5896" max="5897" width="12.42578125" style="299" bestFit="1" customWidth="1"/>
    <col min="5898" max="5898" width="12.140625" style="299" customWidth="1"/>
    <col min="5899" max="5899" width="14.5703125" style="299" bestFit="1" customWidth="1"/>
    <col min="5900" max="5900" width="11.85546875" style="299" bestFit="1" customWidth="1"/>
    <col min="5901" max="5901" width="9.85546875" style="299" bestFit="1" customWidth="1"/>
    <col min="5902" max="6144" width="9.140625" style="299"/>
    <col min="6145" max="6145" width="4.7109375" style="299" bestFit="1" customWidth="1"/>
    <col min="6146" max="6146" width="24.28515625" style="299" bestFit="1" customWidth="1"/>
    <col min="6147" max="6147" width="11.85546875" style="299" bestFit="1" customWidth="1"/>
    <col min="6148" max="6148" width="12.28515625" style="299" bestFit="1" customWidth="1"/>
    <col min="6149" max="6149" width="12.5703125" style="299" bestFit="1" customWidth="1"/>
    <col min="6150" max="6150" width="12.28515625" style="299" bestFit="1" customWidth="1"/>
    <col min="6151" max="6151" width="10.7109375" style="299" bestFit="1" customWidth="1"/>
    <col min="6152" max="6153" width="12.42578125" style="299" bestFit="1" customWidth="1"/>
    <col min="6154" max="6154" width="12.140625" style="299" customWidth="1"/>
    <col min="6155" max="6155" width="14.5703125" style="299" bestFit="1" customWidth="1"/>
    <col min="6156" max="6156" width="11.85546875" style="299" bestFit="1" customWidth="1"/>
    <col min="6157" max="6157" width="9.85546875" style="299" bestFit="1" customWidth="1"/>
    <col min="6158" max="6400" width="9.140625" style="299"/>
    <col min="6401" max="6401" width="4.7109375" style="299" bestFit="1" customWidth="1"/>
    <col min="6402" max="6402" width="24.28515625" style="299" bestFit="1" customWidth="1"/>
    <col min="6403" max="6403" width="11.85546875" style="299" bestFit="1" customWidth="1"/>
    <col min="6404" max="6404" width="12.28515625" style="299" bestFit="1" customWidth="1"/>
    <col min="6405" max="6405" width="12.5703125" style="299" bestFit="1" customWidth="1"/>
    <col min="6406" max="6406" width="12.28515625" style="299" bestFit="1" customWidth="1"/>
    <col min="6407" max="6407" width="10.7109375" style="299" bestFit="1" customWidth="1"/>
    <col min="6408" max="6409" width="12.42578125" style="299" bestFit="1" customWidth="1"/>
    <col min="6410" max="6410" width="12.140625" style="299" customWidth="1"/>
    <col min="6411" max="6411" width="14.5703125" style="299" bestFit="1" customWidth="1"/>
    <col min="6412" max="6412" width="11.85546875" style="299" bestFit="1" customWidth="1"/>
    <col min="6413" max="6413" width="9.85546875" style="299" bestFit="1" customWidth="1"/>
    <col min="6414" max="6656" width="9.140625" style="299"/>
    <col min="6657" max="6657" width="4.7109375" style="299" bestFit="1" customWidth="1"/>
    <col min="6658" max="6658" width="24.28515625" style="299" bestFit="1" customWidth="1"/>
    <col min="6659" max="6659" width="11.85546875" style="299" bestFit="1" customWidth="1"/>
    <col min="6660" max="6660" width="12.28515625" style="299" bestFit="1" customWidth="1"/>
    <col min="6661" max="6661" width="12.5703125" style="299" bestFit="1" customWidth="1"/>
    <col min="6662" max="6662" width="12.28515625" style="299" bestFit="1" customWidth="1"/>
    <col min="6663" max="6663" width="10.7109375" style="299" bestFit="1" customWidth="1"/>
    <col min="6664" max="6665" width="12.42578125" style="299" bestFit="1" customWidth="1"/>
    <col min="6666" max="6666" width="12.140625" style="299" customWidth="1"/>
    <col min="6667" max="6667" width="14.5703125" style="299" bestFit="1" customWidth="1"/>
    <col min="6668" max="6668" width="11.85546875" style="299" bestFit="1" customWidth="1"/>
    <col min="6669" max="6669" width="9.85546875" style="299" bestFit="1" customWidth="1"/>
    <col min="6670" max="6912" width="9.140625" style="299"/>
    <col min="6913" max="6913" width="4.7109375" style="299" bestFit="1" customWidth="1"/>
    <col min="6914" max="6914" width="24.28515625" style="299" bestFit="1" customWidth="1"/>
    <col min="6915" max="6915" width="11.85546875" style="299" bestFit="1" customWidth="1"/>
    <col min="6916" max="6916" width="12.28515625" style="299" bestFit="1" customWidth="1"/>
    <col min="6917" max="6917" width="12.5703125" style="299" bestFit="1" customWidth="1"/>
    <col min="6918" max="6918" width="12.28515625" style="299" bestFit="1" customWidth="1"/>
    <col min="6919" max="6919" width="10.7109375" style="299" bestFit="1" customWidth="1"/>
    <col min="6920" max="6921" width="12.42578125" style="299" bestFit="1" customWidth="1"/>
    <col min="6922" max="6922" width="12.140625" style="299" customWidth="1"/>
    <col min="6923" max="6923" width="14.5703125" style="299" bestFit="1" customWidth="1"/>
    <col min="6924" max="6924" width="11.85546875" style="299" bestFit="1" customWidth="1"/>
    <col min="6925" max="6925" width="9.85546875" style="299" bestFit="1" customWidth="1"/>
    <col min="6926" max="7168" width="9.140625" style="299"/>
    <col min="7169" max="7169" width="4.7109375" style="299" bestFit="1" customWidth="1"/>
    <col min="7170" max="7170" width="24.28515625" style="299" bestFit="1" customWidth="1"/>
    <col min="7171" max="7171" width="11.85546875" style="299" bestFit="1" customWidth="1"/>
    <col min="7172" max="7172" width="12.28515625" style="299" bestFit="1" customWidth="1"/>
    <col min="7173" max="7173" width="12.5703125" style="299" bestFit="1" customWidth="1"/>
    <col min="7174" max="7174" width="12.28515625" style="299" bestFit="1" customWidth="1"/>
    <col min="7175" max="7175" width="10.7109375" style="299" bestFit="1" customWidth="1"/>
    <col min="7176" max="7177" width="12.42578125" style="299" bestFit="1" customWidth="1"/>
    <col min="7178" max="7178" width="12.140625" style="299" customWidth="1"/>
    <col min="7179" max="7179" width="14.5703125" style="299" bestFit="1" customWidth="1"/>
    <col min="7180" max="7180" width="11.85546875" style="299" bestFit="1" customWidth="1"/>
    <col min="7181" max="7181" width="9.85546875" style="299" bestFit="1" customWidth="1"/>
    <col min="7182" max="7424" width="9.140625" style="299"/>
    <col min="7425" max="7425" width="4.7109375" style="299" bestFit="1" customWidth="1"/>
    <col min="7426" max="7426" width="24.28515625" style="299" bestFit="1" customWidth="1"/>
    <col min="7427" max="7427" width="11.85546875" style="299" bestFit="1" customWidth="1"/>
    <col min="7428" max="7428" width="12.28515625" style="299" bestFit="1" customWidth="1"/>
    <col min="7429" max="7429" width="12.5703125" style="299" bestFit="1" customWidth="1"/>
    <col min="7430" max="7430" width="12.28515625" style="299" bestFit="1" customWidth="1"/>
    <col min="7431" max="7431" width="10.7109375" style="299" bestFit="1" customWidth="1"/>
    <col min="7432" max="7433" width="12.42578125" style="299" bestFit="1" customWidth="1"/>
    <col min="7434" max="7434" width="12.140625" style="299" customWidth="1"/>
    <col min="7435" max="7435" width="14.5703125" style="299" bestFit="1" customWidth="1"/>
    <col min="7436" max="7436" width="11.85546875" style="299" bestFit="1" customWidth="1"/>
    <col min="7437" max="7437" width="9.85546875" style="299" bestFit="1" customWidth="1"/>
    <col min="7438" max="7680" width="9.140625" style="299"/>
    <col min="7681" max="7681" width="4.7109375" style="299" bestFit="1" customWidth="1"/>
    <col min="7682" max="7682" width="24.28515625" style="299" bestFit="1" customWidth="1"/>
    <col min="7683" max="7683" width="11.85546875" style="299" bestFit="1" customWidth="1"/>
    <col min="7684" max="7684" width="12.28515625" style="299" bestFit="1" customWidth="1"/>
    <col min="7685" max="7685" width="12.5703125" style="299" bestFit="1" customWidth="1"/>
    <col min="7686" max="7686" width="12.28515625" style="299" bestFit="1" customWidth="1"/>
    <col min="7687" max="7687" width="10.7109375" style="299" bestFit="1" customWidth="1"/>
    <col min="7688" max="7689" width="12.42578125" style="299" bestFit="1" customWidth="1"/>
    <col min="7690" max="7690" width="12.140625" style="299" customWidth="1"/>
    <col min="7691" max="7691" width="14.5703125" style="299" bestFit="1" customWidth="1"/>
    <col min="7692" max="7692" width="11.85546875" style="299" bestFit="1" customWidth="1"/>
    <col min="7693" max="7693" width="9.85546875" style="299" bestFit="1" customWidth="1"/>
    <col min="7694" max="7936" width="9.140625" style="299"/>
    <col min="7937" max="7937" width="4.7109375" style="299" bestFit="1" customWidth="1"/>
    <col min="7938" max="7938" width="24.28515625" style="299" bestFit="1" customWidth="1"/>
    <col min="7939" max="7939" width="11.85546875" style="299" bestFit="1" customWidth="1"/>
    <col min="7940" max="7940" width="12.28515625" style="299" bestFit="1" customWidth="1"/>
    <col min="7941" max="7941" width="12.5703125" style="299" bestFit="1" customWidth="1"/>
    <col min="7942" max="7942" width="12.28515625" style="299" bestFit="1" customWidth="1"/>
    <col min="7943" max="7943" width="10.7109375" style="299" bestFit="1" customWidth="1"/>
    <col min="7944" max="7945" width="12.42578125" style="299" bestFit="1" customWidth="1"/>
    <col min="7946" max="7946" width="12.140625" style="299" customWidth="1"/>
    <col min="7947" max="7947" width="14.5703125" style="299" bestFit="1" customWidth="1"/>
    <col min="7948" max="7948" width="11.85546875" style="299" bestFit="1" customWidth="1"/>
    <col min="7949" max="7949" width="9.85546875" style="299" bestFit="1" customWidth="1"/>
    <col min="7950" max="8192" width="9.140625" style="299"/>
    <col min="8193" max="8193" width="4.7109375" style="299" bestFit="1" customWidth="1"/>
    <col min="8194" max="8194" width="24.28515625" style="299" bestFit="1" customWidth="1"/>
    <col min="8195" max="8195" width="11.85546875" style="299" bestFit="1" customWidth="1"/>
    <col min="8196" max="8196" width="12.28515625" style="299" bestFit="1" customWidth="1"/>
    <col min="8197" max="8197" width="12.5703125" style="299" bestFit="1" customWidth="1"/>
    <col min="8198" max="8198" width="12.28515625" style="299" bestFit="1" customWidth="1"/>
    <col min="8199" max="8199" width="10.7109375" style="299" bestFit="1" customWidth="1"/>
    <col min="8200" max="8201" width="12.42578125" style="299" bestFit="1" customWidth="1"/>
    <col min="8202" max="8202" width="12.140625" style="299" customWidth="1"/>
    <col min="8203" max="8203" width="14.5703125" style="299" bestFit="1" customWidth="1"/>
    <col min="8204" max="8204" width="11.85546875" style="299" bestFit="1" customWidth="1"/>
    <col min="8205" max="8205" width="9.85546875" style="299" bestFit="1" customWidth="1"/>
    <col min="8206" max="8448" width="9.140625" style="299"/>
    <col min="8449" max="8449" width="4.7109375" style="299" bestFit="1" customWidth="1"/>
    <col min="8450" max="8450" width="24.28515625" style="299" bestFit="1" customWidth="1"/>
    <col min="8451" max="8451" width="11.85546875" style="299" bestFit="1" customWidth="1"/>
    <col min="8452" max="8452" width="12.28515625" style="299" bestFit="1" customWidth="1"/>
    <col min="8453" max="8453" width="12.5703125" style="299" bestFit="1" customWidth="1"/>
    <col min="8454" max="8454" width="12.28515625" style="299" bestFit="1" customWidth="1"/>
    <col min="8455" max="8455" width="10.7109375" style="299" bestFit="1" customWidth="1"/>
    <col min="8456" max="8457" width="12.42578125" style="299" bestFit="1" customWidth="1"/>
    <col min="8458" max="8458" width="12.140625" style="299" customWidth="1"/>
    <col min="8459" max="8459" width="14.5703125" style="299" bestFit="1" customWidth="1"/>
    <col min="8460" max="8460" width="11.85546875" style="299" bestFit="1" customWidth="1"/>
    <col min="8461" max="8461" width="9.85546875" style="299" bestFit="1" customWidth="1"/>
    <col min="8462" max="8704" width="9.140625" style="299"/>
    <col min="8705" max="8705" width="4.7109375" style="299" bestFit="1" customWidth="1"/>
    <col min="8706" max="8706" width="24.28515625" style="299" bestFit="1" customWidth="1"/>
    <col min="8707" max="8707" width="11.85546875" style="299" bestFit="1" customWidth="1"/>
    <col min="8708" max="8708" width="12.28515625" style="299" bestFit="1" customWidth="1"/>
    <col min="8709" max="8709" width="12.5703125" style="299" bestFit="1" customWidth="1"/>
    <col min="8710" max="8710" width="12.28515625" style="299" bestFit="1" customWidth="1"/>
    <col min="8711" max="8711" width="10.7109375" style="299" bestFit="1" customWidth="1"/>
    <col min="8712" max="8713" width="12.42578125" style="299" bestFit="1" customWidth="1"/>
    <col min="8714" max="8714" width="12.140625" style="299" customWidth="1"/>
    <col min="8715" max="8715" width="14.5703125" style="299" bestFit="1" customWidth="1"/>
    <col min="8716" max="8716" width="11.85546875" style="299" bestFit="1" customWidth="1"/>
    <col min="8717" max="8717" width="9.85546875" style="299" bestFit="1" customWidth="1"/>
    <col min="8718" max="8960" width="9.140625" style="299"/>
    <col min="8961" max="8961" width="4.7109375" style="299" bestFit="1" customWidth="1"/>
    <col min="8962" max="8962" width="24.28515625" style="299" bestFit="1" customWidth="1"/>
    <col min="8963" max="8963" width="11.85546875" style="299" bestFit="1" customWidth="1"/>
    <col min="8964" max="8964" width="12.28515625" style="299" bestFit="1" customWidth="1"/>
    <col min="8965" max="8965" width="12.5703125" style="299" bestFit="1" customWidth="1"/>
    <col min="8966" max="8966" width="12.28515625" style="299" bestFit="1" customWidth="1"/>
    <col min="8967" max="8967" width="10.7109375" style="299" bestFit="1" customWidth="1"/>
    <col min="8968" max="8969" width="12.42578125" style="299" bestFit="1" customWidth="1"/>
    <col min="8970" max="8970" width="12.140625" style="299" customWidth="1"/>
    <col min="8971" max="8971" width="14.5703125" style="299" bestFit="1" customWidth="1"/>
    <col min="8972" max="8972" width="11.85546875" style="299" bestFit="1" customWidth="1"/>
    <col min="8973" max="8973" width="9.85546875" style="299" bestFit="1" customWidth="1"/>
    <col min="8974" max="9216" width="9.140625" style="299"/>
    <col min="9217" max="9217" width="4.7109375" style="299" bestFit="1" customWidth="1"/>
    <col min="9218" max="9218" width="24.28515625" style="299" bestFit="1" customWidth="1"/>
    <col min="9219" max="9219" width="11.85546875" style="299" bestFit="1" customWidth="1"/>
    <col min="9220" max="9220" width="12.28515625" style="299" bestFit="1" customWidth="1"/>
    <col min="9221" max="9221" width="12.5703125" style="299" bestFit="1" customWidth="1"/>
    <col min="9222" max="9222" width="12.28515625" style="299" bestFit="1" customWidth="1"/>
    <col min="9223" max="9223" width="10.7109375" style="299" bestFit="1" customWidth="1"/>
    <col min="9224" max="9225" width="12.42578125" style="299" bestFit="1" customWidth="1"/>
    <col min="9226" max="9226" width="12.140625" style="299" customWidth="1"/>
    <col min="9227" max="9227" width="14.5703125" style="299" bestFit="1" customWidth="1"/>
    <col min="9228" max="9228" width="11.85546875" style="299" bestFit="1" customWidth="1"/>
    <col min="9229" max="9229" width="9.85546875" style="299" bestFit="1" customWidth="1"/>
    <col min="9230" max="9472" width="9.140625" style="299"/>
    <col min="9473" max="9473" width="4.7109375" style="299" bestFit="1" customWidth="1"/>
    <col min="9474" max="9474" width="24.28515625" style="299" bestFit="1" customWidth="1"/>
    <col min="9475" max="9475" width="11.85546875" style="299" bestFit="1" customWidth="1"/>
    <col min="9476" max="9476" width="12.28515625" style="299" bestFit="1" customWidth="1"/>
    <col min="9477" max="9477" width="12.5703125" style="299" bestFit="1" customWidth="1"/>
    <col min="9478" max="9478" width="12.28515625" style="299" bestFit="1" customWidth="1"/>
    <col min="9479" max="9479" width="10.7109375" style="299" bestFit="1" customWidth="1"/>
    <col min="9480" max="9481" width="12.42578125" style="299" bestFit="1" customWidth="1"/>
    <col min="9482" max="9482" width="12.140625" style="299" customWidth="1"/>
    <col min="9483" max="9483" width="14.5703125" style="299" bestFit="1" customWidth="1"/>
    <col min="9484" max="9484" width="11.85546875" style="299" bestFit="1" customWidth="1"/>
    <col min="9485" max="9485" width="9.85546875" style="299" bestFit="1" customWidth="1"/>
    <col min="9486" max="9728" width="9.140625" style="299"/>
    <col min="9729" max="9729" width="4.7109375" style="299" bestFit="1" customWidth="1"/>
    <col min="9730" max="9730" width="24.28515625" style="299" bestFit="1" customWidth="1"/>
    <col min="9731" max="9731" width="11.85546875" style="299" bestFit="1" customWidth="1"/>
    <col min="9732" max="9732" width="12.28515625" style="299" bestFit="1" customWidth="1"/>
    <col min="9733" max="9733" width="12.5703125" style="299" bestFit="1" customWidth="1"/>
    <col min="9734" max="9734" width="12.28515625" style="299" bestFit="1" customWidth="1"/>
    <col min="9735" max="9735" width="10.7109375" style="299" bestFit="1" customWidth="1"/>
    <col min="9736" max="9737" width="12.42578125" style="299" bestFit="1" customWidth="1"/>
    <col min="9738" max="9738" width="12.140625" style="299" customWidth="1"/>
    <col min="9739" max="9739" width="14.5703125" style="299" bestFit="1" customWidth="1"/>
    <col min="9740" max="9740" width="11.85546875" style="299" bestFit="1" customWidth="1"/>
    <col min="9741" max="9741" width="9.85546875" style="299" bestFit="1" customWidth="1"/>
    <col min="9742" max="9984" width="9.140625" style="299"/>
    <col min="9985" max="9985" width="4.7109375" style="299" bestFit="1" customWidth="1"/>
    <col min="9986" max="9986" width="24.28515625" style="299" bestFit="1" customWidth="1"/>
    <col min="9987" max="9987" width="11.85546875" style="299" bestFit="1" customWidth="1"/>
    <col min="9988" max="9988" width="12.28515625" style="299" bestFit="1" customWidth="1"/>
    <col min="9989" max="9989" width="12.5703125" style="299" bestFit="1" customWidth="1"/>
    <col min="9990" max="9990" width="12.28515625" style="299" bestFit="1" customWidth="1"/>
    <col min="9991" max="9991" width="10.7109375" style="299" bestFit="1" customWidth="1"/>
    <col min="9992" max="9993" width="12.42578125" style="299" bestFit="1" customWidth="1"/>
    <col min="9994" max="9994" width="12.140625" style="299" customWidth="1"/>
    <col min="9995" max="9995" width="14.5703125" style="299" bestFit="1" customWidth="1"/>
    <col min="9996" max="9996" width="11.85546875" style="299" bestFit="1" customWidth="1"/>
    <col min="9997" max="9997" width="9.85546875" style="299" bestFit="1" customWidth="1"/>
    <col min="9998" max="10240" width="9.140625" style="299"/>
    <col min="10241" max="10241" width="4.7109375" style="299" bestFit="1" customWidth="1"/>
    <col min="10242" max="10242" width="24.28515625" style="299" bestFit="1" customWidth="1"/>
    <col min="10243" max="10243" width="11.85546875" style="299" bestFit="1" customWidth="1"/>
    <col min="10244" max="10244" width="12.28515625" style="299" bestFit="1" customWidth="1"/>
    <col min="10245" max="10245" width="12.5703125" style="299" bestFit="1" customWidth="1"/>
    <col min="10246" max="10246" width="12.28515625" style="299" bestFit="1" customWidth="1"/>
    <col min="10247" max="10247" width="10.7109375" style="299" bestFit="1" customWidth="1"/>
    <col min="10248" max="10249" width="12.42578125" style="299" bestFit="1" customWidth="1"/>
    <col min="10250" max="10250" width="12.140625" style="299" customWidth="1"/>
    <col min="10251" max="10251" width="14.5703125" style="299" bestFit="1" customWidth="1"/>
    <col min="10252" max="10252" width="11.85546875" style="299" bestFit="1" customWidth="1"/>
    <col min="10253" max="10253" width="9.85546875" style="299" bestFit="1" customWidth="1"/>
    <col min="10254" max="10496" width="9.140625" style="299"/>
    <col min="10497" max="10497" width="4.7109375" style="299" bestFit="1" customWidth="1"/>
    <col min="10498" max="10498" width="24.28515625" style="299" bestFit="1" customWidth="1"/>
    <col min="10499" max="10499" width="11.85546875" style="299" bestFit="1" customWidth="1"/>
    <col min="10500" max="10500" width="12.28515625" style="299" bestFit="1" customWidth="1"/>
    <col min="10501" max="10501" width="12.5703125" style="299" bestFit="1" customWidth="1"/>
    <col min="10502" max="10502" width="12.28515625" style="299" bestFit="1" customWidth="1"/>
    <col min="10503" max="10503" width="10.7109375" style="299" bestFit="1" customWidth="1"/>
    <col min="10504" max="10505" width="12.42578125" style="299" bestFit="1" customWidth="1"/>
    <col min="10506" max="10506" width="12.140625" style="299" customWidth="1"/>
    <col min="10507" max="10507" width="14.5703125" style="299" bestFit="1" customWidth="1"/>
    <col min="10508" max="10508" width="11.85546875" style="299" bestFit="1" customWidth="1"/>
    <col min="10509" max="10509" width="9.85546875" style="299" bestFit="1" customWidth="1"/>
    <col min="10510" max="10752" width="9.140625" style="299"/>
    <col min="10753" max="10753" width="4.7109375" style="299" bestFit="1" customWidth="1"/>
    <col min="10754" max="10754" width="24.28515625" style="299" bestFit="1" customWidth="1"/>
    <col min="10755" max="10755" width="11.85546875" style="299" bestFit="1" customWidth="1"/>
    <col min="10756" max="10756" width="12.28515625" style="299" bestFit="1" customWidth="1"/>
    <col min="10757" max="10757" width="12.5703125" style="299" bestFit="1" customWidth="1"/>
    <col min="10758" max="10758" width="12.28515625" style="299" bestFit="1" customWidth="1"/>
    <col min="10759" max="10759" width="10.7109375" style="299" bestFit="1" customWidth="1"/>
    <col min="10760" max="10761" width="12.42578125" style="299" bestFit="1" customWidth="1"/>
    <col min="10762" max="10762" width="12.140625" style="299" customWidth="1"/>
    <col min="10763" max="10763" width="14.5703125" style="299" bestFit="1" customWidth="1"/>
    <col min="10764" max="10764" width="11.85546875" style="299" bestFit="1" customWidth="1"/>
    <col min="10765" max="10765" width="9.85546875" style="299" bestFit="1" customWidth="1"/>
    <col min="10766" max="11008" width="9.140625" style="299"/>
    <col min="11009" max="11009" width="4.7109375" style="299" bestFit="1" customWidth="1"/>
    <col min="11010" max="11010" width="24.28515625" style="299" bestFit="1" customWidth="1"/>
    <col min="11011" max="11011" width="11.85546875" style="299" bestFit="1" customWidth="1"/>
    <col min="11012" max="11012" width="12.28515625" style="299" bestFit="1" customWidth="1"/>
    <col min="11013" max="11013" width="12.5703125" style="299" bestFit="1" customWidth="1"/>
    <col min="11014" max="11014" width="12.28515625" style="299" bestFit="1" customWidth="1"/>
    <col min="11015" max="11015" width="10.7109375" style="299" bestFit="1" customWidth="1"/>
    <col min="11016" max="11017" width="12.42578125" style="299" bestFit="1" customWidth="1"/>
    <col min="11018" max="11018" width="12.140625" style="299" customWidth="1"/>
    <col min="11019" max="11019" width="14.5703125" style="299" bestFit="1" customWidth="1"/>
    <col min="11020" max="11020" width="11.85546875" style="299" bestFit="1" customWidth="1"/>
    <col min="11021" max="11021" width="9.85546875" style="299" bestFit="1" customWidth="1"/>
    <col min="11022" max="11264" width="9.140625" style="299"/>
    <col min="11265" max="11265" width="4.7109375" style="299" bestFit="1" customWidth="1"/>
    <col min="11266" max="11266" width="24.28515625" style="299" bestFit="1" customWidth="1"/>
    <col min="11267" max="11267" width="11.85546875" style="299" bestFit="1" customWidth="1"/>
    <col min="11268" max="11268" width="12.28515625" style="299" bestFit="1" customWidth="1"/>
    <col min="11269" max="11269" width="12.5703125" style="299" bestFit="1" customWidth="1"/>
    <col min="11270" max="11270" width="12.28515625" style="299" bestFit="1" customWidth="1"/>
    <col min="11271" max="11271" width="10.7109375" style="299" bestFit="1" customWidth="1"/>
    <col min="11272" max="11273" width="12.42578125" style="299" bestFit="1" customWidth="1"/>
    <col min="11274" max="11274" width="12.140625" style="299" customWidth="1"/>
    <col min="11275" max="11275" width="14.5703125" style="299" bestFit="1" customWidth="1"/>
    <col min="11276" max="11276" width="11.85546875" style="299" bestFit="1" customWidth="1"/>
    <col min="11277" max="11277" width="9.85546875" style="299" bestFit="1" customWidth="1"/>
    <col min="11278" max="11520" width="9.140625" style="299"/>
    <col min="11521" max="11521" width="4.7109375" style="299" bestFit="1" customWidth="1"/>
    <col min="11522" max="11522" width="24.28515625" style="299" bestFit="1" customWidth="1"/>
    <col min="11523" max="11523" width="11.85546875" style="299" bestFit="1" customWidth="1"/>
    <col min="11524" max="11524" width="12.28515625" style="299" bestFit="1" customWidth="1"/>
    <col min="11525" max="11525" width="12.5703125" style="299" bestFit="1" customWidth="1"/>
    <col min="11526" max="11526" width="12.28515625" style="299" bestFit="1" customWidth="1"/>
    <col min="11527" max="11527" width="10.7109375" style="299" bestFit="1" customWidth="1"/>
    <col min="11528" max="11529" width="12.42578125" style="299" bestFit="1" customWidth="1"/>
    <col min="11530" max="11530" width="12.140625" style="299" customWidth="1"/>
    <col min="11531" max="11531" width="14.5703125" style="299" bestFit="1" customWidth="1"/>
    <col min="11532" max="11532" width="11.85546875" style="299" bestFit="1" customWidth="1"/>
    <col min="11533" max="11533" width="9.85546875" style="299" bestFit="1" customWidth="1"/>
    <col min="11534" max="11776" width="9.140625" style="299"/>
    <col min="11777" max="11777" width="4.7109375" style="299" bestFit="1" customWidth="1"/>
    <col min="11778" max="11778" width="24.28515625" style="299" bestFit="1" customWidth="1"/>
    <col min="11779" max="11779" width="11.85546875" style="299" bestFit="1" customWidth="1"/>
    <col min="11780" max="11780" width="12.28515625" style="299" bestFit="1" customWidth="1"/>
    <col min="11781" max="11781" width="12.5703125" style="299" bestFit="1" customWidth="1"/>
    <col min="11782" max="11782" width="12.28515625" style="299" bestFit="1" customWidth="1"/>
    <col min="11783" max="11783" width="10.7109375" style="299" bestFit="1" customWidth="1"/>
    <col min="11784" max="11785" width="12.42578125" style="299" bestFit="1" customWidth="1"/>
    <col min="11786" max="11786" width="12.140625" style="299" customWidth="1"/>
    <col min="11787" max="11787" width="14.5703125" style="299" bestFit="1" customWidth="1"/>
    <col min="11788" max="11788" width="11.85546875" style="299" bestFit="1" customWidth="1"/>
    <col min="11789" max="11789" width="9.85546875" style="299" bestFit="1" customWidth="1"/>
    <col min="11790" max="12032" width="9.140625" style="299"/>
    <col min="12033" max="12033" width="4.7109375" style="299" bestFit="1" customWidth="1"/>
    <col min="12034" max="12034" width="24.28515625" style="299" bestFit="1" customWidth="1"/>
    <col min="12035" max="12035" width="11.85546875" style="299" bestFit="1" customWidth="1"/>
    <col min="12036" max="12036" width="12.28515625" style="299" bestFit="1" customWidth="1"/>
    <col min="12037" max="12037" width="12.5703125" style="299" bestFit="1" customWidth="1"/>
    <col min="12038" max="12038" width="12.28515625" style="299" bestFit="1" customWidth="1"/>
    <col min="12039" max="12039" width="10.7109375" style="299" bestFit="1" customWidth="1"/>
    <col min="12040" max="12041" width="12.42578125" style="299" bestFit="1" customWidth="1"/>
    <col min="12042" max="12042" width="12.140625" style="299" customWidth="1"/>
    <col min="12043" max="12043" width="14.5703125" style="299" bestFit="1" customWidth="1"/>
    <col min="12044" max="12044" width="11.85546875" style="299" bestFit="1" customWidth="1"/>
    <col min="12045" max="12045" width="9.85546875" style="299" bestFit="1" customWidth="1"/>
    <col min="12046" max="12288" width="9.140625" style="299"/>
    <col min="12289" max="12289" width="4.7109375" style="299" bestFit="1" customWidth="1"/>
    <col min="12290" max="12290" width="24.28515625" style="299" bestFit="1" customWidth="1"/>
    <col min="12291" max="12291" width="11.85546875" style="299" bestFit="1" customWidth="1"/>
    <col min="12292" max="12292" width="12.28515625" style="299" bestFit="1" customWidth="1"/>
    <col min="12293" max="12293" width="12.5703125" style="299" bestFit="1" customWidth="1"/>
    <col min="12294" max="12294" width="12.28515625" style="299" bestFit="1" customWidth="1"/>
    <col min="12295" max="12295" width="10.7109375" style="299" bestFit="1" customWidth="1"/>
    <col min="12296" max="12297" width="12.42578125" style="299" bestFit="1" customWidth="1"/>
    <col min="12298" max="12298" width="12.140625" style="299" customWidth="1"/>
    <col min="12299" max="12299" width="14.5703125" style="299" bestFit="1" customWidth="1"/>
    <col min="12300" max="12300" width="11.85546875" style="299" bestFit="1" customWidth="1"/>
    <col min="12301" max="12301" width="9.85546875" style="299" bestFit="1" customWidth="1"/>
    <col min="12302" max="12544" width="9.140625" style="299"/>
    <col min="12545" max="12545" width="4.7109375" style="299" bestFit="1" customWidth="1"/>
    <col min="12546" max="12546" width="24.28515625" style="299" bestFit="1" customWidth="1"/>
    <col min="12547" max="12547" width="11.85546875" style="299" bestFit="1" customWidth="1"/>
    <col min="12548" max="12548" width="12.28515625" style="299" bestFit="1" customWidth="1"/>
    <col min="12549" max="12549" width="12.5703125" style="299" bestFit="1" customWidth="1"/>
    <col min="12550" max="12550" width="12.28515625" style="299" bestFit="1" customWidth="1"/>
    <col min="12551" max="12551" width="10.7109375" style="299" bestFit="1" customWidth="1"/>
    <col min="12552" max="12553" width="12.42578125" style="299" bestFit="1" customWidth="1"/>
    <col min="12554" max="12554" width="12.140625" style="299" customWidth="1"/>
    <col min="12555" max="12555" width="14.5703125" style="299" bestFit="1" customWidth="1"/>
    <col min="12556" max="12556" width="11.85546875" style="299" bestFit="1" customWidth="1"/>
    <col min="12557" max="12557" width="9.85546875" style="299" bestFit="1" customWidth="1"/>
    <col min="12558" max="12800" width="9.140625" style="299"/>
    <col min="12801" max="12801" width="4.7109375" style="299" bestFit="1" customWidth="1"/>
    <col min="12802" max="12802" width="24.28515625" style="299" bestFit="1" customWidth="1"/>
    <col min="12803" max="12803" width="11.85546875" style="299" bestFit="1" customWidth="1"/>
    <col min="12804" max="12804" width="12.28515625" style="299" bestFit="1" customWidth="1"/>
    <col min="12805" max="12805" width="12.5703125" style="299" bestFit="1" customWidth="1"/>
    <col min="12806" max="12806" width="12.28515625" style="299" bestFit="1" customWidth="1"/>
    <col min="12807" max="12807" width="10.7109375" style="299" bestFit="1" customWidth="1"/>
    <col min="12808" max="12809" width="12.42578125" style="299" bestFit="1" customWidth="1"/>
    <col min="12810" max="12810" width="12.140625" style="299" customWidth="1"/>
    <col min="12811" max="12811" width="14.5703125" style="299" bestFit="1" customWidth="1"/>
    <col min="12812" max="12812" width="11.85546875" style="299" bestFit="1" customWidth="1"/>
    <col min="12813" max="12813" width="9.85546875" style="299" bestFit="1" customWidth="1"/>
    <col min="12814" max="13056" width="9.140625" style="299"/>
    <col min="13057" max="13057" width="4.7109375" style="299" bestFit="1" customWidth="1"/>
    <col min="13058" max="13058" width="24.28515625" style="299" bestFit="1" customWidth="1"/>
    <col min="13059" max="13059" width="11.85546875" style="299" bestFit="1" customWidth="1"/>
    <col min="13060" max="13060" width="12.28515625" style="299" bestFit="1" customWidth="1"/>
    <col min="13061" max="13061" width="12.5703125" style="299" bestFit="1" customWidth="1"/>
    <col min="13062" max="13062" width="12.28515625" style="299" bestFit="1" customWidth="1"/>
    <col min="13063" max="13063" width="10.7109375" style="299" bestFit="1" customWidth="1"/>
    <col min="13064" max="13065" width="12.42578125" style="299" bestFit="1" customWidth="1"/>
    <col min="13066" max="13066" width="12.140625" style="299" customWidth="1"/>
    <col min="13067" max="13067" width="14.5703125" style="299" bestFit="1" customWidth="1"/>
    <col min="13068" max="13068" width="11.85546875" style="299" bestFit="1" customWidth="1"/>
    <col min="13069" max="13069" width="9.85546875" style="299" bestFit="1" customWidth="1"/>
    <col min="13070" max="13312" width="9.140625" style="299"/>
    <col min="13313" max="13313" width="4.7109375" style="299" bestFit="1" customWidth="1"/>
    <col min="13314" max="13314" width="24.28515625" style="299" bestFit="1" customWidth="1"/>
    <col min="13315" max="13315" width="11.85546875" style="299" bestFit="1" customWidth="1"/>
    <col min="13316" max="13316" width="12.28515625" style="299" bestFit="1" customWidth="1"/>
    <col min="13317" max="13317" width="12.5703125" style="299" bestFit="1" customWidth="1"/>
    <col min="13318" max="13318" width="12.28515625" style="299" bestFit="1" customWidth="1"/>
    <col min="13319" max="13319" width="10.7109375" style="299" bestFit="1" customWidth="1"/>
    <col min="13320" max="13321" width="12.42578125" style="299" bestFit="1" customWidth="1"/>
    <col min="13322" max="13322" width="12.140625" style="299" customWidth="1"/>
    <col min="13323" max="13323" width="14.5703125" style="299" bestFit="1" customWidth="1"/>
    <col min="13324" max="13324" width="11.85546875" style="299" bestFit="1" customWidth="1"/>
    <col min="13325" max="13325" width="9.85546875" style="299" bestFit="1" customWidth="1"/>
    <col min="13326" max="13568" width="9.140625" style="299"/>
    <col min="13569" max="13569" width="4.7109375" style="299" bestFit="1" customWidth="1"/>
    <col min="13570" max="13570" width="24.28515625" style="299" bestFit="1" customWidth="1"/>
    <col min="13571" max="13571" width="11.85546875" style="299" bestFit="1" customWidth="1"/>
    <col min="13572" max="13572" width="12.28515625" style="299" bestFit="1" customWidth="1"/>
    <col min="13573" max="13573" width="12.5703125" style="299" bestFit="1" customWidth="1"/>
    <col min="13574" max="13574" width="12.28515625" style="299" bestFit="1" customWidth="1"/>
    <col min="13575" max="13575" width="10.7109375" style="299" bestFit="1" customWidth="1"/>
    <col min="13576" max="13577" width="12.42578125" style="299" bestFit="1" customWidth="1"/>
    <col min="13578" max="13578" width="12.140625" style="299" customWidth="1"/>
    <col min="13579" max="13579" width="14.5703125" style="299" bestFit="1" customWidth="1"/>
    <col min="13580" max="13580" width="11.85546875" style="299" bestFit="1" customWidth="1"/>
    <col min="13581" max="13581" width="9.85546875" style="299" bestFit="1" customWidth="1"/>
    <col min="13582" max="13824" width="9.140625" style="299"/>
    <col min="13825" max="13825" width="4.7109375" style="299" bestFit="1" customWidth="1"/>
    <col min="13826" max="13826" width="24.28515625" style="299" bestFit="1" customWidth="1"/>
    <col min="13827" max="13827" width="11.85546875" style="299" bestFit="1" customWidth="1"/>
    <col min="13828" max="13828" width="12.28515625" style="299" bestFit="1" customWidth="1"/>
    <col min="13829" max="13829" width="12.5703125" style="299" bestFit="1" customWidth="1"/>
    <col min="13830" max="13830" width="12.28515625" style="299" bestFit="1" customWidth="1"/>
    <col min="13831" max="13831" width="10.7109375" style="299" bestFit="1" customWidth="1"/>
    <col min="13832" max="13833" width="12.42578125" style="299" bestFit="1" customWidth="1"/>
    <col min="13834" max="13834" width="12.140625" style="299" customWidth="1"/>
    <col min="13835" max="13835" width="14.5703125" style="299" bestFit="1" customWidth="1"/>
    <col min="13836" max="13836" width="11.85546875" style="299" bestFit="1" customWidth="1"/>
    <col min="13837" max="13837" width="9.85546875" style="299" bestFit="1" customWidth="1"/>
    <col min="13838" max="14080" width="9.140625" style="299"/>
    <col min="14081" max="14081" width="4.7109375" style="299" bestFit="1" customWidth="1"/>
    <col min="14082" max="14082" width="24.28515625" style="299" bestFit="1" customWidth="1"/>
    <col min="14083" max="14083" width="11.85546875" style="299" bestFit="1" customWidth="1"/>
    <col min="14084" max="14084" width="12.28515625" style="299" bestFit="1" customWidth="1"/>
    <col min="14085" max="14085" width="12.5703125" style="299" bestFit="1" customWidth="1"/>
    <col min="14086" max="14086" width="12.28515625" style="299" bestFit="1" customWidth="1"/>
    <col min="14087" max="14087" width="10.7109375" style="299" bestFit="1" customWidth="1"/>
    <col min="14088" max="14089" width="12.42578125" style="299" bestFit="1" customWidth="1"/>
    <col min="14090" max="14090" width="12.140625" style="299" customWidth="1"/>
    <col min="14091" max="14091" width="14.5703125" style="299" bestFit="1" customWidth="1"/>
    <col min="14092" max="14092" width="11.85546875" style="299" bestFit="1" customWidth="1"/>
    <col min="14093" max="14093" width="9.85546875" style="299" bestFit="1" customWidth="1"/>
    <col min="14094" max="14336" width="9.140625" style="299"/>
    <col min="14337" max="14337" width="4.7109375" style="299" bestFit="1" customWidth="1"/>
    <col min="14338" max="14338" width="24.28515625" style="299" bestFit="1" customWidth="1"/>
    <col min="14339" max="14339" width="11.85546875" style="299" bestFit="1" customWidth="1"/>
    <col min="14340" max="14340" width="12.28515625" style="299" bestFit="1" customWidth="1"/>
    <col min="14341" max="14341" width="12.5703125" style="299" bestFit="1" customWidth="1"/>
    <col min="14342" max="14342" width="12.28515625" style="299" bestFit="1" customWidth="1"/>
    <col min="14343" max="14343" width="10.7109375" style="299" bestFit="1" customWidth="1"/>
    <col min="14344" max="14345" width="12.42578125" style="299" bestFit="1" customWidth="1"/>
    <col min="14346" max="14346" width="12.140625" style="299" customWidth="1"/>
    <col min="14347" max="14347" width="14.5703125" style="299" bestFit="1" customWidth="1"/>
    <col min="14348" max="14348" width="11.85546875" style="299" bestFit="1" customWidth="1"/>
    <col min="14349" max="14349" width="9.85546875" style="299" bestFit="1" customWidth="1"/>
    <col min="14350" max="14592" width="9.140625" style="299"/>
    <col min="14593" max="14593" width="4.7109375" style="299" bestFit="1" customWidth="1"/>
    <col min="14594" max="14594" width="24.28515625" style="299" bestFit="1" customWidth="1"/>
    <col min="14595" max="14595" width="11.85546875" style="299" bestFit="1" customWidth="1"/>
    <col min="14596" max="14596" width="12.28515625" style="299" bestFit="1" customWidth="1"/>
    <col min="14597" max="14597" width="12.5703125" style="299" bestFit="1" customWidth="1"/>
    <col min="14598" max="14598" width="12.28515625" style="299" bestFit="1" customWidth="1"/>
    <col min="14599" max="14599" width="10.7109375" style="299" bestFit="1" customWidth="1"/>
    <col min="14600" max="14601" width="12.42578125" style="299" bestFit="1" customWidth="1"/>
    <col min="14602" max="14602" width="12.140625" style="299" customWidth="1"/>
    <col min="14603" max="14603" width="14.5703125" style="299" bestFit="1" customWidth="1"/>
    <col min="14604" max="14604" width="11.85546875" style="299" bestFit="1" customWidth="1"/>
    <col min="14605" max="14605" width="9.85546875" style="299" bestFit="1" customWidth="1"/>
    <col min="14606" max="14848" width="9.140625" style="299"/>
    <col min="14849" max="14849" width="4.7109375" style="299" bestFit="1" customWidth="1"/>
    <col min="14850" max="14850" width="24.28515625" style="299" bestFit="1" customWidth="1"/>
    <col min="14851" max="14851" width="11.85546875" style="299" bestFit="1" customWidth="1"/>
    <col min="14852" max="14852" width="12.28515625" style="299" bestFit="1" customWidth="1"/>
    <col min="14853" max="14853" width="12.5703125" style="299" bestFit="1" customWidth="1"/>
    <col min="14854" max="14854" width="12.28515625" style="299" bestFit="1" customWidth="1"/>
    <col min="14855" max="14855" width="10.7109375" style="299" bestFit="1" customWidth="1"/>
    <col min="14856" max="14857" width="12.42578125" style="299" bestFit="1" customWidth="1"/>
    <col min="14858" max="14858" width="12.140625" style="299" customWidth="1"/>
    <col min="14859" max="14859" width="14.5703125" style="299" bestFit="1" customWidth="1"/>
    <col min="14860" max="14860" width="11.85546875" style="299" bestFit="1" customWidth="1"/>
    <col min="14861" max="14861" width="9.85546875" style="299" bestFit="1" customWidth="1"/>
    <col min="14862" max="15104" width="9.140625" style="299"/>
    <col min="15105" max="15105" width="4.7109375" style="299" bestFit="1" customWidth="1"/>
    <col min="15106" max="15106" width="24.28515625" style="299" bestFit="1" customWidth="1"/>
    <col min="15107" max="15107" width="11.85546875" style="299" bestFit="1" customWidth="1"/>
    <col min="15108" max="15108" width="12.28515625" style="299" bestFit="1" customWidth="1"/>
    <col min="15109" max="15109" width="12.5703125" style="299" bestFit="1" customWidth="1"/>
    <col min="15110" max="15110" width="12.28515625" style="299" bestFit="1" customWidth="1"/>
    <col min="15111" max="15111" width="10.7109375" style="299" bestFit="1" customWidth="1"/>
    <col min="15112" max="15113" width="12.42578125" style="299" bestFit="1" customWidth="1"/>
    <col min="15114" max="15114" width="12.140625" style="299" customWidth="1"/>
    <col min="15115" max="15115" width="14.5703125" style="299" bestFit="1" customWidth="1"/>
    <col min="15116" max="15116" width="11.85546875" style="299" bestFit="1" customWidth="1"/>
    <col min="15117" max="15117" width="9.85546875" style="299" bestFit="1" customWidth="1"/>
    <col min="15118" max="15360" width="9.140625" style="299"/>
    <col min="15361" max="15361" width="4.7109375" style="299" bestFit="1" customWidth="1"/>
    <col min="15362" max="15362" width="24.28515625" style="299" bestFit="1" customWidth="1"/>
    <col min="15363" max="15363" width="11.85546875" style="299" bestFit="1" customWidth="1"/>
    <col min="15364" max="15364" width="12.28515625" style="299" bestFit="1" customWidth="1"/>
    <col min="15365" max="15365" width="12.5703125" style="299" bestFit="1" customWidth="1"/>
    <col min="15366" max="15366" width="12.28515625" style="299" bestFit="1" customWidth="1"/>
    <col min="15367" max="15367" width="10.7109375" style="299" bestFit="1" customWidth="1"/>
    <col min="15368" max="15369" width="12.42578125" style="299" bestFit="1" customWidth="1"/>
    <col min="15370" max="15370" width="12.140625" style="299" customWidth="1"/>
    <col min="15371" max="15371" width="14.5703125" style="299" bestFit="1" customWidth="1"/>
    <col min="15372" max="15372" width="11.85546875" style="299" bestFit="1" customWidth="1"/>
    <col min="15373" max="15373" width="9.85546875" style="299" bestFit="1" customWidth="1"/>
    <col min="15374" max="15616" width="9.140625" style="299"/>
    <col min="15617" max="15617" width="4.7109375" style="299" bestFit="1" customWidth="1"/>
    <col min="15618" max="15618" width="24.28515625" style="299" bestFit="1" customWidth="1"/>
    <col min="15619" max="15619" width="11.85546875" style="299" bestFit="1" customWidth="1"/>
    <col min="15620" max="15620" width="12.28515625" style="299" bestFit="1" customWidth="1"/>
    <col min="15621" max="15621" width="12.5703125" style="299" bestFit="1" customWidth="1"/>
    <col min="15622" max="15622" width="12.28515625" style="299" bestFit="1" customWidth="1"/>
    <col min="15623" max="15623" width="10.7109375" style="299" bestFit="1" customWidth="1"/>
    <col min="15624" max="15625" width="12.42578125" style="299" bestFit="1" customWidth="1"/>
    <col min="15626" max="15626" width="12.140625" style="299" customWidth="1"/>
    <col min="15627" max="15627" width="14.5703125" style="299" bestFit="1" customWidth="1"/>
    <col min="15628" max="15628" width="11.85546875" style="299" bestFit="1" customWidth="1"/>
    <col min="15629" max="15629" width="9.85546875" style="299" bestFit="1" customWidth="1"/>
    <col min="15630" max="15872" width="9.140625" style="299"/>
    <col min="15873" max="15873" width="4.7109375" style="299" bestFit="1" customWidth="1"/>
    <col min="15874" max="15874" width="24.28515625" style="299" bestFit="1" customWidth="1"/>
    <col min="15875" max="15875" width="11.85546875" style="299" bestFit="1" customWidth="1"/>
    <col min="15876" max="15876" width="12.28515625" style="299" bestFit="1" customWidth="1"/>
    <col min="15877" max="15877" width="12.5703125" style="299" bestFit="1" customWidth="1"/>
    <col min="15878" max="15878" width="12.28515625" style="299" bestFit="1" customWidth="1"/>
    <col min="15879" max="15879" width="10.7109375" style="299" bestFit="1" customWidth="1"/>
    <col min="15880" max="15881" width="12.42578125" style="299" bestFit="1" customWidth="1"/>
    <col min="15882" max="15882" width="12.140625" style="299" customWidth="1"/>
    <col min="15883" max="15883" width="14.5703125" style="299" bestFit="1" customWidth="1"/>
    <col min="15884" max="15884" width="11.85546875" style="299" bestFit="1" customWidth="1"/>
    <col min="15885" max="15885" width="9.85546875" style="299" bestFit="1" customWidth="1"/>
    <col min="15886" max="16128" width="9.140625" style="299"/>
    <col min="16129" max="16129" width="4.7109375" style="299" bestFit="1" customWidth="1"/>
    <col min="16130" max="16130" width="24.28515625" style="299" bestFit="1" customWidth="1"/>
    <col min="16131" max="16131" width="11.85546875" style="299" bestFit="1" customWidth="1"/>
    <col min="16132" max="16132" width="12.28515625" style="299" bestFit="1" customWidth="1"/>
    <col min="16133" max="16133" width="12.5703125" style="299" bestFit="1" customWidth="1"/>
    <col min="16134" max="16134" width="12.28515625" style="299" bestFit="1" customWidth="1"/>
    <col min="16135" max="16135" width="10.7109375" style="299" bestFit="1" customWidth="1"/>
    <col min="16136" max="16137" width="12.42578125" style="299" bestFit="1" customWidth="1"/>
    <col min="16138" max="16138" width="12.140625" style="299" customWidth="1"/>
    <col min="16139" max="16139" width="14.5703125" style="299" bestFit="1" customWidth="1"/>
    <col min="16140" max="16140" width="11.85546875" style="299" bestFit="1" customWidth="1"/>
    <col min="16141" max="16141" width="9.85546875" style="299" bestFit="1" customWidth="1"/>
    <col min="16142" max="16384" width="9.140625" style="299"/>
  </cols>
  <sheetData>
    <row r="1" spans="1:23" ht="18.75">
      <c r="B1" s="300"/>
      <c r="L1" s="302"/>
      <c r="W1" s="303"/>
    </row>
    <row r="2" spans="1:23">
      <c r="B2" s="299" t="s">
        <v>140</v>
      </c>
      <c r="D2" s="304">
        <f>T3</f>
        <v>7.6200000000000004E-2</v>
      </c>
      <c r="P2" s="299" t="s">
        <v>304</v>
      </c>
      <c r="T2" s="299" t="s">
        <v>305</v>
      </c>
    </row>
    <row r="3" spans="1:23">
      <c r="B3" s="299" t="s">
        <v>141</v>
      </c>
      <c r="D3" s="305">
        <f>D2/12</f>
        <v>6.3500000000000006E-3</v>
      </c>
      <c r="P3" s="306">
        <v>7.8799999999999995E-2</v>
      </c>
      <c r="Q3" s="299" t="s">
        <v>140</v>
      </c>
      <c r="T3" s="306">
        <v>7.6200000000000004E-2</v>
      </c>
      <c r="U3" s="299" t="s">
        <v>140</v>
      </c>
    </row>
    <row r="4" spans="1:23">
      <c r="B4" s="299" t="s">
        <v>142</v>
      </c>
      <c r="D4" s="307">
        <f>D5/12</f>
        <v>1128292.4667885939</v>
      </c>
      <c r="P4" s="306">
        <v>4.1200000000000001E-2</v>
      </c>
      <c r="Q4" s="299" t="s">
        <v>60</v>
      </c>
      <c r="T4" s="306">
        <v>3.8300000000000001E-2</v>
      </c>
      <c r="U4" s="299" t="s">
        <v>60</v>
      </c>
    </row>
    <row r="5" spans="1:23">
      <c r="B5" s="299" t="s">
        <v>143</v>
      </c>
      <c r="D5" s="307">
        <v>13539509.601463126</v>
      </c>
      <c r="P5" s="306">
        <f>P3-P4</f>
        <v>3.7599999999999995E-2</v>
      </c>
      <c r="Q5" s="299" t="s">
        <v>61</v>
      </c>
      <c r="T5" s="306">
        <f>T3-T4</f>
        <v>3.7900000000000003E-2</v>
      </c>
      <c r="U5" s="299" t="s">
        <v>61</v>
      </c>
    </row>
    <row r="6" spans="1:23">
      <c r="D6" s="308"/>
      <c r="P6" s="309">
        <f>P3/12</f>
        <v>6.566666666666666E-3</v>
      </c>
      <c r="Q6" s="299" t="s">
        <v>306</v>
      </c>
      <c r="T6" s="309">
        <f>T3/12</f>
        <v>6.3500000000000006E-3</v>
      </c>
      <c r="U6" s="299" t="s">
        <v>306</v>
      </c>
    </row>
    <row r="7" spans="1:23">
      <c r="C7" s="310"/>
      <c r="D7" s="311"/>
      <c r="E7" s="312"/>
      <c r="F7" s="313"/>
      <c r="G7" s="313"/>
      <c r="H7" s="313"/>
      <c r="I7" s="313"/>
      <c r="J7" s="314"/>
      <c r="K7" s="314"/>
    </row>
    <row r="8" spans="1:23">
      <c r="C8" s="365"/>
      <c r="D8" s="365"/>
      <c r="E8" s="365"/>
      <c r="F8" s="365"/>
      <c r="G8" s="365"/>
      <c r="H8" s="313"/>
      <c r="I8" s="313"/>
      <c r="J8" s="314"/>
      <c r="K8" s="314"/>
    </row>
    <row r="9" spans="1:23" ht="60">
      <c r="A9" s="312" t="s">
        <v>103</v>
      </c>
      <c r="B9" s="315" t="s">
        <v>144</v>
      </c>
      <c r="C9" s="315" t="s">
        <v>145</v>
      </c>
      <c r="D9" s="315" t="s">
        <v>146</v>
      </c>
      <c r="E9" s="316" t="s">
        <v>147</v>
      </c>
      <c r="F9" s="316" t="s">
        <v>148</v>
      </c>
      <c r="G9" s="316" t="s">
        <v>149</v>
      </c>
      <c r="H9" s="316" t="s">
        <v>150</v>
      </c>
      <c r="I9" s="315" t="s">
        <v>151</v>
      </c>
      <c r="J9" s="315" t="s">
        <v>152</v>
      </c>
      <c r="K9" s="315" t="s">
        <v>153</v>
      </c>
      <c r="L9" s="316" t="s">
        <v>154</v>
      </c>
    </row>
    <row r="10" spans="1:23">
      <c r="A10" s="312"/>
      <c r="B10" s="317"/>
      <c r="C10" s="298"/>
      <c r="D10" s="298"/>
      <c r="E10" s="318"/>
      <c r="F10" s="318">
        <v>0</v>
      </c>
      <c r="G10" s="318"/>
      <c r="H10" s="318">
        <v>0</v>
      </c>
      <c r="I10" s="319">
        <f>L10+H10</f>
        <v>0</v>
      </c>
      <c r="J10" s="298"/>
      <c r="K10" s="298"/>
      <c r="L10" s="318">
        <v>0</v>
      </c>
    </row>
    <row r="11" spans="1:23">
      <c r="A11" s="312">
        <v>1</v>
      </c>
      <c r="B11" s="317">
        <v>43101</v>
      </c>
      <c r="C11" s="320">
        <f>ROUND((15000000/12)*(13/31),2)</f>
        <v>524193.55</v>
      </c>
      <c r="D11" s="298"/>
      <c r="E11" s="318">
        <f>C11-D11</f>
        <v>524193.55</v>
      </c>
      <c r="F11" s="318">
        <f>E11+F10</f>
        <v>524193.55</v>
      </c>
      <c r="G11" s="318">
        <f>-E11*0.21</f>
        <v>-110080.6455</v>
      </c>
      <c r="H11" s="318">
        <f>G11+H10</f>
        <v>-110080.6455</v>
      </c>
      <c r="I11" s="319">
        <f>F11+H11</f>
        <v>414112.9045</v>
      </c>
      <c r="J11" s="298"/>
      <c r="K11" s="298"/>
      <c r="L11" s="318">
        <f>L10+E11+J11+K11</f>
        <v>524193.55</v>
      </c>
    </row>
    <row r="12" spans="1:23">
      <c r="A12" s="312">
        <v>2</v>
      </c>
      <c r="B12" s="317">
        <v>43132</v>
      </c>
      <c r="C12" s="320">
        <f>15000000/12</f>
        <v>1250000</v>
      </c>
      <c r="D12" s="298"/>
      <c r="E12" s="318">
        <f>C12-D12</f>
        <v>1250000</v>
      </c>
      <c r="F12" s="318">
        <f>E12+F11</f>
        <v>1774193.55</v>
      </c>
      <c r="G12" s="318">
        <f>-E12*0.21</f>
        <v>-262500</v>
      </c>
      <c r="H12" s="318">
        <f>G12+H11</f>
        <v>-372580.64549999998</v>
      </c>
      <c r="I12" s="319">
        <f>F12+H12</f>
        <v>1401612.9045000002</v>
      </c>
      <c r="J12" s="298">
        <f>ROUND(F11*$P$6,2)</f>
        <v>3442.2</v>
      </c>
      <c r="K12" s="298"/>
      <c r="L12" s="318">
        <f t="shared" ref="L12:L75" si="0">L11+E12+J12+K12</f>
        <v>1777635.75</v>
      </c>
    </row>
    <row r="13" spans="1:23">
      <c r="A13" s="312">
        <v>3</v>
      </c>
      <c r="B13" s="317">
        <v>43160</v>
      </c>
      <c r="C13" s="320">
        <f t="shared" ref="C13:C22" si="1">C12</f>
        <v>1250000</v>
      </c>
      <c r="D13" s="298"/>
      <c r="E13" s="318">
        <f t="shared" ref="E13:E78" si="2">C13-D13</f>
        <v>1250000</v>
      </c>
      <c r="F13" s="318">
        <f>E13+F12</f>
        <v>3024193.55</v>
      </c>
      <c r="G13" s="318">
        <f t="shared" ref="G13:G71" si="3">-E13*0.21</f>
        <v>-262500</v>
      </c>
      <c r="H13" s="318">
        <f>G13+H12</f>
        <v>-635080.64549999998</v>
      </c>
      <c r="I13" s="319">
        <f t="shared" ref="I13:I70" si="4">F13+H13</f>
        <v>2389112.9044999997</v>
      </c>
      <c r="J13" s="298">
        <f>ROUND(I12*$P$6,2)</f>
        <v>9203.92</v>
      </c>
      <c r="K13" s="298"/>
      <c r="L13" s="318">
        <f>L12+E13+J13+K13</f>
        <v>3036839.67</v>
      </c>
    </row>
    <row r="14" spans="1:23">
      <c r="A14" s="312">
        <v>4</v>
      </c>
      <c r="B14" s="317">
        <v>43191</v>
      </c>
      <c r="C14" s="320">
        <f t="shared" si="1"/>
        <v>1250000</v>
      </c>
      <c r="D14" s="298"/>
      <c r="E14" s="318">
        <f t="shared" si="2"/>
        <v>1250000</v>
      </c>
      <c r="F14" s="318">
        <f>E14+F13</f>
        <v>4274193.55</v>
      </c>
      <c r="G14" s="318">
        <f t="shared" si="3"/>
        <v>-262500</v>
      </c>
      <c r="H14" s="318">
        <f t="shared" ref="H14:H20" si="5">G14+H13</f>
        <v>-897580.64549999998</v>
      </c>
      <c r="I14" s="319">
        <f t="shared" si="4"/>
        <v>3376612.9044999997</v>
      </c>
      <c r="J14" s="298">
        <f t="shared" ref="J14:J46" si="6">ROUND(I13*$P$6,2)</f>
        <v>15688.51</v>
      </c>
      <c r="K14" s="298"/>
      <c r="L14" s="318">
        <f t="shared" si="0"/>
        <v>4302528.18</v>
      </c>
    </row>
    <row r="15" spans="1:23">
      <c r="A15" s="312">
        <v>5</v>
      </c>
      <c r="B15" s="317">
        <v>43221</v>
      </c>
      <c r="C15" s="320">
        <f t="shared" si="1"/>
        <v>1250000</v>
      </c>
      <c r="D15" s="298"/>
      <c r="E15" s="318">
        <f t="shared" si="2"/>
        <v>1250000</v>
      </c>
      <c r="F15" s="318">
        <f t="shared" ref="F15:F70" si="7">E15+F14</f>
        <v>5524193.5499999998</v>
      </c>
      <c r="G15" s="318">
        <f t="shared" si="3"/>
        <v>-262500</v>
      </c>
      <c r="H15" s="318">
        <f t="shared" si="5"/>
        <v>-1160080.6455000001</v>
      </c>
      <c r="I15" s="319">
        <f t="shared" si="4"/>
        <v>4364112.9045000002</v>
      </c>
      <c r="J15" s="298">
        <f t="shared" si="6"/>
        <v>22173.09</v>
      </c>
      <c r="K15" s="298"/>
      <c r="L15" s="318">
        <f t="shared" si="0"/>
        <v>5574701.2699999996</v>
      </c>
    </row>
    <row r="16" spans="1:23">
      <c r="A16" s="312">
        <v>6</v>
      </c>
      <c r="B16" s="317">
        <v>43252</v>
      </c>
      <c r="C16" s="320">
        <f t="shared" si="1"/>
        <v>1250000</v>
      </c>
      <c r="D16" s="298"/>
      <c r="E16" s="318">
        <f t="shared" si="2"/>
        <v>1250000</v>
      </c>
      <c r="F16" s="318">
        <f t="shared" si="7"/>
        <v>6774193.5499999998</v>
      </c>
      <c r="G16" s="318">
        <f t="shared" si="3"/>
        <v>-262500</v>
      </c>
      <c r="H16" s="318">
        <f t="shared" si="5"/>
        <v>-1422580.6455000001</v>
      </c>
      <c r="I16" s="319">
        <f t="shared" si="4"/>
        <v>5351612.9045000002</v>
      </c>
      <c r="J16" s="298">
        <f t="shared" si="6"/>
        <v>28657.67</v>
      </c>
      <c r="K16" s="298"/>
      <c r="L16" s="318">
        <f t="shared" si="0"/>
        <v>6853358.9399999995</v>
      </c>
    </row>
    <row r="17" spans="1:12">
      <c r="A17" s="312">
        <v>7</v>
      </c>
      <c r="B17" s="317">
        <v>43282</v>
      </c>
      <c r="C17" s="320">
        <f t="shared" si="1"/>
        <v>1250000</v>
      </c>
      <c r="D17" s="298"/>
      <c r="E17" s="318">
        <f t="shared" si="2"/>
        <v>1250000</v>
      </c>
      <c r="F17" s="318">
        <f t="shared" si="7"/>
        <v>8024193.5499999998</v>
      </c>
      <c r="G17" s="318">
        <f t="shared" si="3"/>
        <v>-262500</v>
      </c>
      <c r="H17" s="318">
        <f t="shared" si="5"/>
        <v>-1685080.6455000001</v>
      </c>
      <c r="I17" s="319">
        <f t="shared" si="4"/>
        <v>6339112.9045000002</v>
      </c>
      <c r="J17" s="298">
        <f t="shared" si="6"/>
        <v>35142.26</v>
      </c>
      <c r="K17" s="298"/>
      <c r="L17" s="318">
        <f t="shared" si="0"/>
        <v>8138501.1999999993</v>
      </c>
    </row>
    <row r="18" spans="1:12">
      <c r="A18" s="312">
        <v>8</v>
      </c>
      <c r="B18" s="317">
        <v>43313</v>
      </c>
      <c r="C18" s="320">
        <f t="shared" si="1"/>
        <v>1250000</v>
      </c>
      <c r="D18" s="298"/>
      <c r="E18" s="318">
        <f t="shared" si="2"/>
        <v>1250000</v>
      </c>
      <c r="F18" s="318">
        <f>E18+F17</f>
        <v>9274193.5500000007</v>
      </c>
      <c r="G18" s="318">
        <f t="shared" si="3"/>
        <v>-262500</v>
      </c>
      <c r="H18" s="318">
        <f t="shared" si="5"/>
        <v>-1947580.6455000001</v>
      </c>
      <c r="I18" s="319">
        <f t="shared" si="4"/>
        <v>7326612.9045000002</v>
      </c>
      <c r="J18" s="298">
        <f t="shared" si="6"/>
        <v>41626.839999999997</v>
      </c>
      <c r="K18" s="298"/>
      <c r="L18" s="318">
        <f t="shared" si="0"/>
        <v>9430128.0399999991</v>
      </c>
    </row>
    <row r="19" spans="1:12">
      <c r="A19" s="312">
        <v>9</v>
      </c>
      <c r="B19" s="317">
        <v>43344</v>
      </c>
      <c r="C19" s="320">
        <f t="shared" si="1"/>
        <v>1250000</v>
      </c>
      <c r="D19" s="298"/>
      <c r="E19" s="318">
        <f t="shared" si="2"/>
        <v>1250000</v>
      </c>
      <c r="F19" s="318">
        <f t="shared" si="7"/>
        <v>10524193.550000001</v>
      </c>
      <c r="G19" s="318">
        <f t="shared" si="3"/>
        <v>-262500</v>
      </c>
      <c r="H19" s="318">
        <f t="shared" si="5"/>
        <v>-2210080.6455000001</v>
      </c>
      <c r="I19" s="319">
        <f t="shared" si="4"/>
        <v>8314112.9045000002</v>
      </c>
      <c r="J19" s="298">
        <f t="shared" si="6"/>
        <v>48111.42</v>
      </c>
      <c r="K19" s="298"/>
      <c r="L19" s="318">
        <f t="shared" si="0"/>
        <v>10728239.459999999</v>
      </c>
    </row>
    <row r="20" spans="1:12">
      <c r="A20" s="312">
        <v>10</v>
      </c>
      <c r="B20" s="317">
        <v>43374</v>
      </c>
      <c r="C20" s="320">
        <f t="shared" si="1"/>
        <v>1250000</v>
      </c>
      <c r="D20" s="298"/>
      <c r="E20" s="318">
        <f t="shared" si="2"/>
        <v>1250000</v>
      </c>
      <c r="F20" s="318">
        <f t="shared" si="7"/>
        <v>11774193.550000001</v>
      </c>
      <c r="G20" s="318">
        <f t="shared" si="3"/>
        <v>-262500</v>
      </c>
      <c r="H20" s="318">
        <f t="shared" si="5"/>
        <v>-2472580.6455000001</v>
      </c>
      <c r="I20" s="319">
        <f t="shared" si="4"/>
        <v>9301612.9045000002</v>
      </c>
      <c r="J20" s="298">
        <f t="shared" si="6"/>
        <v>54596.01</v>
      </c>
      <c r="K20" s="298"/>
      <c r="L20" s="318">
        <f t="shared" si="0"/>
        <v>12032835.469999999</v>
      </c>
    </row>
    <row r="21" spans="1:12">
      <c r="A21" s="312">
        <v>11</v>
      </c>
      <c r="B21" s="317">
        <v>43405</v>
      </c>
      <c r="C21" s="320">
        <f t="shared" si="1"/>
        <v>1250000</v>
      </c>
      <c r="D21" s="298"/>
      <c r="E21" s="318">
        <f t="shared" si="2"/>
        <v>1250000</v>
      </c>
      <c r="F21" s="318">
        <f t="shared" si="7"/>
        <v>13024193.550000001</v>
      </c>
      <c r="G21" s="318">
        <f t="shared" si="3"/>
        <v>-262500</v>
      </c>
      <c r="H21" s="318">
        <f>G21+H20</f>
        <v>-2735080.6455000001</v>
      </c>
      <c r="I21" s="319">
        <f t="shared" si="4"/>
        <v>10289112.9045</v>
      </c>
      <c r="J21" s="298">
        <f t="shared" si="6"/>
        <v>61080.59</v>
      </c>
      <c r="K21" s="298"/>
      <c r="L21" s="318">
        <f t="shared" si="0"/>
        <v>13343916.059999999</v>
      </c>
    </row>
    <row r="22" spans="1:12">
      <c r="A22" s="312">
        <v>12</v>
      </c>
      <c r="B22" s="317">
        <v>43435</v>
      </c>
      <c r="C22" s="320">
        <f t="shared" si="1"/>
        <v>1250000</v>
      </c>
      <c r="D22" s="298"/>
      <c r="E22" s="318">
        <f t="shared" si="2"/>
        <v>1250000</v>
      </c>
      <c r="F22" s="318">
        <f t="shared" si="7"/>
        <v>14274193.550000001</v>
      </c>
      <c r="G22" s="318">
        <f t="shared" si="3"/>
        <v>-262500</v>
      </c>
      <c r="H22" s="318">
        <f>G22+H21</f>
        <v>-2997580.6455000001</v>
      </c>
      <c r="I22" s="319">
        <f t="shared" si="4"/>
        <v>11276612.9045</v>
      </c>
      <c r="J22" s="298">
        <f t="shared" si="6"/>
        <v>67565.17</v>
      </c>
      <c r="K22" s="298"/>
      <c r="L22" s="318">
        <f t="shared" si="0"/>
        <v>14661481.229999999</v>
      </c>
    </row>
    <row r="23" spans="1:12">
      <c r="A23" s="312">
        <v>13</v>
      </c>
      <c r="B23" s="317">
        <v>43466</v>
      </c>
      <c r="C23" s="320">
        <f>15000000/12</f>
        <v>1250000</v>
      </c>
      <c r="D23" s="298"/>
      <c r="E23" s="318">
        <f t="shared" si="2"/>
        <v>1250000</v>
      </c>
      <c r="F23" s="318">
        <f t="shared" si="7"/>
        <v>15524193.550000001</v>
      </c>
      <c r="G23" s="318">
        <f t="shared" si="3"/>
        <v>-262500</v>
      </c>
      <c r="H23" s="318">
        <f t="shared" ref="H23:H86" si="8">G23+H22</f>
        <v>-3260080.6455000001</v>
      </c>
      <c r="I23" s="319">
        <f t="shared" si="4"/>
        <v>12264112.9045</v>
      </c>
      <c r="J23" s="298">
        <f t="shared" si="6"/>
        <v>74049.759999999995</v>
      </c>
      <c r="K23" s="298"/>
      <c r="L23" s="318">
        <f t="shared" si="0"/>
        <v>15985530.989999998</v>
      </c>
    </row>
    <row r="24" spans="1:12">
      <c r="A24" s="312">
        <v>14</v>
      </c>
      <c r="B24" s="317">
        <v>43497</v>
      </c>
      <c r="C24" s="320">
        <f>C23</f>
        <v>1250000</v>
      </c>
      <c r="D24" s="298"/>
      <c r="E24" s="318">
        <f t="shared" si="2"/>
        <v>1250000</v>
      </c>
      <c r="F24" s="318">
        <f t="shared" si="7"/>
        <v>16774193.550000001</v>
      </c>
      <c r="G24" s="318">
        <f t="shared" si="3"/>
        <v>-262500</v>
      </c>
      <c r="H24" s="318">
        <f t="shared" si="8"/>
        <v>-3522580.6455000001</v>
      </c>
      <c r="I24" s="319">
        <f t="shared" si="4"/>
        <v>13251612.9045</v>
      </c>
      <c r="J24" s="298">
        <f t="shared" si="6"/>
        <v>80534.34</v>
      </c>
      <c r="K24" s="298"/>
      <c r="L24" s="318">
        <f t="shared" si="0"/>
        <v>17316065.329999998</v>
      </c>
    </row>
    <row r="25" spans="1:12">
      <c r="A25" s="312">
        <v>15</v>
      </c>
      <c r="B25" s="317">
        <v>43525</v>
      </c>
      <c r="C25" s="320">
        <f t="shared" ref="C25:C34" si="9">C24</f>
        <v>1250000</v>
      </c>
      <c r="D25" s="298"/>
      <c r="E25" s="318">
        <f t="shared" si="2"/>
        <v>1250000</v>
      </c>
      <c r="F25" s="318">
        <f t="shared" si="7"/>
        <v>18024193.550000001</v>
      </c>
      <c r="G25" s="318">
        <f t="shared" si="3"/>
        <v>-262500</v>
      </c>
      <c r="H25" s="318">
        <f t="shared" si="8"/>
        <v>-3785080.6455000001</v>
      </c>
      <c r="I25" s="319">
        <f t="shared" si="4"/>
        <v>14239112.9045</v>
      </c>
      <c r="J25" s="298">
        <f t="shared" si="6"/>
        <v>87018.92</v>
      </c>
      <c r="K25" s="298"/>
      <c r="L25" s="318">
        <f t="shared" si="0"/>
        <v>18653084.25</v>
      </c>
    </row>
    <row r="26" spans="1:12">
      <c r="A26" s="312">
        <v>16</v>
      </c>
      <c r="B26" s="317">
        <v>43556</v>
      </c>
      <c r="C26" s="320">
        <f t="shared" si="9"/>
        <v>1250000</v>
      </c>
      <c r="D26" s="298"/>
      <c r="E26" s="318">
        <f t="shared" si="2"/>
        <v>1250000</v>
      </c>
      <c r="F26" s="318">
        <f t="shared" si="7"/>
        <v>19274193.550000001</v>
      </c>
      <c r="G26" s="318">
        <f t="shared" si="3"/>
        <v>-262500</v>
      </c>
      <c r="H26" s="318">
        <f t="shared" si="8"/>
        <v>-4047580.6455000001</v>
      </c>
      <c r="I26" s="319">
        <f t="shared" si="4"/>
        <v>15226612.9045</v>
      </c>
      <c r="J26" s="298">
        <f t="shared" si="6"/>
        <v>93503.51</v>
      </c>
      <c r="K26" s="298"/>
      <c r="L26" s="318">
        <f t="shared" si="0"/>
        <v>19996587.760000002</v>
      </c>
    </row>
    <row r="27" spans="1:12">
      <c r="A27" s="312">
        <v>17</v>
      </c>
      <c r="B27" s="317">
        <v>43586</v>
      </c>
      <c r="C27" s="320">
        <f t="shared" si="9"/>
        <v>1250000</v>
      </c>
      <c r="D27" s="298"/>
      <c r="E27" s="318">
        <f t="shared" si="2"/>
        <v>1250000</v>
      </c>
      <c r="F27" s="318">
        <f t="shared" si="7"/>
        <v>20524193.550000001</v>
      </c>
      <c r="G27" s="318">
        <f t="shared" si="3"/>
        <v>-262500</v>
      </c>
      <c r="H27" s="318">
        <f t="shared" si="8"/>
        <v>-4310080.6455000006</v>
      </c>
      <c r="I27" s="319">
        <f t="shared" si="4"/>
        <v>16214112.9045</v>
      </c>
      <c r="J27" s="298">
        <f t="shared" si="6"/>
        <v>99988.09</v>
      </c>
      <c r="K27" s="298"/>
      <c r="L27" s="318">
        <f t="shared" si="0"/>
        <v>21346575.850000001</v>
      </c>
    </row>
    <row r="28" spans="1:12">
      <c r="A28" s="312">
        <v>18</v>
      </c>
      <c r="B28" s="317">
        <v>43617</v>
      </c>
      <c r="C28" s="320">
        <f t="shared" si="9"/>
        <v>1250000</v>
      </c>
      <c r="D28" s="298"/>
      <c r="E28" s="318">
        <f t="shared" si="2"/>
        <v>1250000</v>
      </c>
      <c r="F28" s="318">
        <f t="shared" si="7"/>
        <v>21774193.550000001</v>
      </c>
      <c r="G28" s="318">
        <f t="shared" si="3"/>
        <v>-262500</v>
      </c>
      <c r="H28" s="318">
        <f t="shared" si="8"/>
        <v>-4572580.6455000006</v>
      </c>
      <c r="I28" s="319">
        <f t="shared" si="4"/>
        <v>17201612.9045</v>
      </c>
      <c r="J28" s="298">
        <f t="shared" si="6"/>
        <v>106472.67</v>
      </c>
      <c r="K28" s="298"/>
      <c r="L28" s="318">
        <f t="shared" si="0"/>
        <v>22703048.520000003</v>
      </c>
    </row>
    <row r="29" spans="1:12">
      <c r="A29" s="312">
        <v>19</v>
      </c>
      <c r="B29" s="317">
        <v>43647</v>
      </c>
      <c r="C29" s="320">
        <f t="shared" si="9"/>
        <v>1250000</v>
      </c>
      <c r="D29" s="298"/>
      <c r="E29" s="318">
        <f t="shared" si="2"/>
        <v>1250000</v>
      </c>
      <c r="F29" s="318">
        <f t="shared" si="7"/>
        <v>23024193.550000001</v>
      </c>
      <c r="G29" s="318">
        <f t="shared" si="3"/>
        <v>-262500</v>
      </c>
      <c r="H29" s="318">
        <f t="shared" si="8"/>
        <v>-4835080.6455000006</v>
      </c>
      <c r="I29" s="319">
        <f t="shared" si="4"/>
        <v>18189112.9045</v>
      </c>
      <c r="J29" s="298">
        <f t="shared" si="6"/>
        <v>112957.26</v>
      </c>
      <c r="K29" s="298"/>
      <c r="L29" s="318">
        <f t="shared" si="0"/>
        <v>24066005.780000005</v>
      </c>
    </row>
    <row r="30" spans="1:12">
      <c r="A30" s="312">
        <v>20</v>
      </c>
      <c r="B30" s="317">
        <v>43678</v>
      </c>
      <c r="C30" s="320">
        <f t="shared" si="9"/>
        <v>1250000</v>
      </c>
      <c r="D30" s="298"/>
      <c r="E30" s="318">
        <f t="shared" si="2"/>
        <v>1250000</v>
      </c>
      <c r="F30" s="318">
        <f t="shared" si="7"/>
        <v>24274193.550000001</v>
      </c>
      <c r="G30" s="318">
        <f t="shared" si="3"/>
        <v>-262500</v>
      </c>
      <c r="H30" s="318">
        <f t="shared" si="8"/>
        <v>-5097580.6455000006</v>
      </c>
      <c r="I30" s="319">
        <f t="shared" si="4"/>
        <v>19176612.9045</v>
      </c>
      <c r="J30" s="298">
        <f t="shared" si="6"/>
        <v>119441.84</v>
      </c>
      <c r="K30" s="298"/>
      <c r="L30" s="318">
        <f t="shared" si="0"/>
        <v>25435447.620000005</v>
      </c>
    </row>
    <row r="31" spans="1:12">
      <c r="A31" s="312">
        <v>21</v>
      </c>
      <c r="B31" s="317">
        <v>43709</v>
      </c>
      <c r="C31" s="320">
        <f t="shared" si="9"/>
        <v>1250000</v>
      </c>
      <c r="D31" s="298"/>
      <c r="E31" s="318">
        <f t="shared" si="2"/>
        <v>1250000</v>
      </c>
      <c r="F31" s="318">
        <f t="shared" si="7"/>
        <v>25524193.550000001</v>
      </c>
      <c r="G31" s="318">
        <f t="shared" si="3"/>
        <v>-262500</v>
      </c>
      <c r="H31" s="318">
        <f t="shared" si="8"/>
        <v>-5360080.6455000006</v>
      </c>
      <c r="I31" s="319">
        <f t="shared" si="4"/>
        <v>20164112.9045</v>
      </c>
      <c r="J31" s="298">
        <f t="shared" si="6"/>
        <v>125926.42</v>
      </c>
      <c r="K31" s="298"/>
      <c r="L31" s="318">
        <f t="shared" si="0"/>
        <v>26811374.040000007</v>
      </c>
    </row>
    <row r="32" spans="1:12">
      <c r="A32" s="312">
        <v>22</v>
      </c>
      <c r="B32" s="317">
        <v>43739</v>
      </c>
      <c r="C32" s="320">
        <f t="shared" si="9"/>
        <v>1250000</v>
      </c>
      <c r="D32" s="298"/>
      <c r="E32" s="318">
        <f t="shared" si="2"/>
        <v>1250000</v>
      </c>
      <c r="F32" s="318">
        <f t="shared" si="7"/>
        <v>26774193.550000001</v>
      </c>
      <c r="G32" s="318">
        <f t="shared" si="3"/>
        <v>-262500</v>
      </c>
      <c r="H32" s="318">
        <f t="shared" si="8"/>
        <v>-5622580.6455000006</v>
      </c>
      <c r="I32" s="319">
        <f t="shared" si="4"/>
        <v>21151612.9045</v>
      </c>
      <c r="J32" s="298">
        <f t="shared" si="6"/>
        <v>132411.01</v>
      </c>
      <c r="K32" s="298"/>
      <c r="L32" s="318">
        <f t="shared" si="0"/>
        <v>28193785.050000008</v>
      </c>
    </row>
    <row r="33" spans="1:12">
      <c r="A33" s="312">
        <v>23</v>
      </c>
      <c r="B33" s="317">
        <v>43770</v>
      </c>
      <c r="C33" s="320">
        <f t="shared" si="9"/>
        <v>1250000</v>
      </c>
      <c r="D33" s="298"/>
      <c r="E33" s="318">
        <f t="shared" si="2"/>
        <v>1250000</v>
      </c>
      <c r="F33" s="318">
        <f t="shared" si="7"/>
        <v>28024193.550000001</v>
      </c>
      <c r="G33" s="318">
        <f t="shared" si="3"/>
        <v>-262500</v>
      </c>
      <c r="H33" s="318">
        <f t="shared" si="8"/>
        <v>-5885080.6455000006</v>
      </c>
      <c r="I33" s="319">
        <f t="shared" si="4"/>
        <v>22139112.9045</v>
      </c>
      <c r="J33" s="298">
        <f t="shared" si="6"/>
        <v>138895.59</v>
      </c>
      <c r="K33" s="298"/>
      <c r="L33" s="318">
        <f t="shared" si="0"/>
        <v>29582680.640000008</v>
      </c>
    </row>
    <row r="34" spans="1:12">
      <c r="A34" s="312">
        <v>24</v>
      </c>
      <c r="B34" s="317">
        <v>43800</v>
      </c>
      <c r="C34" s="320">
        <f t="shared" si="9"/>
        <v>1250000</v>
      </c>
      <c r="D34" s="298"/>
      <c r="E34" s="318">
        <f t="shared" si="2"/>
        <v>1250000</v>
      </c>
      <c r="F34" s="318">
        <f t="shared" si="7"/>
        <v>29274193.550000001</v>
      </c>
      <c r="G34" s="318">
        <f t="shared" si="3"/>
        <v>-262500</v>
      </c>
      <c r="H34" s="318">
        <f t="shared" si="8"/>
        <v>-6147580.6455000006</v>
      </c>
      <c r="I34" s="319">
        <f t="shared" si="4"/>
        <v>23126612.9045</v>
      </c>
      <c r="J34" s="298">
        <f t="shared" si="6"/>
        <v>145380.17000000001</v>
      </c>
      <c r="K34" s="298"/>
      <c r="L34" s="318">
        <f t="shared" si="0"/>
        <v>30978060.81000001</v>
      </c>
    </row>
    <row r="35" spans="1:12">
      <c r="A35" s="312">
        <v>25</v>
      </c>
      <c r="B35" s="317">
        <v>43831</v>
      </c>
      <c r="C35" s="320">
        <f>ROUND(10000000/12,2)</f>
        <v>833333.33</v>
      </c>
      <c r="D35" s="298"/>
      <c r="E35" s="318">
        <f>C35-D35</f>
        <v>833333.33</v>
      </c>
      <c r="F35" s="318">
        <f t="shared" si="7"/>
        <v>30107526.879999999</v>
      </c>
      <c r="G35" s="318">
        <f t="shared" si="3"/>
        <v>-174999.9993</v>
      </c>
      <c r="H35" s="318">
        <f t="shared" si="8"/>
        <v>-6322580.6448000008</v>
      </c>
      <c r="I35" s="319">
        <f t="shared" si="4"/>
        <v>23784946.235199999</v>
      </c>
      <c r="J35" s="298">
        <f t="shared" si="6"/>
        <v>151864.76</v>
      </c>
      <c r="K35" s="298"/>
      <c r="L35" s="318">
        <f t="shared" si="0"/>
        <v>31963258.90000001</v>
      </c>
    </row>
    <row r="36" spans="1:12">
      <c r="A36" s="312">
        <v>26</v>
      </c>
      <c r="B36" s="317">
        <v>43862</v>
      </c>
      <c r="C36" s="320">
        <f>C35</f>
        <v>833333.33</v>
      </c>
      <c r="D36" s="298"/>
      <c r="E36" s="318">
        <f t="shared" si="2"/>
        <v>833333.33</v>
      </c>
      <c r="F36" s="318">
        <f t="shared" si="7"/>
        <v>30940860.209999997</v>
      </c>
      <c r="G36" s="318">
        <f t="shared" si="3"/>
        <v>-174999.9993</v>
      </c>
      <c r="H36" s="318">
        <f t="shared" si="8"/>
        <v>-6497580.6441000011</v>
      </c>
      <c r="I36" s="319">
        <f t="shared" si="4"/>
        <v>24443279.565899998</v>
      </c>
      <c r="J36" s="298">
        <f t="shared" si="6"/>
        <v>156187.81</v>
      </c>
      <c r="K36" s="298"/>
      <c r="L36" s="318">
        <f t="shared" si="0"/>
        <v>32952780.040000007</v>
      </c>
    </row>
    <row r="37" spans="1:12">
      <c r="A37" s="312">
        <v>27</v>
      </c>
      <c r="B37" s="317">
        <v>43891</v>
      </c>
      <c r="C37" s="320">
        <f t="shared" ref="C37:C46" si="10">C36</f>
        <v>833333.33</v>
      </c>
      <c r="D37" s="298"/>
      <c r="E37" s="318">
        <f t="shared" si="2"/>
        <v>833333.33</v>
      </c>
      <c r="F37" s="318">
        <f t="shared" si="7"/>
        <v>31774193.539999995</v>
      </c>
      <c r="G37" s="318">
        <f t="shared" si="3"/>
        <v>-174999.9993</v>
      </c>
      <c r="H37" s="318">
        <f t="shared" si="8"/>
        <v>-6672580.6434000013</v>
      </c>
      <c r="I37" s="319">
        <f t="shared" si="4"/>
        <v>25101612.896599993</v>
      </c>
      <c r="J37" s="298">
        <f t="shared" si="6"/>
        <v>160510.87</v>
      </c>
      <c r="K37" s="298"/>
      <c r="L37" s="318">
        <f t="shared" si="0"/>
        <v>33946624.240000002</v>
      </c>
    </row>
    <row r="38" spans="1:12">
      <c r="A38" s="312">
        <v>28</v>
      </c>
      <c r="B38" s="317">
        <v>43922</v>
      </c>
      <c r="C38" s="320">
        <f t="shared" si="10"/>
        <v>833333.33</v>
      </c>
      <c r="D38" s="298"/>
      <c r="E38" s="318">
        <f t="shared" si="2"/>
        <v>833333.33</v>
      </c>
      <c r="F38" s="318">
        <f t="shared" si="7"/>
        <v>32607526.869999994</v>
      </c>
      <c r="G38" s="318">
        <f t="shared" si="3"/>
        <v>-174999.9993</v>
      </c>
      <c r="H38" s="318">
        <f t="shared" si="8"/>
        <v>-6847580.6427000016</v>
      </c>
      <c r="I38" s="319">
        <f t="shared" si="4"/>
        <v>25759946.227299992</v>
      </c>
      <c r="J38" s="298">
        <f t="shared" si="6"/>
        <v>164833.92000000001</v>
      </c>
      <c r="K38" s="298"/>
      <c r="L38" s="318">
        <f t="shared" si="0"/>
        <v>34944791.490000002</v>
      </c>
    </row>
    <row r="39" spans="1:12">
      <c r="A39" s="312">
        <v>29</v>
      </c>
      <c r="B39" s="317">
        <v>43952</v>
      </c>
      <c r="C39" s="320">
        <f t="shared" si="10"/>
        <v>833333.33</v>
      </c>
      <c r="D39" s="298"/>
      <c r="E39" s="318">
        <f t="shared" si="2"/>
        <v>833333.33</v>
      </c>
      <c r="F39" s="318">
        <f t="shared" si="7"/>
        <v>33440860.199999992</v>
      </c>
      <c r="G39" s="318">
        <f t="shared" si="3"/>
        <v>-174999.9993</v>
      </c>
      <c r="H39" s="318">
        <f t="shared" si="8"/>
        <v>-7022580.6420000019</v>
      </c>
      <c r="I39" s="319">
        <f t="shared" si="4"/>
        <v>26418279.557999991</v>
      </c>
      <c r="J39" s="298">
        <f t="shared" si="6"/>
        <v>169156.98</v>
      </c>
      <c r="K39" s="298"/>
      <c r="L39" s="318">
        <f t="shared" si="0"/>
        <v>35947281.799999997</v>
      </c>
    </row>
    <row r="40" spans="1:12">
      <c r="A40" s="312">
        <v>30</v>
      </c>
      <c r="B40" s="317">
        <v>43983</v>
      </c>
      <c r="C40" s="320">
        <f t="shared" si="10"/>
        <v>833333.33</v>
      </c>
      <c r="D40" s="298"/>
      <c r="E40" s="318">
        <f t="shared" si="2"/>
        <v>833333.33</v>
      </c>
      <c r="F40" s="318">
        <f t="shared" si="7"/>
        <v>34274193.529999994</v>
      </c>
      <c r="G40" s="318">
        <f t="shared" si="3"/>
        <v>-174999.9993</v>
      </c>
      <c r="H40" s="318">
        <f t="shared" si="8"/>
        <v>-7197580.6413000021</v>
      </c>
      <c r="I40" s="319">
        <f t="shared" si="4"/>
        <v>27076612.888699993</v>
      </c>
      <c r="J40" s="298">
        <f t="shared" si="6"/>
        <v>173480.04</v>
      </c>
      <c r="K40" s="298"/>
      <c r="L40" s="318">
        <f t="shared" si="0"/>
        <v>36954095.169999994</v>
      </c>
    </row>
    <row r="41" spans="1:12">
      <c r="A41" s="312">
        <v>31</v>
      </c>
      <c r="B41" s="317">
        <v>44013</v>
      </c>
      <c r="C41" s="320">
        <f t="shared" si="10"/>
        <v>833333.33</v>
      </c>
      <c r="D41" s="298"/>
      <c r="E41" s="318">
        <f t="shared" si="2"/>
        <v>833333.33</v>
      </c>
      <c r="F41" s="318">
        <f t="shared" si="7"/>
        <v>35107526.859999992</v>
      </c>
      <c r="G41" s="318">
        <f t="shared" si="3"/>
        <v>-174999.9993</v>
      </c>
      <c r="H41" s="318">
        <f t="shared" si="8"/>
        <v>-7372580.6406000024</v>
      </c>
      <c r="I41" s="319">
        <f t="shared" si="4"/>
        <v>27734946.219399989</v>
      </c>
      <c r="J41" s="298">
        <f t="shared" si="6"/>
        <v>177803.09</v>
      </c>
      <c r="K41" s="298"/>
      <c r="L41" s="318">
        <f t="shared" si="0"/>
        <v>37965231.589999996</v>
      </c>
    </row>
    <row r="42" spans="1:12">
      <c r="A42" s="312">
        <v>32</v>
      </c>
      <c r="B42" s="317">
        <v>44044</v>
      </c>
      <c r="C42" s="320">
        <f t="shared" si="10"/>
        <v>833333.33</v>
      </c>
      <c r="D42" s="298"/>
      <c r="E42" s="318">
        <f t="shared" si="2"/>
        <v>833333.33</v>
      </c>
      <c r="F42" s="318">
        <f t="shared" si="7"/>
        <v>35940860.18999999</v>
      </c>
      <c r="G42" s="318">
        <f t="shared" si="3"/>
        <v>-174999.9993</v>
      </c>
      <c r="H42" s="318">
        <f t="shared" si="8"/>
        <v>-7547580.6399000026</v>
      </c>
      <c r="I42" s="319">
        <f t="shared" si="4"/>
        <v>28393279.550099988</v>
      </c>
      <c r="J42" s="298">
        <f t="shared" si="6"/>
        <v>182126.15</v>
      </c>
      <c r="K42" s="298"/>
      <c r="L42" s="318">
        <f t="shared" si="0"/>
        <v>38980691.069999993</v>
      </c>
    </row>
    <row r="43" spans="1:12">
      <c r="A43" s="312">
        <v>33</v>
      </c>
      <c r="B43" s="317">
        <v>44075</v>
      </c>
      <c r="C43" s="320">
        <f t="shared" si="10"/>
        <v>833333.33</v>
      </c>
      <c r="D43" s="298"/>
      <c r="E43" s="318">
        <f t="shared" si="2"/>
        <v>833333.33</v>
      </c>
      <c r="F43" s="318">
        <f t="shared" si="7"/>
        <v>36774193.519999988</v>
      </c>
      <c r="G43" s="318">
        <f t="shared" si="3"/>
        <v>-174999.9993</v>
      </c>
      <c r="H43" s="318">
        <f t="shared" si="8"/>
        <v>-7722580.6392000029</v>
      </c>
      <c r="I43" s="319">
        <f t="shared" si="4"/>
        <v>29051612.880799986</v>
      </c>
      <c r="J43" s="298">
        <f t="shared" si="6"/>
        <v>186449.2</v>
      </c>
      <c r="K43" s="298"/>
      <c r="L43" s="318">
        <f t="shared" si="0"/>
        <v>40000473.599999994</v>
      </c>
    </row>
    <row r="44" spans="1:12">
      <c r="A44" s="312">
        <v>34</v>
      </c>
      <c r="B44" s="317">
        <v>44105</v>
      </c>
      <c r="C44" s="320">
        <f t="shared" si="10"/>
        <v>833333.33</v>
      </c>
      <c r="D44" s="298"/>
      <c r="E44" s="318">
        <f t="shared" si="2"/>
        <v>833333.33</v>
      </c>
      <c r="F44" s="318">
        <f t="shared" si="7"/>
        <v>37607526.849999987</v>
      </c>
      <c r="G44" s="318">
        <f t="shared" si="3"/>
        <v>-174999.9993</v>
      </c>
      <c r="H44" s="318">
        <f t="shared" si="8"/>
        <v>-7897580.6385000031</v>
      </c>
      <c r="I44" s="319">
        <f t="shared" si="4"/>
        <v>29709946.211499982</v>
      </c>
      <c r="J44" s="298">
        <f t="shared" si="6"/>
        <v>190772.26</v>
      </c>
      <c r="K44" s="298"/>
      <c r="L44" s="318">
        <f t="shared" si="0"/>
        <v>41024579.18999999</v>
      </c>
    </row>
    <row r="45" spans="1:12">
      <c r="A45" s="312">
        <v>35</v>
      </c>
      <c r="B45" s="317">
        <v>44136</v>
      </c>
      <c r="C45" s="320">
        <f t="shared" si="10"/>
        <v>833333.33</v>
      </c>
      <c r="D45" s="298"/>
      <c r="E45" s="318">
        <f t="shared" si="2"/>
        <v>833333.33</v>
      </c>
      <c r="F45" s="318">
        <f t="shared" si="7"/>
        <v>38440860.179999985</v>
      </c>
      <c r="G45" s="318">
        <f t="shared" si="3"/>
        <v>-174999.9993</v>
      </c>
      <c r="H45" s="318">
        <f t="shared" si="8"/>
        <v>-8072580.6378000034</v>
      </c>
      <c r="I45" s="319">
        <f t="shared" si="4"/>
        <v>30368279.54219998</v>
      </c>
      <c r="J45" s="298">
        <f t="shared" si="6"/>
        <v>195095.31</v>
      </c>
      <c r="K45" s="298"/>
      <c r="L45" s="318">
        <f t="shared" si="0"/>
        <v>42053007.829999991</v>
      </c>
    </row>
    <row r="46" spans="1:12">
      <c r="A46" s="312">
        <v>36</v>
      </c>
      <c r="B46" s="317">
        <v>44166</v>
      </c>
      <c r="C46" s="320">
        <f t="shared" si="10"/>
        <v>833333.33</v>
      </c>
      <c r="D46" s="298"/>
      <c r="E46" s="318">
        <f t="shared" si="2"/>
        <v>833333.33</v>
      </c>
      <c r="F46" s="318">
        <f t="shared" si="7"/>
        <v>39274193.509999983</v>
      </c>
      <c r="G46" s="318">
        <f t="shared" si="3"/>
        <v>-174999.9993</v>
      </c>
      <c r="H46" s="318">
        <f>G46+H45</f>
        <v>-8247580.6371000037</v>
      </c>
      <c r="I46" s="319">
        <f>F46+H46</f>
        <v>31026612.872899979</v>
      </c>
      <c r="J46" s="298">
        <f t="shared" si="6"/>
        <v>199418.37</v>
      </c>
      <c r="K46" s="298"/>
      <c r="L46" s="318">
        <f>L45+E46+J46+K46</f>
        <v>43085759.529999986</v>
      </c>
    </row>
    <row r="47" spans="1:12">
      <c r="A47" s="312">
        <v>37</v>
      </c>
      <c r="B47" s="317" t="s">
        <v>307</v>
      </c>
      <c r="C47" s="320"/>
      <c r="D47" s="298"/>
      <c r="E47" s="318"/>
      <c r="F47" s="318"/>
      <c r="G47" s="318"/>
      <c r="H47" s="318"/>
      <c r="I47" s="319"/>
      <c r="J47" s="298">
        <f>ROUND((I46*P6*(13/31)),2)</f>
        <v>85439.95</v>
      </c>
      <c r="K47" s="298"/>
      <c r="L47" s="318">
        <f>L46+J47</f>
        <v>43171199.479999989</v>
      </c>
    </row>
    <row r="48" spans="1:12">
      <c r="A48" s="312">
        <v>38</v>
      </c>
      <c r="B48" s="317" t="s">
        <v>307</v>
      </c>
      <c r="C48" s="320">
        <f>ROUND(5000000/12,2)-0.01</f>
        <v>416666.66</v>
      </c>
      <c r="D48" s="298"/>
      <c r="E48" s="318">
        <f t="shared" si="2"/>
        <v>416666.66</v>
      </c>
      <c r="F48" s="318">
        <f>E48+F46</f>
        <v>39690860.169999979</v>
      </c>
      <c r="G48" s="318">
        <f>-E48*0.21</f>
        <v>-87499.998599999992</v>
      </c>
      <c r="H48" s="318">
        <f>G48+H46</f>
        <v>-8335080.6357000032</v>
      </c>
      <c r="I48" s="319">
        <f>F48+H48</f>
        <v>31355779.534299977</v>
      </c>
      <c r="J48" s="298">
        <f>ROUND((I46*$T$6*(18/31)),2)</f>
        <v>114398.12</v>
      </c>
      <c r="K48" s="298"/>
      <c r="L48" s="318">
        <f>L47+E48+J48+K48</f>
        <v>43702264.259999983</v>
      </c>
    </row>
    <row r="49" spans="1:12">
      <c r="A49" s="312">
        <v>39</v>
      </c>
      <c r="B49" s="317">
        <v>44228</v>
      </c>
      <c r="C49" s="320">
        <f>C48</f>
        <v>416666.66</v>
      </c>
      <c r="D49" s="298"/>
      <c r="E49" s="318">
        <f t="shared" si="2"/>
        <v>416666.66</v>
      </c>
      <c r="F49" s="318">
        <f t="shared" si="7"/>
        <v>40107526.829999976</v>
      </c>
      <c r="G49" s="318">
        <f t="shared" si="3"/>
        <v>-87499.998599999992</v>
      </c>
      <c r="H49" s="318">
        <f t="shared" si="8"/>
        <v>-8422580.6343000028</v>
      </c>
      <c r="I49" s="319">
        <f t="shared" si="4"/>
        <v>31684946.195699975</v>
      </c>
      <c r="J49" s="298">
        <f>ROUND(I48*$T$6,2)</f>
        <v>199109.2</v>
      </c>
      <c r="K49" s="298"/>
      <c r="L49" s="318">
        <f>L48+E49+J49+K49</f>
        <v>44318040.119999982</v>
      </c>
    </row>
    <row r="50" spans="1:12">
      <c r="A50" s="312">
        <v>40</v>
      </c>
      <c r="B50" s="317">
        <v>44256</v>
      </c>
      <c r="C50" s="320">
        <f t="shared" ref="C50:C59" si="11">C49</f>
        <v>416666.66</v>
      </c>
      <c r="D50" s="298"/>
      <c r="E50" s="318">
        <f t="shared" si="2"/>
        <v>416666.66</v>
      </c>
      <c r="F50" s="318">
        <f t="shared" si="7"/>
        <v>40524193.489999972</v>
      </c>
      <c r="G50" s="318">
        <f t="shared" si="3"/>
        <v>-87499.998599999992</v>
      </c>
      <c r="H50" s="318">
        <f t="shared" si="8"/>
        <v>-8510080.6329000033</v>
      </c>
      <c r="I50" s="319">
        <f t="shared" si="4"/>
        <v>32014112.857099969</v>
      </c>
      <c r="J50" s="298">
        <f t="shared" ref="J50:J69" si="12">ROUND(I49*$T$6,2)</f>
        <v>201199.41</v>
      </c>
      <c r="K50" s="298"/>
      <c r="L50" s="318">
        <f t="shared" si="0"/>
        <v>44935906.189999975</v>
      </c>
    </row>
    <row r="51" spans="1:12">
      <c r="A51" s="312">
        <v>41</v>
      </c>
      <c r="B51" s="317">
        <v>44287</v>
      </c>
      <c r="C51" s="320">
        <f t="shared" si="11"/>
        <v>416666.66</v>
      </c>
      <c r="D51" s="298"/>
      <c r="E51" s="318">
        <f t="shared" si="2"/>
        <v>416666.66</v>
      </c>
      <c r="F51" s="318">
        <f t="shared" si="7"/>
        <v>40940860.149999969</v>
      </c>
      <c r="G51" s="318">
        <f t="shared" si="3"/>
        <v>-87499.998599999992</v>
      </c>
      <c r="H51" s="318">
        <f t="shared" si="8"/>
        <v>-8597580.6315000039</v>
      </c>
      <c r="I51" s="319">
        <f t="shared" si="4"/>
        <v>32343279.518499963</v>
      </c>
      <c r="J51" s="298">
        <f t="shared" si="12"/>
        <v>203289.62</v>
      </c>
      <c r="K51" s="298"/>
      <c r="L51" s="318">
        <f t="shared" si="0"/>
        <v>45555862.469999969</v>
      </c>
    </row>
    <row r="52" spans="1:12">
      <c r="A52" s="312">
        <v>42</v>
      </c>
      <c r="B52" s="317">
        <v>44317</v>
      </c>
      <c r="C52" s="320">
        <f t="shared" si="11"/>
        <v>416666.66</v>
      </c>
      <c r="D52" s="298"/>
      <c r="E52" s="318">
        <f t="shared" si="2"/>
        <v>416666.66</v>
      </c>
      <c r="F52" s="318">
        <f t="shared" si="7"/>
        <v>41357526.809999965</v>
      </c>
      <c r="G52" s="318">
        <f t="shared" si="3"/>
        <v>-87499.998599999992</v>
      </c>
      <c r="H52" s="318">
        <f t="shared" si="8"/>
        <v>-8685080.6301000044</v>
      </c>
      <c r="I52" s="319">
        <f t="shared" si="4"/>
        <v>32672446.179899961</v>
      </c>
      <c r="J52" s="298">
        <f t="shared" si="12"/>
        <v>205379.82</v>
      </c>
      <c r="K52" s="298"/>
      <c r="L52" s="318">
        <f t="shared" si="0"/>
        <v>46177908.949999966</v>
      </c>
    </row>
    <row r="53" spans="1:12">
      <c r="A53" s="312">
        <v>43</v>
      </c>
      <c r="B53" s="317">
        <v>44348</v>
      </c>
      <c r="C53" s="320">
        <f t="shared" si="11"/>
        <v>416666.66</v>
      </c>
      <c r="D53" s="298"/>
      <c r="E53" s="318">
        <f t="shared" si="2"/>
        <v>416666.66</v>
      </c>
      <c r="F53" s="318">
        <f t="shared" si="7"/>
        <v>41774193.469999962</v>
      </c>
      <c r="G53" s="318">
        <f t="shared" si="3"/>
        <v>-87499.998599999992</v>
      </c>
      <c r="H53" s="318">
        <f t="shared" si="8"/>
        <v>-8772580.6287000049</v>
      </c>
      <c r="I53" s="319">
        <f t="shared" si="4"/>
        <v>33001612.841299959</v>
      </c>
      <c r="J53" s="298">
        <f t="shared" si="12"/>
        <v>207470.03</v>
      </c>
      <c r="K53" s="298"/>
      <c r="L53" s="318">
        <f t="shared" si="0"/>
        <v>46802045.639999963</v>
      </c>
    </row>
    <row r="54" spans="1:12">
      <c r="A54" s="312">
        <v>44</v>
      </c>
      <c r="B54" s="317">
        <v>44378</v>
      </c>
      <c r="C54" s="320">
        <f t="shared" si="11"/>
        <v>416666.66</v>
      </c>
      <c r="D54" s="298"/>
      <c r="E54" s="318">
        <f t="shared" si="2"/>
        <v>416666.66</v>
      </c>
      <c r="F54" s="318">
        <f t="shared" si="7"/>
        <v>42190860.129999958</v>
      </c>
      <c r="G54" s="318">
        <f t="shared" si="3"/>
        <v>-87499.998599999992</v>
      </c>
      <c r="H54" s="318">
        <f t="shared" si="8"/>
        <v>-8860080.6273000054</v>
      </c>
      <c r="I54" s="319">
        <f t="shared" si="4"/>
        <v>33330779.502699953</v>
      </c>
      <c r="J54" s="298">
        <f t="shared" si="12"/>
        <v>209560.24</v>
      </c>
      <c r="K54" s="298"/>
      <c r="L54" s="318">
        <f t="shared" si="0"/>
        <v>47428272.539999962</v>
      </c>
    </row>
    <row r="55" spans="1:12">
      <c r="A55" s="312">
        <v>45</v>
      </c>
      <c r="B55" s="317">
        <v>44409</v>
      </c>
      <c r="C55" s="320">
        <f t="shared" si="11"/>
        <v>416666.66</v>
      </c>
      <c r="D55" s="298"/>
      <c r="E55" s="318">
        <f t="shared" si="2"/>
        <v>416666.66</v>
      </c>
      <c r="F55" s="318">
        <f t="shared" si="7"/>
        <v>42607526.789999954</v>
      </c>
      <c r="G55" s="318">
        <f t="shared" si="3"/>
        <v>-87499.998599999992</v>
      </c>
      <c r="H55" s="318">
        <f t="shared" si="8"/>
        <v>-8947580.6259000059</v>
      </c>
      <c r="I55" s="319">
        <f t="shared" si="4"/>
        <v>33659946.164099947</v>
      </c>
      <c r="J55" s="298">
        <f t="shared" si="12"/>
        <v>211650.45</v>
      </c>
      <c r="K55" s="298"/>
      <c r="L55" s="318">
        <f t="shared" si="0"/>
        <v>48056589.649999961</v>
      </c>
    </row>
    <row r="56" spans="1:12">
      <c r="A56" s="312">
        <v>46</v>
      </c>
      <c r="B56" s="317">
        <v>44440</v>
      </c>
      <c r="C56" s="320">
        <f t="shared" si="11"/>
        <v>416666.66</v>
      </c>
      <c r="D56" s="298"/>
      <c r="E56" s="318">
        <f t="shared" si="2"/>
        <v>416666.66</v>
      </c>
      <c r="F56" s="318">
        <f t="shared" si="7"/>
        <v>43024193.449999951</v>
      </c>
      <c r="G56" s="318">
        <f t="shared" si="3"/>
        <v>-87499.998599999992</v>
      </c>
      <c r="H56" s="318">
        <f t="shared" si="8"/>
        <v>-9035080.6245000064</v>
      </c>
      <c r="I56" s="319">
        <f t="shared" si="4"/>
        <v>33989112.825499944</v>
      </c>
      <c r="J56" s="298">
        <f t="shared" si="12"/>
        <v>213740.66</v>
      </c>
      <c r="K56" s="298"/>
      <c r="L56" s="318">
        <f t="shared" si="0"/>
        <v>48686996.969999954</v>
      </c>
    </row>
    <row r="57" spans="1:12">
      <c r="A57" s="312">
        <v>47</v>
      </c>
      <c r="B57" s="317">
        <v>44470</v>
      </c>
      <c r="C57" s="320">
        <f t="shared" si="11"/>
        <v>416666.66</v>
      </c>
      <c r="D57" s="298"/>
      <c r="E57" s="318">
        <f t="shared" si="2"/>
        <v>416666.66</v>
      </c>
      <c r="F57" s="318">
        <f t="shared" si="7"/>
        <v>43440860.109999947</v>
      </c>
      <c r="G57" s="318">
        <f t="shared" si="3"/>
        <v>-87499.998599999992</v>
      </c>
      <c r="H57" s="318">
        <f t="shared" si="8"/>
        <v>-9122580.623100007</v>
      </c>
      <c r="I57" s="319">
        <f t="shared" si="4"/>
        <v>34318279.486899942</v>
      </c>
      <c r="J57" s="298">
        <f t="shared" si="12"/>
        <v>215830.87</v>
      </c>
      <c r="K57" s="298"/>
      <c r="L57" s="318">
        <f t="shared" si="0"/>
        <v>49319494.499999948</v>
      </c>
    </row>
    <row r="58" spans="1:12">
      <c r="A58" s="312">
        <v>48</v>
      </c>
      <c r="B58" s="317">
        <v>44501</v>
      </c>
      <c r="C58" s="320">
        <f t="shared" si="11"/>
        <v>416666.66</v>
      </c>
      <c r="D58" s="298"/>
      <c r="E58" s="318">
        <f t="shared" si="2"/>
        <v>416666.66</v>
      </c>
      <c r="F58" s="318">
        <f t="shared" si="7"/>
        <v>43857526.769999944</v>
      </c>
      <c r="G58" s="318">
        <f t="shared" si="3"/>
        <v>-87499.998599999992</v>
      </c>
      <c r="H58" s="318">
        <f t="shared" si="8"/>
        <v>-9210080.6217000075</v>
      </c>
      <c r="I58" s="319">
        <f t="shared" si="4"/>
        <v>34647446.148299932</v>
      </c>
      <c r="J58" s="298">
        <f t="shared" si="12"/>
        <v>217921.07</v>
      </c>
      <c r="K58" s="298"/>
      <c r="L58" s="318">
        <f t="shared" si="0"/>
        <v>49954082.229999945</v>
      </c>
    </row>
    <row r="59" spans="1:12">
      <c r="A59" s="312">
        <v>49</v>
      </c>
      <c r="B59" s="317">
        <v>44531</v>
      </c>
      <c r="C59" s="320">
        <f t="shared" si="11"/>
        <v>416666.66</v>
      </c>
      <c r="D59" s="298"/>
      <c r="E59" s="318">
        <f t="shared" si="2"/>
        <v>416666.66</v>
      </c>
      <c r="F59" s="318">
        <f t="shared" si="7"/>
        <v>44274193.42999994</v>
      </c>
      <c r="G59" s="318">
        <f t="shared" si="3"/>
        <v>-87499.998599999992</v>
      </c>
      <c r="H59" s="318">
        <f t="shared" si="8"/>
        <v>-9297580.620300008</v>
      </c>
      <c r="I59" s="319">
        <f t="shared" si="4"/>
        <v>34976612.80969993</v>
      </c>
      <c r="J59" s="298">
        <f t="shared" si="12"/>
        <v>220011.28</v>
      </c>
      <c r="K59" s="298"/>
      <c r="L59" s="318">
        <f t="shared" si="0"/>
        <v>50590760.169999942</v>
      </c>
    </row>
    <row r="60" spans="1:12">
      <c r="A60" s="312">
        <v>50</v>
      </c>
      <c r="B60" s="317">
        <v>44562</v>
      </c>
      <c r="C60" s="320">
        <f>C59</f>
        <v>416666.66</v>
      </c>
      <c r="D60" s="298"/>
      <c r="E60" s="318">
        <f t="shared" si="2"/>
        <v>416666.66</v>
      </c>
      <c r="F60" s="318">
        <f t="shared" si="7"/>
        <v>44690860.089999937</v>
      </c>
      <c r="G60" s="318">
        <f t="shared" si="3"/>
        <v>-87499.998599999992</v>
      </c>
      <c r="H60" s="318">
        <f t="shared" si="8"/>
        <v>-9385080.6189000085</v>
      </c>
      <c r="I60" s="319">
        <f t="shared" si="4"/>
        <v>35305779.471099928</v>
      </c>
      <c r="J60" s="298">
        <f t="shared" si="12"/>
        <v>222101.49</v>
      </c>
      <c r="K60" s="298"/>
      <c r="L60" s="318">
        <f t="shared" si="0"/>
        <v>51229528.319999941</v>
      </c>
    </row>
    <row r="61" spans="1:12">
      <c r="A61" s="312">
        <v>51</v>
      </c>
      <c r="B61" s="317">
        <v>44593</v>
      </c>
      <c r="C61" s="320">
        <f>C60</f>
        <v>416666.66</v>
      </c>
      <c r="D61" s="298"/>
      <c r="E61" s="318">
        <f t="shared" si="2"/>
        <v>416666.66</v>
      </c>
      <c r="F61" s="318">
        <f t="shared" si="7"/>
        <v>45107526.749999933</v>
      </c>
      <c r="G61" s="318">
        <f t="shared" si="3"/>
        <v>-87499.998599999992</v>
      </c>
      <c r="H61" s="318">
        <f t="shared" si="8"/>
        <v>-9472580.617500009</v>
      </c>
      <c r="I61" s="319">
        <f t="shared" si="4"/>
        <v>35634946.132499926</v>
      </c>
      <c r="J61" s="298">
        <f t="shared" si="12"/>
        <v>224191.7</v>
      </c>
      <c r="K61" s="298"/>
      <c r="L61" s="318">
        <f t="shared" si="0"/>
        <v>51870386.67999994</v>
      </c>
    </row>
    <row r="62" spans="1:12">
      <c r="A62" s="312">
        <v>52</v>
      </c>
      <c r="B62" s="317">
        <v>44621</v>
      </c>
      <c r="C62" s="320">
        <f t="shared" ref="C62:C70" si="13">C61</f>
        <v>416666.66</v>
      </c>
      <c r="D62" s="298"/>
      <c r="E62" s="318">
        <f t="shared" si="2"/>
        <v>416666.66</v>
      </c>
      <c r="F62" s="318">
        <f t="shared" si="7"/>
        <v>45524193.409999929</v>
      </c>
      <c r="G62" s="318">
        <f t="shared" si="3"/>
        <v>-87499.998599999992</v>
      </c>
      <c r="H62" s="318">
        <f t="shared" si="8"/>
        <v>-9560080.6161000095</v>
      </c>
      <c r="I62" s="319">
        <f t="shared" si="4"/>
        <v>35964112.793899924</v>
      </c>
      <c r="J62" s="298">
        <f t="shared" si="12"/>
        <v>226281.91</v>
      </c>
      <c r="K62" s="298"/>
      <c r="L62" s="318">
        <f t="shared" si="0"/>
        <v>52513335.249999933</v>
      </c>
    </row>
    <row r="63" spans="1:12">
      <c r="A63" s="312">
        <v>53</v>
      </c>
      <c r="B63" s="317">
        <v>44652</v>
      </c>
      <c r="C63" s="320">
        <f t="shared" si="13"/>
        <v>416666.66</v>
      </c>
      <c r="D63" s="298"/>
      <c r="E63" s="318">
        <f t="shared" si="2"/>
        <v>416666.66</v>
      </c>
      <c r="F63" s="318">
        <f t="shared" si="7"/>
        <v>45940860.069999926</v>
      </c>
      <c r="G63" s="318">
        <f t="shared" si="3"/>
        <v>-87499.998599999992</v>
      </c>
      <c r="H63" s="318">
        <f t="shared" si="8"/>
        <v>-9647580.61470001</v>
      </c>
      <c r="I63" s="319">
        <f t="shared" si="4"/>
        <v>36293279.455299914</v>
      </c>
      <c r="J63" s="298">
        <f t="shared" si="12"/>
        <v>228372.12</v>
      </c>
      <c r="K63" s="298"/>
      <c r="L63" s="318">
        <f t="shared" si="0"/>
        <v>53158374.029999927</v>
      </c>
    </row>
    <row r="64" spans="1:12">
      <c r="A64" s="312">
        <v>54</v>
      </c>
      <c r="B64" s="317">
        <v>44682</v>
      </c>
      <c r="C64" s="320">
        <f t="shared" si="13"/>
        <v>416666.66</v>
      </c>
      <c r="D64" s="298"/>
      <c r="E64" s="318">
        <f t="shared" si="2"/>
        <v>416666.66</v>
      </c>
      <c r="F64" s="318">
        <f t="shared" si="7"/>
        <v>46357526.729999922</v>
      </c>
      <c r="G64" s="318">
        <f t="shared" si="3"/>
        <v>-87499.998599999992</v>
      </c>
      <c r="H64" s="318">
        <f t="shared" si="8"/>
        <v>-9735080.6133000106</v>
      </c>
      <c r="I64" s="319">
        <f t="shared" si="4"/>
        <v>36622446.116699912</v>
      </c>
      <c r="J64" s="298">
        <f t="shared" si="12"/>
        <v>230462.32</v>
      </c>
      <c r="K64" s="298"/>
      <c r="L64" s="318">
        <f t="shared" si="0"/>
        <v>53805503.009999923</v>
      </c>
    </row>
    <row r="65" spans="1:30">
      <c r="A65" s="312">
        <v>55</v>
      </c>
      <c r="B65" s="317">
        <v>44713</v>
      </c>
      <c r="C65" s="320">
        <f t="shared" si="13"/>
        <v>416666.66</v>
      </c>
      <c r="D65" s="298"/>
      <c r="E65" s="318">
        <f t="shared" si="2"/>
        <v>416666.66</v>
      </c>
      <c r="F65" s="318">
        <f t="shared" si="7"/>
        <v>46774193.389999919</v>
      </c>
      <c r="G65" s="318">
        <f t="shared" si="3"/>
        <v>-87499.998599999992</v>
      </c>
      <c r="H65" s="318">
        <f t="shared" si="8"/>
        <v>-9822580.6119000111</v>
      </c>
      <c r="I65" s="319">
        <f t="shared" si="4"/>
        <v>36951612.778099909</v>
      </c>
      <c r="J65" s="298">
        <f t="shared" si="12"/>
        <v>232552.53</v>
      </c>
      <c r="K65" s="298"/>
      <c r="L65" s="318">
        <f t="shared" si="0"/>
        <v>54454722.199999921</v>
      </c>
    </row>
    <row r="66" spans="1:30">
      <c r="A66" s="312">
        <v>56</v>
      </c>
      <c r="B66" s="317">
        <v>44743</v>
      </c>
      <c r="C66" s="320">
        <f t="shared" si="13"/>
        <v>416666.66</v>
      </c>
      <c r="D66" s="298"/>
      <c r="E66" s="318">
        <f t="shared" si="2"/>
        <v>416666.66</v>
      </c>
      <c r="F66" s="318">
        <f t="shared" si="7"/>
        <v>47190860.049999915</v>
      </c>
      <c r="G66" s="318">
        <f t="shared" si="3"/>
        <v>-87499.998599999992</v>
      </c>
      <c r="H66" s="318">
        <f t="shared" si="8"/>
        <v>-9910080.6105000116</v>
      </c>
      <c r="I66" s="319">
        <f t="shared" si="4"/>
        <v>37280779.4394999</v>
      </c>
      <c r="J66" s="298">
        <f t="shared" si="12"/>
        <v>234642.74</v>
      </c>
      <c r="K66" s="298"/>
      <c r="L66" s="318">
        <f>L65+E66+J66+K66</f>
        <v>55106031.59999992</v>
      </c>
      <c r="AD66" s="321"/>
    </row>
    <row r="67" spans="1:30">
      <c r="A67" s="312">
        <v>57</v>
      </c>
      <c r="B67" s="317">
        <v>44774</v>
      </c>
      <c r="C67" s="320">
        <f t="shared" si="13"/>
        <v>416666.66</v>
      </c>
      <c r="D67" s="298"/>
      <c r="E67" s="318">
        <f t="shared" si="2"/>
        <v>416666.66</v>
      </c>
      <c r="F67" s="318">
        <f t="shared" si="7"/>
        <v>47607526.709999911</v>
      </c>
      <c r="G67" s="318">
        <f t="shared" si="3"/>
        <v>-87499.998599999992</v>
      </c>
      <c r="H67" s="318">
        <f t="shared" si="8"/>
        <v>-9997580.6091000121</v>
      </c>
      <c r="I67" s="319">
        <f t="shared" si="4"/>
        <v>37609946.100899898</v>
      </c>
      <c r="J67" s="298">
        <f t="shared" si="12"/>
        <v>236732.95</v>
      </c>
      <c r="K67" s="298"/>
      <c r="L67" s="318">
        <f>L66+E67+J67+K67</f>
        <v>55759431.209999919</v>
      </c>
    </row>
    <row r="68" spans="1:30">
      <c r="A68" s="312">
        <v>58</v>
      </c>
      <c r="B68" s="317">
        <v>44805</v>
      </c>
      <c r="C68" s="320">
        <f t="shared" si="13"/>
        <v>416666.66</v>
      </c>
      <c r="D68" s="298"/>
      <c r="E68" s="318">
        <f>C68-D68</f>
        <v>416666.66</v>
      </c>
      <c r="F68" s="318">
        <f t="shared" si="7"/>
        <v>48024193.369999908</v>
      </c>
      <c r="G68" s="318">
        <f t="shared" si="3"/>
        <v>-87499.998599999992</v>
      </c>
      <c r="H68" s="318">
        <f t="shared" si="8"/>
        <v>-10085080.607700013</v>
      </c>
      <c r="I68" s="319">
        <f t="shared" si="4"/>
        <v>37939112.762299895</v>
      </c>
      <c r="J68" s="298">
        <f t="shared" si="12"/>
        <v>238823.16</v>
      </c>
      <c r="K68" s="298"/>
      <c r="L68" s="318">
        <f t="shared" si="0"/>
        <v>56414921.029999912</v>
      </c>
      <c r="AD68" s="321"/>
    </row>
    <row r="69" spans="1:30">
      <c r="A69" s="312">
        <v>59</v>
      </c>
      <c r="B69" s="317">
        <v>44835</v>
      </c>
      <c r="C69" s="320">
        <f t="shared" si="13"/>
        <v>416666.66</v>
      </c>
      <c r="D69" s="298"/>
      <c r="E69" s="318">
        <f t="shared" si="2"/>
        <v>416666.66</v>
      </c>
      <c r="F69" s="318">
        <f t="shared" si="7"/>
        <v>48440860.029999904</v>
      </c>
      <c r="G69" s="318">
        <f t="shared" si="3"/>
        <v>-87499.998599999992</v>
      </c>
      <c r="H69" s="318">
        <f t="shared" si="8"/>
        <v>-10172580.606300013</v>
      </c>
      <c r="I69" s="319">
        <f t="shared" si="4"/>
        <v>38268279.423699893</v>
      </c>
      <c r="J69" s="298">
        <f t="shared" si="12"/>
        <v>240913.37</v>
      </c>
      <c r="K69" s="298"/>
      <c r="L69" s="318">
        <f t="shared" si="0"/>
        <v>57072501.059999906</v>
      </c>
    </row>
    <row r="70" spans="1:30">
      <c r="A70" s="312">
        <v>60</v>
      </c>
      <c r="B70" s="317">
        <v>44866</v>
      </c>
      <c r="C70" s="320">
        <f t="shared" si="13"/>
        <v>416666.66</v>
      </c>
      <c r="D70" s="298"/>
      <c r="E70" s="318">
        <f t="shared" si="2"/>
        <v>416666.66</v>
      </c>
      <c r="F70" s="318">
        <f t="shared" si="7"/>
        <v>48857526.689999901</v>
      </c>
      <c r="G70" s="318">
        <f>-E70*0.21</f>
        <v>-87499.998599999992</v>
      </c>
      <c r="H70" s="318">
        <f t="shared" si="8"/>
        <v>-10260080.604900014</v>
      </c>
      <c r="I70" s="319">
        <f t="shared" si="4"/>
        <v>38597446.085099891</v>
      </c>
      <c r="J70" s="298">
        <f>ROUND(I69*$T$6,2)</f>
        <v>243003.57</v>
      </c>
      <c r="K70" s="298"/>
      <c r="L70" s="318">
        <f t="shared" si="0"/>
        <v>57732171.289999902</v>
      </c>
    </row>
    <row r="71" spans="1:30">
      <c r="A71" s="312">
        <v>61</v>
      </c>
      <c r="B71" s="322" t="s">
        <v>187</v>
      </c>
      <c r="C71" s="320">
        <f>ROUND(C70*8/31,2)</f>
        <v>107526.88</v>
      </c>
      <c r="D71" s="298"/>
      <c r="E71" s="318">
        <f>C71-D71</f>
        <v>107526.88</v>
      </c>
      <c r="F71" s="318">
        <f>E71+F70</f>
        <v>48965053.569999903</v>
      </c>
      <c r="G71" s="318">
        <f t="shared" si="3"/>
        <v>-22580.644800000002</v>
      </c>
      <c r="H71" s="318">
        <f t="shared" si="8"/>
        <v>-10282661.249700014</v>
      </c>
      <c r="I71" s="319">
        <f>F71+H71</f>
        <v>38682392.320299894</v>
      </c>
      <c r="J71" s="298">
        <f>ROUND((I70*$T$6*(8/31)),2)</f>
        <v>63250.01</v>
      </c>
      <c r="K71" s="298"/>
      <c r="L71" s="318">
        <f>L70+E71+J71+K71</f>
        <v>57902948.179999903</v>
      </c>
    </row>
    <row r="72" spans="1:30">
      <c r="A72" s="312">
        <v>62</v>
      </c>
      <c r="B72" s="322" t="s">
        <v>188</v>
      </c>
      <c r="C72" s="320"/>
      <c r="D72" s="298">
        <f>$D$4*23/31</f>
        <v>837120.21729476319</v>
      </c>
      <c r="E72" s="318">
        <f t="shared" si="2"/>
        <v>-837120.21729476319</v>
      </c>
      <c r="F72" s="318"/>
      <c r="G72" s="318">
        <f>-AVERAGE(G$11:G$71)*23/31</f>
        <v>127151.18749629048</v>
      </c>
      <c r="H72" s="318">
        <f>G72+H71</f>
        <v>-10155510.062203724</v>
      </c>
      <c r="I72" s="319">
        <f>L72+H72</f>
        <v>47134670.900501415</v>
      </c>
      <c r="J72" s="308"/>
      <c r="K72" s="298">
        <f>ROUND(((L71+H71)*$D$3*(23/31)),2)</f>
        <v>224353</v>
      </c>
      <c r="L72" s="318">
        <f>L71+E72+J72+K72</f>
        <v>57290180.962705143</v>
      </c>
    </row>
    <row r="73" spans="1:30">
      <c r="A73" s="312">
        <v>63</v>
      </c>
      <c r="B73" s="317">
        <v>44927</v>
      </c>
      <c r="C73" s="298"/>
      <c r="D73" s="298">
        <f t="shared" ref="D73:D131" si="14">$D$4</f>
        <v>1128292.4667885939</v>
      </c>
      <c r="E73" s="318">
        <f t="shared" si="2"/>
        <v>-1128292.4667885939</v>
      </c>
      <c r="F73" s="318"/>
      <c r="G73" s="318">
        <f t="shared" ref="G73:G130" si="15">-AVERAGE(G$11:G$71)</f>
        <v>171377.68749500022</v>
      </c>
      <c r="H73" s="318">
        <f t="shared" si="8"/>
        <v>-9984132.3747087233</v>
      </c>
      <c r="I73" s="319">
        <f t="shared" ref="I73:I132" si="16">L73+H73</f>
        <v>46477061.281426013</v>
      </c>
      <c r="J73" s="298"/>
      <c r="K73" s="298">
        <f>(L72+H72)*$D$3</f>
        <v>299305.160218184</v>
      </c>
      <c r="L73" s="318">
        <f t="shared" si="0"/>
        <v>56461193.656134732</v>
      </c>
    </row>
    <row r="74" spans="1:30">
      <c r="A74" s="312">
        <v>64</v>
      </c>
      <c r="B74" s="317">
        <v>44958</v>
      </c>
      <c r="C74" s="298"/>
      <c r="D74" s="298">
        <f t="shared" si="14"/>
        <v>1128292.4667885939</v>
      </c>
      <c r="E74" s="318">
        <f t="shared" si="2"/>
        <v>-1128292.4667885939</v>
      </c>
      <c r="F74" s="318"/>
      <c r="G74" s="318">
        <f t="shared" si="15"/>
        <v>171377.68749500022</v>
      </c>
      <c r="H74" s="318">
        <f t="shared" si="8"/>
        <v>-9812754.6872137226</v>
      </c>
      <c r="I74" s="319">
        <f t="shared" si="16"/>
        <v>45815275.841269463</v>
      </c>
      <c r="J74" s="298"/>
      <c r="K74" s="298">
        <f t="shared" ref="K74:K131" si="17">(L73+H73)*$D$3</f>
        <v>295129.33913705521</v>
      </c>
      <c r="L74" s="318">
        <f t="shared" si="0"/>
        <v>55628030.52848319</v>
      </c>
    </row>
    <row r="75" spans="1:30">
      <c r="A75" s="312">
        <v>65</v>
      </c>
      <c r="B75" s="317">
        <v>44986</v>
      </c>
      <c r="C75" s="298"/>
      <c r="D75" s="298">
        <f t="shared" si="14"/>
        <v>1128292.4667885939</v>
      </c>
      <c r="E75" s="318">
        <f t="shared" si="2"/>
        <v>-1128292.4667885939</v>
      </c>
      <c r="F75" s="318"/>
      <c r="G75" s="318">
        <f t="shared" si="15"/>
        <v>171377.68749500022</v>
      </c>
      <c r="H75" s="318">
        <f t="shared" si="8"/>
        <v>-9641376.999718722</v>
      </c>
      <c r="I75" s="319">
        <f t="shared" si="16"/>
        <v>45149288.063567936</v>
      </c>
      <c r="J75" s="298"/>
      <c r="K75" s="298">
        <f t="shared" si="17"/>
        <v>290927.00159206113</v>
      </c>
      <c r="L75" s="318">
        <f t="shared" si="0"/>
        <v>54790665.063286655</v>
      </c>
    </row>
    <row r="76" spans="1:30">
      <c r="A76" s="312">
        <v>66</v>
      </c>
      <c r="B76" s="317">
        <v>45017</v>
      </c>
      <c r="C76" s="298"/>
      <c r="D76" s="298">
        <f t="shared" si="14"/>
        <v>1128292.4667885939</v>
      </c>
      <c r="E76" s="318">
        <f t="shared" si="2"/>
        <v>-1128292.4667885939</v>
      </c>
      <c r="F76" s="318"/>
      <c r="G76" s="318">
        <f t="shared" si="15"/>
        <v>171377.68749500022</v>
      </c>
      <c r="H76" s="318">
        <f t="shared" si="8"/>
        <v>-9469999.3122237213</v>
      </c>
      <c r="I76" s="319">
        <f t="shared" si="16"/>
        <v>44479071.263477996</v>
      </c>
      <c r="J76" s="298"/>
      <c r="K76" s="298">
        <f t="shared" si="17"/>
        <v>286697.97920365643</v>
      </c>
      <c r="L76" s="318">
        <f t="shared" ref="L76:L132" si="18">L75+E76+J76+K76</f>
        <v>53949070.575701714</v>
      </c>
    </row>
    <row r="77" spans="1:30">
      <c r="A77" s="312">
        <v>67</v>
      </c>
      <c r="B77" s="317">
        <v>45047</v>
      </c>
      <c r="C77" s="298"/>
      <c r="D77" s="298">
        <f t="shared" si="14"/>
        <v>1128292.4667885939</v>
      </c>
      <c r="E77" s="318">
        <f t="shared" si="2"/>
        <v>-1128292.4667885939</v>
      </c>
      <c r="F77" s="318"/>
      <c r="G77" s="318">
        <f t="shared" si="15"/>
        <v>171377.68749500022</v>
      </c>
      <c r="H77" s="318">
        <f t="shared" si="8"/>
        <v>-9298621.6247287206</v>
      </c>
      <c r="I77" s="319">
        <f t="shared" si="16"/>
        <v>43804598.586707488</v>
      </c>
      <c r="J77" s="298"/>
      <c r="K77" s="298">
        <f t="shared" si="17"/>
        <v>282442.10252308531</v>
      </c>
      <c r="L77" s="318">
        <f t="shared" si="18"/>
        <v>53103220.211436205</v>
      </c>
    </row>
    <row r="78" spans="1:30">
      <c r="A78" s="312">
        <v>68</v>
      </c>
      <c r="B78" s="317">
        <v>45078</v>
      </c>
      <c r="C78" s="298"/>
      <c r="D78" s="298">
        <f t="shared" si="14"/>
        <v>1128292.4667885939</v>
      </c>
      <c r="E78" s="318">
        <f t="shared" si="2"/>
        <v>-1128292.4667885939</v>
      </c>
      <c r="F78" s="318"/>
      <c r="G78" s="318">
        <f t="shared" si="15"/>
        <v>171377.68749500022</v>
      </c>
      <c r="H78" s="318">
        <f t="shared" si="8"/>
        <v>-9127243.93723372</v>
      </c>
      <c r="I78" s="319">
        <f t="shared" si="16"/>
        <v>43125843.008439481</v>
      </c>
      <c r="J78" s="298"/>
      <c r="K78" s="298">
        <f t="shared" si="17"/>
        <v>278159.20102559257</v>
      </c>
      <c r="L78" s="318">
        <f t="shared" si="18"/>
        <v>52253086.945673198</v>
      </c>
    </row>
    <row r="79" spans="1:30">
      <c r="A79" s="312">
        <v>69</v>
      </c>
      <c r="B79" s="317">
        <v>45108</v>
      </c>
      <c r="C79" s="298"/>
      <c r="D79" s="298">
        <f t="shared" si="14"/>
        <v>1128292.4667885939</v>
      </c>
      <c r="E79" s="318">
        <f t="shared" ref="E79:E132" si="19">C79-D79</f>
        <v>-1128292.4667885939</v>
      </c>
      <c r="F79" s="318"/>
      <c r="G79" s="318">
        <f t="shared" si="15"/>
        <v>171377.68749500022</v>
      </c>
      <c r="H79" s="318">
        <f t="shared" si="8"/>
        <v>-8955866.2497387193</v>
      </c>
      <c r="I79" s="319">
        <f t="shared" si="16"/>
        <v>42442777.332249478</v>
      </c>
      <c r="J79" s="298"/>
      <c r="K79" s="298">
        <f t="shared" si="17"/>
        <v>273849.10310359072</v>
      </c>
      <c r="L79" s="318">
        <f t="shared" si="18"/>
        <v>51398643.581988193</v>
      </c>
    </row>
    <row r="80" spans="1:30">
      <c r="A80" s="312">
        <v>70</v>
      </c>
      <c r="B80" s="317">
        <v>45139</v>
      </c>
      <c r="C80" s="298"/>
      <c r="D80" s="298">
        <f t="shared" si="14"/>
        <v>1128292.4667885939</v>
      </c>
      <c r="E80" s="318">
        <f t="shared" si="19"/>
        <v>-1128292.4667885939</v>
      </c>
      <c r="F80" s="318"/>
      <c r="G80" s="318">
        <f t="shared" si="15"/>
        <v>171377.68749500022</v>
      </c>
      <c r="H80" s="318">
        <f t="shared" si="8"/>
        <v>-8784488.5622437187</v>
      </c>
      <c r="I80" s="319">
        <f t="shared" si="16"/>
        <v>41755374.189015657</v>
      </c>
      <c r="J80" s="298"/>
      <c r="K80" s="298">
        <f t="shared" si="17"/>
        <v>269511.63605978421</v>
      </c>
      <c r="L80" s="318">
        <f t="shared" si="18"/>
        <v>50539862.751259379</v>
      </c>
    </row>
    <row r="81" spans="1:12" ht="14.45" customHeight="1" outlineLevel="1">
      <c r="A81" s="312">
        <v>71</v>
      </c>
      <c r="B81" s="317">
        <v>45170</v>
      </c>
      <c r="C81" s="298"/>
      <c r="D81" s="298">
        <f t="shared" si="14"/>
        <v>1128292.4667885939</v>
      </c>
      <c r="E81" s="318">
        <f t="shared" si="19"/>
        <v>-1128292.4667885939</v>
      </c>
      <c r="F81" s="318"/>
      <c r="G81" s="318">
        <f t="shared" si="15"/>
        <v>171377.68749500022</v>
      </c>
      <c r="H81" s="318">
        <f t="shared" si="8"/>
        <v>-8613110.874748718</v>
      </c>
      <c r="I81" s="319">
        <f t="shared" si="16"/>
        <v>41063606.035822317</v>
      </c>
      <c r="J81" s="298"/>
      <c r="K81" s="298">
        <f t="shared" si="17"/>
        <v>265146.62610024947</v>
      </c>
      <c r="L81" s="318">
        <f t="shared" si="18"/>
        <v>49676716.910571031</v>
      </c>
    </row>
    <row r="82" spans="1:12" ht="14.45" customHeight="1" outlineLevel="1">
      <c r="A82" s="312">
        <v>72</v>
      </c>
      <c r="B82" s="317">
        <v>45200</v>
      </c>
      <c r="C82" s="298"/>
      <c r="D82" s="298">
        <f t="shared" si="14"/>
        <v>1128292.4667885939</v>
      </c>
      <c r="E82" s="318">
        <f t="shared" si="19"/>
        <v>-1128292.4667885939</v>
      </c>
      <c r="F82" s="318"/>
      <c r="G82" s="318">
        <f t="shared" si="15"/>
        <v>171377.68749500022</v>
      </c>
      <c r="H82" s="318">
        <f t="shared" si="8"/>
        <v>-8441733.1872537173</v>
      </c>
      <c r="I82" s="319">
        <f t="shared" si="16"/>
        <v>40367445.15485619</v>
      </c>
      <c r="J82" s="298"/>
      <c r="K82" s="298">
        <f t="shared" si="17"/>
        <v>260753.89832747175</v>
      </c>
      <c r="L82" s="318">
        <f t="shared" si="18"/>
        <v>48809178.342109904</v>
      </c>
    </row>
    <row r="83" spans="1:12" ht="14.45" customHeight="1" outlineLevel="1">
      <c r="A83" s="312">
        <v>73</v>
      </c>
      <c r="B83" s="317">
        <v>45231</v>
      </c>
      <c r="C83" s="298"/>
      <c r="D83" s="298">
        <f t="shared" si="14"/>
        <v>1128292.4667885939</v>
      </c>
      <c r="E83" s="318">
        <f t="shared" si="19"/>
        <v>-1128292.4667885939</v>
      </c>
      <c r="F83" s="318"/>
      <c r="G83" s="318">
        <f t="shared" si="15"/>
        <v>171377.68749500022</v>
      </c>
      <c r="H83" s="318">
        <f t="shared" si="8"/>
        <v>-8270355.4997587167</v>
      </c>
      <c r="I83" s="319">
        <f t="shared" si="16"/>
        <v>39666863.652295932</v>
      </c>
      <c r="J83" s="298"/>
      <c r="K83" s="298">
        <f t="shared" si="17"/>
        <v>256333.27673333682</v>
      </c>
      <c r="L83" s="318">
        <f t="shared" si="18"/>
        <v>47937219.152054645</v>
      </c>
    </row>
    <row r="84" spans="1:12" ht="14.45" customHeight="1" outlineLevel="1">
      <c r="A84" s="312">
        <v>74</v>
      </c>
      <c r="B84" s="317">
        <v>45261</v>
      </c>
      <c r="C84" s="298"/>
      <c r="D84" s="298">
        <f t="shared" si="14"/>
        <v>1128292.4667885939</v>
      </c>
      <c r="E84" s="318">
        <f t="shared" si="19"/>
        <v>-1128292.4667885939</v>
      </c>
      <c r="F84" s="318"/>
      <c r="G84" s="318">
        <f t="shared" si="15"/>
        <v>171377.68749500022</v>
      </c>
      <c r="H84" s="318">
        <f t="shared" si="8"/>
        <v>-8098977.812263716</v>
      </c>
      <c r="I84" s="319">
        <f t="shared" si="16"/>
        <v>38961833.457194418</v>
      </c>
      <c r="J84" s="298"/>
      <c r="K84" s="298">
        <f t="shared" si="17"/>
        <v>251884.5841920792</v>
      </c>
      <c r="L84" s="318">
        <f t="shared" si="18"/>
        <v>47060811.26945813</v>
      </c>
    </row>
    <row r="85" spans="1:12" ht="14.45" customHeight="1" outlineLevel="1">
      <c r="A85" s="312">
        <v>75</v>
      </c>
      <c r="B85" s="317">
        <v>45292</v>
      </c>
      <c r="C85" s="298"/>
      <c r="D85" s="298">
        <f t="shared" si="14"/>
        <v>1128292.4667885939</v>
      </c>
      <c r="E85" s="318">
        <f t="shared" si="19"/>
        <v>-1128292.4667885939</v>
      </c>
      <c r="F85" s="318"/>
      <c r="G85" s="318">
        <f t="shared" si="15"/>
        <v>171377.68749500022</v>
      </c>
      <c r="H85" s="318">
        <f t="shared" si="8"/>
        <v>-7927600.1247687154</v>
      </c>
      <c r="I85" s="319">
        <f t="shared" si="16"/>
        <v>38252326.320354</v>
      </c>
      <c r="J85" s="298"/>
      <c r="K85" s="298">
        <f t="shared" si="17"/>
        <v>247407.64245318458</v>
      </c>
      <c r="L85" s="318">
        <f t="shared" si="18"/>
        <v>46179926.445122719</v>
      </c>
    </row>
    <row r="86" spans="1:12" ht="14.45" customHeight="1" outlineLevel="1">
      <c r="A86" s="312">
        <v>76</v>
      </c>
      <c r="B86" s="317">
        <v>45323</v>
      </c>
      <c r="C86" s="298"/>
      <c r="D86" s="298">
        <f t="shared" si="14"/>
        <v>1128292.4667885939</v>
      </c>
      <c r="E86" s="318">
        <f t="shared" si="19"/>
        <v>-1128292.4667885939</v>
      </c>
      <c r="F86" s="318"/>
      <c r="G86" s="318">
        <f t="shared" si="15"/>
        <v>171377.68749500022</v>
      </c>
      <c r="H86" s="318">
        <f t="shared" si="8"/>
        <v>-7756222.4372737147</v>
      </c>
      <c r="I86" s="319">
        <f t="shared" si="16"/>
        <v>37538313.813194647</v>
      </c>
      <c r="J86" s="298"/>
      <c r="K86" s="298">
        <f t="shared" si="17"/>
        <v>242902.27213424793</v>
      </c>
      <c r="L86" s="318">
        <f t="shared" si="18"/>
        <v>45294536.250468366</v>
      </c>
    </row>
    <row r="87" spans="1:12" ht="14.45" customHeight="1" outlineLevel="1">
      <c r="A87" s="312">
        <v>77</v>
      </c>
      <c r="B87" s="317">
        <v>45352</v>
      </c>
      <c r="C87" s="298"/>
      <c r="D87" s="298">
        <f t="shared" si="14"/>
        <v>1128292.4667885939</v>
      </c>
      <c r="E87" s="318">
        <f t="shared" si="19"/>
        <v>-1128292.4667885939</v>
      </c>
      <c r="F87" s="318"/>
      <c r="G87" s="318">
        <f t="shared" si="15"/>
        <v>171377.68749500022</v>
      </c>
      <c r="H87" s="318">
        <f t="shared" ref="H87:H132" si="20">G87+H86</f>
        <v>-7584844.749778714</v>
      </c>
      <c r="I87" s="319">
        <f t="shared" si="16"/>
        <v>36819767.326614842</v>
      </c>
      <c r="J87" s="298"/>
      <c r="K87" s="298">
        <f t="shared" si="17"/>
        <v>238368.29271378604</v>
      </c>
      <c r="L87" s="318">
        <f t="shared" si="18"/>
        <v>44404612.076393552</v>
      </c>
    </row>
    <row r="88" spans="1:12" ht="14.45" customHeight="1" outlineLevel="1">
      <c r="A88" s="312">
        <v>78</v>
      </c>
      <c r="B88" s="317">
        <v>45383</v>
      </c>
      <c r="C88" s="298"/>
      <c r="D88" s="298">
        <f t="shared" si="14"/>
        <v>1128292.4667885939</v>
      </c>
      <c r="E88" s="318">
        <f t="shared" si="19"/>
        <v>-1128292.4667885939</v>
      </c>
      <c r="F88" s="318"/>
      <c r="G88" s="318">
        <f t="shared" si="15"/>
        <v>171377.68749500022</v>
      </c>
      <c r="H88" s="318">
        <f t="shared" si="20"/>
        <v>-7413467.0622837134</v>
      </c>
      <c r="I88" s="319">
        <f t="shared" si="16"/>
        <v>36096658.069845244</v>
      </c>
      <c r="J88" s="298"/>
      <c r="K88" s="298">
        <f t="shared" si="17"/>
        <v>233805.52252400428</v>
      </c>
      <c r="L88" s="318">
        <f t="shared" si="18"/>
        <v>43510125.132128961</v>
      </c>
    </row>
    <row r="89" spans="1:12" ht="14.45" customHeight="1" outlineLevel="1">
      <c r="A89" s="312">
        <v>79</v>
      </c>
      <c r="B89" s="317">
        <v>45413</v>
      </c>
      <c r="C89" s="298"/>
      <c r="D89" s="298">
        <f t="shared" si="14"/>
        <v>1128292.4667885939</v>
      </c>
      <c r="E89" s="318">
        <f t="shared" si="19"/>
        <v>-1128292.4667885939</v>
      </c>
      <c r="F89" s="318"/>
      <c r="G89" s="318">
        <f t="shared" si="15"/>
        <v>171377.68749500022</v>
      </c>
      <c r="H89" s="318">
        <f t="shared" si="20"/>
        <v>-7242089.3747887127</v>
      </c>
      <c r="I89" s="319">
        <f t="shared" si="16"/>
        <v>35368957.069295168</v>
      </c>
      <c r="J89" s="298"/>
      <c r="K89" s="298">
        <f t="shared" si="17"/>
        <v>229213.77874351732</v>
      </c>
      <c r="L89" s="318">
        <f t="shared" si="18"/>
        <v>42611046.444083884</v>
      </c>
    </row>
    <row r="90" spans="1:12" ht="14.45" customHeight="1" outlineLevel="1">
      <c r="A90" s="312">
        <v>80</v>
      </c>
      <c r="B90" s="317">
        <v>45444</v>
      </c>
      <c r="C90" s="298"/>
      <c r="D90" s="298">
        <f t="shared" si="14"/>
        <v>1128292.4667885939</v>
      </c>
      <c r="E90" s="318">
        <f t="shared" si="19"/>
        <v>-1128292.4667885939</v>
      </c>
      <c r="F90" s="318"/>
      <c r="G90" s="318">
        <f t="shared" si="15"/>
        <v>171377.68749500022</v>
      </c>
      <c r="H90" s="318">
        <f t="shared" si="20"/>
        <v>-7070711.687293712</v>
      </c>
      <c r="I90" s="319">
        <f t="shared" si="16"/>
        <v>34636635.167391598</v>
      </c>
      <c r="J90" s="298"/>
      <c r="K90" s="298">
        <f t="shared" si="17"/>
        <v>224592.87739002434</v>
      </c>
      <c r="L90" s="318">
        <f t="shared" si="18"/>
        <v>41707346.854685314</v>
      </c>
    </row>
    <row r="91" spans="1:12" ht="14.45" customHeight="1" outlineLevel="1">
      <c r="A91" s="312">
        <v>81</v>
      </c>
      <c r="B91" s="317">
        <v>45474</v>
      </c>
      <c r="C91" s="298"/>
      <c r="D91" s="298">
        <f t="shared" si="14"/>
        <v>1128292.4667885939</v>
      </c>
      <c r="E91" s="318">
        <f t="shared" si="19"/>
        <v>-1128292.4667885939</v>
      </c>
      <c r="F91" s="318"/>
      <c r="G91" s="318">
        <f t="shared" si="15"/>
        <v>171377.68749500022</v>
      </c>
      <c r="H91" s="318">
        <f t="shared" si="20"/>
        <v>-6899333.9997987114</v>
      </c>
      <c r="I91" s="319">
        <f t="shared" si="16"/>
        <v>33899663.021410942</v>
      </c>
      <c r="J91" s="298"/>
      <c r="K91" s="298">
        <f t="shared" si="17"/>
        <v>219942.63331293667</v>
      </c>
      <c r="L91" s="318">
        <f t="shared" si="18"/>
        <v>40798997.02120965</v>
      </c>
    </row>
    <row r="92" spans="1:12" ht="14.45" customHeight="1" outlineLevel="1">
      <c r="A92" s="312">
        <v>82</v>
      </c>
      <c r="B92" s="317">
        <v>45505</v>
      </c>
      <c r="C92" s="298"/>
      <c r="D92" s="298">
        <f t="shared" si="14"/>
        <v>1128292.4667885939</v>
      </c>
      <c r="E92" s="318">
        <f t="shared" si="19"/>
        <v>-1128292.4667885939</v>
      </c>
      <c r="F92" s="318"/>
      <c r="G92" s="318">
        <f t="shared" si="15"/>
        <v>171377.68749500022</v>
      </c>
      <c r="H92" s="318">
        <f t="shared" si="20"/>
        <v>-6727956.3123037107</v>
      </c>
      <c r="I92" s="319">
        <f t="shared" si="16"/>
        <v>33158011.1023033</v>
      </c>
      <c r="J92" s="298"/>
      <c r="K92" s="298">
        <f t="shared" si="17"/>
        <v>215262.86018595949</v>
      </c>
      <c r="L92" s="318">
        <f t="shared" si="18"/>
        <v>39885967.414607011</v>
      </c>
    </row>
    <row r="93" spans="1:12" ht="14.45" customHeight="1" outlineLevel="1">
      <c r="A93" s="312">
        <v>83</v>
      </c>
      <c r="B93" s="317">
        <v>45536</v>
      </c>
      <c r="C93" s="298"/>
      <c r="D93" s="298">
        <f t="shared" si="14"/>
        <v>1128292.4667885939</v>
      </c>
      <c r="E93" s="318">
        <f t="shared" si="19"/>
        <v>-1128292.4667885939</v>
      </c>
      <c r="F93" s="318"/>
      <c r="G93" s="318">
        <f t="shared" si="15"/>
        <v>171377.68749500022</v>
      </c>
      <c r="H93" s="318">
        <f t="shared" si="20"/>
        <v>-6556578.6248087101</v>
      </c>
      <c r="I93" s="319">
        <f t="shared" si="16"/>
        <v>32411649.693509329</v>
      </c>
      <c r="J93" s="298"/>
      <c r="K93" s="298">
        <f t="shared" si="17"/>
        <v>210553.37049962598</v>
      </c>
      <c r="L93" s="318">
        <f t="shared" si="18"/>
        <v>38968228.318318039</v>
      </c>
    </row>
    <row r="94" spans="1:12" ht="14.45" customHeight="1" outlineLevel="1">
      <c r="A94" s="312">
        <v>84</v>
      </c>
      <c r="B94" s="317">
        <v>45566</v>
      </c>
      <c r="C94" s="298"/>
      <c r="D94" s="298">
        <f t="shared" si="14"/>
        <v>1128292.4667885939</v>
      </c>
      <c r="E94" s="318">
        <f t="shared" si="19"/>
        <v>-1128292.4667885939</v>
      </c>
      <c r="F94" s="318"/>
      <c r="G94" s="318">
        <f t="shared" si="15"/>
        <v>171377.68749500022</v>
      </c>
      <c r="H94" s="318">
        <f t="shared" si="20"/>
        <v>-6385200.9373137094</v>
      </c>
      <c r="I94" s="319">
        <f t="shared" si="16"/>
        <v>31660548.889769513</v>
      </c>
      <c r="J94" s="298"/>
      <c r="K94" s="298">
        <f t="shared" si="17"/>
        <v>205813.97555378426</v>
      </c>
      <c r="L94" s="318">
        <f t="shared" si="18"/>
        <v>38045749.827083223</v>
      </c>
    </row>
    <row r="95" spans="1:12" ht="14.45" customHeight="1" outlineLevel="1">
      <c r="A95" s="312">
        <v>85</v>
      </c>
      <c r="B95" s="317">
        <v>45597</v>
      </c>
      <c r="C95" s="298"/>
      <c r="D95" s="298">
        <f t="shared" si="14"/>
        <v>1128292.4667885939</v>
      </c>
      <c r="E95" s="318">
        <f t="shared" si="19"/>
        <v>-1128292.4667885939</v>
      </c>
      <c r="F95" s="318"/>
      <c r="G95" s="318">
        <f t="shared" si="15"/>
        <v>171377.68749500022</v>
      </c>
      <c r="H95" s="318">
        <f t="shared" si="20"/>
        <v>-6213823.2498187087</v>
      </c>
      <c r="I95" s="319">
        <f t="shared" si="16"/>
        <v>30904678.595925953</v>
      </c>
      <c r="J95" s="298"/>
      <c r="K95" s="298">
        <f t="shared" si="17"/>
        <v>201044.48545003642</v>
      </c>
      <c r="L95" s="318">
        <f t="shared" si="18"/>
        <v>37118501.845744662</v>
      </c>
    </row>
    <row r="96" spans="1:12" ht="14.45" customHeight="1" outlineLevel="1">
      <c r="A96" s="312">
        <v>86</v>
      </c>
      <c r="B96" s="317">
        <v>45627</v>
      </c>
      <c r="C96" s="298"/>
      <c r="D96" s="298">
        <f t="shared" si="14"/>
        <v>1128292.4667885939</v>
      </c>
      <c r="E96" s="318">
        <f t="shared" si="19"/>
        <v>-1128292.4667885939</v>
      </c>
      <c r="F96" s="318"/>
      <c r="G96" s="318">
        <f t="shared" si="15"/>
        <v>171377.68749500022</v>
      </c>
      <c r="H96" s="318">
        <f t="shared" si="20"/>
        <v>-6042445.5623237081</v>
      </c>
      <c r="I96" s="319">
        <f t="shared" si="16"/>
        <v>30144008.525716487</v>
      </c>
      <c r="J96" s="298"/>
      <c r="K96" s="298">
        <f t="shared" si="17"/>
        <v>196244.70908412983</v>
      </c>
      <c r="L96" s="318">
        <f t="shared" si="18"/>
        <v>36186454.088040195</v>
      </c>
    </row>
    <row r="97" spans="1:12" ht="14.45" customHeight="1" outlineLevel="1">
      <c r="A97" s="312">
        <v>87</v>
      </c>
      <c r="B97" s="317">
        <v>45658</v>
      </c>
      <c r="C97" s="298"/>
      <c r="D97" s="298">
        <f t="shared" si="14"/>
        <v>1128292.4667885939</v>
      </c>
      <c r="E97" s="318">
        <f t="shared" si="19"/>
        <v>-1128292.4667885939</v>
      </c>
      <c r="F97" s="318"/>
      <c r="G97" s="318">
        <f t="shared" si="15"/>
        <v>171377.68749500022</v>
      </c>
      <c r="H97" s="318">
        <f t="shared" si="20"/>
        <v>-5871067.8748287074</v>
      </c>
      <c r="I97" s="319">
        <f t="shared" si="16"/>
        <v>29378508.200561192</v>
      </c>
      <c r="J97" s="298"/>
      <c r="K97" s="298">
        <f t="shared" si="17"/>
        <v>191414.45413829971</v>
      </c>
      <c r="L97" s="318">
        <f t="shared" si="18"/>
        <v>35249576.075389899</v>
      </c>
    </row>
    <row r="98" spans="1:12" ht="14.45" customHeight="1" outlineLevel="1">
      <c r="A98" s="312">
        <v>88</v>
      </c>
      <c r="B98" s="317">
        <v>45689</v>
      </c>
      <c r="C98" s="298"/>
      <c r="D98" s="298">
        <f t="shared" si="14"/>
        <v>1128292.4667885939</v>
      </c>
      <c r="E98" s="318">
        <f t="shared" si="19"/>
        <v>-1128292.4667885939</v>
      </c>
      <c r="F98" s="318"/>
      <c r="G98" s="318">
        <f t="shared" si="15"/>
        <v>171377.68749500022</v>
      </c>
      <c r="H98" s="318">
        <f t="shared" si="20"/>
        <v>-5699690.1873337068</v>
      </c>
      <c r="I98" s="319">
        <f t="shared" si="16"/>
        <v>28608146.948341157</v>
      </c>
      <c r="J98" s="298"/>
      <c r="K98" s="298">
        <f t="shared" si="17"/>
        <v>186553.5270735636</v>
      </c>
      <c r="L98" s="318">
        <f t="shared" si="18"/>
        <v>34307837.135674864</v>
      </c>
    </row>
    <row r="99" spans="1:12" ht="14.45" customHeight="1" outlineLevel="1">
      <c r="A99" s="312">
        <v>89</v>
      </c>
      <c r="B99" s="317">
        <v>45717</v>
      </c>
      <c r="C99" s="298"/>
      <c r="D99" s="298">
        <f t="shared" si="14"/>
        <v>1128292.4667885939</v>
      </c>
      <c r="E99" s="318">
        <f t="shared" si="19"/>
        <v>-1128292.4667885939</v>
      </c>
      <c r="F99" s="318"/>
      <c r="G99" s="318">
        <f t="shared" si="15"/>
        <v>171377.68749500022</v>
      </c>
      <c r="H99" s="318">
        <f t="shared" si="20"/>
        <v>-5528312.4998387061</v>
      </c>
      <c r="I99" s="319">
        <f t="shared" si="16"/>
        <v>27832893.902169529</v>
      </c>
      <c r="J99" s="298"/>
      <c r="K99" s="298">
        <f t="shared" si="17"/>
        <v>181661.73312196636</v>
      </c>
      <c r="L99" s="318">
        <f t="shared" si="18"/>
        <v>33361206.402008235</v>
      </c>
    </row>
    <row r="100" spans="1:12" ht="14.45" customHeight="1" outlineLevel="1">
      <c r="A100" s="312">
        <v>90</v>
      </c>
      <c r="B100" s="317">
        <v>45748</v>
      </c>
      <c r="C100" s="298"/>
      <c r="D100" s="298">
        <f t="shared" si="14"/>
        <v>1128292.4667885939</v>
      </c>
      <c r="E100" s="318">
        <f t="shared" si="19"/>
        <v>-1128292.4667885939</v>
      </c>
      <c r="F100" s="318"/>
      <c r="G100" s="318">
        <f t="shared" si="15"/>
        <v>171377.68749500022</v>
      </c>
      <c r="H100" s="318">
        <f t="shared" si="20"/>
        <v>-5356934.8123437054</v>
      </c>
      <c r="I100" s="319">
        <f t="shared" si="16"/>
        <v>27052717.999154713</v>
      </c>
      <c r="J100" s="298"/>
      <c r="K100" s="298">
        <f t="shared" si="17"/>
        <v>176738.87627877653</v>
      </c>
      <c r="L100" s="318">
        <f t="shared" si="18"/>
        <v>32409652.811498418</v>
      </c>
    </row>
    <row r="101" spans="1:12" ht="14.45" customHeight="1" outlineLevel="1">
      <c r="A101" s="312">
        <v>91</v>
      </c>
      <c r="B101" s="317">
        <v>45778</v>
      </c>
      <c r="C101" s="298"/>
      <c r="D101" s="298">
        <f t="shared" si="14"/>
        <v>1128292.4667885939</v>
      </c>
      <c r="E101" s="318">
        <f t="shared" si="19"/>
        <v>-1128292.4667885939</v>
      </c>
      <c r="F101" s="318"/>
      <c r="G101" s="318">
        <f t="shared" si="15"/>
        <v>171377.68749500022</v>
      </c>
      <c r="H101" s="318">
        <f t="shared" si="20"/>
        <v>-5185557.1248487048</v>
      </c>
      <c r="I101" s="319">
        <f t="shared" si="16"/>
        <v>26267587.979155753</v>
      </c>
      <c r="J101" s="298"/>
      <c r="K101" s="298">
        <f t="shared" si="17"/>
        <v>171784.75929463244</v>
      </c>
      <c r="L101" s="318">
        <f t="shared" si="18"/>
        <v>31453145.104004458</v>
      </c>
    </row>
    <row r="102" spans="1:12" ht="14.45" customHeight="1" outlineLevel="1">
      <c r="A102" s="312">
        <v>92</v>
      </c>
      <c r="B102" s="317">
        <v>45809</v>
      </c>
      <c r="C102" s="298"/>
      <c r="D102" s="298">
        <f t="shared" si="14"/>
        <v>1128292.4667885939</v>
      </c>
      <c r="E102" s="318">
        <f t="shared" si="19"/>
        <v>-1128292.4667885939</v>
      </c>
      <c r="F102" s="318"/>
      <c r="G102" s="318">
        <f t="shared" si="15"/>
        <v>171377.68749500022</v>
      </c>
      <c r="H102" s="318">
        <f t="shared" si="20"/>
        <v>-5014179.4373537041</v>
      </c>
      <c r="I102" s="319">
        <f t="shared" si="16"/>
        <v>25477472.383529797</v>
      </c>
      <c r="J102" s="298"/>
      <c r="K102" s="298">
        <f t="shared" si="17"/>
        <v>166799.18366763904</v>
      </c>
      <c r="L102" s="318">
        <f t="shared" si="18"/>
        <v>30491651.820883501</v>
      </c>
    </row>
    <row r="103" spans="1:12" ht="14.45" customHeight="1" outlineLevel="1">
      <c r="A103" s="312">
        <v>93</v>
      </c>
      <c r="B103" s="317">
        <v>45839</v>
      </c>
      <c r="C103" s="298"/>
      <c r="D103" s="298">
        <f t="shared" si="14"/>
        <v>1128292.4667885939</v>
      </c>
      <c r="E103" s="318">
        <f t="shared" si="19"/>
        <v>-1128292.4667885939</v>
      </c>
      <c r="F103" s="318"/>
      <c r="G103" s="318">
        <f t="shared" si="15"/>
        <v>171377.68749500022</v>
      </c>
      <c r="H103" s="318">
        <f t="shared" si="20"/>
        <v>-4842801.7498587035</v>
      </c>
      <c r="I103" s="319">
        <f t="shared" si="16"/>
        <v>24682339.553871617</v>
      </c>
      <c r="J103" s="298"/>
      <c r="K103" s="298">
        <f t="shared" si="17"/>
        <v>161781.94963541423</v>
      </c>
      <c r="L103" s="318">
        <f t="shared" si="18"/>
        <v>29525141.30373032</v>
      </c>
    </row>
    <row r="104" spans="1:12" ht="14.45" customHeight="1" outlineLevel="1">
      <c r="A104" s="312">
        <v>94</v>
      </c>
      <c r="B104" s="317">
        <v>45870</v>
      </c>
      <c r="C104" s="298"/>
      <c r="D104" s="298">
        <f t="shared" si="14"/>
        <v>1128292.4667885939</v>
      </c>
      <c r="E104" s="318">
        <f t="shared" si="19"/>
        <v>-1128292.4667885939</v>
      </c>
      <c r="F104" s="318"/>
      <c r="G104" s="318">
        <f t="shared" si="15"/>
        <v>171377.68749500022</v>
      </c>
      <c r="H104" s="318">
        <f t="shared" si="20"/>
        <v>-4671424.0623637028</v>
      </c>
      <c r="I104" s="319">
        <f t="shared" si="16"/>
        <v>23882157.630745109</v>
      </c>
      <c r="J104" s="298"/>
      <c r="K104" s="298">
        <f t="shared" si="17"/>
        <v>156732.85616708477</v>
      </c>
      <c r="L104" s="318">
        <f t="shared" si="18"/>
        <v>28553581.693108812</v>
      </c>
    </row>
    <row r="105" spans="1:12" ht="14.45" customHeight="1" outlineLevel="1">
      <c r="A105" s="312">
        <v>95</v>
      </c>
      <c r="B105" s="317">
        <v>45901</v>
      </c>
      <c r="C105" s="298"/>
      <c r="D105" s="298">
        <f t="shared" si="14"/>
        <v>1128292.4667885939</v>
      </c>
      <c r="E105" s="318">
        <f t="shared" si="19"/>
        <v>-1128292.4667885939</v>
      </c>
      <c r="F105" s="318"/>
      <c r="G105" s="318">
        <f t="shared" si="15"/>
        <v>171377.68749500022</v>
      </c>
      <c r="H105" s="318">
        <f t="shared" si="20"/>
        <v>-4500046.3748687021</v>
      </c>
      <c r="I105" s="319">
        <f t="shared" si="16"/>
        <v>23076894.552406747</v>
      </c>
      <c r="J105" s="298"/>
      <c r="K105" s="298">
        <f t="shared" si="17"/>
        <v>151651.70095523147</v>
      </c>
      <c r="L105" s="318">
        <f t="shared" si="18"/>
        <v>27576940.927275449</v>
      </c>
    </row>
    <row r="106" spans="1:12" ht="14.45" customHeight="1" outlineLevel="1">
      <c r="A106" s="312">
        <v>96</v>
      </c>
      <c r="B106" s="317">
        <v>45931</v>
      </c>
      <c r="C106" s="298"/>
      <c r="D106" s="298">
        <f t="shared" si="14"/>
        <v>1128292.4667885939</v>
      </c>
      <c r="E106" s="318">
        <f t="shared" si="19"/>
        <v>-1128292.4667885939</v>
      </c>
      <c r="F106" s="318"/>
      <c r="G106" s="318">
        <f t="shared" si="15"/>
        <v>171377.68749500022</v>
      </c>
      <c r="H106" s="318">
        <f t="shared" si="20"/>
        <v>-4328668.6873737015</v>
      </c>
      <c r="I106" s="319">
        <f t="shared" si="16"/>
        <v>22266518.053520937</v>
      </c>
      <c r="J106" s="298"/>
      <c r="K106" s="298">
        <f t="shared" si="17"/>
        <v>146538.28040778285</v>
      </c>
      <c r="L106" s="318">
        <f t="shared" si="18"/>
        <v>26595186.740894638</v>
      </c>
    </row>
    <row r="107" spans="1:12" ht="14.45" customHeight="1" outlineLevel="1">
      <c r="A107" s="312">
        <v>97</v>
      </c>
      <c r="B107" s="317">
        <v>45962</v>
      </c>
      <c r="C107" s="298"/>
      <c r="D107" s="298">
        <f t="shared" si="14"/>
        <v>1128292.4667885939</v>
      </c>
      <c r="E107" s="318">
        <f t="shared" si="19"/>
        <v>-1128292.4667885939</v>
      </c>
      <c r="F107" s="318"/>
      <c r="G107" s="318">
        <f t="shared" si="15"/>
        <v>171377.68749500022</v>
      </c>
      <c r="H107" s="318">
        <f t="shared" si="20"/>
        <v>-4157290.9998787013</v>
      </c>
      <c r="I107" s="319">
        <f t="shared" si="16"/>
        <v>21450995.663867202</v>
      </c>
      <c r="J107" s="298"/>
      <c r="K107" s="298">
        <f t="shared" si="17"/>
        <v>141392.38963985795</v>
      </c>
      <c r="L107" s="318">
        <f t="shared" si="18"/>
        <v>25608286.663745902</v>
      </c>
    </row>
    <row r="108" spans="1:12" ht="14.45" customHeight="1" outlineLevel="1">
      <c r="A108" s="312">
        <v>98</v>
      </c>
      <c r="B108" s="317">
        <v>45992</v>
      </c>
      <c r="C108" s="298"/>
      <c r="D108" s="298">
        <f t="shared" si="14"/>
        <v>1128292.4667885939</v>
      </c>
      <c r="E108" s="318">
        <f t="shared" si="19"/>
        <v>-1128292.4667885939</v>
      </c>
      <c r="F108" s="318"/>
      <c r="G108" s="318">
        <f t="shared" si="15"/>
        <v>171377.68749500022</v>
      </c>
      <c r="H108" s="318">
        <f t="shared" si="20"/>
        <v>-3985913.3123837011</v>
      </c>
      <c r="I108" s="319">
        <f t="shared" si="16"/>
        <v>20630294.707039166</v>
      </c>
      <c r="J108" s="298"/>
      <c r="K108" s="298">
        <f t="shared" si="17"/>
        <v>136213.82246555673</v>
      </c>
      <c r="L108" s="318">
        <f t="shared" si="18"/>
        <v>24616208.019422866</v>
      </c>
    </row>
    <row r="109" spans="1:12" ht="14.45" customHeight="1" outlineLevel="1">
      <c r="A109" s="312">
        <v>99</v>
      </c>
      <c r="B109" s="317">
        <v>46023</v>
      </c>
      <c r="C109" s="298"/>
      <c r="D109" s="298">
        <f t="shared" si="14"/>
        <v>1128292.4667885939</v>
      </c>
      <c r="E109" s="318">
        <f t="shared" si="19"/>
        <v>-1128292.4667885939</v>
      </c>
      <c r="F109" s="318"/>
      <c r="G109" s="318">
        <f t="shared" si="15"/>
        <v>171377.68749500022</v>
      </c>
      <c r="H109" s="318">
        <f t="shared" si="20"/>
        <v>-3814535.6248887009</v>
      </c>
      <c r="I109" s="319">
        <f t="shared" si="16"/>
        <v>19804382.299135271</v>
      </c>
      <c r="J109" s="298"/>
      <c r="K109" s="298">
        <f t="shared" si="17"/>
        <v>131002.37138969872</v>
      </c>
      <c r="L109" s="318">
        <f t="shared" si="18"/>
        <v>23618917.924023971</v>
      </c>
    </row>
    <row r="110" spans="1:12" ht="14.45" customHeight="1" outlineLevel="1">
      <c r="A110" s="312">
        <v>100</v>
      </c>
      <c r="B110" s="317">
        <v>46054</v>
      </c>
      <c r="C110" s="298"/>
      <c r="D110" s="298">
        <f t="shared" si="14"/>
        <v>1128292.4667885939</v>
      </c>
      <c r="E110" s="318">
        <f t="shared" si="19"/>
        <v>-1128292.4667885939</v>
      </c>
      <c r="F110" s="318"/>
      <c r="G110" s="318">
        <f t="shared" si="15"/>
        <v>171377.68749500022</v>
      </c>
      <c r="H110" s="318">
        <f t="shared" si="20"/>
        <v>-3643157.9373937007</v>
      </c>
      <c r="I110" s="319">
        <f t="shared" si="16"/>
        <v>18973225.347441189</v>
      </c>
      <c r="J110" s="298"/>
      <c r="K110" s="298">
        <f t="shared" si="17"/>
        <v>125757.82759950898</v>
      </c>
      <c r="L110" s="318">
        <f t="shared" si="18"/>
        <v>22616383.284834888</v>
      </c>
    </row>
    <row r="111" spans="1:12" ht="14.45" customHeight="1" outlineLevel="1">
      <c r="A111" s="312">
        <v>101</v>
      </c>
      <c r="B111" s="317">
        <v>46082</v>
      </c>
      <c r="C111" s="298"/>
      <c r="D111" s="298">
        <f t="shared" si="14"/>
        <v>1128292.4667885939</v>
      </c>
      <c r="E111" s="318">
        <f t="shared" si="19"/>
        <v>-1128292.4667885939</v>
      </c>
      <c r="F111" s="318"/>
      <c r="G111" s="318">
        <f t="shared" si="15"/>
        <v>171377.68749500022</v>
      </c>
      <c r="H111" s="318">
        <f t="shared" si="20"/>
        <v>-3471780.2498987005</v>
      </c>
      <c r="I111" s="319">
        <f t="shared" si="16"/>
        <v>18136790.549103845</v>
      </c>
      <c r="J111" s="298"/>
      <c r="K111" s="298">
        <f t="shared" si="17"/>
        <v>120479.98095625156</v>
      </c>
      <c r="L111" s="318">
        <f t="shared" si="18"/>
        <v>21608570.799002547</v>
      </c>
    </row>
    <row r="112" spans="1:12" ht="14.45" customHeight="1" outlineLevel="1">
      <c r="A112" s="312">
        <v>102</v>
      </c>
      <c r="B112" s="317">
        <v>46113</v>
      </c>
      <c r="C112" s="298"/>
      <c r="D112" s="298">
        <f t="shared" si="14"/>
        <v>1128292.4667885939</v>
      </c>
      <c r="E112" s="318">
        <f t="shared" si="19"/>
        <v>-1128292.4667885939</v>
      </c>
      <c r="F112" s="318"/>
      <c r="G112" s="318">
        <f t="shared" si="15"/>
        <v>171377.68749500022</v>
      </c>
      <c r="H112" s="318">
        <f t="shared" si="20"/>
        <v>-3300402.5624037003</v>
      </c>
      <c r="I112" s="319">
        <f t="shared" si="16"/>
        <v>17295044.389797062</v>
      </c>
      <c r="J112" s="298"/>
      <c r="K112" s="298">
        <f t="shared" si="17"/>
        <v>115168.61998680943</v>
      </c>
      <c r="L112" s="318">
        <f t="shared" si="18"/>
        <v>20595446.952200763</v>
      </c>
    </row>
    <row r="113" spans="1:12" ht="14.45" customHeight="1" outlineLevel="1">
      <c r="A113" s="312">
        <v>103</v>
      </c>
      <c r="B113" s="317">
        <v>46143</v>
      </c>
      <c r="C113" s="298"/>
      <c r="D113" s="298">
        <f t="shared" si="14"/>
        <v>1128292.4667885939</v>
      </c>
      <c r="E113" s="318">
        <f t="shared" si="19"/>
        <v>-1128292.4667885939</v>
      </c>
      <c r="F113" s="318"/>
      <c r="G113" s="318">
        <f t="shared" si="15"/>
        <v>171377.68749500022</v>
      </c>
      <c r="H113" s="318">
        <f t="shared" si="20"/>
        <v>-3129024.8749087001</v>
      </c>
      <c r="I113" s="319">
        <f t="shared" si="16"/>
        <v>16447953.14237868</v>
      </c>
      <c r="J113" s="298"/>
      <c r="K113" s="298">
        <f t="shared" si="17"/>
        <v>109823.53187521135</v>
      </c>
      <c r="L113" s="318">
        <f t="shared" si="18"/>
        <v>19576978.017287381</v>
      </c>
    </row>
    <row r="114" spans="1:12" ht="14.45" customHeight="1" outlineLevel="1">
      <c r="A114" s="312">
        <v>104</v>
      </c>
      <c r="B114" s="317">
        <v>46174</v>
      </c>
      <c r="C114" s="298"/>
      <c r="D114" s="298">
        <f t="shared" si="14"/>
        <v>1128292.4667885939</v>
      </c>
      <c r="E114" s="318">
        <f t="shared" si="19"/>
        <v>-1128292.4667885939</v>
      </c>
      <c r="F114" s="318"/>
      <c r="G114" s="318">
        <f t="shared" si="15"/>
        <v>171377.68749500022</v>
      </c>
      <c r="H114" s="318">
        <f t="shared" si="20"/>
        <v>-2957647.1874136999</v>
      </c>
      <c r="I114" s="319">
        <f t="shared" si="16"/>
        <v>15595482.865539193</v>
      </c>
      <c r="J114" s="298"/>
      <c r="K114" s="298">
        <f t="shared" si="17"/>
        <v>104444.50245410463</v>
      </c>
      <c r="L114" s="318">
        <f t="shared" si="18"/>
        <v>18553130.052952893</v>
      </c>
    </row>
    <row r="115" spans="1:12" ht="14.45" customHeight="1" outlineLevel="1">
      <c r="A115" s="312">
        <v>105</v>
      </c>
      <c r="B115" s="317">
        <v>46204</v>
      </c>
      <c r="C115" s="298"/>
      <c r="D115" s="298">
        <f t="shared" si="14"/>
        <v>1128292.4667885939</v>
      </c>
      <c r="E115" s="318">
        <f t="shared" si="19"/>
        <v>-1128292.4667885939</v>
      </c>
      <c r="F115" s="318"/>
      <c r="G115" s="318">
        <f t="shared" si="15"/>
        <v>171377.68749500022</v>
      </c>
      <c r="H115" s="318">
        <f t="shared" si="20"/>
        <v>-2786269.4999186997</v>
      </c>
      <c r="I115" s="319">
        <f t="shared" si="16"/>
        <v>14737599.402441774</v>
      </c>
      <c r="J115" s="298"/>
      <c r="K115" s="298">
        <f t="shared" si="17"/>
        <v>99031.316196173881</v>
      </c>
      <c r="L115" s="318">
        <f t="shared" si="18"/>
        <v>17523868.902360473</v>
      </c>
    </row>
    <row r="116" spans="1:12" ht="14.45" customHeight="1" outlineLevel="1">
      <c r="A116" s="312">
        <v>106</v>
      </c>
      <c r="B116" s="317">
        <v>46235</v>
      </c>
      <c r="C116" s="298"/>
      <c r="D116" s="298">
        <f t="shared" si="14"/>
        <v>1128292.4667885939</v>
      </c>
      <c r="E116" s="318">
        <f t="shared" si="19"/>
        <v>-1128292.4667885939</v>
      </c>
      <c r="F116" s="318"/>
      <c r="G116" s="318">
        <f t="shared" si="15"/>
        <v>171377.68749500022</v>
      </c>
      <c r="H116" s="318">
        <f t="shared" si="20"/>
        <v>-2614891.8124236995</v>
      </c>
      <c r="I116" s="319">
        <f t="shared" si="16"/>
        <v>13874268.379353683</v>
      </c>
      <c r="J116" s="298"/>
      <c r="K116" s="298">
        <f t="shared" si="17"/>
        <v>93583.756205505269</v>
      </c>
      <c r="L116" s="318">
        <f t="shared" si="18"/>
        <v>16489160.191777384</v>
      </c>
    </row>
    <row r="117" spans="1:12" ht="14.45" customHeight="1" outlineLevel="1">
      <c r="A117" s="312">
        <v>107</v>
      </c>
      <c r="B117" s="317">
        <v>46266</v>
      </c>
      <c r="C117" s="298"/>
      <c r="D117" s="298">
        <f t="shared" si="14"/>
        <v>1128292.4667885939</v>
      </c>
      <c r="E117" s="318">
        <f t="shared" si="19"/>
        <v>-1128292.4667885939</v>
      </c>
      <c r="F117" s="318"/>
      <c r="G117" s="318">
        <f t="shared" si="15"/>
        <v>171377.68749500022</v>
      </c>
      <c r="H117" s="318">
        <f t="shared" si="20"/>
        <v>-2443514.1249286993</v>
      </c>
      <c r="I117" s="319">
        <f t="shared" si="16"/>
        <v>13005455.204268986</v>
      </c>
      <c r="J117" s="298"/>
      <c r="K117" s="298">
        <f t="shared" si="17"/>
        <v>88101.604208895893</v>
      </c>
      <c r="L117" s="318">
        <f t="shared" si="18"/>
        <v>15448969.329197686</v>
      </c>
    </row>
    <row r="118" spans="1:12" ht="14.45" customHeight="1" outlineLevel="1">
      <c r="A118" s="312">
        <v>108</v>
      </c>
      <c r="B118" s="317">
        <v>46296</v>
      </c>
      <c r="C118" s="298"/>
      <c r="D118" s="298">
        <f t="shared" si="14"/>
        <v>1128292.4667885939</v>
      </c>
      <c r="E118" s="318">
        <f t="shared" si="19"/>
        <v>-1128292.4667885939</v>
      </c>
      <c r="F118" s="318"/>
      <c r="G118" s="318">
        <f t="shared" si="15"/>
        <v>171377.68749500022</v>
      </c>
      <c r="H118" s="318">
        <f t="shared" si="20"/>
        <v>-2272136.4374336991</v>
      </c>
      <c r="I118" s="319">
        <f t="shared" si="16"/>
        <v>12131125.065522501</v>
      </c>
      <c r="J118" s="298"/>
      <c r="K118" s="298">
        <f t="shared" si="17"/>
        <v>82584.640547108065</v>
      </c>
      <c r="L118" s="318">
        <f t="shared" si="18"/>
        <v>14403261.5029562</v>
      </c>
    </row>
    <row r="119" spans="1:12" ht="14.45" customHeight="1" outlineLevel="1">
      <c r="A119" s="312">
        <v>109</v>
      </c>
      <c r="B119" s="317">
        <v>46327</v>
      </c>
      <c r="C119" s="298"/>
      <c r="D119" s="298">
        <f t="shared" si="14"/>
        <v>1128292.4667885939</v>
      </c>
      <c r="E119" s="318">
        <f t="shared" si="19"/>
        <v>-1128292.4667885939</v>
      </c>
      <c r="F119" s="318"/>
      <c r="G119" s="318">
        <f t="shared" si="15"/>
        <v>171377.68749500022</v>
      </c>
      <c r="H119" s="318">
        <f t="shared" si="20"/>
        <v>-2100758.749938699</v>
      </c>
      <c r="I119" s="319">
        <f t="shared" si="16"/>
        <v>11251242.930394975</v>
      </c>
      <c r="J119" s="298"/>
      <c r="K119" s="298">
        <f t="shared" si="17"/>
        <v>77032.644166067897</v>
      </c>
      <c r="L119" s="318">
        <f t="shared" si="18"/>
        <v>13352001.680333674</v>
      </c>
    </row>
    <row r="120" spans="1:12" ht="14.45" customHeight="1" outlineLevel="1">
      <c r="A120" s="312">
        <v>110</v>
      </c>
      <c r="B120" s="317">
        <v>46357</v>
      </c>
      <c r="C120" s="298"/>
      <c r="D120" s="298">
        <f t="shared" si="14"/>
        <v>1128292.4667885939</v>
      </c>
      <c r="E120" s="318">
        <f t="shared" si="19"/>
        <v>-1128292.4667885939</v>
      </c>
      <c r="F120" s="318"/>
      <c r="G120" s="318">
        <f t="shared" si="15"/>
        <v>171377.68749500022</v>
      </c>
      <c r="H120" s="318">
        <f t="shared" si="20"/>
        <v>-1929381.0624436988</v>
      </c>
      <c r="I120" s="319">
        <f t="shared" si="16"/>
        <v>10365773.54370939</v>
      </c>
      <c r="J120" s="298"/>
      <c r="K120" s="298">
        <f t="shared" si="17"/>
        <v>71445.3926080081</v>
      </c>
      <c r="L120" s="318">
        <f t="shared" si="18"/>
        <v>12295154.606153088</v>
      </c>
    </row>
    <row r="121" spans="1:12" ht="14.45" customHeight="1" outlineLevel="1">
      <c r="A121" s="312">
        <v>111</v>
      </c>
      <c r="B121" s="317">
        <v>46388</v>
      </c>
      <c r="C121" s="298"/>
      <c r="D121" s="298">
        <f t="shared" si="14"/>
        <v>1128292.4667885939</v>
      </c>
      <c r="E121" s="318">
        <f t="shared" si="19"/>
        <v>-1128292.4667885939</v>
      </c>
      <c r="F121" s="318"/>
      <c r="G121" s="318">
        <f t="shared" si="15"/>
        <v>171377.68749500022</v>
      </c>
      <c r="H121" s="318">
        <f t="shared" si="20"/>
        <v>-1758003.3749486986</v>
      </c>
      <c r="I121" s="319">
        <f t="shared" si="16"/>
        <v>9474681.4264183491</v>
      </c>
      <c r="J121" s="298"/>
      <c r="K121" s="298">
        <f t="shared" si="17"/>
        <v>65822.662002554629</v>
      </c>
      <c r="L121" s="318">
        <f t="shared" si="18"/>
        <v>11232684.801367048</v>
      </c>
    </row>
    <row r="122" spans="1:12" ht="14.45" customHeight="1" outlineLevel="1">
      <c r="A122" s="312">
        <v>112</v>
      </c>
      <c r="B122" s="317">
        <v>46419</v>
      </c>
      <c r="C122" s="298"/>
      <c r="D122" s="298">
        <f t="shared" si="14"/>
        <v>1128292.4667885939</v>
      </c>
      <c r="E122" s="318">
        <f t="shared" si="19"/>
        <v>-1128292.4667885939</v>
      </c>
      <c r="F122" s="318"/>
      <c r="G122" s="318">
        <f t="shared" si="15"/>
        <v>171377.68749500022</v>
      </c>
      <c r="H122" s="318">
        <f t="shared" si="20"/>
        <v>-1586625.6874536984</v>
      </c>
      <c r="I122" s="319">
        <f t="shared" si="16"/>
        <v>8577930.874182513</v>
      </c>
      <c r="J122" s="298"/>
      <c r="K122" s="298">
        <f t="shared" si="17"/>
        <v>60164.227057756521</v>
      </c>
      <c r="L122" s="318">
        <f t="shared" si="18"/>
        <v>10164556.561636211</v>
      </c>
    </row>
    <row r="123" spans="1:12" ht="14.45" customHeight="1" outlineLevel="1">
      <c r="A123" s="312">
        <v>113</v>
      </c>
      <c r="B123" s="317">
        <v>46447</v>
      </c>
      <c r="C123" s="298"/>
      <c r="D123" s="298">
        <f t="shared" si="14"/>
        <v>1128292.4667885939</v>
      </c>
      <c r="E123" s="318">
        <f t="shared" si="19"/>
        <v>-1128292.4667885939</v>
      </c>
      <c r="F123" s="318"/>
      <c r="G123" s="318">
        <f t="shared" si="15"/>
        <v>171377.68749500022</v>
      </c>
      <c r="H123" s="318">
        <f t="shared" si="20"/>
        <v>-1415247.9999586982</v>
      </c>
      <c r="I123" s="319">
        <f t="shared" si="16"/>
        <v>7675485.9559399784</v>
      </c>
      <c r="J123" s="298"/>
      <c r="K123" s="298">
        <f t="shared" si="17"/>
        <v>54469.861051058964</v>
      </c>
      <c r="L123" s="318">
        <f t="shared" si="18"/>
        <v>9090733.9558986761</v>
      </c>
    </row>
    <row r="124" spans="1:12" ht="14.45" customHeight="1" outlineLevel="1">
      <c r="A124" s="312">
        <v>114</v>
      </c>
      <c r="B124" s="317">
        <v>46478</v>
      </c>
      <c r="C124" s="298"/>
      <c r="D124" s="298">
        <f t="shared" si="14"/>
        <v>1128292.4667885939</v>
      </c>
      <c r="E124" s="318">
        <f t="shared" si="19"/>
        <v>-1128292.4667885939</v>
      </c>
      <c r="F124" s="318"/>
      <c r="G124" s="318">
        <f t="shared" si="15"/>
        <v>171377.68749500022</v>
      </c>
      <c r="H124" s="318">
        <f t="shared" si="20"/>
        <v>-1243870.312463698</v>
      </c>
      <c r="I124" s="319">
        <f t="shared" si="16"/>
        <v>6767310.512466603</v>
      </c>
      <c r="J124" s="298"/>
      <c r="K124" s="298">
        <f t="shared" si="17"/>
        <v>48739.335820218868</v>
      </c>
      <c r="L124" s="318">
        <f t="shared" si="18"/>
        <v>8011180.8249303009</v>
      </c>
    </row>
    <row r="125" spans="1:12" ht="14.45" customHeight="1" outlineLevel="1">
      <c r="A125" s="312">
        <v>115</v>
      </c>
      <c r="B125" s="317">
        <v>46508</v>
      </c>
      <c r="C125" s="298"/>
      <c r="D125" s="298">
        <f t="shared" si="14"/>
        <v>1128292.4667885939</v>
      </c>
      <c r="E125" s="318">
        <f t="shared" si="19"/>
        <v>-1128292.4667885939</v>
      </c>
      <c r="F125" s="318"/>
      <c r="G125" s="318">
        <f t="shared" si="15"/>
        <v>171377.68749500022</v>
      </c>
      <c r="H125" s="318">
        <f t="shared" si="20"/>
        <v>-1072492.6249686978</v>
      </c>
      <c r="I125" s="319">
        <f t="shared" si="16"/>
        <v>5853368.1549271718</v>
      </c>
      <c r="J125" s="298"/>
      <c r="K125" s="298">
        <f t="shared" si="17"/>
        <v>42972.421754162933</v>
      </c>
      <c r="L125" s="318">
        <f t="shared" si="18"/>
        <v>6925860.77989587</v>
      </c>
    </row>
    <row r="126" spans="1:12" ht="14.45" customHeight="1" outlineLevel="1">
      <c r="A126" s="312">
        <v>116</v>
      </c>
      <c r="B126" s="317">
        <v>46539</v>
      </c>
      <c r="C126" s="298"/>
      <c r="D126" s="298">
        <f t="shared" si="14"/>
        <v>1128292.4667885939</v>
      </c>
      <c r="E126" s="318">
        <f t="shared" si="19"/>
        <v>-1128292.4667885939</v>
      </c>
      <c r="F126" s="318"/>
      <c r="G126" s="318">
        <f t="shared" si="15"/>
        <v>171377.68749500022</v>
      </c>
      <c r="H126" s="318">
        <f t="shared" si="20"/>
        <v>-901114.93747369759</v>
      </c>
      <c r="I126" s="319">
        <f t="shared" si="16"/>
        <v>4933622.263417366</v>
      </c>
      <c r="J126" s="298"/>
      <c r="K126" s="298">
        <f t="shared" si="17"/>
        <v>37168.887783787541</v>
      </c>
      <c r="L126" s="318">
        <f t="shared" si="18"/>
        <v>5834737.2008910635</v>
      </c>
    </row>
    <row r="127" spans="1:12" ht="14.45" customHeight="1" outlineLevel="1">
      <c r="A127" s="312">
        <v>117</v>
      </c>
      <c r="B127" s="317">
        <v>46569</v>
      </c>
      <c r="C127" s="298"/>
      <c r="D127" s="298">
        <f t="shared" si="14"/>
        <v>1128292.4667885939</v>
      </c>
      <c r="E127" s="318">
        <f t="shared" si="19"/>
        <v>-1128292.4667885939</v>
      </c>
      <c r="F127" s="318"/>
      <c r="G127" s="318">
        <f t="shared" si="15"/>
        <v>171377.68749500022</v>
      </c>
      <c r="H127" s="318">
        <f t="shared" si="20"/>
        <v>-729737.24997869739</v>
      </c>
      <c r="I127" s="319">
        <f t="shared" si="16"/>
        <v>4008035.985496473</v>
      </c>
      <c r="J127" s="298"/>
      <c r="K127" s="298">
        <f t="shared" si="17"/>
        <v>31328.501372700277</v>
      </c>
      <c r="L127" s="318">
        <f t="shared" si="18"/>
        <v>4737773.2354751704</v>
      </c>
    </row>
    <row r="128" spans="1:12" ht="14.45" customHeight="1" outlineLevel="1">
      <c r="A128" s="312">
        <v>118</v>
      </c>
      <c r="B128" s="317">
        <v>46600</v>
      </c>
      <c r="C128" s="298"/>
      <c r="D128" s="298">
        <f t="shared" si="14"/>
        <v>1128292.4667885939</v>
      </c>
      <c r="E128" s="318">
        <f t="shared" si="19"/>
        <v>-1128292.4667885939</v>
      </c>
      <c r="F128" s="318"/>
      <c r="G128" s="318">
        <f t="shared" si="15"/>
        <v>171377.68749500022</v>
      </c>
      <c r="H128" s="318">
        <f t="shared" si="20"/>
        <v>-558359.5624836972</v>
      </c>
      <c r="I128" s="319">
        <f t="shared" si="16"/>
        <v>3076572.2347107823</v>
      </c>
      <c r="J128" s="298"/>
      <c r="K128" s="298">
        <f t="shared" si="17"/>
        <v>25451.028507902607</v>
      </c>
      <c r="L128" s="318">
        <f t="shared" si="18"/>
        <v>3634931.7971944795</v>
      </c>
    </row>
    <row r="129" spans="1:12" ht="14.45" customHeight="1" outlineLevel="1">
      <c r="A129" s="312">
        <v>119</v>
      </c>
      <c r="B129" s="317">
        <v>46631</v>
      </c>
      <c r="C129" s="298"/>
      <c r="D129" s="298">
        <f t="shared" si="14"/>
        <v>1128292.4667885939</v>
      </c>
      <c r="E129" s="318">
        <f t="shared" si="19"/>
        <v>-1128292.4667885939</v>
      </c>
      <c r="F129" s="318"/>
      <c r="G129" s="318">
        <f t="shared" si="15"/>
        <v>171377.68749500022</v>
      </c>
      <c r="H129" s="318">
        <f t="shared" si="20"/>
        <v>-386981.874988697</v>
      </c>
      <c r="I129" s="319">
        <f t="shared" si="16"/>
        <v>2139193.689107602</v>
      </c>
      <c r="J129" s="298"/>
      <c r="K129" s="298">
        <f t="shared" si="17"/>
        <v>19536.233690413468</v>
      </c>
      <c r="L129" s="318">
        <f t="shared" si="18"/>
        <v>2526175.564096299</v>
      </c>
    </row>
    <row r="130" spans="1:12" ht="14.45" customHeight="1" outlineLevel="1">
      <c r="A130" s="312">
        <v>120</v>
      </c>
      <c r="B130" s="317">
        <v>46661</v>
      </c>
      <c r="C130" s="298"/>
      <c r="D130" s="298">
        <f t="shared" si="14"/>
        <v>1128292.4667885939</v>
      </c>
      <c r="E130" s="318">
        <f t="shared" si="19"/>
        <v>-1128292.4667885939</v>
      </c>
      <c r="F130" s="318"/>
      <c r="G130" s="318">
        <f t="shared" si="15"/>
        <v>171377.68749500022</v>
      </c>
      <c r="H130" s="318">
        <f t="shared" si="20"/>
        <v>-215604.18749369678</v>
      </c>
      <c r="I130" s="319">
        <f t="shared" si="16"/>
        <v>1195862.7897398416</v>
      </c>
      <c r="J130" s="298"/>
      <c r="K130" s="298">
        <f t="shared" si="17"/>
        <v>13583.879925833275</v>
      </c>
      <c r="L130" s="318">
        <f t="shared" si="18"/>
        <v>1411466.9772335384</v>
      </c>
    </row>
    <row r="131" spans="1:12" ht="14.45" customHeight="1" outlineLevel="1">
      <c r="A131" s="312">
        <v>121</v>
      </c>
      <c r="B131" s="317">
        <v>46692</v>
      </c>
      <c r="C131" s="298"/>
      <c r="D131" s="298">
        <f t="shared" si="14"/>
        <v>1128292.4667885939</v>
      </c>
      <c r="E131" s="318">
        <f t="shared" si="19"/>
        <v>-1128292.4667885939</v>
      </c>
      <c r="F131" s="318"/>
      <c r="G131" s="318">
        <f>-AVERAGE(G$11:G$71)</f>
        <v>171377.68749500022</v>
      </c>
      <c r="H131" s="318">
        <f t="shared" si="20"/>
        <v>-44226.499998696556</v>
      </c>
      <c r="I131" s="319">
        <f t="shared" si="16"/>
        <v>246541.73916109593</v>
      </c>
      <c r="J131" s="298"/>
      <c r="K131" s="298">
        <f t="shared" si="17"/>
        <v>7593.7287148479945</v>
      </c>
      <c r="L131" s="318">
        <f t="shared" si="18"/>
        <v>290768.23915979249</v>
      </c>
    </row>
    <row r="132" spans="1:12" ht="14.45" customHeight="1" outlineLevel="1">
      <c r="A132" s="312">
        <v>122</v>
      </c>
      <c r="B132" s="322" t="s">
        <v>189</v>
      </c>
      <c r="C132" s="298"/>
      <c r="D132" s="298">
        <f>$D$4*8/31</f>
        <v>291172.24949383066</v>
      </c>
      <c r="E132" s="318">
        <f t="shared" si="19"/>
        <v>-291172.24949383066</v>
      </c>
      <c r="F132" s="318"/>
      <c r="G132" s="318">
        <f>-AVERAGE(G$11:G$71)*8/31</f>
        <v>44226.499998709733</v>
      </c>
      <c r="H132" s="318">
        <f t="shared" si="20"/>
        <v>1.3176759239286184E-8</v>
      </c>
      <c r="I132" s="319">
        <f t="shared" si="16"/>
        <v>-1.739126105348987E-7</v>
      </c>
      <c r="J132" s="298"/>
      <c r="K132" s="298">
        <f>(L131+H131)*$D$3*8/31</f>
        <v>404.01033385108627</v>
      </c>
      <c r="L132" s="318">
        <f t="shared" si="18"/>
        <v>-1.8708936977418489E-7</v>
      </c>
    </row>
    <row r="133" spans="1:12">
      <c r="B133" s="299" t="s">
        <v>155</v>
      </c>
      <c r="C133" s="318">
        <f>SUM(C10:C132)</f>
        <v>48965053.569999903</v>
      </c>
      <c r="D133" s="318">
        <f>SUM(D10:D132)</f>
        <v>67697548.00731574</v>
      </c>
      <c r="E133" s="318">
        <f>SUM(E10:E132)</f>
        <v>-18732494.437315762</v>
      </c>
      <c r="F133" s="318"/>
      <c r="G133" s="318">
        <f>SUM(G10:G132)</f>
        <v>1.3176759239286184E-8</v>
      </c>
      <c r="H133" s="318"/>
      <c r="I133" s="318"/>
      <c r="J133" s="318">
        <f>SUM(J10:J132)</f>
        <v>8937894.6100000031</v>
      </c>
      <c r="K133" s="318">
        <f>SUM(K10:K132)</f>
        <v>9794599.8273156211</v>
      </c>
      <c r="L133" s="318"/>
    </row>
  </sheetData>
  <mergeCells count="1">
    <mergeCell ref="C8:G8"/>
  </mergeCells>
  <pageMargins left="0.25" right="0.25" top="0.25" bottom="0.25" header="0.25" footer="0.25"/>
  <pageSetup scale="62" firstPageNumber="6" fitToHeight="10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>
      <selection activeCell="D7" sqref="D7"/>
    </sheetView>
  </sheetViews>
  <sheetFormatPr defaultColWidth="9.140625" defaultRowHeight="12.75"/>
  <cols>
    <col min="1" max="1" width="5.7109375" style="297" customWidth="1"/>
    <col min="2" max="2" width="11.85546875" style="128" customWidth="1"/>
    <col min="3" max="3" width="49.7109375" style="128" customWidth="1"/>
    <col min="4" max="4" width="18" style="128" customWidth="1"/>
    <col min="5" max="5" width="15.28515625" style="128" bestFit="1" customWidth="1"/>
    <col min="6" max="6" width="68.42578125" style="128" customWidth="1"/>
    <col min="7" max="7" width="15.85546875" style="128" bestFit="1" customWidth="1"/>
    <col min="8" max="16384" width="9.140625" style="128"/>
  </cols>
  <sheetData>
    <row r="1" spans="1:7">
      <c r="B1" s="137" t="s">
        <v>168</v>
      </c>
    </row>
    <row r="2" spans="1:7">
      <c r="B2" s="137" t="s">
        <v>299</v>
      </c>
    </row>
    <row r="3" spans="1:7">
      <c r="B3" s="323"/>
    </row>
    <row r="4" spans="1:7">
      <c r="B4" s="137"/>
    </row>
    <row r="5" spans="1:7">
      <c r="B5" s="137"/>
    </row>
    <row r="6" spans="1:7">
      <c r="A6" s="134">
        <v>-1</v>
      </c>
      <c r="B6" s="137" t="s">
        <v>175</v>
      </c>
    </row>
    <row r="7" spans="1:7">
      <c r="A7" s="134"/>
      <c r="B7" s="137"/>
      <c r="C7" s="128" t="s">
        <v>183</v>
      </c>
      <c r="D7" s="324">
        <v>40831141.109999999</v>
      </c>
    </row>
    <row r="8" spans="1:7">
      <c r="A8" s="134"/>
      <c r="B8" s="137"/>
    </row>
    <row r="9" spans="1:7">
      <c r="B9" s="137"/>
    </row>
    <row r="10" spans="1:7">
      <c r="B10" s="137"/>
    </row>
    <row r="11" spans="1:7">
      <c r="A11" s="134">
        <f>A6-1</f>
        <v>-2</v>
      </c>
      <c r="B11" s="137" t="s">
        <v>172</v>
      </c>
    </row>
    <row r="12" spans="1:7">
      <c r="A12" s="134"/>
      <c r="B12" s="137"/>
      <c r="D12" s="366" t="s">
        <v>178</v>
      </c>
      <c r="E12" s="366"/>
    </row>
    <row r="13" spans="1:7" ht="13.5">
      <c r="C13" s="325" t="s">
        <v>158</v>
      </c>
      <c r="D13" s="325" t="s">
        <v>176</v>
      </c>
      <c r="E13" s="325" t="s">
        <v>177</v>
      </c>
      <c r="F13" s="325" t="s">
        <v>114</v>
      </c>
      <c r="G13" s="325"/>
    </row>
    <row r="14" spans="1:7" s="328" customFormat="1" ht="25.5">
      <c r="A14" s="326"/>
      <c r="B14" s="327" t="s">
        <v>115</v>
      </c>
      <c r="C14" s="328" t="s">
        <v>174</v>
      </c>
      <c r="D14" s="329">
        <v>65090127.303000003</v>
      </c>
      <c r="E14" s="329" t="s">
        <v>300</v>
      </c>
      <c r="F14" s="330" t="s">
        <v>301</v>
      </c>
    </row>
    <row r="15" spans="1:7" s="328" customFormat="1" ht="38.25">
      <c r="A15" s="326"/>
      <c r="B15" s="327" t="s">
        <v>117</v>
      </c>
      <c r="C15" s="331" t="s">
        <v>167</v>
      </c>
      <c r="D15" s="332">
        <v>881014063.745</v>
      </c>
      <c r="E15" s="332" t="s">
        <v>300</v>
      </c>
      <c r="F15" s="330" t="s">
        <v>302</v>
      </c>
    </row>
    <row r="16" spans="1:7">
      <c r="B16" s="129" t="s">
        <v>166</v>
      </c>
      <c r="C16" s="128" t="s">
        <v>165</v>
      </c>
      <c r="D16" s="126">
        <f>D14/D15</f>
        <v>7.3880917435433402E-2</v>
      </c>
      <c r="E16" s="324" t="s">
        <v>300</v>
      </c>
      <c r="F16" s="128" t="s">
        <v>158</v>
      </c>
    </row>
    <row r="17" spans="1:6">
      <c r="B17" s="129"/>
      <c r="D17" s="333"/>
      <c r="E17" s="333"/>
    </row>
    <row r="18" spans="1:6">
      <c r="B18" s="129" t="s">
        <v>123</v>
      </c>
      <c r="C18" s="128" t="s">
        <v>164</v>
      </c>
      <c r="D18" s="126">
        <v>9.2999999999999999E-2</v>
      </c>
      <c r="E18" s="126"/>
      <c r="F18" s="334" t="s">
        <v>303</v>
      </c>
    </row>
    <row r="19" spans="1:6">
      <c r="B19" s="129"/>
    </row>
    <row r="20" spans="1:6">
      <c r="B20" s="129"/>
      <c r="C20" s="128" t="s">
        <v>163</v>
      </c>
      <c r="D20" s="335"/>
      <c r="E20" s="335"/>
    </row>
    <row r="21" spans="1:6">
      <c r="B21" s="129"/>
      <c r="C21" s="128" t="s">
        <v>162</v>
      </c>
      <c r="D21" s="336"/>
      <c r="E21" s="336"/>
    </row>
    <row r="22" spans="1:6">
      <c r="B22" s="129"/>
      <c r="C22" s="175"/>
      <c r="D22" s="337"/>
      <c r="E22" s="337"/>
    </row>
    <row r="23" spans="1:6" ht="25.5">
      <c r="B23" s="129" t="s">
        <v>161</v>
      </c>
      <c r="C23" s="338" t="s">
        <v>173</v>
      </c>
      <c r="D23" s="339">
        <f>(D18*D15)-D14</f>
        <v>16844180.625285</v>
      </c>
      <c r="E23" s="340" t="s">
        <v>300</v>
      </c>
      <c r="F23" s="128" t="s">
        <v>158</v>
      </c>
    </row>
    <row r="24" spans="1:6">
      <c r="B24" s="129"/>
      <c r="C24" s="175"/>
      <c r="D24" s="341"/>
      <c r="E24" s="341"/>
    </row>
    <row r="25" spans="1:6">
      <c r="B25" s="129" t="s">
        <v>128</v>
      </c>
      <c r="C25" s="175" t="s">
        <v>160</v>
      </c>
      <c r="D25" s="334">
        <v>1.3527309999999999</v>
      </c>
      <c r="E25" s="342"/>
      <c r="F25" s="334" t="s">
        <v>303</v>
      </c>
    </row>
    <row r="26" spans="1:6" ht="13.5">
      <c r="B26" s="343"/>
      <c r="C26" s="344"/>
      <c r="D26" s="345"/>
      <c r="E26" s="345"/>
    </row>
    <row r="27" spans="1:6">
      <c r="B27" s="129" t="s">
        <v>159</v>
      </c>
      <c r="C27" s="128" t="s">
        <v>178</v>
      </c>
      <c r="D27" s="346">
        <f>D25*D23</f>
        <v>22785645.301422402</v>
      </c>
      <c r="E27" s="347" t="s">
        <v>300</v>
      </c>
      <c r="F27" s="128" t="s">
        <v>158</v>
      </c>
    </row>
    <row r="29" spans="1:6" ht="13.5">
      <c r="B29" s="343" t="s">
        <v>157</v>
      </c>
      <c r="C29" s="348" t="s">
        <v>156</v>
      </c>
      <c r="D29" s="349">
        <f>D27</f>
        <v>22785645.301422402</v>
      </c>
      <c r="E29" s="350"/>
    </row>
    <row r="31" spans="1:6">
      <c r="A31" s="134">
        <v>-3</v>
      </c>
      <c r="B31" s="137" t="s">
        <v>179</v>
      </c>
      <c r="D31" s="324"/>
      <c r="E31" s="347" t="s">
        <v>300</v>
      </c>
    </row>
    <row r="33" spans="4:4">
      <c r="D33" s="128" t="s">
        <v>45</v>
      </c>
    </row>
  </sheetData>
  <customSheetViews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3"/>
    </customSheetView>
  </customSheetViews>
  <mergeCells count="1">
    <mergeCell ref="D12:E12"/>
  </mergeCells>
  <pageMargins left="0.7" right="0.7" top="0.75" bottom="0.75" header="0.3" footer="0.3"/>
  <pageSetup scale="63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zoomScaleNormal="100" workbookViewId="0">
      <selection activeCell="G23" sqref="G23"/>
    </sheetView>
  </sheetViews>
  <sheetFormatPr defaultColWidth="9.140625" defaultRowHeight="12.75"/>
  <cols>
    <col min="1" max="1" width="6.28515625" style="129" customWidth="1"/>
    <col min="2" max="2" width="34" style="128" customWidth="1"/>
    <col min="3" max="3" width="15.7109375" style="128" customWidth="1"/>
    <col min="4" max="4" width="16.28515625" style="128" customWidth="1"/>
    <col min="5" max="5" width="13.140625" style="128" customWidth="1"/>
    <col min="6" max="6" width="14.7109375" style="128" customWidth="1"/>
    <col min="7" max="7" width="15.28515625" style="131" bestFit="1" customWidth="1"/>
    <col min="8" max="8" width="13.140625" style="128" bestFit="1" customWidth="1"/>
    <col min="9" max="9" width="4.28515625" style="128" customWidth="1"/>
    <col min="10" max="10" width="9.140625" style="128"/>
    <col min="11" max="11" width="13.28515625" style="128" bestFit="1" customWidth="1"/>
    <col min="12" max="12" width="21.42578125" style="128" bestFit="1" customWidth="1"/>
    <col min="13" max="13" width="43.5703125" style="128" bestFit="1" customWidth="1"/>
    <col min="14" max="14" width="13.28515625" style="128" bestFit="1" customWidth="1"/>
    <col min="15" max="15" width="10" style="128" bestFit="1" customWidth="1"/>
    <col min="16" max="16" width="9.140625" style="128"/>
    <col min="17" max="17" width="12.5703125" style="128" bestFit="1" customWidth="1"/>
    <col min="18" max="18" width="9.140625" style="128"/>
    <col min="19" max="19" width="10" style="128" bestFit="1" customWidth="1"/>
    <col min="20" max="16384" width="9.140625" style="128"/>
  </cols>
  <sheetData>
    <row r="1" spans="1:19">
      <c r="G1" s="130" t="s">
        <v>96</v>
      </c>
    </row>
    <row r="3" spans="1:19">
      <c r="A3" s="351" t="s">
        <v>0</v>
      </c>
      <c r="B3" s="351"/>
      <c r="C3" s="351"/>
      <c r="D3" s="351"/>
      <c r="E3" s="351"/>
      <c r="F3" s="351"/>
      <c r="G3" s="351"/>
    </row>
    <row r="4" spans="1:19">
      <c r="A4" s="355" t="s">
        <v>256</v>
      </c>
      <c r="B4" s="355"/>
      <c r="C4" s="355"/>
      <c r="D4" s="355"/>
      <c r="E4" s="355"/>
      <c r="F4" s="355"/>
      <c r="G4" s="355"/>
    </row>
    <row r="5" spans="1:19">
      <c r="A5" s="355" t="s">
        <v>308</v>
      </c>
      <c r="B5" s="355"/>
      <c r="C5" s="355"/>
      <c r="D5" s="355"/>
      <c r="E5" s="355"/>
      <c r="F5" s="355"/>
      <c r="G5" s="355"/>
    </row>
    <row r="6" spans="1:19" ht="12.75" customHeight="1">
      <c r="A6" s="351" t="s">
        <v>314</v>
      </c>
      <c r="B6" s="351"/>
      <c r="C6" s="351"/>
      <c r="D6" s="351"/>
      <c r="E6" s="351"/>
      <c r="F6" s="351"/>
      <c r="G6" s="351"/>
    </row>
    <row r="7" spans="1:19">
      <c r="A7" s="167"/>
      <c r="B7" s="167"/>
      <c r="C7" s="167"/>
      <c r="D7" s="167"/>
      <c r="E7" s="167"/>
      <c r="F7" s="167"/>
      <c r="G7" s="167"/>
      <c r="L7" s="129"/>
      <c r="M7" s="129"/>
    </row>
    <row r="8" spans="1:19">
      <c r="A8" s="132" t="s">
        <v>103</v>
      </c>
    </row>
    <row r="9" spans="1:19" s="166" customFormat="1">
      <c r="A9" s="134">
        <v>-1</v>
      </c>
      <c r="B9" s="352" t="s">
        <v>295</v>
      </c>
      <c r="C9" s="352"/>
      <c r="D9" s="352"/>
      <c r="E9" s="352"/>
      <c r="F9" s="352"/>
      <c r="G9" s="168">
        <f>'PPA Form 3.0'!G22+'PPA Form 3.0'!G29+'PPA Form 3.0'!G31</f>
        <v>116724304.57782549</v>
      </c>
      <c r="K9" s="169"/>
      <c r="L9" s="170"/>
      <c r="M9" s="171"/>
    </row>
    <row r="10" spans="1:19" s="166" customFormat="1">
      <c r="A10" s="244"/>
      <c r="B10" s="243"/>
      <c r="C10" s="243"/>
      <c r="D10" s="243"/>
      <c r="E10" s="243"/>
      <c r="F10" s="243"/>
      <c r="G10" s="168"/>
      <c r="L10" s="170"/>
      <c r="M10" s="171"/>
    </row>
    <row r="11" spans="1:19" s="166" customFormat="1" ht="14.45" customHeight="1">
      <c r="A11" s="134">
        <f>A9-1</f>
        <v>-2</v>
      </c>
      <c r="B11" s="172" t="s">
        <v>169</v>
      </c>
      <c r="C11" s="243"/>
      <c r="D11" s="243"/>
      <c r="E11" s="243"/>
      <c r="F11" s="243"/>
      <c r="G11" s="168">
        <f>'PPA Form 3.0'!G23+'PPA Form 3.0'!G30</f>
        <v>98165700.365098864</v>
      </c>
      <c r="K11" s="171"/>
      <c r="L11" s="170"/>
      <c r="M11" s="171"/>
    </row>
    <row r="12" spans="1:19" s="166" customFormat="1">
      <c r="A12" s="244"/>
      <c r="B12" s="243"/>
      <c r="C12" s="243"/>
      <c r="D12" s="243"/>
      <c r="E12" s="243"/>
      <c r="F12" s="243"/>
      <c r="G12" s="168"/>
      <c r="L12" s="170"/>
      <c r="M12" s="171"/>
    </row>
    <row r="13" spans="1:19" s="166" customFormat="1">
      <c r="A13" s="134">
        <f>A11-1</f>
        <v>-3</v>
      </c>
      <c r="B13" s="172" t="s">
        <v>286</v>
      </c>
      <c r="C13" s="243"/>
      <c r="D13" s="243"/>
      <c r="E13" s="243"/>
      <c r="F13" s="243"/>
      <c r="G13" s="168">
        <f>'PPA Form 3.0'!G33</f>
        <v>18558604.212726615</v>
      </c>
      <c r="K13" s="171"/>
      <c r="L13" s="170"/>
      <c r="M13" s="171"/>
      <c r="S13" s="171"/>
    </row>
    <row r="14" spans="1:19" s="166" customFormat="1">
      <c r="A14" s="134"/>
      <c r="B14" s="172"/>
      <c r="C14" s="243"/>
      <c r="D14" s="243"/>
      <c r="E14" s="243"/>
      <c r="F14" s="243"/>
      <c r="G14" s="168"/>
      <c r="K14" s="173"/>
      <c r="L14" s="170"/>
      <c r="M14" s="171"/>
    </row>
    <row r="15" spans="1:19" s="166" customFormat="1">
      <c r="A15" s="134">
        <f>A13-1</f>
        <v>-4</v>
      </c>
      <c r="B15" s="172" t="s">
        <v>287</v>
      </c>
      <c r="C15" s="243"/>
      <c r="D15" s="243"/>
      <c r="E15" s="243"/>
      <c r="F15" s="243"/>
      <c r="G15" s="168">
        <v>0</v>
      </c>
      <c r="K15" s="173"/>
      <c r="L15" s="170"/>
      <c r="M15" s="171"/>
    </row>
    <row r="16" spans="1:19" s="166" customFormat="1">
      <c r="A16" s="134"/>
      <c r="B16" s="172"/>
      <c r="C16" s="243"/>
      <c r="D16" s="243"/>
      <c r="E16" s="243"/>
      <c r="F16" s="243"/>
      <c r="G16" s="168"/>
      <c r="L16" s="170"/>
      <c r="M16" s="171"/>
    </row>
    <row r="17" spans="1:15" s="166" customFormat="1">
      <c r="A17" s="134">
        <f>A15-1</f>
        <v>-5</v>
      </c>
      <c r="B17" s="172" t="s">
        <v>185</v>
      </c>
      <c r="C17" s="243"/>
      <c r="D17" s="243"/>
      <c r="E17" s="243"/>
      <c r="F17" s="243"/>
      <c r="G17" s="168">
        <v>-40831141</v>
      </c>
      <c r="L17" s="170"/>
      <c r="M17" s="171"/>
    </row>
    <row r="18" spans="1:15" s="166" customFormat="1">
      <c r="A18" s="244"/>
      <c r="B18" s="243"/>
      <c r="C18" s="243"/>
      <c r="D18" s="243"/>
      <c r="E18" s="243"/>
      <c r="F18" s="243"/>
      <c r="G18" s="168"/>
      <c r="L18" s="170"/>
      <c r="M18" s="171"/>
    </row>
    <row r="19" spans="1:15" s="166" customFormat="1">
      <c r="A19" s="134">
        <f>A17-1</f>
        <v>-6</v>
      </c>
      <c r="B19" s="166" t="s">
        <v>184</v>
      </c>
      <c r="G19" s="171">
        <f>G13+G15+G17</f>
        <v>-22272536.787273385</v>
      </c>
      <c r="H19" s="171"/>
      <c r="I19" s="171"/>
      <c r="L19" s="170"/>
      <c r="M19" s="171"/>
    </row>
    <row r="20" spans="1:15" s="166" customFormat="1">
      <c r="A20" s="134"/>
    </row>
    <row r="21" spans="1:15" s="166" customFormat="1">
      <c r="A21" s="134">
        <f>A19-1</f>
        <v>-7</v>
      </c>
      <c r="B21" s="172" t="s">
        <v>279</v>
      </c>
      <c r="C21" s="243"/>
      <c r="D21" s="243"/>
      <c r="E21" s="243"/>
      <c r="F21" s="243"/>
      <c r="G21" s="168">
        <f>G19*0.006093</f>
        <v>-135706.56664485674</v>
      </c>
    </row>
    <row r="22" spans="1:15" s="166" customFormat="1">
      <c r="A22" s="134"/>
      <c r="B22" s="172"/>
      <c r="C22" s="243"/>
      <c r="D22" s="243"/>
      <c r="E22" s="243"/>
      <c r="F22" s="243"/>
      <c r="G22" s="168"/>
    </row>
    <row r="23" spans="1:15">
      <c r="A23" s="134">
        <f>A21-1</f>
        <v>-8</v>
      </c>
      <c r="B23" s="172" t="s">
        <v>186</v>
      </c>
      <c r="C23" s="243"/>
      <c r="D23" s="243"/>
      <c r="E23" s="243"/>
      <c r="F23" s="243"/>
      <c r="G23" s="168">
        <f>'Rockport Deferral'!D5</f>
        <v>13539509.601463126</v>
      </c>
      <c r="H23" s="166"/>
      <c r="I23" s="166"/>
      <c r="J23" s="166"/>
      <c r="K23" s="166"/>
    </row>
    <row r="24" spans="1:15" s="166" customFormat="1">
      <c r="A24" s="134"/>
      <c r="B24" s="172"/>
      <c r="C24" s="243"/>
      <c r="D24" s="243"/>
      <c r="E24" s="243"/>
      <c r="F24" s="243"/>
      <c r="G24" s="168"/>
    </row>
    <row r="25" spans="1:15" s="166" customFormat="1">
      <c r="A25" s="134">
        <f>A23-1</f>
        <v>-9</v>
      </c>
      <c r="B25" s="172" t="s">
        <v>180</v>
      </c>
      <c r="C25" s="243"/>
      <c r="D25" s="243"/>
      <c r="E25" s="243"/>
      <c r="F25" s="243"/>
      <c r="G25" s="168">
        <f>'Rockport Savings-Offset'!D29</f>
        <v>22785645.301422402</v>
      </c>
    </row>
    <row r="26" spans="1:15" s="166" customFormat="1">
      <c r="A26" s="134"/>
      <c r="B26" s="172"/>
      <c r="C26" s="243"/>
      <c r="D26" s="243"/>
      <c r="E26" s="243"/>
      <c r="F26" s="243"/>
      <c r="G26" s="168"/>
    </row>
    <row r="27" spans="1:15" s="166" customFormat="1">
      <c r="A27" s="134">
        <f>A25-1</f>
        <v>-10</v>
      </c>
      <c r="B27" s="172" t="s">
        <v>181</v>
      </c>
      <c r="C27" s="243"/>
      <c r="D27" s="243"/>
      <c r="E27" s="243"/>
      <c r="F27" s="243"/>
      <c r="G27" s="168">
        <v>0</v>
      </c>
      <c r="H27" s="166" t="s">
        <v>195</v>
      </c>
    </row>
    <row r="28" spans="1:15" s="166" customFormat="1">
      <c r="A28" s="134"/>
      <c r="B28" s="172"/>
      <c r="C28" s="183"/>
      <c r="D28" s="183"/>
      <c r="E28" s="183"/>
      <c r="F28" s="183"/>
      <c r="G28" s="168"/>
    </row>
    <row r="29" spans="1:15" s="166" customFormat="1">
      <c r="A29" s="134">
        <f>A27-1</f>
        <v>-11</v>
      </c>
      <c r="B29" s="172" t="s">
        <v>182</v>
      </c>
      <c r="C29" s="183"/>
      <c r="D29" s="183"/>
      <c r="E29" s="183"/>
      <c r="F29" s="183"/>
      <c r="G29" s="168">
        <f>G19+G21+G23+G25+G27</f>
        <v>13916911.548967285</v>
      </c>
      <c r="O29" s="171"/>
    </row>
    <row r="30" spans="1:15" s="166" customFormat="1" ht="14.1" customHeight="1">
      <c r="A30" s="134"/>
      <c r="B30" s="172"/>
      <c r="C30" s="183"/>
      <c r="D30" s="183"/>
      <c r="E30" s="183"/>
      <c r="F30" s="183"/>
      <c r="G30" s="168"/>
    </row>
    <row r="31" spans="1:15" s="166" customFormat="1">
      <c r="A31" s="134">
        <f>A29-1</f>
        <v>-12</v>
      </c>
      <c r="B31" s="128" t="s">
        <v>296</v>
      </c>
      <c r="C31" s="128"/>
      <c r="D31" s="128"/>
      <c r="E31" s="128"/>
      <c r="F31" s="128"/>
      <c r="G31" s="168">
        <f>'PPA Form 4.0'!G22</f>
        <v>20956127.23008306</v>
      </c>
      <c r="H31" s="128"/>
      <c r="J31" s="128"/>
    </row>
    <row r="32" spans="1:15" s="166" customFormat="1">
      <c r="A32" s="134" t="s">
        <v>45</v>
      </c>
      <c r="B32" s="128"/>
      <c r="C32" s="128"/>
      <c r="D32" s="128"/>
      <c r="E32" s="128"/>
      <c r="F32" s="128"/>
      <c r="G32" s="168"/>
      <c r="H32" s="128"/>
      <c r="J32" s="128"/>
      <c r="N32" s="173"/>
    </row>
    <row r="33" spans="1:17" s="166" customFormat="1" ht="13.9" customHeight="1">
      <c r="A33" s="134">
        <f>A31-1</f>
        <v>-13</v>
      </c>
      <c r="B33" s="128" t="s">
        <v>112</v>
      </c>
      <c r="C33" s="128"/>
      <c r="D33" s="128"/>
      <c r="E33" s="128"/>
      <c r="F33" s="128"/>
      <c r="G33" s="245">
        <f>(3/12)*14559836+(9/12)*23062820</f>
        <v>20937074</v>
      </c>
      <c r="J33" s="128"/>
      <c r="K33" s="128"/>
      <c r="N33" s="171"/>
    </row>
    <row r="34" spans="1:17" s="166" customFormat="1" ht="18.600000000000001" customHeight="1">
      <c r="A34" s="134"/>
      <c r="B34" s="128"/>
      <c r="C34" s="128"/>
      <c r="D34" s="128"/>
      <c r="E34" s="128"/>
      <c r="F34" s="128"/>
      <c r="G34" s="168"/>
      <c r="H34" s="128"/>
      <c r="J34" s="128"/>
      <c r="K34" s="128"/>
      <c r="N34" s="173"/>
      <c r="Q34" s="173"/>
    </row>
    <row r="35" spans="1:17" s="166" customFormat="1" ht="13.5" thickBot="1">
      <c r="A35" s="134">
        <f>A33-1</f>
        <v>-14</v>
      </c>
      <c r="B35" s="128" t="s">
        <v>257</v>
      </c>
      <c r="C35" s="128"/>
      <c r="D35" s="128"/>
      <c r="E35" s="128"/>
      <c r="F35" s="128"/>
      <c r="G35" s="185">
        <f>G29-G31+G33</f>
        <v>13897858.318884226</v>
      </c>
      <c r="H35" s="128"/>
      <c r="J35" s="128"/>
      <c r="K35" s="128"/>
    </row>
    <row r="36" spans="1:17" ht="13.5" thickTop="1">
      <c r="H36" s="166"/>
      <c r="I36" s="166"/>
      <c r="J36" s="166"/>
      <c r="K36" s="166"/>
    </row>
    <row r="37" spans="1:17">
      <c r="I37" s="166"/>
    </row>
    <row r="38" spans="1:17">
      <c r="B38" s="127" t="s">
        <v>8</v>
      </c>
      <c r="C38" s="128" t="s">
        <v>3</v>
      </c>
      <c r="D38" s="174">
        <f>G35*'PPA Form 3.0'!C38</f>
        <v>13149840.104064064</v>
      </c>
      <c r="E38" s="174"/>
      <c r="F38" s="175"/>
      <c r="I38" s="166"/>
    </row>
    <row r="39" spans="1:17">
      <c r="B39" s="127" t="s">
        <v>9</v>
      </c>
      <c r="C39" s="128" t="s">
        <v>5</v>
      </c>
      <c r="D39" s="186">
        <f>G35*'PPA Form 3.0'!C39</f>
        <v>748018.21482016088</v>
      </c>
      <c r="E39" s="174"/>
      <c r="F39" s="175"/>
    </row>
    <row r="40" spans="1:17">
      <c r="D40" s="176">
        <f>SUM(D38:D39)</f>
        <v>13897858.318884226</v>
      </c>
      <c r="E40" s="174"/>
    </row>
    <row r="41" spans="1:17">
      <c r="D41" s="176"/>
      <c r="E41" s="176"/>
    </row>
    <row r="42" spans="1:17">
      <c r="D42" s="176"/>
      <c r="E42" s="176"/>
    </row>
    <row r="43" spans="1:17">
      <c r="A43" s="127"/>
      <c r="D43" s="176"/>
      <c r="E43" s="176"/>
    </row>
    <row r="44" spans="1:17">
      <c r="A44" s="127" t="s">
        <v>190</v>
      </c>
      <c r="B44" s="166" t="s">
        <v>191</v>
      </c>
    </row>
    <row r="45" spans="1:17">
      <c r="A45" s="127" t="s">
        <v>58</v>
      </c>
      <c r="B45" s="128" t="s">
        <v>315</v>
      </c>
      <c r="D45" s="177"/>
      <c r="F45" s="177"/>
      <c r="G45" s="177"/>
    </row>
    <row r="46" spans="1:17">
      <c r="D46" s="178"/>
      <c r="F46" s="179"/>
      <c r="G46" s="180"/>
    </row>
    <row r="47" spans="1:17">
      <c r="D47" s="178"/>
      <c r="F47" s="179"/>
      <c r="G47" s="180"/>
    </row>
    <row r="48" spans="1:17">
      <c r="D48" s="178"/>
      <c r="F48" s="179"/>
      <c r="G48" s="180"/>
    </row>
    <row r="49" spans="4:7">
      <c r="D49" s="178"/>
      <c r="F49" s="179"/>
      <c r="G49" s="180"/>
    </row>
    <row r="50" spans="4:7">
      <c r="D50" s="178"/>
      <c r="F50" s="179"/>
      <c r="G50" s="180"/>
    </row>
    <row r="51" spans="4:7">
      <c r="D51" s="178"/>
      <c r="F51" s="179"/>
      <c r="G51" s="180"/>
    </row>
    <row r="52" spans="4:7">
      <c r="D52" s="178"/>
      <c r="F52" s="179"/>
      <c r="G52" s="180"/>
    </row>
    <row r="53" spans="4:7">
      <c r="D53" s="178"/>
      <c r="F53" s="179"/>
      <c r="G53" s="180"/>
    </row>
    <row r="54" spans="4:7">
      <c r="D54" s="178"/>
      <c r="F54" s="179"/>
      <c r="G54" s="180"/>
    </row>
    <row r="55" spans="4:7">
      <c r="D55" s="178"/>
      <c r="F55" s="179"/>
      <c r="G55" s="180"/>
    </row>
  </sheetData>
  <customSheetViews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3"/>
    </customSheetView>
  </customSheetViews>
  <mergeCells count="5">
    <mergeCell ref="B9:F9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51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opLeftCell="A2" zoomScale="80" zoomScaleNormal="80" workbookViewId="0">
      <selection activeCell="N20" sqref="N20"/>
    </sheetView>
  </sheetViews>
  <sheetFormatPr defaultColWidth="9.140625" defaultRowHeight="15"/>
  <cols>
    <col min="1" max="1" width="2.5703125" style="247" customWidth="1"/>
    <col min="2" max="2" width="30.5703125" style="247" customWidth="1"/>
    <col min="3" max="3" width="23.28515625" style="247" customWidth="1"/>
    <col min="4" max="4" width="19.42578125" style="247" bestFit="1" customWidth="1"/>
    <col min="5" max="5" width="17.140625" style="247" bestFit="1" customWidth="1"/>
    <col min="6" max="6" width="16.85546875" style="247" customWidth="1"/>
    <col min="7" max="7" width="21.85546875" style="247" customWidth="1"/>
    <col min="8" max="8" width="20.42578125" style="247" bestFit="1" customWidth="1"/>
    <col min="9" max="9" width="18" style="247" bestFit="1" customWidth="1"/>
    <col min="10" max="10" width="1.7109375" style="247" customWidth="1"/>
    <col min="11" max="11" width="15.28515625" style="247" customWidth="1"/>
    <col min="12" max="12" width="2.5703125" style="247" bestFit="1" customWidth="1"/>
    <col min="13" max="13" width="22.85546875" style="247" bestFit="1" customWidth="1"/>
    <col min="14" max="14" width="18.28515625" style="247" customWidth="1"/>
    <col min="15" max="15" width="17" style="247" customWidth="1"/>
    <col min="16" max="16" width="9.5703125" style="247" bestFit="1" customWidth="1"/>
    <col min="17" max="16384" width="9.140625" style="247"/>
  </cols>
  <sheetData>
    <row r="1" spans="2:14" ht="18.75">
      <c r="B1" s="356" t="s">
        <v>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2:14" ht="18.75">
      <c r="B2" s="356" t="s">
        <v>95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</row>
    <row r="3" spans="2:14" ht="20.45" customHeight="1"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</row>
    <row r="4" spans="2:14" ht="15.6" customHeight="1"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 t="s">
        <v>106</v>
      </c>
    </row>
    <row r="5" spans="2:14" s="251" customFormat="1" ht="15.75"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2:14" s="251" customFormat="1" ht="16.5" thickBot="1"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2:14" s="257" customFormat="1" ht="18.75">
      <c r="B7" s="252"/>
      <c r="C7" s="252"/>
      <c r="D7" s="252"/>
      <c r="E7" s="253"/>
      <c r="F7" s="254"/>
      <c r="G7" s="255" t="s">
        <v>3</v>
      </c>
      <c r="H7" s="255" t="s">
        <v>5</v>
      </c>
      <c r="I7" s="255" t="s">
        <v>6</v>
      </c>
      <c r="J7" s="256"/>
      <c r="K7" s="252"/>
      <c r="L7" s="252"/>
      <c r="M7" s="252"/>
    </row>
    <row r="8" spans="2:14" s="257" customFormat="1" ht="18.75">
      <c r="B8" s="252"/>
      <c r="C8" s="252"/>
      <c r="D8" s="252"/>
      <c r="E8" s="258" t="s">
        <v>10</v>
      </c>
      <c r="F8" s="259"/>
      <c r="G8" s="260"/>
      <c r="H8" s="260"/>
      <c r="I8" s="260"/>
      <c r="J8" s="261"/>
      <c r="K8" s="252"/>
      <c r="L8" s="252"/>
      <c r="M8" s="252"/>
    </row>
    <row r="9" spans="2:14" s="257" customFormat="1" ht="19.5" thickBot="1">
      <c r="C9" s="252"/>
      <c r="D9" s="252"/>
      <c r="E9" s="262" t="s">
        <v>7</v>
      </c>
      <c r="F9" s="263"/>
      <c r="G9" s="264">
        <f>'PPA Form 1.0'!D38</f>
        <v>13149840.104064064</v>
      </c>
      <c r="H9" s="264">
        <f>'PPA Form 1.0'!D39</f>
        <v>748018.21482016088</v>
      </c>
      <c r="I9" s="264">
        <f>G9+H9</f>
        <v>13897858.318884226</v>
      </c>
      <c r="J9" s="265"/>
      <c r="K9" s="252"/>
      <c r="L9" s="252"/>
      <c r="M9" s="252"/>
    </row>
    <row r="10" spans="2:14" s="257" customFormat="1" ht="18.75">
      <c r="B10" s="252"/>
      <c r="C10" s="252"/>
      <c r="D10" s="252"/>
      <c r="E10" s="252"/>
      <c r="F10" s="266"/>
      <c r="G10" s="266"/>
      <c r="H10" s="266"/>
      <c r="I10" s="252"/>
      <c r="J10" s="252"/>
      <c r="K10" s="252"/>
      <c r="L10" s="252"/>
      <c r="M10" s="252"/>
    </row>
    <row r="11" spans="2:14" s="257" customFormat="1" ht="18.75"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</row>
    <row r="12" spans="2:14" s="257" customFormat="1" ht="18.75"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</row>
    <row r="13" spans="2:14" s="257" customFormat="1" ht="18.75">
      <c r="B13" s="267"/>
      <c r="E13" s="267"/>
      <c r="F13" s="267" t="s">
        <v>11</v>
      </c>
      <c r="G13" s="267" t="s">
        <v>12</v>
      </c>
      <c r="H13" s="267" t="s">
        <v>12</v>
      </c>
      <c r="K13" s="267"/>
      <c r="L13" s="267"/>
    </row>
    <row r="14" spans="2:14" s="257" customFormat="1" ht="18.75">
      <c r="B14" s="267"/>
      <c r="C14" s="267" t="s">
        <v>13</v>
      </c>
      <c r="D14" s="267" t="s">
        <v>13</v>
      </c>
      <c r="E14" s="267" t="s">
        <v>14</v>
      </c>
      <c r="F14" s="267" t="s">
        <v>3</v>
      </c>
      <c r="G14" s="267" t="s">
        <v>3</v>
      </c>
      <c r="H14" s="267" t="s">
        <v>5</v>
      </c>
      <c r="K14" s="267"/>
      <c r="L14" s="267"/>
    </row>
    <row r="15" spans="2:14" s="257" customFormat="1" ht="18.75">
      <c r="B15" s="267"/>
      <c r="C15" s="267" t="s">
        <v>15</v>
      </c>
      <c r="D15" s="267" t="s">
        <v>15</v>
      </c>
      <c r="E15" s="267" t="s">
        <v>16</v>
      </c>
      <c r="F15" s="267" t="s">
        <v>17</v>
      </c>
      <c r="G15" s="267" t="s">
        <v>18</v>
      </c>
      <c r="H15" s="267" t="s">
        <v>18</v>
      </c>
      <c r="I15" s="267" t="s">
        <v>19</v>
      </c>
      <c r="J15" s="267"/>
      <c r="K15" s="267" t="s">
        <v>20</v>
      </c>
      <c r="L15" s="267"/>
      <c r="M15" s="267" t="s">
        <v>21</v>
      </c>
    </row>
    <row r="16" spans="2:14" s="257" customFormat="1" ht="18.75">
      <c r="B16" s="268" t="s">
        <v>22</v>
      </c>
      <c r="C16" s="268" t="s">
        <v>5</v>
      </c>
      <c r="D16" s="268" t="s">
        <v>3</v>
      </c>
      <c r="E16" s="268" t="s">
        <v>23</v>
      </c>
      <c r="F16" s="268" t="s">
        <v>24</v>
      </c>
      <c r="G16" s="268" t="s">
        <v>25</v>
      </c>
      <c r="H16" s="268" t="s">
        <v>25</v>
      </c>
      <c r="I16" s="268" t="s">
        <v>26</v>
      </c>
      <c r="J16" s="268"/>
      <c r="K16" s="268" t="s">
        <v>26</v>
      </c>
      <c r="L16" s="268"/>
      <c r="M16" s="268" t="s">
        <v>27</v>
      </c>
      <c r="N16" s="268" t="s">
        <v>28</v>
      </c>
    </row>
    <row r="17" spans="2:14" s="257" customFormat="1" ht="18.75">
      <c r="B17" s="269">
        <v>-1</v>
      </c>
      <c r="C17" s="269">
        <v>-2</v>
      </c>
      <c r="D17" s="269">
        <v>-3</v>
      </c>
      <c r="E17" s="270">
        <v>-4</v>
      </c>
      <c r="F17" s="270" t="s">
        <v>29</v>
      </c>
      <c r="G17" s="269">
        <v>-6</v>
      </c>
      <c r="H17" s="269">
        <v>-7</v>
      </c>
      <c r="I17" s="270" t="s">
        <v>30</v>
      </c>
      <c r="J17" s="270"/>
      <c r="K17" s="270" t="s">
        <v>31</v>
      </c>
      <c r="L17" s="269"/>
      <c r="M17" s="269">
        <v>-10</v>
      </c>
      <c r="N17" s="270" t="s">
        <v>32</v>
      </c>
    </row>
    <row r="18" spans="2:14" s="257" customFormat="1" ht="18.75">
      <c r="C18" s="269"/>
      <c r="D18" s="269"/>
      <c r="E18" s="270"/>
      <c r="G18" s="269" t="s">
        <v>33</v>
      </c>
      <c r="H18" s="269" t="s">
        <v>34</v>
      </c>
      <c r="K18" s="269"/>
      <c r="L18" s="269"/>
      <c r="N18" s="270" t="s">
        <v>35</v>
      </c>
    </row>
    <row r="19" spans="2:14" s="257" customFormat="1" ht="18" customHeight="1"/>
    <row r="20" spans="2:14" s="257" customFormat="1" ht="22.5" customHeight="1">
      <c r="B20" s="257" t="s">
        <v>36</v>
      </c>
      <c r="C20" s="271">
        <f>'Input Sheet'!C6</f>
        <v>1950552428</v>
      </c>
      <c r="D20" s="271"/>
      <c r="E20" s="272">
        <v>2.4279999999999999E-4</v>
      </c>
      <c r="F20" s="273">
        <f>ROUND(C20*E20,0)</f>
        <v>473594</v>
      </c>
      <c r="G20" s="274">
        <f>ROUND(G$9*(F20/F$29),0)</f>
        <v>6602062</v>
      </c>
      <c r="H20" s="274">
        <f>ROUND(H$9*(C20/C$29),0)</f>
        <v>280284</v>
      </c>
      <c r="I20" s="275">
        <f>ROUND(IF(D20&gt;0,G20/D20,0),2)</f>
        <v>0</v>
      </c>
      <c r="J20" s="273"/>
      <c r="K20" s="276">
        <f>ROUND(IF(D20&gt;0,H20/C20,(G20+H20)/C20),5)</f>
        <v>3.5300000000000002E-3</v>
      </c>
      <c r="L20" s="277"/>
      <c r="M20" s="274">
        <f>(C20*K20)+(D20*I20)</f>
        <v>6885450.0708400002</v>
      </c>
      <c r="N20" s="278">
        <f>M20-H20-G20</f>
        <v>3104.0708400001749</v>
      </c>
    </row>
    <row r="21" spans="2:14" s="257" customFormat="1" ht="19.899999999999999" customHeight="1">
      <c r="B21" s="257" t="s">
        <v>93</v>
      </c>
      <c r="C21" s="271">
        <f>'Input Sheet'!C7</f>
        <v>621062180</v>
      </c>
      <c r="D21" s="271"/>
      <c r="E21" s="272">
        <v>1.962E-4</v>
      </c>
      <c r="F21" s="273">
        <f>ROUND(C21*E21,0)</f>
        <v>121852</v>
      </c>
      <c r="G21" s="279">
        <f t="shared" ref="G21:G27" si="0">ROUND(G$9*(F21/F$29),0)</f>
        <v>1698658</v>
      </c>
      <c r="H21" s="279">
        <f t="shared" ref="H21:H27" si="1">ROUND(H$9*(C21/C$29),0)</f>
        <v>89243</v>
      </c>
      <c r="I21" s="275">
        <f t="shared" ref="I21:I27" si="2">ROUND(IF(D21&gt;0,G21/D21,0),2)</f>
        <v>0</v>
      </c>
      <c r="J21" s="273"/>
      <c r="K21" s="276">
        <f>ROUND(IF(D21&gt;0,H21/C21,(G21+H21)/C21),5)</f>
        <v>2.8800000000000002E-3</v>
      </c>
      <c r="L21" s="280"/>
      <c r="M21" s="279">
        <f>(C21*K21)+(D21*I21)</f>
        <v>1788659.0784</v>
      </c>
      <c r="N21" s="278">
        <f>M21-H21-G21</f>
        <v>758.07839999999851</v>
      </c>
    </row>
    <row r="22" spans="2:14" s="257" customFormat="1" ht="19.899999999999999" customHeight="1">
      <c r="B22" s="257" t="s">
        <v>37</v>
      </c>
      <c r="C22" s="271">
        <f>'Input Sheet'!C8</f>
        <v>493155443</v>
      </c>
      <c r="D22" s="271">
        <f>'Input Sheet'!D8</f>
        <v>1502999</v>
      </c>
      <c r="E22" s="272">
        <v>1.7980000000000001E-4</v>
      </c>
      <c r="F22" s="273">
        <f t="shared" ref="F22:F27" si="3">ROUND(C22*E22,0)</f>
        <v>88669</v>
      </c>
      <c r="G22" s="279">
        <f t="shared" si="0"/>
        <v>1236076</v>
      </c>
      <c r="H22" s="279">
        <f t="shared" si="1"/>
        <v>70864</v>
      </c>
      <c r="I22" s="275">
        <f>ROUND(IF(D22&gt;0,G22/D22,0),2)</f>
        <v>0.82</v>
      </c>
      <c r="J22" s="273"/>
      <c r="K22" s="276">
        <f>ROUND(IF(D22&gt;0,H22/C22,(G22+H22)/C22),5)</f>
        <v>1.3999999999999999E-4</v>
      </c>
      <c r="L22" s="277"/>
      <c r="M22" s="279">
        <f t="shared" ref="M22:M27" si="4">(C22*K22)+(D22*I22)</f>
        <v>1301500.94202</v>
      </c>
      <c r="N22" s="278">
        <f>M22-H22-G22</f>
        <v>-5439.0579800000414</v>
      </c>
    </row>
    <row r="23" spans="2:14" s="257" customFormat="1" ht="18.75">
      <c r="B23" s="257" t="s">
        <v>38</v>
      </c>
      <c r="C23" s="271">
        <f>'Input Sheet'!C9</f>
        <v>1818646</v>
      </c>
      <c r="D23" s="271"/>
      <c r="E23" s="272">
        <f>E22</f>
        <v>1.7980000000000001E-4</v>
      </c>
      <c r="F23" s="273">
        <f t="shared" si="3"/>
        <v>327</v>
      </c>
      <c r="G23" s="279">
        <f t="shared" si="0"/>
        <v>4558</v>
      </c>
      <c r="H23" s="279">
        <f t="shared" si="1"/>
        <v>261</v>
      </c>
      <c r="I23" s="275">
        <f t="shared" si="2"/>
        <v>0</v>
      </c>
      <c r="J23" s="273"/>
      <c r="K23" s="276">
        <f t="shared" ref="K23:K27" si="5">ROUND(IF(D23&gt;0,H23/C23,(G23+H23)/C23),5)</f>
        <v>2.65E-3</v>
      </c>
      <c r="L23" s="280"/>
      <c r="M23" s="279">
        <f t="shared" si="4"/>
        <v>4819.4119000000001</v>
      </c>
      <c r="N23" s="278">
        <f t="shared" ref="N23:N27" si="6">M23-H23-G23</f>
        <v>0.41190000000005966</v>
      </c>
    </row>
    <row r="24" spans="2:14" s="257" customFormat="1" ht="22.5">
      <c r="B24" s="257" t="s">
        <v>94</v>
      </c>
      <c r="C24" s="271">
        <f>'Input Sheet'!C10</f>
        <v>2088777292</v>
      </c>
      <c r="D24" s="271">
        <f>'Input Sheet'!D10</f>
        <v>3458694.8</v>
      </c>
      <c r="E24" s="272">
        <v>1.2320000000000001E-4</v>
      </c>
      <c r="F24" s="273">
        <f t="shared" si="3"/>
        <v>257337</v>
      </c>
      <c r="G24" s="279">
        <f t="shared" si="0"/>
        <v>3587366</v>
      </c>
      <c r="H24" s="279">
        <f t="shared" si="1"/>
        <v>300146</v>
      </c>
      <c r="I24" s="275">
        <f>ROUND(IF(D24&gt;0,G24/D24,0),2)</f>
        <v>1.04</v>
      </c>
      <c r="J24" s="273"/>
      <c r="K24" s="276">
        <f>ROUND(IF(D24&gt;0,H24/C24,(G24+H24)/C24),5)</f>
        <v>1.3999999999999999E-4</v>
      </c>
      <c r="L24" s="277"/>
      <c r="M24" s="279">
        <f t="shared" si="4"/>
        <v>3889471.4128799997</v>
      </c>
      <c r="N24" s="278">
        <f t="shared" si="6"/>
        <v>1959.412879999727</v>
      </c>
    </row>
    <row r="25" spans="2:14" s="257" customFormat="1" ht="18.75">
      <c r="B25" s="257" t="s">
        <v>39</v>
      </c>
      <c r="C25" s="271">
        <f>'Input Sheet'!C11</f>
        <v>1830736</v>
      </c>
      <c r="D25" s="271"/>
      <c r="E25" s="272">
        <v>1.326E-4</v>
      </c>
      <c r="F25" s="273">
        <f t="shared" si="3"/>
        <v>243</v>
      </c>
      <c r="G25" s="279">
        <f t="shared" si="0"/>
        <v>3388</v>
      </c>
      <c r="H25" s="279">
        <f t="shared" si="1"/>
        <v>263</v>
      </c>
      <c r="I25" s="275">
        <f t="shared" si="2"/>
        <v>0</v>
      </c>
      <c r="J25" s="273"/>
      <c r="K25" s="276">
        <f t="shared" si="5"/>
        <v>1.99E-3</v>
      </c>
      <c r="L25" s="280"/>
      <c r="M25" s="279">
        <f t="shared" si="4"/>
        <v>3643.16464</v>
      </c>
      <c r="N25" s="278">
        <f t="shared" si="6"/>
        <v>-7.835360000000037</v>
      </c>
    </row>
    <row r="26" spans="2:14" s="257" customFormat="1" ht="18.75">
      <c r="B26" s="257" t="s">
        <v>40</v>
      </c>
      <c r="C26" s="271">
        <f>'Input Sheet'!C12</f>
        <v>39967390</v>
      </c>
      <c r="D26" s="271"/>
      <c r="E26" s="272">
        <v>2.6299999999999999E-5</v>
      </c>
      <c r="F26" s="273">
        <f t="shared" si="3"/>
        <v>1051</v>
      </c>
      <c r="G26" s="279">
        <f t="shared" si="0"/>
        <v>14651</v>
      </c>
      <c r="H26" s="279">
        <f t="shared" si="1"/>
        <v>5743</v>
      </c>
      <c r="I26" s="275">
        <f t="shared" si="2"/>
        <v>0</v>
      </c>
      <c r="J26" s="273"/>
      <c r="K26" s="276">
        <f t="shared" si="5"/>
        <v>5.1000000000000004E-4</v>
      </c>
      <c r="L26" s="280"/>
      <c r="M26" s="279">
        <f t="shared" si="4"/>
        <v>20383.368900000001</v>
      </c>
      <c r="N26" s="278">
        <f t="shared" si="6"/>
        <v>-10.631099999998696</v>
      </c>
    </row>
    <row r="27" spans="2:14" s="257" customFormat="1" ht="18.75">
      <c r="B27" s="257" t="s">
        <v>41</v>
      </c>
      <c r="C27" s="271">
        <f>'Input Sheet'!C13</f>
        <v>8444372</v>
      </c>
      <c r="D27" s="271"/>
      <c r="E27" s="272">
        <v>2.62E-5</v>
      </c>
      <c r="F27" s="273">
        <f t="shared" si="3"/>
        <v>221</v>
      </c>
      <c r="G27" s="279">
        <f t="shared" si="0"/>
        <v>3081</v>
      </c>
      <c r="H27" s="279">
        <f t="shared" si="1"/>
        <v>1213</v>
      </c>
      <c r="I27" s="275">
        <f t="shared" si="2"/>
        <v>0</v>
      </c>
      <c r="J27" s="273"/>
      <c r="K27" s="276">
        <f t="shared" si="5"/>
        <v>5.1000000000000004E-4</v>
      </c>
      <c r="L27" s="280"/>
      <c r="M27" s="279">
        <f t="shared" si="4"/>
        <v>4306.6297199999999</v>
      </c>
      <c r="N27" s="278">
        <f t="shared" si="6"/>
        <v>12.629719999999907</v>
      </c>
    </row>
    <row r="28" spans="2:14" s="257" customFormat="1" ht="18.75">
      <c r="C28" s="273"/>
      <c r="D28" s="273"/>
      <c r="E28" s="281"/>
      <c r="F28" s="273"/>
      <c r="G28" s="273"/>
      <c r="H28" s="273"/>
      <c r="I28" s="273"/>
      <c r="J28" s="273"/>
      <c r="M28" s="273"/>
      <c r="N28" s="273"/>
    </row>
    <row r="29" spans="2:14" s="257" customFormat="1" ht="18.75">
      <c r="B29" s="282" t="s">
        <v>6</v>
      </c>
      <c r="C29" s="283">
        <f>SUM(C20:C27)</f>
        <v>5205608487</v>
      </c>
      <c r="D29" s="283">
        <f>SUM(D20:D27)</f>
        <v>4961693.8</v>
      </c>
      <c r="E29" s="284"/>
      <c r="F29" s="283">
        <f>SUM(F20:F27)</f>
        <v>943294</v>
      </c>
      <c r="G29" s="285">
        <f>SUM(G20:G27)</f>
        <v>13149840</v>
      </c>
      <c r="H29" s="285">
        <f>SUM(H20:H27)</f>
        <v>748017</v>
      </c>
      <c r="I29" s="285"/>
      <c r="J29" s="285"/>
      <c r="K29" s="282"/>
      <c r="L29" s="282"/>
      <c r="M29" s="285">
        <f>SUM(M20:M27)</f>
        <v>13898234.079300001</v>
      </c>
      <c r="N29" s="285">
        <f>SUM(N20:N27)</f>
        <v>377.07929999986027</v>
      </c>
    </row>
    <row r="30" spans="2:14" s="251" customFormat="1" ht="15.75">
      <c r="C30" s="286"/>
      <c r="D30" s="286"/>
      <c r="M30" s="287"/>
      <c r="N30" s="287"/>
    </row>
    <row r="31" spans="2:14" s="251" customFormat="1" ht="15.75">
      <c r="M31" s="288"/>
    </row>
    <row r="32" spans="2:14" s="289" customFormat="1" ht="12.75">
      <c r="N32" s="290"/>
    </row>
    <row r="33" spans="1:13" s="289" customFormat="1" ht="15.75">
      <c r="A33" s="291"/>
      <c r="H33" s="292"/>
    </row>
    <row r="34" spans="1:13" s="289" customFormat="1" ht="15.75">
      <c r="A34" s="293"/>
      <c r="M34" s="294"/>
    </row>
    <row r="35" spans="1:13" s="251" customFormat="1" ht="15.75"/>
    <row r="36" spans="1:13" s="251" customFormat="1" ht="15.75"/>
    <row r="37" spans="1:13" s="251" customFormat="1" ht="15.75"/>
    <row r="41" spans="1:13">
      <c r="C41" s="295"/>
      <c r="D41" s="295"/>
    </row>
    <row r="43" spans="1:13">
      <c r="C43" s="296"/>
    </row>
  </sheetData>
  <customSheetViews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80" zoomScaleNormal="80" workbookViewId="0">
      <selection activeCell="K25" sqref="K25"/>
    </sheetView>
  </sheetViews>
  <sheetFormatPr defaultColWidth="9.140625" defaultRowHeight="15"/>
  <cols>
    <col min="1" max="1" width="17.42578125" style="1" customWidth="1"/>
    <col min="2" max="2" width="52.42578125" style="1" customWidth="1"/>
    <col min="3" max="3" width="34.28515625" style="1" customWidth="1"/>
    <col min="4" max="4" width="4.140625" style="1" customWidth="1"/>
    <col min="5" max="5" width="15.28515625" style="1" bestFit="1" customWidth="1"/>
    <col min="6" max="6" width="17.5703125" style="1" bestFit="1" customWidth="1"/>
    <col min="7" max="7" width="18" style="1" customWidth="1"/>
    <col min="8" max="8" width="10.140625" style="1" bestFit="1" customWidth="1"/>
    <col min="9" max="9" width="15.42578125" style="1" bestFit="1" customWidth="1"/>
    <col min="10" max="10" width="12.140625" style="1" bestFit="1" customWidth="1"/>
    <col min="11" max="16384" width="9.140625" style="1"/>
  </cols>
  <sheetData>
    <row r="1" spans="1:7">
      <c r="A1" s="357" t="s">
        <v>45</v>
      </c>
      <c r="B1" s="357"/>
      <c r="C1" s="357"/>
      <c r="D1" s="357"/>
      <c r="E1" s="357"/>
      <c r="F1" s="357"/>
      <c r="G1" s="187" t="s">
        <v>86</v>
      </c>
    </row>
    <row r="2" spans="1:7">
      <c r="A2" s="357" t="s">
        <v>0</v>
      </c>
      <c r="B2" s="357"/>
      <c r="C2" s="357"/>
      <c r="D2" s="357"/>
      <c r="E2" s="357"/>
      <c r="F2" s="357"/>
      <c r="G2" s="357"/>
    </row>
    <row r="3" spans="1:7">
      <c r="A3" s="357" t="s">
        <v>104</v>
      </c>
      <c r="B3" s="357"/>
      <c r="C3" s="357"/>
      <c r="D3" s="357"/>
      <c r="E3" s="357"/>
      <c r="F3" s="357"/>
      <c r="G3" s="357"/>
    </row>
    <row r="4" spans="1:7" ht="14.45" customHeight="1">
      <c r="A4" s="358" t="s">
        <v>288</v>
      </c>
      <c r="B4" s="358"/>
      <c r="C4" s="358"/>
      <c r="D4" s="358"/>
      <c r="E4" s="358"/>
      <c r="F4" s="358"/>
      <c r="G4" s="358"/>
    </row>
    <row r="5" spans="1:7">
      <c r="A5" s="358"/>
      <c r="B5" s="358"/>
      <c r="C5" s="358"/>
      <c r="D5" s="358"/>
      <c r="E5" s="358"/>
      <c r="F5" s="358"/>
      <c r="G5" s="358"/>
    </row>
    <row r="8" spans="1:7" ht="15" customHeight="1">
      <c r="F8" s="188"/>
      <c r="G8" s="188"/>
    </row>
    <row r="10" spans="1:7">
      <c r="A10" s="189" t="s">
        <v>82</v>
      </c>
      <c r="B10" s="189" t="s">
        <v>2</v>
      </c>
      <c r="C10" s="189" t="s">
        <v>87</v>
      </c>
      <c r="D10" s="190"/>
      <c r="E10" s="189" t="s">
        <v>85</v>
      </c>
      <c r="F10" s="189" t="s">
        <v>17</v>
      </c>
      <c r="G10" s="189" t="s">
        <v>100</v>
      </c>
    </row>
    <row r="11" spans="1:7">
      <c r="A11" s="191">
        <v>4561005</v>
      </c>
      <c r="B11" s="1" t="s">
        <v>138</v>
      </c>
      <c r="C11" s="192">
        <f>'PPA Form 3.0a'!P16</f>
        <v>-1518258.3299999996</v>
      </c>
      <c r="E11" s="1" t="s">
        <v>3</v>
      </c>
      <c r="F11" s="193">
        <v>1</v>
      </c>
      <c r="G11" s="192">
        <f>F11*C11</f>
        <v>-1518258.3299999996</v>
      </c>
    </row>
    <row r="12" spans="1:7" ht="14.45" customHeight="1">
      <c r="A12" s="191">
        <v>4561002</v>
      </c>
      <c r="B12" s="1" t="s">
        <v>139</v>
      </c>
      <c r="C12" s="192">
        <f>'PPA Form 3.0a'!P17</f>
        <v>0</v>
      </c>
      <c r="E12" s="1" t="s">
        <v>3</v>
      </c>
      <c r="F12" s="193">
        <v>1</v>
      </c>
      <c r="G12" s="192">
        <f t="shared" ref="G12:G20" si="0">F12*C12</f>
        <v>0</v>
      </c>
    </row>
    <row r="13" spans="1:7">
      <c r="A13" s="191" t="s">
        <v>109</v>
      </c>
      <c r="B13" s="1" t="s">
        <v>76</v>
      </c>
      <c r="C13" s="192">
        <f>'PPA Form 3.0a'!P19</f>
        <v>48318963.530000001</v>
      </c>
      <c r="E13" s="1" t="s">
        <v>3</v>
      </c>
      <c r="F13" s="193">
        <v>1</v>
      </c>
      <c r="G13" s="192">
        <f t="shared" si="0"/>
        <v>48318963.530000001</v>
      </c>
    </row>
    <row r="14" spans="1:7" ht="14.45" customHeight="1">
      <c r="A14" s="191" t="s">
        <v>110</v>
      </c>
      <c r="B14" s="1" t="s">
        <v>77</v>
      </c>
      <c r="C14" s="192">
        <f>'PPA Form 3.0a'!P20</f>
        <v>-250730.04000000004</v>
      </c>
      <c r="E14" s="1" t="s">
        <v>5</v>
      </c>
      <c r="F14" s="193">
        <v>1</v>
      </c>
      <c r="G14" s="192">
        <f t="shared" si="0"/>
        <v>-250730.04000000004</v>
      </c>
    </row>
    <row r="15" spans="1:7">
      <c r="A15" s="191" t="s">
        <v>111</v>
      </c>
      <c r="B15" s="1" t="s">
        <v>78</v>
      </c>
      <c r="C15" s="192">
        <f>'PPA Form 3.0a'!P21</f>
        <v>1165746.6599999999</v>
      </c>
      <c r="E15" s="1" t="s">
        <v>3</v>
      </c>
      <c r="F15" s="193">
        <v>1</v>
      </c>
      <c r="G15" s="192">
        <f t="shared" si="0"/>
        <v>1165746.6599999999</v>
      </c>
    </row>
    <row r="16" spans="1:7" ht="14.45" customHeight="1">
      <c r="A16" s="191">
        <v>5650012</v>
      </c>
      <c r="B16" s="1" t="s">
        <v>79</v>
      </c>
      <c r="C16" s="194">
        <f>'PPA Form 3.0a'!P22</f>
        <v>1835082.5299999991</v>
      </c>
      <c r="E16" s="1" t="s">
        <v>3</v>
      </c>
      <c r="F16" s="193">
        <v>1</v>
      </c>
      <c r="G16" s="192">
        <f t="shared" si="0"/>
        <v>1835082.5299999991</v>
      </c>
    </row>
    <row r="17" spans="1:10" ht="14.45" customHeight="1">
      <c r="A17" s="191">
        <v>5650016</v>
      </c>
      <c r="B17" s="1" t="s">
        <v>80</v>
      </c>
      <c r="C17" s="194">
        <f>'PPA Form 3.0a'!P23</f>
        <v>55148869.980000004</v>
      </c>
      <c r="E17" s="1" t="s">
        <v>3</v>
      </c>
      <c r="F17" s="193">
        <v>1</v>
      </c>
      <c r="G17" s="192">
        <f t="shared" si="0"/>
        <v>55148869.980000004</v>
      </c>
    </row>
    <row r="18" spans="1:10" ht="14.45" customHeight="1">
      <c r="A18" s="191">
        <v>5650019</v>
      </c>
      <c r="B18" s="1" t="s">
        <v>81</v>
      </c>
      <c r="C18" s="194">
        <f>'PPA Form 3.0a'!P24</f>
        <v>5255346.9100000011</v>
      </c>
      <c r="D18" s="195"/>
      <c r="E18" s="195" t="s">
        <v>3</v>
      </c>
      <c r="F18" s="196">
        <v>1</v>
      </c>
      <c r="G18" s="192">
        <f t="shared" si="0"/>
        <v>5255346.9100000011</v>
      </c>
    </row>
    <row r="19" spans="1:10" ht="14.45" customHeight="1">
      <c r="A19" s="191">
        <v>5650021</v>
      </c>
      <c r="B19" s="35" t="s">
        <v>214</v>
      </c>
      <c r="C19" s="197">
        <f>'PPA Form 3.0a'!P14</f>
        <v>543998.9</v>
      </c>
      <c r="D19" s="195"/>
      <c r="E19" s="195" t="s">
        <v>3</v>
      </c>
      <c r="F19" s="196">
        <v>1</v>
      </c>
      <c r="G19" s="192">
        <f t="shared" si="0"/>
        <v>543998.9</v>
      </c>
    </row>
    <row r="20" spans="1:10" ht="14.45" customHeight="1">
      <c r="A20" s="191">
        <v>5650015</v>
      </c>
      <c r="B20" s="35" t="s">
        <v>215</v>
      </c>
      <c r="C20" s="197">
        <f>'PPA Form 3.0a'!P15</f>
        <v>208398.24</v>
      </c>
      <c r="D20" s="195"/>
      <c r="E20" s="195" t="s">
        <v>5</v>
      </c>
      <c r="F20" s="196">
        <v>1</v>
      </c>
      <c r="G20" s="192">
        <f t="shared" si="0"/>
        <v>208398.24</v>
      </c>
    </row>
    <row r="21" spans="1:10" ht="14.45" customHeight="1">
      <c r="A21" s="191"/>
      <c r="C21" s="197"/>
      <c r="E21" s="195"/>
      <c r="F21" s="196"/>
    </row>
    <row r="22" spans="1:10" s="198" customFormat="1" ht="15.75" thickBot="1">
      <c r="A22" s="198" t="s">
        <v>101</v>
      </c>
      <c r="C22" s="199"/>
      <c r="F22" s="200"/>
      <c r="G22" s="201">
        <f>SUM(G11:G21)</f>
        <v>110707418.38000001</v>
      </c>
    </row>
    <row r="23" spans="1:10" s="198" customFormat="1" ht="15.75" thickTop="1">
      <c r="A23" s="198" t="s">
        <v>74</v>
      </c>
      <c r="B23" s="1"/>
      <c r="F23" s="200"/>
      <c r="G23" s="199">
        <f>'PPA Form 3.0a'!P11</f>
        <v>96896496</v>
      </c>
      <c r="H23" s="202"/>
    </row>
    <row r="24" spans="1:10" s="198" customFormat="1" ht="15.75" thickBot="1">
      <c r="A24" s="198" t="s">
        <v>170</v>
      </c>
      <c r="F24" s="200"/>
      <c r="G24" s="203">
        <f>'PPA Form 3.0a'!P27</f>
        <v>13810922.380000005</v>
      </c>
      <c r="I24" s="199"/>
    </row>
    <row r="25" spans="1:10" s="198" customFormat="1" ht="15.75" thickTop="1">
      <c r="A25" s="198" t="s">
        <v>266</v>
      </c>
      <c r="F25" s="200"/>
      <c r="G25" s="199">
        <f>'PPA Form 3.0a'!P28</f>
        <v>13810922.380000005</v>
      </c>
      <c r="I25" s="204"/>
    </row>
    <row r="26" spans="1:10" s="198" customFormat="1" ht="15.75" thickBot="1">
      <c r="A26" s="198" t="s">
        <v>171</v>
      </c>
      <c r="F26" s="200"/>
      <c r="G26" s="201">
        <f>G25</f>
        <v>13810922.380000005</v>
      </c>
      <c r="J26" s="199"/>
    </row>
    <row r="27" spans="1:10" s="198" customFormat="1" ht="15.75" thickTop="1">
      <c r="C27" s="205"/>
      <c r="F27" s="200"/>
      <c r="G27" s="206"/>
    </row>
    <row r="28" spans="1:10">
      <c r="F28" s="193"/>
      <c r="G28" s="207"/>
    </row>
    <row r="29" spans="1:10">
      <c r="A29" s="1" t="s">
        <v>231</v>
      </c>
      <c r="C29" s="194">
        <f>'PPA Form 3.0a'!P41</f>
        <v>6324731.8599999994</v>
      </c>
      <c r="D29" s="191"/>
      <c r="E29" s="1" t="s">
        <v>5</v>
      </c>
      <c r="F29" s="193" t="s">
        <v>230</v>
      </c>
      <c r="G29" s="208">
        <f>C29</f>
        <v>6324731.8599999994</v>
      </c>
    </row>
    <row r="30" spans="1:10">
      <c r="A30" s="1" t="s">
        <v>232</v>
      </c>
      <c r="C30" s="194">
        <f>'PPA Form 3.0a'!P36</f>
        <v>1269204.3650988601</v>
      </c>
      <c r="D30" s="191"/>
      <c r="F30" s="193"/>
      <c r="G30" s="208">
        <f>C30</f>
        <v>1269204.3650988601</v>
      </c>
    </row>
    <row r="31" spans="1:10" ht="15.75">
      <c r="A31" s="209" t="s">
        <v>113</v>
      </c>
      <c r="C31" s="210">
        <f>-'PPA Form 3.0a'!P30</f>
        <v>-307845.66217452695</v>
      </c>
      <c r="E31" s="1" t="s">
        <v>3</v>
      </c>
      <c r="F31" s="1">
        <v>1</v>
      </c>
      <c r="G31" s="211">
        <f>C31*F31</f>
        <v>-307845.66217452695</v>
      </c>
      <c r="J31" s="208"/>
    </row>
    <row r="32" spans="1:10">
      <c r="G32" s="208"/>
    </row>
    <row r="33" spans="1:9" ht="16.5" thickBot="1">
      <c r="A33" s="212" t="s">
        <v>102</v>
      </c>
      <c r="G33" s="213">
        <f>+G26+G29-G30+G31</f>
        <v>18558604.212726615</v>
      </c>
      <c r="H33" s="214"/>
      <c r="I33" s="215"/>
    </row>
    <row r="34" spans="1:9" ht="15.75" thickTop="1"/>
    <row r="35" spans="1:9">
      <c r="A35" s="195"/>
      <c r="C35" s="216"/>
    </row>
    <row r="36" spans="1:9">
      <c r="A36" s="195"/>
      <c r="B36" s="217"/>
      <c r="C36" s="218"/>
    </row>
    <row r="37" spans="1:9">
      <c r="B37" s="219" t="s">
        <v>91</v>
      </c>
      <c r="C37" s="219" t="s">
        <v>92</v>
      </c>
    </row>
    <row r="38" spans="1:9">
      <c r="A38" s="1" t="s">
        <v>89</v>
      </c>
      <c r="B38" s="208">
        <f>G13+G15+G16+G17+G18+G19+G21+G11+G12+G31</f>
        <v>110441904.51782548</v>
      </c>
      <c r="C38" s="220">
        <f>B38/E40</f>
        <v>0.94617744708162954</v>
      </c>
      <c r="E38" s="208">
        <f>G31+SUM(G21,G19,G18,G17,G16,G15,G11,G12,G13)</f>
        <v>110441904.51782548</v>
      </c>
    </row>
    <row r="39" spans="1:9">
      <c r="A39" s="1" t="s">
        <v>90</v>
      </c>
      <c r="B39" s="208">
        <f>G14+G29+G20</f>
        <v>6282400.0599999996</v>
      </c>
      <c r="C39" s="220">
        <f>B39/E40</f>
        <v>5.3822552918370424E-2</v>
      </c>
      <c r="E39" s="208">
        <f>G29+G14+G20</f>
        <v>6282400.0599999996</v>
      </c>
    </row>
    <row r="40" spans="1:9">
      <c r="E40" s="208">
        <f>E39+E38</f>
        <v>116724304.57782549</v>
      </c>
    </row>
    <row r="41" spans="1:9">
      <c r="A41" s="221" t="s">
        <v>267</v>
      </c>
    </row>
    <row r="42" spans="1:9">
      <c r="A42" s="1" t="s">
        <v>280</v>
      </c>
    </row>
  </sheetData>
  <customSheetViews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6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34" sqref="F34"/>
    </sheetView>
  </sheetViews>
  <sheetFormatPr defaultColWidth="9.140625" defaultRowHeight="12.75"/>
  <cols>
    <col min="1" max="1" width="14.7109375" style="37" customWidth="1"/>
    <col min="2" max="2" width="16.85546875" style="37" customWidth="1"/>
    <col min="3" max="3" width="89.140625" style="37" customWidth="1"/>
    <col min="4" max="11" width="17.140625" style="37" customWidth="1"/>
    <col min="12" max="12" width="19.85546875" style="37" customWidth="1"/>
    <col min="13" max="14" width="16.5703125" style="37" customWidth="1"/>
    <col min="15" max="15" width="18.42578125" style="37" customWidth="1"/>
    <col min="16" max="16" width="17.42578125" style="37" bestFit="1" customWidth="1"/>
    <col min="17" max="17" width="29.28515625" style="37" customWidth="1"/>
    <col min="18" max="16384" width="9.140625" style="37"/>
  </cols>
  <sheetData>
    <row r="1" spans="1:17" ht="15">
      <c r="A1" s="43" t="s">
        <v>198</v>
      </c>
      <c r="Q1" s="117"/>
    </row>
    <row r="2" spans="1:17" ht="15.75">
      <c r="A2" s="43" t="s">
        <v>199</v>
      </c>
      <c r="B2" s="44"/>
      <c r="D2" s="37">
        <v>2021</v>
      </c>
      <c r="G2" s="45"/>
      <c r="I2" s="45"/>
      <c r="J2" s="37">
        <v>2022</v>
      </c>
    </row>
    <row r="3" spans="1:17" ht="15">
      <c r="A3" s="43" t="str">
        <f>'Input Sheet'!A2:D2</f>
        <v>12 -Month Period ended June 30, 2022</v>
      </c>
      <c r="B3" s="3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ht="15">
      <c r="A4" s="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7">
      <c r="D5" s="38" t="s">
        <v>200</v>
      </c>
      <c r="E5" s="38" t="s">
        <v>200</v>
      </c>
      <c r="F5" s="38" t="s">
        <v>200</v>
      </c>
      <c r="G5" s="38" t="s">
        <v>200</v>
      </c>
      <c r="H5" s="38" t="s">
        <v>200</v>
      </c>
      <c r="I5" s="38" t="s">
        <v>200</v>
      </c>
      <c r="J5" s="38" t="s">
        <v>200</v>
      </c>
      <c r="K5" s="38" t="s">
        <v>200</v>
      </c>
      <c r="L5" s="38" t="s">
        <v>200</v>
      </c>
      <c r="M5" s="38" t="s">
        <v>200</v>
      </c>
      <c r="N5" s="38" t="s">
        <v>200</v>
      </c>
      <c r="O5" s="38" t="s">
        <v>200</v>
      </c>
      <c r="P5" s="37" t="s">
        <v>229</v>
      </c>
    </row>
    <row r="6" spans="1:17">
      <c r="C6" s="47" t="s">
        <v>198</v>
      </c>
      <c r="D6" s="48" t="s">
        <v>245</v>
      </c>
      <c r="E6" s="48" t="s">
        <v>244</v>
      </c>
      <c r="F6" s="48" t="s">
        <v>243</v>
      </c>
      <c r="G6" s="48" t="s">
        <v>242</v>
      </c>
      <c r="H6" s="48" t="s">
        <v>241</v>
      </c>
      <c r="I6" s="48" t="s">
        <v>240</v>
      </c>
      <c r="J6" s="48" t="s">
        <v>201</v>
      </c>
      <c r="K6" s="48" t="s">
        <v>202</v>
      </c>
      <c r="L6" s="48" t="s">
        <v>203</v>
      </c>
      <c r="M6" s="48" t="s">
        <v>204</v>
      </c>
      <c r="N6" s="48" t="s">
        <v>205</v>
      </c>
      <c r="O6" s="48" t="s">
        <v>206</v>
      </c>
    </row>
    <row r="7" spans="1:17">
      <c r="A7" s="47" t="s">
        <v>207</v>
      </c>
      <c r="C7" s="37" t="s">
        <v>254</v>
      </c>
      <c r="D7" s="222">
        <v>1166924.1604647827</v>
      </c>
      <c r="E7" s="222">
        <v>1472358.282469555</v>
      </c>
      <c r="F7" s="222">
        <v>746151.6446300142</v>
      </c>
      <c r="G7" s="222">
        <v>1573419.9983563381</v>
      </c>
      <c r="H7" s="222">
        <v>1948275.3877240685</v>
      </c>
      <c r="I7" s="222">
        <v>2360770.7053127238</v>
      </c>
      <c r="J7" s="222">
        <v>2403181.3413040265</v>
      </c>
      <c r="K7" s="222">
        <v>2031556.4355596069</v>
      </c>
      <c r="L7" s="222">
        <v>1883397.015636832</v>
      </c>
      <c r="M7" s="222">
        <v>1683269.5499423118</v>
      </c>
      <c r="N7" s="222">
        <v>2382014.1167660132</v>
      </c>
      <c r="O7" s="222">
        <v>1304808.59191679</v>
      </c>
      <c r="P7" s="41">
        <f>SUM(D7:O7)</f>
        <v>20956127.23008306</v>
      </c>
    </row>
    <row r="8" spans="1:17">
      <c r="C8" s="37" t="s">
        <v>208</v>
      </c>
      <c r="D8" s="222">
        <v>-7066.7472598450258</v>
      </c>
      <c r="E8" s="222">
        <v>-8916.4182306481525</v>
      </c>
      <c r="F8" s="222">
        <v>-4518.6013528229669</v>
      </c>
      <c r="G8" s="222">
        <v>-9528.4353848167229</v>
      </c>
      <c r="H8" s="222">
        <v>-11798.512897478184</v>
      </c>
      <c r="I8" s="222">
        <v>-14296.533123666421</v>
      </c>
      <c r="J8" s="222">
        <v>-14553.366648786236</v>
      </c>
      <c r="K8" s="222">
        <v>-12302.852542270906</v>
      </c>
      <c r="L8" s="222">
        <v>-11405.617563141976</v>
      </c>
      <c r="M8" s="222">
        <v>-10193.670576584525</v>
      </c>
      <c r="N8" s="222">
        <v>-14425.180575457402</v>
      </c>
      <c r="O8" s="222">
        <v>-7901.7581895620096</v>
      </c>
      <c r="P8" s="223">
        <f>SUM(D8:O8)</f>
        <v>-126907.69434508053</v>
      </c>
    </row>
    <row r="9" spans="1:17">
      <c r="C9" s="40"/>
      <c r="D9" s="224">
        <f t="shared" ref="D9:O9" si="0">SUM(D7:D8)</f>
        <v>1159857.4132049377</v>
      </c>
      <c r="E9" s="224">
        <f t="shared" si="0"/>
        <v>1463441.8642389069</v>
      </c>
      <c r="F9" s="224">
        <f t="shared" si="0"/>
        <v>741633.04327719123</v>
      </c>
      <c r="G9" s="224">
        <f t="shared" si="0"/>
        <v>1563891.5629715214</v>
      </c>
      <c r="H9" s="224">
        <f t="shared" si="0"/>
        <v>1936476.8748265903</v>
      </c>
      <c r="I9" s="224">
        <f t="shared" si="0"/>
        <v>2346474.1721890573</v>
      </c>
      <c r="J9" s="224">
        <f t="shared" si="0"/>
        <v>2388627.9746552403</v>
      </c>
      <c r="K9" s="224">
        <f t="shared" si="0"/>
        <v>2019253.583017336</v>
      </c>
      <c r="L9" s="224">
        <f t="shared" si="0"/>
        <v>1871991.39807369</v>
      </c>
      <c r="M9" s="224">
        <f t="shared" si="0"/>
        <v>1673075.8793657273</v>
      </c>
      <c r="N9" s="224">
        <f t="shared" si="0"/>
        <v>2367588.9361905558</v>
      </c>
      <c r="O9" s="224">
        <f t="shared" si="0"/>
        <v>1296906.833727228</v>
      </c>
      <c r="P9" s="41">
        <f>SUM(D9:O9)</f>
        <v>20829219.535737984</v>
      </c>
    </row>
    <row r="10" spans="1:17"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>
      <c r="A11" s="47" t="s">
        <v>209</v>
      </c>
      <c r="B11" s="39"/>
      <c r="C11" s="40" t="s">
        <v>210</v>
      </c>
      <c r="D11" s="225">
        <v>8074708</v>
      </c>
      <c r="E11" s="225">
        <v>8074708</v>
      </c>
      <c r="F11" s="225">
        <v>8074708</v>
      </c>
      <c r="G11" s="225">
        <v>8074708</v>
      </c>
      <c r="H11" s="225">
        <v>8074708</v>
      </c>
      <c r="I11" s="225">
        <v>8074708</v>
      </c>
      <c r="J11" s="225">
        <v>8074708</v>
      </c>
      <c r="K11" s="225">
        <v>8074708</v>
      </c>
      <c r="L11" s="225">
        <v>8074708</v>
      </c>
      <c r="M11" s="225">
        <v>8074708</v>
      </c>
      <c r="N11" s="225">
        <v>8074708</v>
      </c>
      <c r="O11" s="225">
        <v>8074708</v>
      </c>
      <c r="P11" s="41">
        <f>SUM(D11:O11)</f>
        <v>96896496</v>
      </c>
    </row>
    <row r="12" spans="1:17"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48"/>
      <c r="O12" s="48"/>
    </row>
    <row r="13" spans="1:17">
      <c r="A13" s="47" t="s">
        <v>211</v>
      </c>
      <c r="B13" s="48" t="s">
        <v>212</v>
      </c>
      <c r="C13" s="47" t="s">
        <v>213</v>
      </c>
      <c r="D13" s="48"/>
      <c r="E13" s="48"/>
      <c r="F13" s="48"/>
      <c r="G13" s="48"/>
      <c r="H13" s="48"/>
      <c r="I13" s="48"/>
      <c r="J13" s="48"/>
      <c r="K13" s="48"/>
      <c r="L13" s="48"/>
      <c r="M13" s="50"/>
      <c r="N13" s="48"/>
      <c r="O13" s="48"/>
    </row>
    <row r="14" spans="1:17">
      <c r="B14" s="38">
        <v>5650021</v>
      </c>
      <c r="C14" s="35" t="s">
        <v>214</v>
      </c>
      <c r="D14" s="226">
        <v>41858.660000000003</v>
      </c>
      <c r="E14" s="226">
        <v>42017.24</v>
      </c>
      <c r="F14" s="226">
        <v>42017.25</v>
      </c>
      <c r="G14" s="226">
        <v>41858.74</v>
      </c>
      <c r="H14" s="226">
        <v>42017.33</v>
      </c>
      <c r="I14" s="226">
        <v>41858.740000000005</v>
      </c>
      <c r="J14" s="226">
        <v>43445.33</v>
      </c>
      <c r="K14" s="227">
        <v>43342.760000000009</v>
      </c>
      <c r="L14" s="227">
        <v>42876.89</v>
      </c>
      <c r="M14" s="227">
        <v>52467.01</v>
      </c>
      <c r="N14" s="227">
        <v>47722.450000000004</v>
      </c>
      <c r="O14" s="227">
        <v>62516.5</v>
      </c>
      <c r="P14" s="41">
        <f>SUM(D14:O14)</f>
        <v>543998.9</v>
      </c>
    </row>
    <row r="15" spans="1:17">
      <c r="B15" s="38">
        <v>5650015</v>
      </c>
      <c r="C15" s="35" t="s">
        <v>215</v>
      </c>
      <c r="D15" s="226">
        <v>26607.16</v>
      </c>
      <c r="E15" s="226">
        <v>27041.1</v>
      </c>
      <c r="F15" s="226">
        <v>22983.759999999998</v>
      </c>
      <c r="G15" s="226">
        <v>20733.930000000004</v>
      </c>
      <c r="H15" s="226">
        <v>24853.040000000001</v>
      </c>
      <c r="I15" s="226">
        <v>26697.929999999997</v>
      </c>
      <c r="J15" s="226">
        <v>12618.53</v>
      </c>
      <c r="K15" s="227">
        <v>10148.449999999999</v>
      </c>
      <c r="L15" s="227">
        <v>9645.11</v>
      </c>
      <c r="M15" s="227">
        <v>8399.619999999999</v>
      </c>
      <c r="N15" s="227">
        <v>8925.5</v>
      </c>
      <c r="O15" s="227">
        <v>9744.11</v>
      </c>
      <c r="P15" s="41">
        <f t="shared" ref="P15:P23" si="1">SUM(D15:O15)</f>
        <v>208398.24</v>
      </c>
    </row>
    <row r="16" spans="1:17">
      <c r="B16" s="38">
        <v>4561005</v>
      </c>
      <c r="C16" s="35" t="s">
        <v>216</v>
      </c>
      <c r="D16" s="226">
        <v>-110045.26999999999</v>
      </c>
      <c r="E16" s="226">
        <v>-149584.39000000001</v>
      </c>
      <c r="F16" s="226">
        <v>-82003.579999999987</v>
      </c>
      <c r="G16" s="226">
        <v>-21449.050000000007</v>
      </c>
      <c r="H16" s="226">
        <v>-109951.97</v>
      </c>
      <c r="I16" s="226">
        <v>-143452.96</v>
      </c>
      <c r="J16" s="226">
        <v>-180836.50999999998</v>
      </c>
      <c r="K16" s="227">
        <v>-174887.43000000002</v>
      </c>
      <c r="L16" s="227">
        <v>-144824.46999999997</v>
      </c>
      <c r="M16" s="227">
        <v>-111775.2</v>
      </c>
      <c r="N16" s="227">
        <v>-142778.95000000001</v>
      </c>
      <c r="O16" s="227">
        <v>-146668.54999999993</v>
      </c>
      <c r="P16" s="41">
        <f t="shared" si="1"/>
        <v>-1518258.3299999996</v>
      </c>
    </row>
    <row r="17" spans="1:17">
      <c r="B17" s="38">
        <v>4561002</v>
      </c>
      <c r="C17" s="35" t="s">
        <v>217</v>
      </c>
      <c r="D17" s="226">
        <v>0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7">
        <v>0</v>
      </c>
      <c r="L17" s="227">
        <v>0</v>
      </c>
      <c r="M17" s="227">
        <v>0</v>
      </c>
      <c r="N17" s="227">
        <v>0</v>
      </c>
      <c r="O17" s="227">
        <v>0</v>
      </c>
      <c r="P17" s="227">
        <f t="shared" si="1"/>
        <v>0</v>
      </c>
    </row>
    <row r="18" spans="1:17">
      <c r="B18" s="38">
        <v>5550155</v>
      </c>
      <c r="C18" s="35" t="s">
        <v>283</v>
      </c>
      <c r="D18" s="226">
        <v>0</v>
      </c>
      <c r="E18" s="226">
        <v>0</v>
      </c>
      <c r="F18" s="226">
        <v>0</v>
      </c>
      <c r="G18" s="226">
        <v>0</v>
      </c>
      <c r="H18" s="226">
        <v>0</v>
      </c>
      <c r="I18" s="226">
        <v>0</v>
      </c>
      <c r="J18" s="226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f t="shared" si="1"/>
        <v>0</v>
      </c>
    </row>
    <row r="19" spans="1:17">
      <c r="B19" s="38">
        <v>4561035</v>
      </c>
      <c r="C19" s="52" t="s">
        <v>218</v>
      </c>
      <c r="D19" s="226">
        <v>3936102.62</v>
      </c>
      <c r="E19" s="226">
        <v>3936102.62</v>
      </c>
      <c r="F19" s="226">
        <v>3808358.58</v>
      </c>
      <c r="G19" s="226">
        <v>3936102.62</v>
      </c>
      <c r="H19" s="226">
        <v>3808358.58</v>
      </c>
      <c r="I19" s="226">
        <v>3936102.62</v>
      </c>
      <c r="J19" s="226">
        <v>4280809.01</v>
      </c>
      <c r="K19" s="227">
        <v>3864297.9</v>
      </c>
      <c r="L19" s="227">
        <v>4280809.01</v>
      </c>
      <c r="M19" s="227">
        <v>4119297.08</v>
      </c>
      <c r="N19" s="227">
        <v>4276274.03</v>
      </c>
      <c r="O19" s="227">
        <v>4136348.86</v>
      </c>
      <c r="P19" s="41">
        <f t="shared" si="1"/>
        <v>48318963.530000001</v>
      </c>
    </row>
    <row r="20" spans="1:17">
      <c r="B20" s="38">
        <v>4561036</v>
      </c>
      <c r="C20" s="35" t="s">
        <v>219</v>
      </c>
      <c r="D20" s="226">
        <v>-15468.15</v>
      </c>
      <c r="E20" s="226">
        <v>-15720.42</v>
      </c>
      <c r="F20" s="226">
        <v>-13361.67</v>
      </c>
      <c r="G20" s="226">
        <v>-12053.720000000001</v>
      </c>
      <c r="H20" s="226">
        <v>-14448.38</v>
      </c>
      <c r="I20" s="226">
        <v>-15520.920000000002</v>
      </c>
      <c r="J20" s="226">
        <v>-34824.67</v>
      </c>
      <c r="K20" s="227">
        <v>-28007.73</v>
      </c>
      <c r="L20" s="227">
        <v>-26618.610000000004</v>
      </c>
      <c r="M20" s="227">
        <v>-23181.29</v>
      </c>
      <c r="N20" s="227">
        <v>-24632.63</v>
      </c>
      <c r="O20" s="227">
        <v>-26891.85</v>
      </c>
      <c r="P20" s="41">
        <f t="shared" si="1"/>
        <v>-250730.04000000004</v>
      </c>
    </row>
    <row r="21" spans="1:17">
      <c r="B21" s="38">
        <v>4561060</v>
      </c>
      <c r="C21" s="35" t="s">
        <v>220</v>
      </c>
      <c r="D21" s="226">
        <v>95607.77</v>
      </c>
      <c r="E21" s="226">
        <v>95607.77</v>
      </c>
      <c r="F21" s="226">
        <v>95607.77</v>
      </c>
      <c r="G21" s="226">
        <v>95607.77</v>
      </c>
      <c r="H21" s="226">
        <v>95607.77</v>
      </c>
      <c r="I21" s="226">
        <v>95607.77</v>
      </c>
      <c r="J21" s="226">
        <v>98683.34</v>
      </c>
      <c r="K21" s="227">
        <v>98683.34</v>
      </c>
      <c r="L21" s="227">
        <v>98683.34</v>
      </c>
      <c r="M21" s="227">
        <v>98683.34</v>
      </c>
      <c r="N21" s="227">
        <v>98683.34</v>
      </c>
      <c r="O21" s="227">
        <v>98683.34</v>
      </c>
      <c r="P21" s="41">
        <f t="shared" si="1"/>
        <v>1165746.6599999999</v>
      </c>
    </row>
    <row r="22" spans="1:17">
      <c r="B22" s="38">
        <v>5650012</v>
      </c>
      <c r="C22" s="35" t="s">
        <v>220</v>
      </c>
      <c r="D22" s="226">
        <v>166447.9800000001</v>
      </c>
      <c r="E22" s="226">
        <v>165965.75000000006</v>
      </c>
      <c r="F22" s="226">
        <v>166051.85000000003</v>
      </c>
      <c r="G22" s="226">
        <v>166052.30999999997</v>
      </c>
      <c r="H22" s="226">
        <v>165965.29999999993</v>
      </c>
      <c r="I22" s="226">
        <v>141935.03999999983</v>
      </c>
      <c r="J22" s="226">
        <v>2169657.9599999995</v>
      </c>
      <c r="K22" s="227">
        <v>146209.60999999999</v>
      </c>
      <c r="L22" s="227">
        <v>-1867714.05</v>
      </c>
      <c r="M22" s="227">
        <v>146309.83000000013</v>
      </c>
      <c r="N22" s="227">
        <v>144433.91000000029</v>
      </c>
      <c r="O22" s="227">
        <v>123767.0399999994</v>
      </c>
      <c r="P22" s="41">
        <f t="shared" si="1"/>
        <v>1835082.5299999991</v>
      </c>
    </row>
    <row r="23" spans="1:17">
      <c r="B23" s="38">
        <v>5650016</v>
      </c>
      <c r="C23" s="52" t="s">
        <v>221</v>
      </c>
      <c r="D23" s="226">
        <v>4298169.4000000004</v>
      </c>
      <c r="E23" s="226">
        <v>4298169.4000000004</v>
      </c>
      <c r="F23" s="226">
        <v>4159094.9499999993</v>
      </c>
      <c r="G23" s="226">
        <v>4298169.41</v>
      </c>
      <c r="H23" s="226">
        <v>4159094.9699999997</v>
      </c>
      <c r="I23" s="226">
        <v>4298169.4000000004</v>
      </c>
      <c r="J23" s="226">
        <v>5076547.0999999996</v>
      </c>
      <c r="K23" s="227">
        <v>4583779.01</v>
      </c>
      <c r="L23" s="227">
        <v>5076547.0999999996</v>
      </c>
      <c r="M23" s="227">
        <v>4912291.07</v>
      </c>
      <c r="N23" s="227">
        <v>5076547.0999999996</v>
      </c>
      <c r="O23" s="227">
        <v>4912291.07</v>
      </c>
      <c r="P23" s="41">
        <f t="shared" si="1"/>
        <v>55148869.980000004</v>
      </c>
    </row>
    <row r="24" spans="1:17">
      <c r="B24" s="38">
        <v>5650019</v>
      </c>
      <c r="C24" s="35" t="s">
        <v>220</v>
      </c>
      <c r="D24" s="226">
        <v>446305.24999999994</v>
      </c>
      <c r="E24" s="226">
        <v>446305.24999999994</v>
      </c>
      <c r="F24" s="226">
        <v>446305.25</v>
      </c>
      <c r="G24" s="226">
        <v>446305.25</v>
      </c>
      <c r="H24" s="226">
        <v>446305.25</v>
      </c>
      <c r="I24" s="226">
        <v>446305.24</v>
      </c>
      <c r="J24" s="226">
        <v>429585.9</v>
      </c>
      <c r="K24" s="227">
        <v>429585.91000000003</v>
      </c>
      <c r="L24" s="227">
        <v>429585.89999999997</v>
      </c>
      <c r="M24" s="227">
        <v>429585.91000000003</v>
      </c>
      <c r="N24" s="227">
        <v>429585.9</v>
      </c>
      <c r="O24" s="227">
        <v>429585.9</v>
      </c>
      <c r="P24" s="41">
        <f>SUM(D24:O24)</f>
        <v>5255346.9100000011</v>
      </c>
    </row>
    <row r="25" spans="1:17">
      <c r="C25" s="40"/>
      <c r="D25" s="228">
        <f t="shared" ref="D25:O25" si="2">SUM(D14:D24)</f>
        <v>8885585.4199999999</v>
      </c>
      <c r="E25" s="228">
        <f t="shared" si="2"/>
        <v>8845904.3200000003</v>
      </c>
      <c r="F25" s="228">
        <f t="shared" si="2"/>
        <v>8645054.1600000001</v>
      </c>
      <c r="G25" s="228">
        <f t="shared" si="2"/>
        <v>8971327.2599999998</v>
      </c>
      <c r="H25" s="228">
        <f t="shared" si="2"/>
        <v>8617801.8900000006</v>
      </c>
      <c r="I25" s="228">
        <f t="shared" si="2"/>
        <v>8827702.8600000013</v>
      </c>
      <c r="J25" s="228">
        <f t="shared" si="2"/>
        <v>11895685.99</v>
      </c>
      <c r="K25" s="228">
        <f t="shared" si="2"/>
        <v>8973151.8200000003</v>
      </c>
      <c r="L25" s="228">
        <f t="shared" si="2"/>
        <v>7898990.2200000007</v>
      </c>
      <c r="M25" s="228">
        <f t="shared" si="2"/>
        <v>9632077.370000001</v>
      </c>
      <c r="N25" s="228">
        <f t="shared" si="2"/>
        <v>9914760.6500000004</v>
      </c>
      <c r="O25" s="228">
        <f t="shared" si="2"/>
        <v>9599376.4199999999</v>
      </c>
      <c r="P25" s="41">
        <f>SUM(D25:O25)</f>
        <v>110707418.38000001</v>
      </c>
    </row>
    <row r="26" spans="1:17">
      <c r="B26" s="38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1"/>
    </row>
    <row r="27" spans="1:17">
      <c r="B27" s="38"/>
      <c r="C27" s="40" t="s">
        <v>222</v>
      </c>
      <c r="D27" s="229">
        <f t="shared" ref="D27:O27" si="3">+D25-D11</f>
        <v>810877.41999999993</v>
      </c>
      <c r="E27" s="229">
        <f t="shared" si="3"/>
        <v>771196.3200000003</v>
      </c>
      <c r="F27" s="229">
        <f t="shared" si="3"/>
        <v>570346.16000000015</v>
      </c>
      <c r="G27" s="229">
        <f t="shared" si="3"/>
        <v>896619.25999999978</v>
      </c>
      <c r="H27" s="229">
        <f t="shared" si="3"/>
        <v>543093.8900000006</v>
      </c>
      <c r="I27" s="229">
        <f t="shared" si="3"/>
        <v>752994.86000000127</v>
      </c>
      <c r="J27" s="229">
        <f t="shared" si="3"/>
        <v>3820977.99</v>
      </c>
      <c r="K27" s="229">
        <f t="shared" si="3"/>
        <v>898443.8200000003</v>
      </c>
      <c r="L27" s="229">
        <f t="shared" si="3"/>
        <v>-175717.77999999933</v>
      </c>
      <c r="M27" s="229">
        <f t="shared" si="3"/>
        <v>1557369.370000001</v>
      </c>
      <c r="N27" s="229">
        <f t="shared" si="3"/>
        <v>1840052.6500000004</v>
      </c>
      <c r="O27" s="229">
        <f t="shared" si="3"/>
        <v>1524668.42</v>
      </c>
      <c r="P27" s="230">
        <f>SUM(D27:O27)</f>
        <v>13810922.380000005</v>
      </c>
    </row>
    <row r="28" spans="1:17">
      <c r="A28" s="39"/>
      <c r="B28" s="39"/>
      <c r="C28" s="36" t="s">
        <v>273</v>
      </c>
      <c r="D28" s="229">
        <f>D27*1</f>
        <v>810877.41999999993</v>
      </c>
      <c r="E28" s="229">
        <f t="shared" ref="E28:O28" si="4">E27*1</f>
        <v>771196.3200000003</v>
      </c>
      <c r="F28" s="229">
        <f t="shared" si="4"/>
        <v>570346.16000000015</v>
      </c>
      <c r="G28" s="229">
        <f t="shared" si="4"/>
        <v>896619.25999999978</v>
      </c>
      <c r="H28" s="229">
        <f t="shared" si="4"/>
        <v>543093.8900000006</v>
      </c>
      <c r="I28" s="229">
        <f t="shared" si="4"/>
        <v>752994.86000000127</v>
      </c>
      <c r="J28" s="229">
        <f t="shared" si="4"/>
        <v>3820977.99</v>
      </c>
      <c r="K28" s="229">
        <f t="shared" si="4"/>
        <v>898443.8200000003</v>
      </c>
      <c r="L28" s="229">
        <f t="shared" si="4"/>
        <v>-175717.77999999933</v>
      </c>
      <c r="M28" s="229">
        <f t="shared" si="4"/>
        <v>1557369.370000001</v>
      </c>
      <c r="N28" s="229">
        <f t="shared" si="4"/>
        <v>1840052.6500000004</v>
      </c>
      <c r="O28" s="229">
        <f t="shared" si="4"/>
        <v>1524668.42</v>
      </c>
      <c r="P28" s="230">
        <f>SUM(D28:O28)</f>
        <v>13810922.380000005</v>
      </c>
      <c r="Q28" s="41"/>
    </row>
    <row r="29" spans="1:17">
      <c r="A29" s="39"/>
      <c r="B29" s="39"/>
      <c r="C29" s="36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41"/>
    </row>
    <row r="30" spans="1:17">
      <c r="A30" s="39"/>
      <c r="B30" s="39"/>
      <c r="C30" s="40" t="s">
        <v>234</v>
      </c>
      <c r="D30" s="181">
        <v>17381.268059543643</v>
      </c>
      <c r="E30" s="181">
        <v>17381.268059543643</v>
      </c>
      <c r="F30" s="181">
        <v>17381.268059543643</v>
      </c>
      <c r="G30" s="181">
        <v>17381.268059543643</v>
      </c>
      <c r="H30" s="181">
        <v>17381.268059543643</v>
      </c>
      <c r="I30" s="181">
        <v>17381.268059543643</v>
      </c>
      <c r="J30" s="181">
        <v>33926.342302877529</v>
      </c>
      <c r="K30" s="181">
        <v>33926.342302877529</v>
      </c>
      <c r="L30" s="181">
        <v>33926.342302877529</v>
      </c>
      <c r="M30" s="181">
        <v>33926.342302877529</v>
      </c>
      <c r="N30" s="181">
        <v>33926.342302877529</v>
      </c>
      <c r="O30" s="181">
        <v>33926.342302877529</v>
      </c>
      <c r="P30" s="41">
        <f>SUM(D30:O30)</f>
        <v>307845.66217452695</v>
      </c>
    </row>
    <row r="31" spans="1:17">
      <c r="A31" s="39"/>
      <c r="B31" s="39"/>
      <c r="C31" s="36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41"/>
    </row>
    <row r="32" spans="1:17">
      <c r="A32" s="39"/>
      <c r="B32" s="39"/>
      <c r="C32" s="40" t="s">
        <v>258</v>
      </c>
      <c r="D32" s="181">
        <v>833333.33</v>
      </c>
      <c r="E32" s="181">
        <v>833333.33</v>
      </c>
      <c r="F32" s="181">
        <v>833333.33</v>
      </c>
      <c r="G32" s="181">
        <v>833333.33</v>
      </c>
      <c r="H32" s="181">
        <v>833333.33</v>
      </c>
      <c r="I32" s="181">
        <v>833333.33</v>
      </c>
      <c r="J32" s="181">
        <v>833333.33</v>
      </c>
      <c r="K32" s="181">
        <v>833333.33</v>
      </c>
      <c r="L32" s="181">
        <v>833333.33</v>
      </c>
      <c r="M32" s="181">
        <v>833333.33</v>
      </c>
      <c r="N32" s="181">
        <v>833333.33</v>
      </c>
      <c r="O32" s="181">
        <v>833333.33</v>
      </c>
      <c r="P32" s="41">
        <f>SUM(D32:O32)</f>
        <v>9999999.959999999</v>
      </c>
    </row>
    <row r="33" spans="1:16">
      <c r="A33" s="39"/>
      <c r="B33" s="39"/>
      <c r="C33" s="40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41"/>
    </row>
    <row r="34" spans="1:16">
      <c r="A34" s="39"/>
      <c r="B34" s="39"/>
      <c r="C34" s="40" t="s">
        <v>282</v>
      </c>
      <c r="D34" s="181">
        <v>0</v>
      </c>
      <c r="E34" s="181">
        <v>0</v>
      </c>
      <c r="F34" s="181">
        <v>0</v>
      </c>
      <c r="G34" s="181">
        <v>54175.82</v>
      </c>
      <c r="H34" s="181">
        <v>54175.82</v>
      </c>
      <c r="I34" s="181">
        <v>54175.82</v>
      </c>
      <c r="J34" s="181">
        <v>54175.82</v>
      </c>
      <c r="K34" s="181">
        <v>54175.82</v>
      </c>
      <c r="L34" s="181">
        <v>54175.82</v>
      </c>
      <c r="M34" s="181">
        <v>54175.82</v>
      </c>
      <c r="N34" s="181">
        <v>54175.82</v>
      </c>
      <c r="O34" s="181">
        <v>54175.82</v>
      </c>
      <c r="P34" s="41">
        <f>SUM(D34:O34)</f>
        <v>487582.38</v>
      </c>
    </row>
    <row r="35" spans="1:16">
      <c r="A35" s="39"/>
      <c r="B35" s="39"/>
      <c r="C35" s="40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</row>
    <row r="36" spans="1:16">
      <c r="A36" s="39"/>
      <c r="B36" s="39"/>
      <c r="C36" s="40" t="s">
        <v>223</v>
      </c>
      <c r="D36" s="229">
        <f>'PPA Form 5.0'!D61</f>
        <v>105767.06084981</v>
      </c>
      <c r="E36" s="229">
        <f>$D$36</f>
        <v>105767.06084981</v>
      </c>
      <c r="F36" s="229">
        <f t="shared" ref="F36:I36" si="5">$D$36</f>
        <v>105767.06084981</v>
      </c>
      <c r="G36" s="229">
        <f t="shared" si="5"/>
        <v>105767.06084981</v>
      </c>
      <c r="H36" s="229">
        <f t="shared" si="5"/>
        <v>105767.06084981</v>
      </c>
      <c r="I36" s="229">
        <f t="shared" si="5"/>
        <v>105767.06084981</v>
      </c>
      <c r="J36" s="229">
        <v>105767</v>
      </c>
      <c r="K36" s="229">
        <v>105767</v>
      </c>
      <c r="L36" s="229">
        <f>K36</f>
        <v>105767</v>
      </c>
      <c r="M36" s="229">
        <f>L36</f>
        <v>105767</v>
      </c>
      <c r="N36" s="229">
        <f>M36</f>
        <v>105767</v>
      </c>
      <c r="O36" s="229">
        <f>N36</f>
        <v>105767</v>
      </c>
      <c r="P36" s="41">
        <f>SUM(D36:O36)</f>
        <v>1269204.3650988601</v>
      </c>
    </row>
    <row r="37" spans="1:16">
      <c r="A37" s="39"/>
      <c r="B37" s="39"/>
      <c r="C37" s="36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  <row r="38" spans="1:16">
      <c r="B38" s="38"/>
      <c r="C38" s="36" t="s">
        <v>249</v>
      </c>
      <c r="D38" s="231">
        <v>189664.23</v>
      </c>
      <c r="E38" s="231">
        <v>54707.25</v>
      </c>
      <c r="F38" s="231">
        <v>947412.1</v>
      </c>
      <c r="G38" s="231">
        <v>1034543.13</v>
      </c>
      <c r="H38" s="231">
        <v>395806.86</v>
      </c>
      <c r="I38" s="231">
        <v>755729.37</v>
      </c>
      <c r="J38" s="231">
        <v>774443.2</v>
      </c>
      <c r="K38" s="231">
        <v>37245.32</v>
      </c>
      <c r="L38" s="181">
        <v>1471362.47</v>
      </c>
      <c r="M38" s="231">
        <v>89868.52</v>
      </c>
      <c r="N38" s="231">
        <v>426653.57</v>
      </c>
      <c r="O38" s="231">
        <v>94990.399999999994</v>
      </c>
    </row>
    <row r="39" spans="1:16">
      <c r="B39" s="38"/>
      <c r="C39" s="36" t="s">
        <v>250</v>
      </c>
      <c r="D39" s="231">
        <v>-255254.92</v>
      </c>
      <c r="E39" s="231">
        <v>-189664.23</v>
      </c>
      <c r="F39" s="231">
        <v>-54707.25</v>
      </c>
      <c r="G39" s="231">
        <v>-947412.1</v>
      </c>
      <c r="H39" s="231">
        <v>-1034543.13</v>
      </c>
      <c r="I39" s="231">
        <v>-395806.86</v>
      </c>
      <c r="J39" s="231">
        <v>-755729.37</v>
      </c>
      <c r="K39" s="231">
        <v>-774443.2</v>
      </c>
      <c r="L39" s="231">
        <v>-37245.32</v>
      </c>
      <c r="M39" s="231">
        <v>-1471362.47</v>
      </c>
      <c r="N39" s="231">
        <v>-89868.52</v>
      </c>
      <c r="O39" s="231">
        <v>-426653.57</v>
      </c>
    </row>
    <row r="40" spans="1:16">
      <c r="B40" s="38"/>
      <c r="C40" s="37" t="s">
        <v>251</v>
      </c>
      <c r="D40" s="232">
        <v>254979.79</v>
      </c>
      <c r="E40" s="232">
        <v>189598.37</v>
      </c>
      <c r="F40" s="232">
        <v>54694.68</v>
      </c>
      <c r="G40" s="232">
        <v>948940.16</v>
      </c>
      <c r="H40" s="232">
        <v>1035226.84</v>
      </c>
      <c r="I40" s="232">
        <v>394853.62</v>
      </c>
      <c r="J40" s="232">
        <v>806745.98</v>
      </c>
      <c r="K40" s="232">
        <v>772449.64</v>
      </c>
      <c r="L40" s="232">
        <v>37259.160000000003</v>
      </c>
      <c r="M40" s="232">
        <v>1472747.51</v>
      </c>
      <c r="N40" s="232">
        <v>89931.71</v>
      </c>
      <c r="O40" s="232">
        <v>427568.92</v>
      </c>
    </row>
    <row r="41" spans="1:16">
      <c r="B41" s="38"/>
      <c r="C41" s="37" t="s">
        <v>224</v>
      </c>
      <c r="D41" s="231">
        <f>SUM(D38:D40)</f>
        <v>189389.1</v>
      </c>
      <c r="E41" s="231">
        <f t="shared" ref="E41:J41" si="6">SUM(E38:E40)</f>
        <v>54641.389999999985</v>
      </c>
      <c r="F41" s="231">
        <f t="shared" si="6"/>
        <v>947399.53</v>
      </c>
      <c r="G41" s="231">
        <f t="shared" si="6"/>
        <v>1036071.1900000001</v>
      </c>
      <c r="H41" s="231">
        <f t="shared" si="6"/>
        <v>396490.56999999995</v>
      </c>
      <c r="I41" s="231">
        <f t="shared" si="6"/>
        <v>754776.13</v>
      </c>
      <c r="J41" s="231">
        <f t="shared" si="6"/>
        <v>825459.80999999994</v>
      </c>
      <c r="K41" s="231">
        <f t="shared" ref="K41:O41" si="7">SUM(K38:K40)</f>
        <v>35251.760000000009</v>
      </c>
      <c r="L41" s="231">
        <f t="shared" si="7"/>
        <v>1471376.3099999998</v>
      </c>
      <c r="M41" s="231">
        <f t="shared" si="7"/>
        <v>91253.560000000056</v>
      </c>
      <c r="N41" s="231">
        <f t="shared" si="7"/>
        <v>426716.76</v>
      </c>
      <c r="O41" s="231">
        <f t="shared" si="7"/>
        <v>95905.749999999942</v>
      </c>
      <c r="P41" s="41">
        <f>SUM(D41:O41)</f>
        <v>6324731.8599999994</v>
      </c>
    </row>
    <row r="42" spans="1:16"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</row>
    <row r="43" spans="1:16">
      <c r="C43" s="37" t="s">
        <v>225</v>
      </c>
      <c r="D43" s="182">
        <f>D41-D36</f>
        <v>83622.039150190001</v>
      </c>
      <c r="E43" s="182">
        <f t="shared" ref="E43:J43" si="8">E41-E36</f>
        <v>-51125.67084981002</v>
      </c>
      <c r="F43" s="182">
        <f t="shared" si="8"/>
        <v>841632.46915019001</v>
      </c>
      <c r="G43" s="182">
        <f>G41-G36</f>
        <v>930304.12915019004</v>
      </c>
      <c r="H43" s="182">
        <f t="shared" si="8"/>
        <v>290723.50915018993</v>
      </c>
      <c r="I43" s="182">
        <f t="shared" si="8"/>
        <v>649009.06915018999</v>
      </c>
      <c r="J43" s="182">
        <f t="shared" si="8"/>
        <v>719692.80999999994</v>
      </c>
      <c r="K43" s="182">
        <f t="shared" ref="K43:N43" si="9">K41-K36</f>
        <v>-70515.239999999991</v>
      </c>
      <c r="L43" s="182">
        <f t="shared" si="9"/>
        <v>1365609.3099999998</v>
      </c>
      <c r="M43" s="182">
        <f t="shared" si="9"/>
        <v>-14513.439999999944</v>
      </c>
      <c r="N43" s="182">
        <f t="shared" si="9"/>
        <v>320949.76000000001</v>
      </c>
      <c r="O43" s="182">
        <f>O41-O36</f>
        <v>-9861.2500000000582</v>
      </c>
      <c r="P43" s="41">
        <f>SUM(D43:O43)</f>
        <v>5055527.4949011393</v>
      </c>
    </row>
    <row r="44" spans="1:16"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53"/>
    </row>
    <row r="45" spans="1:16" ht="13.5" thickBot="1">
      <c r="A45" s="39"/>
      <c r="B45" s="39"/>
      <c r="C45" s="40" t="s">
        <v>226</v>
      </c>
      <c r="D45" s="233">
        <f>(D28-D30)+D43+D34</f>
        <v>877118.1910906462</v>
      </c>
      <c r="E45" s="233">
        <f t="shared" ref="E45:O45" si="10">(E28-E30)+E43+E34</f>
        <v>702689.38109064661</v>
      </c>
      <c r="F45" s="233">
        <f t="shared" si="10"/>
        <v>1394597.3610906466</v>
      </c>
      <c r="G45" s="233">
        <f t="shared" si="10"/>
        <v>1863717.9410906462</v>
      </c>
      <c r="H45" s="233">
        <f t="shared" si="10"/>
        <v>870611.95109064679</v>
      </c>
      <c r="I45" s="233">
        <f t="shared" si="10"/>
        <v>1438798.4810906476</v>
      </c>
      <c r="J45" s="233">
        <f t="shared" si="10"/>
        <v>4560920.2776971227</v>
      </c>
      <c r="K45" s="233">
        <f t="shared" si="10"/>
        <v>848178.05769712268</v>
      </c>
      <c r="L45" s="233">
        <f t="shared" si="10"/>
        <v>1210141.0076971231</v>
      </c>
      <c r="M45" s="233">
        <f t="shared" si="10"/>
        <v>1563105.4076971237</v>
      </c>
      <c r="N45" s="233">
        <f t="shared" si="10"/>
        <v>2181251.8876971225</v>
      </c>
      <c r="O45" s="233">
        <f t="shared" si="10"/>
        <v>1535056.6476971225</v>
      </c>
      <c r="P45" s="41">
        <f>SUM(D45:O45)</f>
        <v>19046186.592726614</v>
      </c>
    </row>
    <row r="46" spans="1:16" ht="13.5" thickTop="1">
      <c r="A46" s="39"/>
      <c r="B46" s="39"/>
      <c r="C46" s="40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</row>
    <row r="47" spans="1:16">
      <c r="A47" s="39"/>
      <c r="B47" s="39"/>
      <c r="C47" s="39" t="s">
        <v>227</v>
      </c>
      <c r="D47" s="182">
        <f t="shared" ref="D47:O47" si="11">D45-D9</f>
        <v>-282739.22211429151</v>
      </c>
      <c r="E47" s="182">
        <f t="shared" si="11"/>
        <v>-760752.48314826027</v>
      </c>
      <c r="F47" s="182">
        <f t="shared" si="11"/>
        <v>652964.31781345536</v>
      </c>
      <c r="G47" s="182">
        <f t="shared" si="11"/>
        <v>299826.3781191248</v>
      </c>
      <c r="H47" s="182">
        <f t="shared" si="11"/>
        <v>-1065864.9237359436</v>
      </c>
      <c r="I47" s="182">
        <f t="shared" si="11"/>
        <v>-907675.6910984097</v>
      </c>
      <c r="J47" s="182">
        <f t="shared" si="11"/>
        <v>2172292.3030418823</v>
      </c>
      <c r="K47" s="182">
        <f t="shared" si="11"/>
        <v>-1171075.5253202133</v>
      </c>
      <c r="L47" s="182">
        <f t="shared" si="11"/>
        <v>-661850.39037656691</v>
      </c>
      <c r="M47" s="182">
        <f t="shared" si="11"/>
        <v>-109970.4716686036</v>
      </c>
      <c r="N47" s="182">
        <f t="shared" si="11"/>
        <v>-186337.04849343328</v>
      </c>
      <c r="O47" s="182">
        <f t="shared" si="11"/>
        <v>238149.81396989455</v>
      </c>
      <c r="P47" s="41">
        <f>SUM(D47:O47)</f>
        <v>-1783032.9430113651</v>
      </c>
    </row>
    <row r="48" spans="1:16"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</row>
    <row r="49" spans="1:17">
      <c r="A49" s="39"/>
      <c r="B49" s="39"/>
      <c r="C49" s="40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</row>
    <row r="50" spans="1:17">
      <c r="A50" s="55"/>
      <c r="B50" s="56"/>
      <c r="C50" s="57" t="s">
        <v>228</v>
      </c>
      <c r="D50" s="234">
        <f>D47+D32+25791336.57</f>
        <v>26341930.677885707</v>
      </c>
      <c r="E50" s="234">
        <f>D50+E32+E47</f>
        <v>26414511.524737444</v>
      </c>
      <c r="F50" s="234">
        <f t="shared" ref="F50:N50" si="12">+F47+E50+F32</f>
        <v>27900809.172550898</v>
      </c>
      <c r="G50" s="234">
        <f t="shared" si="12"/>
        <v>29033968.880670022</v>
      </c>
      <c r="H50" s="234">
        <f t="shared" si="12"/>
        <v>28801437.286934078</v>
      </c>
      <c r="I50" s="234">
        <f t="shared" si="12"/>
        <v>28727094.925835665</v>
      </c>
      <c r="J50" s="234">
        <f t="shared" si="12"/>
        <v>31732720.558877546</v>
      </c>
      <c r="K50" s="234">
        <f t="shared" si="12"/>
        <v>31394978.363557331</v>
      </c>
      <c r="L50" s="234">
        <f t="shared" si="12"/>
        <v>31566461.303180762</v>
      </c>
      <c r="M50" s="234">
        <f t="shared" si="12"/>
        <v>32289824.161512155</v>
      </c>
      <c r="N50" s="234">
        <f t="shared" si="12"/>
        <v>32936820.44301872</v>
      </c>
      <c r="O50" s="234">
        <f>+O47+N50+O32</f>
        <v>34008303.586988613</v>
      </c>
      <c r="P50" s="53">
        <f>P28-P30-P36+P41+P32+P34</f>
        <v>29046186.552726615</v>
      </c>
      <c r="Q50" s="37" t="s">
        <v>190</v>
      </c>
    </row>
    <row r="51" spans="1:17">
      <c r="A51" s="58"/>
      <c r="B51" s="59"/>
      <c r="C51" s="60"/>
      <c r="D51" s="42"/>
      <c r="E51" s="42"/>
      <c r="F51" s="42"/>
      <c r="G51" s="42"/>
      <c r="H51" s="42"/>
      <c r="I51" s="42"/>
      <c r="J51" s="42"/>
      <c r="K51" s="42"/>
      <c r="L51" s="54"/>
      <c r="O51" s="61"/>
    </row>
    <row r="52" spans="1:17">
      <c r="A52" s="58"/>
      <c r="B52" s="59"/>
      <c r="C52" s="60"/>
      <c r="D52" s="42"/>
      <c r="E52" s="42"/>
      <c r="F52" s="42"/>
      <c r="G52" s="42"/>
      <c r="H52" s="42"/>
      <c r="I52" s="42"/>
      <c r="J52" s="42"/>
      <c r="K52" s="42"/>
      <c r="L52" s="54"/>
      <c r="O52" s="182">
        <v>34008303.950000003</v>
      </c>
      <c r="P52" s="37" t="s">
        <v>259</v>
      </c>
    </row>
    <row r="54" spans="1:17">
      <c r="O54" s="53"/>
    </row>
    <row r="57" spans="1:17">
      <c r="O57" s="62"/>
    </row>
    <row r="67" spans="4:15"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4:15"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</sheetData>
  <customSheetViews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3"/>
    </customSheetView>
  </customSheetViews>
  <pageMargins left="0.7" right="0.7" top="0.75" bottom="0.75" header="0.3" footer="0.3"/>
  <pageSetup scale="35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85" workbookViewId="0">
      <selection activeCell="G9" sqref="G9"/>
    </sheetView>
  </sheetViews>
  <sheetFormatPr defaultColWidth="8.7109375" defaultRowHeight="12.75"/>
  <cols>
    <col min="1" max="1" width="8.85546875" style="129"/>
    <col min="2" max="2" width="58.7109375" style="128" customWidth="1"/>
    <col min="3" max="6" width="2" style="128" customWidth="1"/>
    <col min="7" max="7" width="19.85546875" style="128" bestFit="1" customWidth="1"/>
    <col min="8" max="16384" width="8.7109375" style="128"/>
  </cols>
  <sheetData>
    <row r="1" spans="1:7">
      <c r="G1" s="130" t="s">
        <v>97</v>
      </c>
    </row>
    <row r="2" spans="1:7">
      <c r="C2" s="131"/>
    </row>
    <row r="3" spans="1:7">
      <c r="B3" s="355" t="s">
        <v>0</v>
      </c>
      <c r="C3" s="355"/>
      <c r="D3" s="355"/>
      <c r="E3" s="355"/>
      <c r="F3" s="355"/>
      <c r="G3" s="355"/>
    </row>
    <row r="4" spans="1:7">
      <c r="B4" s="355" t="s">
        <v>88</v>
      </c>
      <c r="C4" s="355"/>
      <c r="D4" s="355"/>
      <c r="E4" s="355"/>
      <c r="F4" s="355"/>
      <c r="G4" s="355"/>
    </row>
    <row r="5" spans="1:7">
      <c r="B5" s="359" t="str">
        <f>'Input Sheet'!$A$2</f>
        <v>12 -Month Period ended June 30, 2022</v>
      </c>
      <c r="C5" s="359"/>
      <c r="D5" s="359"/>
      <c r="E5" s="359"/>
      <c r="F5" s="359"/>
      <c r="G5" s="359"/>
    </row>
    <row r="6" spans="1:7">
      <c r="C6" s="184"/>
    </row>
    <row r="7" spans="1:7">
      <c r="B7" s="132" t="s">
        <v>1</v>
      </c>
      <c r="C7" s="132"/>
      <c r="E7" s="132"/>
      <c r="G7" s="132" t="s">
        <v>44</v>
      </c>
    </row>
    <row r="8" spans="1:7">
      <c r="A8" s="133" t="s">
        <v>103</v>
      </c>
    </row>
    <row r="9" spans="1:7">
      <c r="A9" s="134">
        <v>-1</v>
      </c>
      <c r="B9" s="135" t="s">
        <v>36</v>
      </c>
      <c r="C9" s="131"/>
      <c r="E9" s="131"/>
      <c r="G9" s="136">
        <v>10393896</v>
      </c>
    </row>
    <row r="10" spans="1:7">
      <c r="A10" s="134">
        <f>A9-1</f>
        <v>-2</v>
      </c>
      <c r="B10" s="135" t="s">
        <v>108</v>
      </c>
      <c r="C10" s="131"/>
      <c r="E10" s="131"/>
      <c r="G10" s="136">
        <v>2655395.1199999996</v>
      </c>
    </row>
    <row r="11" spans="1:7">
      <c r="A11" s="134">
        <f t="shared" ref="A11:A15" si="0">A10-1</f>
        <v>-3</v>
      </c>
      <c r="B11" s="135" t="s">
        <v>37</v>
      </c>
      <c r="C11" s="131"/>
      <c r="E11" s="131"/>
      <c r="G11" s="136">
        <v>1901796.6199999999</v>
      </c>
    </row>
    <row r="12" spans="1:7">
      <c r="A12" s="134">
        <f t="shared" si="0"/>
        <v>-4</v>
      </c>
      <c r="B12" s="135" t="s">
        <v>43</v>
      </c>
      <c r="C12" s="131"/>
      <c r="E12" s="131"/>
      <c r="G12" s="136">
        <v>7066.37</v>
      </c>
    </row>
    <row r="13" spans="1:7">
      <c r="A13" s="134">
        <f t="shared" si="0"/>
        <v>-5</v>
      </c>
      <c r="B13" s="135" t="s">
        <v>94</v>
      </c>
      <c r="C13" s="131"/>
      <c r="E13" s="131"/>
      <c r="G13" s="136">
        <v>5293360.8100000005</v>
      </c>
    </row>
    <row r="14" spans="1:7">
      <c r="A14" s="134">
        <f t="shared" si="0"/>
        <v>-6</v>
      </c>
      <c r="B14" s="135" t="s">
        <v>39</v>
      </c>
      <c r="C14" s="131"/>
      <c r="E14" s="131"/>
      <c r="G14" s="136">
        <v>5391.86</v>
      </c>
    </row>
    <row r="15" spans="1:7">
      <c r="A15" s="134">
        <f t="shared" si="0"/>
        <v>-7</v>
      </c>
      <c r="B15" s="135" t="s">
        <v>40</v>
      </c>
      <c r="C15" s="131"/>
      <c r="E15" s="131"/>
      <c r="G15" s="136">
        <v>22744.93</v>
      </c>
    </row>
    <row r="16" spans="1:7">
      <c r="A16" s="134">
        <f>A15-1</f>
        <v>-8</v>
      </c>
      <c r="B16" s="135" t="s">
        <v>41</v>
      </c>
      <c r="C16" s="131"/>
      <c r="E16" s="131"/>
      <c r="G16" s="136">
        <v>5136.33</v>
      </c>
    </row>
    <row r="17" spans="1:9">
      <c r="A17" s="134" t="s">
        <v>45</v>
      </c>
      <c r="C17" s="131"/>
    </row>
    <row r="18" spans="1:9">
      <c r="A18" s="134">
        <f>A16-1</f>
        <v>-9</v>
      </c>
      <c r="B18" s="137" t="s">
        <v>252</v>
      </c>
      <c r="C18" s="131"/>
      <c r="E18" s="136"/>
      <c r="G18" s="136">
        <f>SUM(G9:G16)</f>
        <v>20284788.039999995</v>
      </c>
    </row>
    <row r="19" spans="1:9">
      <c r="A19" s="134"/>
      <c r="B19" s="137"/>
      <c r="C19" s="131"/>
      <c r="E19" s="136"/>
      <c r="G19" s="136"/>
    </row>
    <row r="20" spans="1:9">
      <c r="A20" s="134">
        <v>-10</v>
      </c>
      <c r="B20" s="138" t="s">
        <v>253</v>
      </c>
      <c r="G20" s="136">
        <f>'PPA Form 3.0a'!P7-'PPA Form 4.0'!G18</f>
        <v>671339.19008306414</v>
      </c>
    </row>
    <row r="21" spans="1:9">
      <c r="A21" s="134"/>
      <c r="B21" s="135"/>
      <c r="G21" s="136"/>
    </row>
    <row r="22" spans="1:9">
      <c r="A22" s="134">
        <v>-11</v>
      </c>
      <c r="B22" s="137" t="s">
        <v>4</v>
      </c>
      <c r="G22" s="141">
        <f>G18+G20</f>
        <v>20956127.23008306</v>
      </c>
      <c r="I22" s="126"/>
    </row>
    <row r="23" spans="1:9">
      <c r="A23" s="134" t="s">
        <v>45</v>
      </c>
      <c r="B23" s="139"/>
    </row>
    <row r="24" spans="1:9">
      <c r="A24" s="134" t="s">
        <v>45</v>
      </c>
      <c r="B24" s="135"/>
      <c r="G24" s="128" t="s">
        <v>45</v>
      </c>
    </row>
    <row r="25" spans="1:9">
      <c r="B25" s="135"/>
    </row>
    <row r="26" spans="1:9">
      <c r="B26" s="135"/>
    </row>
    <row r="27" spans="1:9">
      <c r="B27" s="135"/>
    </row>
    <row r="28" spans="1:9">
      <c r="B28" s="135"/>
    </row>
    <row r="29" spans="1:9">
      <c r="B29" s="135"/>
    </row>
    <row r="30" spans="1:9">
      <c r="B30" s="135" t="s">
        <v>45</v>
      </c>
    </row>
    <row r="31" spans="1:9">
      <c r="B31" s="135"/>
    </row>
    <row r="32" spans="1:9">
      <c r="B32" s="135"/>
    </row>
    <row r="33" spans="2:3">
      <c r="B33" s="135"/>
    </row>
    <row r="34" spans="2:3">
      <c r="C34" s="131"/>
    </row>
    <row r="35" spans="2:3">
      <c r="B35" s="137"/>
      <c r="C35" s="140"/>
    </row>
    <row r="37" spans="2:3">
      <c r="B37" s="137"/>
      <c r="C37" s="141"/>
    </row>
  </sheetData>
  <customSheetViews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opLeftCell="A40" zoomScale="115" zoomScaleNormal="115" workbookViewId="0">
      <selection activeCell="C51" sqref="C51"/>
    </sheetView>
  </sheetViews>
  <sheetFormatPr defaultColWidth="9.140625" defaultRowHeight="12.75"/>
  <cols>
    <col min="1" max="1" width="8.85546875" style="112"/>
    <col min="2" max="2" width="20.7109375" style="113" customWidth="1"/>
    <col min="3" max="3" width="55.5703125" style="113" customWidth="1"/>
    <col min="4" max="4" width="22.7109375" style="113" bestFit="1" customWidth="1"/>
    <col min="5" max="5" width="3.140625" style="113" customWidth="1"/>
    <col min="6" max="6" width="16.28515625" style="113" customWidth="1"/>
    <col min="7" max="16384" width="9.140625" style="113"/>
  </cols>
  <sheetData>
    <row r="1" spans="1:6">
      <c r="B1" s="119" t="s">
        <v>72</v>
      </c>
      <c r="F1" s="114" t="s">
        <v>105</v>
      </c>
    </row>
    <row r="2" spans="1:6">
      <c r="B2" s="119" t="s">
        <v>99</v>
      </c>
    </row>
    <row r="3" spans="1:6">
      <c r="B3" s="119" t="s">
        <v>73</v>
      </c>
    </row>
    <row r="6" spans="1:6">
      <c r="A6" s="121" t="s">
        <v>103</v>
      </c>
      <c r="B6" s="121" t="s">
        <v>82</v>
      </c>
      <c r="C6" s="121" t="s">
        <v>2</v>
      </c>
      <c r="D6" s="121" t="s">
        <v>83</v>
      </c>
      <c r="E6" s="142"/>
      <c r="F6" s="121" t="s">
        <v>85</v>
      </c>
    </row>
    <row r="7" spans="1:6">
      <c r="A7" s="115">
        <v>-1</v>
      </c>
      <c r="B7" s="116">
        <v>4561005</v>
      </c>
      <c r="C7" s="113" t="s">
        <v>138</v>
      </c>
      <c r="D7" s="143">
        <v>-535143.05000000005</v>
      </c>
      <c r="F7" s="113" t="s">
        <v>3</v>
      </c>
    </row>
    <row r="8" spans="1:6">
      <c r="A8" s="115">
        <f>A7-1</f>
        <v>-2</v>
      </c>
      <c r="B8" s="116">
        <v>4561002</v>
      </c>
      <c r="C8" s="113" t="s">
        <v>139</v>
      </c>
      <c r="D8" s="143">
        <v>196296.08</v>
      </c>
      <c r="F8" s="113" t="s">
        <v>3</v>
      </c>
    </row>
    <row r="9" spans="1:6">
      <c r="A9" s="115">
        <f>A8-1</f>
        <v>-3</v>
      </c>
      <c r="B9" s="116">
        <v>4561035</v>
      </c>
      <c r="C9" s="113" t="s">
        <v>76</v>
      </c>
      <c r="D9" s="143">
        <v>45453207</v>
      </c>
      <c r="F9" s="113" t="s">
        <v>3</v>
      </c>
    </row>
    <row r="10" spans="1:6">
      <c r="A10" s="115">
        <f t="shared" ref="A10:A15" si="0">A9-1</f>
        <v>-4</v>
      </c>
      <c r="B10" s="116">
        <v>4561036</v>
      </c>
      <c r="C10" s="113" t="s">
        <v>77</v>
      </c>
      <c r="D10" s="143">
        <v>566356</v>
      </c>
      <c r="F10" s="113" t="s">
        <v>5</v>
      </c>
    </row>
    <row r="11" spans="1:6">
      <c r="A11" s="115">
        <f t="shared" si="0"/>
        <v>-5</v>
      </c>
      <c r="B11" s="116">
        <v>4561060</v>
      </c>
      <c r="C11" s="113" t="s">
        <v>78</v>
      </c>
      <c r="D11" s="143">
        <v>788524</v>
      </c>
      <c r="F11" s="113" t="s">
        <v>3</v>
      </c>
    </row>
    <row r="12" spans="1:6">
      <c r="A12" s="115">
        <f t="shared" si="0"/>
        <v>-6</v>
      </c>
      <c r="B12" s="116">
        <v>5650012</v>
      </c>
      <c r="C12" s="113" t="s">
        <v>79</v>
      </c>
      <c r="D12" s="143">
        <v>5035193</v>
      </c>
      <c r="F12" s="113" t="s">
        <v>3</v>
      </c>
    </row>
    <row r="13" spans="1:6">
      <c r="A13" s="115">
        <f t="shared" si="0"/>
        <v>-7</v>
      </c>
      <c r="B13" s="116">
        <v>5650016</v>
      </c>
      <c r="C13" s="113" t="s">
        <v>80</v>
      </c>
      <c r="D13" s="143">
        <v>18568254</v>
      </c>
      <c r="F13" s="113" t="s">
        <v>3</v>
      </c>
    </row>
    <row r="14" spans="1:6">
      <c r="A14" s="115">
        <f t="shared" si="0"/>
        <v>-8</v>
      </c>
      <c r="B14" s="116">
        <v>5650019</v>
      </c>
      <c r="C14" s="113" t="s">
        <v>81</v>
      </c>
      <c r="D14" s="144">
        <v>3965830</v>
      </c>
      <c r="F14" s="113" t="s">
        <v>3</v>
      </c>
    </row>
    <row r="15" spans="1:6">
      <c r="A15" s="115">
        <f t="shared" si="0"/>
        <v>-9</v>
      </c>
      <c r="B15" s="113" t="s">
        <v>74</v>
      </c>
      <c r="D15" s="143">
        <f>SUM(D7:D14)</f>
        <v>74038517.030000001</v>
      </c>
      <c r="F15" s="145"/>
    </row>
    <row r="16" spans="1:6">
      <c r="A16" s="115"/>
      <c r="D16" s="143"/>
      <c r="F16" s="145"/>
    </row>
    <row r="17" spans="1:6">
      <c r="A17" s="115" t="s">
        <v>235</v>
      </c>
      <c r="B17" s="113" t="s">
        <v>196</v>
      </c>
      <c r="D17" s="146">
        <f>ROUND(D15/12,0)</f>
        <v>6169876</v>
      </c>
    </row>
    <row r="18" spans="1:6">
      <c r="A18" s="115" t="s">
        <v>45</v>
      </c>
    </row>
    <row r="19" spans="1:6">
      <c r="A19" s="115">
        <f>A15-1</f>
        <v>-10</v>
      </c>
      <c r="B19" s="113" t="s">
        <v>194</v>
      </c>
      <c r="C19" s="147"/>
      <c r="D19" s="120">
        <v>372542</v>
      </c>
      <c r="E19" s="116" t="s">
        <v>45</v>
      </c>
      <c r="F19" s="113" t="s">
        <v>5</v>
      </c>
    </row>
    <row r="20" spans="1:6">
      <c r="A20" s="115" t="s">
        <v>45</v>
      </c>
      <c r="E20" s="116"/>
    </row>
    <row r="21" spans="1:6">
      <c r="A21" s="115">
        <f>A19-1</f>
        <v>-11</v>
      </c>
      <c r="B21" s="113" t="s">
        <v>84</v>
      </c>
      <c r="D21" s="120">
        <v>42026</v>
      </c>
      <c r="E21" s="116" t="s">
        <v>45</v>
      </c>
      <c r="F21" s="113" t="s">
        <v>3</v>
      </c>
    </row>
    <row r="22" spans="1:6">
      <c r="A22" s="115" t="s">
        <v>236</v>
      </c>
      <c r="B22" s="113" t="s">
        <v>197</v>
      </c>
      <c r="D22" s="148">
        <f>SUM(D19:D21)/12</f>
        <v>34547.333333333336</v>
      </c>
      <c r="E22" s="116"/>
    </row>
    <row r="23" spans="1:6">
      <c r="A23" s="115"/>
      <c r="D23" s="120"/>
      <c r="E23" s="116"/>
    </row>
    <row r="24" spans="1:6">
      <c r="A24" s="115" t="s">
        <v>45</v>
      </c>
    </row>
    <row r="25" spans="1:6" ht="13.5" thickBot="1">
      <c r="A25" s="115" t="s">
        <v>237</v>
      </c>
      <c r="B25" s="119" t="s">
        <v>75</v>
      </c>
      <c r="D25" s="149">
        <f>SUM(D21,D19,D15)</f>
        <v>74453085.030000001</v>
      </c>
    </row>
    <row r="26" spans="1:6" ht="13.5" thickTop="1">
      <c r="A26" s="115" t="s">
        <v>45</v>
      </c>
    </row>
    <row r="27" spans="1:6" ht="13.5" thickBot="1">
      <c r="A27" s="115">
        <v>-13</v>
      </c>
      <c r="B27" s="113" t="s">
        <v>289</v>
      </c>
      <c r="D27" s="150">
        <f>D25/12</f>
        <v>6204423.7525000004</v>
      </c>
    </row>
    <row r="28" spans="1:6" ht="13.5" thickTop="1">
      <c r="B28" s="113" t="s">
        <v>45</v>
      </c>
    </row>
    <row r="29" spans="1:6">
      <c r="A29" s="151" t="s">
        <v>238</v>
      </c>
    </row>
    <row r="32" spans="1:6">
      <c r="A32" s="152"/>
      <c r="B32" s="153"/>
      <c r="C32" s="153"/>
      <c r="D32" s="153"/>
      <c r="E32" s="153"/>
      <c r="F32" s="153"/>
    </row>
    <row r="38" spans="1:4">
      <c r="B38" s="119" t="s">
        <v>72</v>
      </c>
    </row>
    <row r="39" spans="1:4">
      <c r="B39" s="119" t="s">
        <v>263</v>
      </c>
    </row>
    <row r="40" spans="1:4">
      <c r="B40" s="119" t="s">
        <v>73</v>
      </c>
    </row>
    <row r="43" spans="1:4">
      <c r="A43" s="121" t="s">
        <v>103</v>
      </c>
      <c r="B43" s="121" t="s">
        <v>82</v>
      </c>
      <c r="C43" s="121" t="s">
        <v>2</v>
      </c>
      <c r="D43" s="121" t="s">
        <v>83</v>
      </c>
    </row>
    <row r="44" spans="1:4">
      <c r="A44" s="115">
        <v>-1</v>
      </c>
      <c r="B44" s="116">
        <v>4561005</v>
      </c>
      <c r="C44" s="113" t="s">
        <v>138</v>
      </c>
      <c r="D44" s="143">
        <v>-766099.98</v>
      </c>
    </row>
    <row r="45" spans="1:4">
      <c r="A45" s="115">
        <f>A44-1</f>
        <v>-2</v>
      </c>
      <c r="B45" s="116">
        <v>4561002</v>
      </c>
      <c r="C45" s="113" t="s">
        <v>139</v>
      </c>
      <c r="D45" s="143">
        <v>135211.87</v>
      </c>
    </row>
    <row r="46" spans="1:4">
      <c r="A46" s="115">
        <f>A45-1</f>
        <v>-3</v>
      </c>
      <c r="B46" s="116">
        <v>4561035</v>
      </c>
      <c r="C46" s="113" t="s">
        <v>76</v>
      </c>
      <c r="D46" s="143">
        <v>41633169.243048489</v>
      </c>
    </row>
    <row r="47" spans="1:4">
      <c r="A47" s="115">
        <f t="shared" ref="A47:A53" si="1">A46-1</f>
        <v>-4</v>
      </c>
      <c r="B47" s="116">
        <v>4561036</v>
      </c>
      <c r="C47" s="113" t="s">
        <v>77</v>
      </c>
      <c r="D47" s="143">
        <v>175036.01285554259</v>
      </c>
    </row>
    <row r="48" spans="1:4">
      <c r="A48" s="115">
        <f t="shared" si="1"/>
        <v>-5</v>
      </c>
      <c r="B48" s="116">
        <v>4561060</v>
      </c>
      <c r="C48" s="113" t="s">
        <v>78</v>
      </c>
      <c r="D48" s="143">
        <v>1012416.823731375</v>
      </c>
    </row>
    <row r="49" spans="1:6">
      <c r="A49" s="115">
        <f t="shared" si="1"/>
        <v>-6</v>
      </c>
      <c r="B49" s="116">
        <v>5650012</v>
      </c>
      <c r="C49" s="113" t="s">
        <v>79</v>
      </c>
      <c r="D49" s="143">
        <v>8898999.1954638269</v>
      </c>
    </row>
    <row r="50" spans="1:6">
      <c r="A50" s="115">
        <f t="shared" si="1"/>
        <v>-7</v>
      </c>
      <c r="B50" s="116">
        <v>5650016</v>
      </c>
      <c r="C50" s="113" t="s">
        <v>80</v>
      </c>
      <c r="D50" s="143">
        <v>39470780.379406027</v>
      </c>
    </row>
    <row r="51" spans="1:6">
      <c r="A51" s="115">
        <f t="shared" si="1"/>
        <v>-8</v>
      </c>
      <c r="B51" s="116">
        <v>5650019</v>
      </c>
      <c r="C51" s="113" t="s">
        <v>81</v>
      </c>
      <c r="D51" s="154">
        <v>5829121.7728403695</v>
      </c>
    </row>
    <row r="52" spans="1:6">
      <c r="A52" s="115">
        <f t="shared" si="1"/>
        <v>-9</v>
      </c>
      <c r="B52" s="116">
        <v>5650021</v>
      </c>
      <c r="C52" s="113" t="s">
        <v>214</v>
      </c>
      <c r="D52" s="154">
        <v>302339.6012114918</v>
      </c>
    </row>
    <row r="53" spans="1:6">
      <c r="A53" s="115">
        <f t="shared" si="1"/>
        <v>-10</v>
      </c>
      <c r="B53" s="116">
        <v>5650015</v>
      </c>
      <c r="C53" s="113" t="s">
        <v>215</v>
      </c>
      <c r="D53" s="144">
        <v>205519.72225703558</v>
      </c>
    </row>
    <row r="54" spans="1:6">
      <c r="A54" s="115">
        <f>A53-1</f>
        <v>-11</v>
      </c>
      <c r="B54" s="113" t="s">
        <v>74</v>
      </c>
      <c r="D54" s="155">
        <f>SUM(D44:D53)</f>
        <v>96896494.640814155</v>
      </c>
    </row>
    <row r="55" spans="1:6">
      <c r="A55" s="115"/>
      <c r="D55" s="143"/>
    </row>
    <row r="56" spans="1:6">
      <c r="A56" s="115" t="s">
        <v>264</v>
      </c>
      <c r="B56" s="113" t="s">
        <v>196</v>
      </c>
      <c r="D56" s="146">
        <f>ROUND(D54/12,0)</f>
        <v>8074708</v>
      </c>
    </row>
    <row r="57" spans="1:6">
      <c r="A57" s="115" t="s">
        <v>45</v>
      </c>
    </row>
    <row r="58" spans="1:6">
      <c r="A58" s="115">
        <f>A54-1</f>
        <v>-12</v>
      </c>
      <c r="B58" s="113" t="s">
        <v>194</v>
      </c>
      <c r="C58" s="147"/>
      <c r="D58" s="120">
        <v>814208.10916925909</v>
      </c>
      <c r="F58" s="113" t="s">
        <v>5</v>
      </c>
    </row>
    <row r="59" spans="1:6">
      <c r="A59" s="115" t="s">
        <v>45</v>
      </c>
    </row>
    <row r="60" spans="1:6">
      <c r="A60" s="115">
        <f>A58-1</f>
        <v>-13</v>
      </c>
      <c r="B60" s="113" t="s">
        <v>84</v>
      </c>
      <c r="D60" s="120">
        <v>454996.62102846097</v>
      </c>
      <c r="F60" s="113" t="s">
        <v>3</v>
      </c>
    </row>
    <row r="61" spans="1:6">
      <c r="A61" s="115" t="s">
        <v>265</v>
      </c>
      <c r="B61" s="113" t="s">
        <v>197</v>
      </c>
      <c r="D61" s="148">
        <f>SUM(D58:D60)/12</f>
        <v>105767.06084981</v>
      </c>
    </row>
    <row r="62" spans="1:6">
      <c r="A62" s="115"/>
      <c r="D62" s="120"/>
    </row>
    <row r="63" spans="1:6">
      <c r="A63" s="115" t="s">
        <v>45</v>
      </c>
    </row>
    <row r="64" spans="1:6" ht="13.5" thickBot="1">
      <c r="A64" s="115">
        <v>-14</v>
      </c>
      <c r="B64" s="119" t="s">
        <v>75</v>
      </c>
      <c r="D64" s="149">
        <f>SUM(D60,D58,D54)</f>
        <v>98165699.371011868</v>
      </c>
    </row>
    <row r="65" spans="1:4" ht="13.5" thickTop="1">
      <c r="A65" s="115" t="s">
        <v>45</v>
      </c>
    </row>
    <row r="66" spans="1:4" ht="13.5" thickBot="1">
      <c r="A66" s="115">
        <v>-15</v>
      </c>
      <c r="B66" s="113" t="s">
        <v>289</v>
      </c>
      <c r="D66" s="150">
        <f>D64/12</f>
        <v>8180474.9475843227</v>
      </c>
    </row>
    <row r="67" spans="1:4" ht="13.5" thickTop="1">
      <c r="B67" s="113" t="s">
        <v>45</v>
      </c>
    </row>
  </sheetData>
  <customSheetViews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opLeftCell="A64" zoomScaleNormal="100" workbookViewId="0">
      <selection activeCell="E94" sqref="E94"/>
    </sheetView>
  </sheetViews>
  <sheetFormatPr defaultColWidth="9.140625" defaultRowHeight="12.75"/>
  <cols>
    <col min="1" max="1" width="9.5703125" style="113" customWidth="1"/>
    <col min="2" max="2" width="66.85546875" style="113" customWidth="1"/>
    <col min="3" max="3" width="18" style="113" customWidth="1"/>
    <col min="4" max="4" width="9.140625" style="113"/>
    <col min="5" max="5" width="31.140625" style="113" bestFit="1" customWidth="1"/>
    <col min="6" max="16384" width="9.140625" style="113"/>
  </cols>
  <sheetData>
    <row r="1" spans="1:5">
      <c r="A1" s="119" t="s">
        <v>113</v>
      </c>
    </row>
    <row r="3" spans="1:5" ht="13.5">
      <c r="B3" s="360"/>
      <c r="C3" s="360"/>
      <c r="E3" s="122" t="s">
        <v>114</v>
      </c>
    </row>
    <row r="4" spans="1:5">
      <c r="A4" s="113" t="s">
        <v>115</v>
      </c>
      <c r="B4" s="113" t="s">
        <v>116</v>
      </c>
      <c r="C4" s="120">
        <v>300309182.89368373</v>
      </c>
      <c r="E4" s="113" t="s">
        <v>290</v>
      </c>
    </row>
    <row r="5" spans="1:5">
      <c r="A5" s="113" t="s">
        <v>117</v>
      </c>
      <c r="B5" s="123" t="s">
        <v>118</v>
      </c>
      <c r="C5" s="123">
        <v>0.98499999999999999</v>
      </c>
      <c r="E5" s="113" t="s">
        <v>119</v>
      </c>
    </row>
    <row r="6" spans="1:5">
      <c r="A6" s="113" t="s">
        <v>120</v>
      </c>
      <c r="B6" s="113" t="s">
        <v>121</v>
      </c>
      <c r="C6" s="124">
        <f>C5*C4</f>
        <v>295804545.15027845</v>
      </c>
      <c r="E6" s="113" t="s">
        <v>122</v>
      </c>
    </row>
    <row r="7" spans="1:5">
      <c r="C7" s="124"/>
    </row>
    <row r="8" spans="1:5">
      <c r="A8" s="113" t="s">
        <v>123</v>
      </c>
      <c r="B8" s="113" t="s">
        <v>124</v>
      </c>
      <c r="C8" s="120">
        <v>266193975</v>
      </c>
      <c r="E8" s="113" t="s">
        <v>125</v>
      </c>
    </row>
    <row r="9" spans="1:5">
      <c r="A9" s="113" t="s">
        <v>126</v>
      </c>
      <c r="B9" s="113" t="s">
        <v>127</v>
      </c>
      <c r="C9" s="124">
        <f>C6-C8</f>
        <v>29610570.150278449</v>
      </c>
      <c r="E9" s="113" t="s">
        <v>122</v>
      </c>
    </row>
    <row r="11" spans="1:5">
      <c r="A11" s="113" t="s">
        <v>128</v>
      </c>
      <c r="B11" s="156" t="s">
        <v>193</v>
      </c>
      <c r="C11" s="157">
        <v>7.0486908012783164E-2</v>
      </c>
      <c r="E11" s="113" t="s">
        <v>290</v>
      </c>
    </row>
    <row r="12" spans="1:5" ht="14.45" customHeight="1">
      <c r="A12" s="113" t="s">
        <v>129</v>
      </c>
      <c r="B12" s="158" t="s">
        <v>192</v>
      </c>
      <c r="C12" s="159">
        <v>6.7572499999999994E-2</v>
      </c>
      <c r="E12" s="113" t="s">
        <v>291</v>
      </c>
    </row>
    <row r="13" spans="1:5">
      <c r="A13" s="113" t="s">
        <v>130</v>
      </c>
      <c r="B13" s="113" t="s">
        <v>28</v>
      </c>
      <c r="C13" s="160">
        <f>C11-C12</f>
        <v>2.9144080127831706E-3</v>
      </c>
      <c r="E13" s="113" t="s">
        <v>122</v>
      </c>
    </row>
    <row r="15" spans="1:5">
      <c r="A15" s="113" t="s">
        <v>131</v>
      </c>
      <c r="B15" s="113" t="s">
        <v>132</v>
      </c>
      <c r="C15" s="124">
        <f>C13*C9</f>
        <v>86297.282909049682</v>
      </c>
      <c r="E15" s="113" t="s">
        <v>122</v>
      </c>
    </row>
    <row r="16" spans="1:5">
      <c r="A16" s="113" t="s">
        <v>133</v>
      </c>
      <c r="B16" s="123" t="s">
        <v>52</v>
      </c>
      <c r="C16" s="161">
        <v>1.3452999999999999</v>
      </c>
      <c r="E16" s="113" t="s">
        <v>292</v>
      </c>
    </row>
    <row r="17" spans="1:8" ht="13.5">
      <c r="A17" s="162" t="s">
        <v>135</v>
      </c>
      <c r="B17" s="125" t="s">
        <v>134</v>
      </c>
      <c r="C17" s="163">
        <f>ROUND(C16*C15,0)</f>
        <v>116096</v>
      </c>
      <c r="E17" s="113" t="s">
        <v>122</v>
      </c>
    </row>
    <row r="19" spans="1:8" ht="13.5" thickBot="1">
      <c r="A19" s="164" t="s">
        <v>136</v>
      </c>
      <c r="B19" s="113" t="s">
        <v>137</v>
      </c>
      <c r="C19" s="150">
        <f>ROUND(C17/12,0)</f>
        <v>9675</v>
      </c>
    </row>
    <row r="20" spans="1:8" ht="13.5" thickTop="1">
      <c r="A20" s="153"/>
      <c r="B20" s="153"/>
      <c r="C20" s="165"/>
      <c r="D20" s="153"/>
      <c r="E20" s="153"/>
      <c r="F20" s="153"/>
      <c r="G20" s="153"/>
      <c r="H20" s="153"/>
    </row>
    <row r="22" spans="1:8">
      <c r="A22" s="113" t="s">
        <v>115</v>
      </c>
      <c r="B22" s="113" t="s">
        <v>116</v>
      </c>
      <c r="C22" s="120">
        <v>342717085</v>
      </c>
      <c r="E22" s="113" t="s">
        <v>246</v>
      </c>
    </row>
    <row r="23" spans="1:8">
      <c r="A23" s="113" t="s">
        <v>117</v>
      </c>
      <c r="B23" s="123" t="s">
        <v>118</v>
      </c>
      <c r="C23" s="123">
        <v>0.98499999999999999</v>
      </c>
      <c r="E23" s="113" t="s">
        <v>119</v>
      </c>
    </row>
    <row r="24" spans="1:8">
      <c r="A24" s="113" t="s">
        <v>120</v>
      </c>
      <c r="B24" s="113" t="s">
        <v>121</v>
      </c>
      <c r="C24" s="124">
        <f>C23*C22</f>
        <v>337576328.72500002</v>
      </c>
      <c r="E24" s="113" t="s">
        <v>122</v>
      </c>
    </row>
    <row r="25" spans="1:8">
      <c r="C25" s="124"/>
    </row>
    <row r="26" spans="1:8">
      <c r="A26" s="113" t="s">
        <v>123</v>
      </c>
      <c r="B26" s="113" t="s">
        <v>124</v>
      </c>
      <c r="C26" s="120">
        <v>266193975</v>
      </c>
      <c r="E26" s="113" t="s">
        <v>125</v>
      </c>
    </row>
    <row r="27" spans="1:8">
      <c r="A27" s="113" t="s">
        <v>126</v>
      </c>
      <c r="B27" s="113" t="s">
        <v>127</v>
      </c>
      <c r="C27" s="124">
        <f>C24-C26</f>
        <v>71382353.725000024</v>
      </c>
      <c r="E27" s="113" t="s">
        <v>122</v>
      </c>
    </row>
    <row r="29" spans="1:8">
      <c r="A29" s="113" t="s">
        <v>128</v>
      </c>
      <c r="B29" s="156" t="s">
        <v>193</v>
      </c>
      <c r="C29" s="157">
        <v>7.2097999999999995E-2</v>
      </c>
      <c r="E29" s="113" t="s">
        <v>246</v>
      </c>
    </row>
    <row r="30" spans="1:8">
      <c r="A30" s="113" t="s">
        <v>129</v>
      </c>
      <c r="B30" s="158" t="s">
        <v>192</v>
      </c>
      <c r="C30" s="159">
        <v>6.7572499999999994E-2</v>
      </c>
      <c r="E30" s="113" t="s">
        <v>248</v>
      </c>
    </row>
    <row r="31" spans="1:8">
      <c r="A31" s="113" t="s">
        <v>130</v>
      </c>
      <c r="B31" s="113" t="s">
        <v>28</v>
      </c>
      <c r="C31" s="160">
        <f>C29-C30</f>
        <v>4.5255000000000017E-3</v>
      </c>
      <c r="E31" s="113" t="s">
        <v>122</v>
      </c>
    </row>
    <row r="33" spans="1:8">
      <c r="A33" s="113" t="s">
        <v>131</v>
      </c>
      <c r="B33" s="113" t="s">
        <v>132</v>
      </c>
      <c r="C33" s="124">
        <f>C31*C27</f>
        <v>323040.84178248775</v>
      </c>
      <c r="E33" s="113" t="s">
        <v>122</v>
      </c>
    </row>
    <row r="34" spans="1:8">
      <c r="A34" s="113" t="s">
        <v>133</v>
      </c>
      <c r="B34" s="123" t="s">
        <v>52</v>
      </c>
      <c r="C34" s="161">
        <v>1.3351</v>
      </c>
      <c r="E34" s="113" t="s">
        <v>247</v>
      </c>
    </row>
    <row r="35" spans="1:8" ht="13.5">
      <c r="A35" s="162" t="s">
        <v>135</v>
      </c>
      <c r="B35" s="125" t="s">
        <v>255</v>
      </c>
      <c r="C35" s="163">
        <f>ROUND(C34*C33,0)</f>
        <v>431292</v>
      </c>
      <c r="E35" s="113" t="s">
        <v>122</v>
      </c>
    </row>
    <row r="37" spans="1:8" ht="13.5" thickBot="1">
      <c r="A37" s="164" t="s">
        <v>136</v>
      </c>
      <c r="B37" s="113" t="s">
        <v>137</v>
      </c>
      <c r="C37" s="150">
        <f>ROUND(C35/12,0)</f>
        <v>35941</v>
      </c>
    </row>
    <row r="38" spans="1:8" ht="13.5" thickTop="1"/>
    <row r="39" spans="1:8">
      <c r="A39" s="153"/>
      <c r="B39" s="153"/>
      <c r="C39" s="153"/>
      <c r="D39" s="153"/>
      <c r="E39" s="153"/>
      <c r="F39" s="153"/>
      <c r="G39" s="153"/>
      <c r="H39" s="153"/>
    </row>
    <row r="41" spans="1:8">
      <c r="A41" s="113" t="s">
        <v>115</v>
      </c>
      <c r="B41" s="113" t="s">
        <v>116</v>
      </c>
      <c r="C41" s="120">
        <v>346825177</v>
      </c>
      <c r="E41" s="113" t="s">
        <v>260</v>
      </c>
    </row>
    <row r="42" spans="1:8">
      <c r="A42" s="113" t="s">
        <v>117</v>
      </c>
      <c r="B42" s="123" t="s">
        <v>118</v>
      </c>
      <c r="C42" s="123">
        <v>0.98499999999999999</v>
      </c>
      <c r="E42" s="113" t="s">
        <v>119</v>
      </c>
    </row>
    <row r="43" spans="1:8">
      <c r="A43" s="113" t="s">
        <v>120</v>
      </c>
      <c r="B43" s="113" t="s">
        <v>121</v>
      </c>
      <c r="C43" s="124">
        <f>C42*C41</f>
        <v>341622799.34499997</v>
      </c>
      <c r="E43" s="113" t="s">
        <v>122</v>
      </c>
    </row>
    <row r="44" spans="1:8">
      <c r="C44" s="124"/>
    </row>
    <row r="45" spans="1:8">
      <c r="A45" s="113" t="s">
        <v>123</v>
      </c>
      <c r="B45" s="113" t="s">
        <v>124</v>
      </c>
      <c r="C45" s="120">
        <v>266193975</v>
      </c>
      <c r="E45" s="113" t="s">
        <v>125</v>
      </c>
    </row>
    <row r="46" spans="1:8">
      <c r="A46" s="113" t="s">
        <v>126</v>
      </c>
      <c r="B46" s="113" t="s">
        <v>127</v>
      </c>
      <c r="C46" s="124">
        <f>C43-C45</f>
        <v>75428824.344999969</v>
      </c>
      <c r="E46" s="113" t="s">
        <v>122</v>
      </c>
    </row>
    <row r="48" spans="1:8">
      <c r="A48" s="113" t="s">
        <v>128</v>
      </c>
      <c r="B48" s="156" t="s">
        <v>193</v>
      </c>
      <c r="C48" s="157">
        <v>7.1297570000000005E-2</v>
      </c>
      <c r="E48" s="113" t="s">
        <v>260</v>
      </c>
    </row>
    <row r="49" spans="1:8">
      <c r="A49" s="113" t="s">
        <v>129</v>
      </c>
      <c r="B49" s="158" t="s">
        <v>192</v>
      </c>
      <c r="C49" s="159">
        <v>6.7572499999999994E-2</v>
      </c>
      <c r="E49" s="113" t="s">
        <v>248</v>
      </c>
    </row>
    <row r="50" spans="1:8">
      <c r="A50" s="113" t="s">
        <v>130</v>
      </c>
      <c r="B50" s="113" t="s">
        <v>28</v>
      </c>
      <c r="C50" s="160">
        <f>C48-C49</f>
        <v>3.7250700000000109E-3</v>
      </c>
      <c r="E50" s="113" t="s">
        <v>122</v>
      </c>
    </row>
    <row r="52" spans="1:8">
      <c r="A52" s="113" t="s">
        <v>131</v>
      </c>
      <c r="B52" s="113" t="s">
        <v>132</v>
      </c>
      <c r="C52" s="124">
        <f>C50*C46</f>
        <v>280977.65070282988</v>
      </c>
      <c r="E52" s="113" t="s">
        <v>122</v>
      </c>
    </row>
    <row r="53" spans="1:8">
      <c r="A53" s="113" t="s">
        <v>133</v>
      </c>
      <c r="B53" s="123" t="s">
        <v>52</v>
      </c>
      <c r="C53" s="161">
        <v>1.3479000000000001</v>
      </c>
      <c r="E53" s="113" t="s">
        <v>261</v>
      </c>
    </row>
    <row r="54" spans="1:8" ht="13.5">
      <c r="A54" s="162" t="s">
        <v>135</v>
      </c>
      <c r="B54" s="125" t="s">
        <v>262</v>
      </c>
      <c r="C54" s="163">
        <f>ROUND(C53*C52,0)</f>
        <v>378730</v>
      </c>
      <c r="E54" s="113" t="s">
        <v>122</v>
      </c>
    </row>
    <row r="56" spans="1:8" ht="13.5" thickBot="1">
      <c r="A56" s="164" t="s">
        <v>136</v>
      </c>
      <c r="B56" s="113" t="s">
        <v>137</v>
      </c>
      <c r="C56" s="150">
        <f>ROUND(C54/12,0)</f>
        <v>31561</v>
      </c>
    </row>
    <row r="57" spans="1:8" ht="13.5" thickTop="1"/>
    <row r="58" spans="1:8">
      <c r="A58" s="153"/>
      <c r="B58" s="153"/>
      <c r="C58" s="153"/>
      <c r="D58" s="153"/>
      <c r="E58" s="153"/>
      <c r="F58" s="153"/>
      <c r="G58" s="153"/>
      <c r="H58" s="153"/>
    </row>
    <row r="61" spans="1:8">
      <c r="A61" s="113" t="s">
        <v>115</v>
      </c>
      <c r="B61" s="113" t="s">
        <v>116</v>
      </c>
      <c r="C61" s="120">
        <v>380361298.36626935</v>
      </c>
      <c r="E61" s="113" t="s">
        <v>268</v>
      </c>
    </row>
    <row r="62" spans="1:8">
      <c r="A62" s="113" t="s">
        <v>117</v>
      </c>
      <c r="B62" s="123" t="s">
        <v>118</v>
      </c>
      <c r="C62" s="123">
        <v>0.98499999999999999</v>
      </c>
      <c r="E62" s="113" t="s">
        <v>269</v>
      </c>
    </row>
    <row r="63" spans="1:8">
      <c r="A63" s="113" t="s">
        <v>120</v>
      </c>
      <c r="B63" s="113" t="s">
        <v>121</v>
      </c>
      <c r="C63" s="124">
        <f>C62*C61</f>
        <v>374655878.89077532</v>
      </c>
      <c r="E63" s="113" t="s">
        <v>122</v>
      </c>
    </row>
    <row r="64" spans="1:8">
      <c r="C64" s="124"/>
    </row>
    <row r="65" spans="1:8">
      <c r="A65" s="113" t="s">
        <v>123</v>
      </c>
      <c r="B65" s="113" t="s">
        <v>124</v>
      </c>
      <c r="C65" s="120">
        <v>342210406</v>
      </c>
      <c r="E65" s="113" t="s">
        <v>270</v>
      </c>
    </row>
    <row r="66" spans="1:8">
      <c r="A66" s="113" t="s">
        <v>126</v>
      </c>
      <c r="B66" s="113" t="s">
        <v>127</v>
      </c>
      <c r="C66" s="124">
        <f>C63-C65</f>
        <v>32445472.890775323</v>
      </c>
      <c r="E66" s="113" t="s">
        <v>122</v>
      </c>
    </row>
    <row r="68" spans="1:8">
      <c r="A68" s="113" t="s">
        <v>128</v>
      </c>
      <c r="B68" s="156" t="s">
        <v>193</v>
      </c>
      <c r="C68" s="157">
        <v>6.7616723895354336E-2</v>
      </c>
      <c r="E68" s="113" t="s">
        <v>268</v>
      </c>
    </row>
    <row r="69" spans="1:8">
      <c r="A69" s="113" t="s">
        <v>129</v>
      </c>
      <c r="B69" s="158" t="s">
        <v>271</v>
      </c>
      <c r="C69" s="159">
        <v>6.283582141416949E-2</v>
      </c>
      <c r="E69" s="113" t="s">
        <v>268</v>
      </c>
    </row>
    <row r="70" spans="1:8">
      <c r="A70" s="113" t="s">
        <v>130</v>
      </c>
      <c r="B70" s="113" t="s">
        <v>28</v>
      </c>
      <c r="C70" s="160">
        <f>C68-C69</f>
        <v>4.7809024811848455E-3</v>
      </c>
      <c r="E70" s="113" t="s">
        <v>122</v>
      </c>
    </row>
    <row r="72" spans="1:8">
      <c r="A72" s="113" t="s">
        <v>131</v>
      </c>
      <c r="B72" s="113" t="s">
        <v>132</v>
      </c>
      <c r="C72" s="124">
        <f>C70*C66</f>
        <v>155118.64184672339</v>
      </c>
      <c r="E72" s="113" t="s">
        <v>122</v>
      </c>
    </row>
    <row r="73" spans="1:8">
      <c r="A73" s="113" t="s">
        <v>133</v>
      </c>
      <c r="B73" s="123" t="s">
        <v>52</v>
      </c>
      <c r="C73" s="161">
        <v>1.3446173622372279</v>
      </c>
      <c r="E73" s="113" t="s">
        <v>272</v>
      </c>
    </row>
    <row r="74" spans="1:8" ht="13.5">
      <c r="A74" s="162" t="s">
        <v>135</v>
      </c>
      <c r="B74" s="125" t="s">
        <v>281</v>
      </c>
      <c r="C74" s="163">
        <f>ROUND(C73*C72,0)</f>
        <v>208575</v>
      </c>
      <c r="E74" s="113" t="s">
        <v>122</v>
      </c>
    </row>
    <row r="76" spans="1:8" ht="13.5" thickBot="1">
      <c r="A76" s="164" t="s">
        <v>136</v>
      </c>
      <c r="B76" s="113" t="s">
        <v>137</v>
      </c>
      <c r="C76" s="150">
        <f>ROUND(C74/12,0)</f>
        <v>17381</v>
      </c>
    </row>
    <row r="77" spans="1:8" ht="13.5" thickTop="1"/>
    <row r="78" spans="1:8">
      <c r="A78" s="153"/>
      <c r="B78" s="153"/>
      <c r="C78" s="153"/>
      <c r="D78" s="153"/>
      <c r="E78" s="153"/>
      <c r="F78" s="153"/>
      <c r="G78" s="153"/>
      <c r="H78" s="153"/>
    </row>
    <row r="81" spans="1:5">
      <c r="A81" s="113" t="s">
        <v>115</v>
      </c>
      <c r="B81" s="113" t="s">
        <v>116</v>
      </c>
      <c r="C81" s="120">
        <v>496964162</v>
      </c>
      <c r="E81" s="113" t="s">
        <v>268</v>
      </c>
    </row>
    <row r="82" spans="1:5">
      <c r="A82" s="113" t="s">
        <v>117</v>
      </c>
      <c r="B82" s="123" t="s">
        <v>118</v>
      </c>
      <c r="C82" s="123">
        <v>0.98499999999999999</v>
      </c>
      <c r="E82" s="113" t="s">
        <v>269</v>
      </c>
    </row>
    <row r="83" spans="1:5">
      <c r="A83" s="113" t="s">
        <v>120</v>
      </c>
      <c r="B83" s="113" t="s">
        <v>121</v>
      </c>
      <c r="C83" s="124">
        <f>C82*C81</f>
        <v>489509699.56999999</v>
      </c>
      <c r="E83" s="113" t="s">
        <v>122</v>
      </c>
    </row>
    <row r="84" spans="1:5">
      <c r="C84" s="124"/>
    </row>
    <row r="85" spans="1:5">
      <c r="A85" s="113" t="s">
        <v>123</v>
      </c>
      <c r="B85" s="113" t="s">
        <v>124</v>
      </c>
      <c r="C85" s="120">
        <v>342210406</v>
      </c>
      <c r="E85" s="113" t="s">
        <v>270</v>
      </c>
    </row>
    <row r="86" spans="1:5">
      <c r="A86" s="113" t="s">
        <v>126</v>
      </c>
      <c r="B86" s="113" t="s">
        <v>127</v>
      </c>
      <c r="C86" s="124">
        <f>C83-C85</f>
        <v>147299293.56999999</v>
      </c>
      <c r="E86" s="113" t="s">
        <v>122</v>
      </c>
    </row>
    <row r="88" spans="1:5">
      <c r="A88" s="113" t="s">
        <v>128</v>
      </c>
      <c r="B88" s="156" t="s">
        <v>193</v>
      </c>
      <c r="C88" s="157">
        <v>6.4807046708744667E-2</v>
      </c>
      <c r="E88" s="113" t="s">
        <v>297</v>
      </c>
    </row>
    <row r="89" spans="1:5">
      <c r="A89" s="113" t="s">
        <v>129</v>
      </c>
      <c r="B89" s="158" t="s">
        <v>271</v>
      </c>
      <c r="C89" s="159">
        <v>6.283582141416949E-2</v>
      </c>
      <c r="E89" s="113" t="s">
        <v>297</v>
      </c>
    </row>
    <row r="90" spans="1:5">
      <c r="A90" s="113" t="s">
        <v>130</v>
      </c>
      <c r="B90" s="113" t="s">
        <v>28</v>
      </c>
      <c r="C90" s="160">
        <f>C88-C89</f>
        <v>1.9712252945751768E-3</v>
      </c>
      <c r="E90" s="113" t="s">
        <v>122</v>
      </c>
    </row>
    <row r="92" spans="1:5">
      <c r="A92" s="113" t="s">
        <v>131</v>
      </c>
      <c r="B92" s="113" t="s">
        <v>132</v>
      </c>
      <c r="C92" s="124">
        <f>C90*C86</f>
        <v>290360.09335823869</v>
      </c>
      <c r="E92" s="113" t="s">
        <v>122</v>
      </c>
    </row>
    <row r="93" spans="1:5">
      <c r="A93" s="113" t="s">
        <v>133</v>
      </c>
      <c r="B93" s="123" t="s">
        <v>52</v>
      </c>
      <c r="C93" s="161">
        <v>1.4021076482167993</v>
      </c>
      <c r="E93" s="113" t="s">
        <v>298</v>
      </c>
    </row>
    <row r="94" spans="1:5" ht="13.5">
      <c r="A94" s="162" t="s">
        <v>135</v>
      </c>
      <c r="B94" s="125" t="s">
        <v>281</v>
      </c>
      <c r="C94" s="163">
        <f>ROUND(C93*C92,0)</f>
        <v>407116</v>
      </c>
      <c r="E94" s="113" t="s">
        <v>122</v>
      </c>
    </row>
    <row r="96" spans="1:5" ht="13.5" thickBot="1">
      <c r="A96" s="164" t="s">
        <v>136</v>
      </c>
      <c r="B96" s="113" t="s">
        <v>137</v>
      </c>
      <c r="C96" s="150">
        <f>ROUND(C94/12,0)</f>
        <v>33926</v>
      </c>
    </row>
    <row r="97" ht="13.5" thickTop="1"/>
  </sheetData>
  <customSheetViews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" sqref="A2:D2"/>
    </sheetView>
  </sheetViews>
  <sheetFormatPr defaultColWidth="9.140625" defaultRowHeight="12.75"/>
  <cols>
    <col min="1" max="1" width="10.7109375" style="128" customWidth="1"/>
    <col min="2" max="2" width="5.140625" style="128" customWidth="1"/>
    <col min="3" max="3" width="17.28515625" style="128" customWidth="1"/>
    <col min="4" max="4" width="15" style="128" bestFit="1" customWidth="1"/>
    <col min="5" max="5" width="18.85546875" style="128" bestFit="1" customWidth="1"/>
    <col min="6" max="6" width="2.7109375" style="128" customWidth="1"/>
    <col min="7" max="7" width="12.28515625" style="128" bestFit="1" customWidth="1"/>
    <col min="8" max="8" width="11.140625" style="128" bestFit="1" customWidth="1"/>
    <col min="9" max="10" width="12.7109375" style="128" bestFit="1" customWidth="1"/>
    <col min="11" max="16384" width="9.140625" style="128"/>
  </cols>
  <sheetData>
    <row r="1" spans="1:10">
      <c r="A1" s="361" t="s">
        <v>42</v>
      </c>
      <c r="B1" s="361"/>
      <c r="C1" s="361"/>
      <c r="D1" s="361"/>
    </row>
    <row r="2" spans="1:10">
      <c r="A2" s="361" t="s">
        <v>284</v>
      </c>
      <c r="B2" s="361"/>
      <c r="C2" s="361"/>
      <c r="D2" s="361"/>
    </row>
    <row r="3" spans="1:10">
      <c r="A3" s="361" t="s">
        <v>239</v>
      </c>
      <c r="B3" s="361"/>
      <c r="C3" s="361"/>
      <c r="D3" s="361"/>
    </row>
    <row r="4" spans="1:10">
      <c r="A4" s="235"/>
      <c r="B4" s="236"/>
      <c r="C4" s="236"/>
      <c r="D4" s="236"/>
    </row>
    <row r="5" spans="1:10">
      <c r="A5" s="118" t="s">
        <v>22</v>
      </c>
      <c r="B5" s="118"/>
      <c r="C5" s="118" t="s">
        <v>285</v>
      </c>
      <c r="D5" s="118" t="s">
        <v>293</v>
      </c>
    </row>
    <row r="6" spans="1:10">
      <c r="A6" s="237" t="s">
        <v>36</v>
      </c>
      <c r="B6" s="236"/>
      <c r="C6" s="237">
        <v>1950552428</v>
      </c>
      <c r="D6" s="237" t="s">
        <v>294</v>
      </c>
      <c r="E6" s="136"/>
    </row>
    <row r="7" spans="1:10">
      <c r="A7" s="237" t="s">
        <v>93</v>
      </c>
      <c r="B7" s="236"/>
      <c r="C7" s="237">
        <v>621062180</v>
      </c>
      <c r="D7" s="237" t="s">
        <v>294</v>
      </c>
      <c r="E7" s="136"/>
      <c r="G7" s="129"/>
      <c r="H7" s="129"/>
      <c r="I7" s="129"/>
      <c r="J7" s="129"/>
    </row>
    <row r="8" spans="1:10" ht="14.45" customHeight="1">
      <c r="A8" s="237" t="s">
        <v>37</v>
      </c>
      <c r="B8" s="236"/>
      <c r="C8" s="237">
        <v>493155443</v>
      </c>
      <c r="D8" s="237">
        <v>1502999</v>
      </c>
      <c r="E8" s="136"/>
      <c r="G8" s="238"/>
      <c r="H8" s="238"/>
      <c r="I8" s="238"/>
      <c r="J8" s="238"/>
    </row>
    <row r="9" spans="1:10" ht="14.45" customHeight="1">
      <c r="A9" s="237" t="s">
        <v>38</v>
      </c>
      <c r="B9" s="236"/>
      <c r="C9" s="237">
        <v>1818646</v>
      </c>
      <c r="D9" s="237" t="s">
        <v>294</v>
      </c>
      <c r="E9" s="136"/>
      <c r="G9" s="238"/>
      <c r="H9" s="238"/>
      <c r="I9" s="238"/>
      <c r="J9" s="238"/>
    </row>
    <row r="10" spans="1:10" ht="14.45" customHeight="1">
      <c r="A10" s="237" t="s">
        <v>94</v>
      </c>
      <c r="B10" s="236"/>
      <c r="C10" s="237">
        <v>2088777292</v>
      </c>
      <c r="D10" s="237">
        <v>3458694.8</v>
      </c>
      <c r="E10" s="136"/>
      <c r="G10" s="238"/>
      <c r="H10" s="238"/>
      <c r="I10" s="238"/>
      <c r="J10" s="238"/>
    </row>
    <row r="11" spans="1:10" ht="14.45" customHeight="1">
      <c r="A11" s="237" t="s">
        <v>39</v>
      </c>
      <c r="B11" s="236"/>
      <c r="C11" s="237">
        <v>1830736</v>
      </c>
      <c r="D11" s="237" t="s">
        <v>294</v>
      </c>
      <c r="E11" s="136"/>
      <c r="G11" s="238"/>
      <c r="H11" s="238"/>
      <c r="I11" s="238"/>
      <c r="J11" s="238"/>
    </row>
    <row r="12" spans="1:10">
      <c r="A12" s="237" t="s">
        <v>40</v>
      </c>
      <c r="B12" s="236"/>
      <c r="C12" s="237">
        <v>39967390</v>
      </c>
      <c r="D12" s="237" t="s">
        <v>294</v>
      </c>
      <c r="E12" s="136"/>
      <c r="G12" s="238"/>
      <c r="H12" s="238"/>
      <c r="I12" s="238"/>
      <c r="J12" s="238"/>
    </row>
    <row r="13" spans="1:10">
      <c r="A13" s="237" t="s">
        <v>41</v>
      </c>
      <c r="B13" s="236"/>
      <c r="C13" s="237">
        <v>8444372</v>
      </c>
      <c r="D13" s="237" t="s">
        <v>294</v>
      </c>
      <c r="E13" s="136"/>
      <c r="G13" s="238"/>
      <c r="H13" s="238"/>
      <c r="I13" s="238"/>
      <c r="J13" s="238"/>
    </row>
    <row r="14" spans="1:10">
      <c r="A14" s="237"/>
      <c r="B14" s="236"/>
      <c r="C14" s="237"/>
      <c r="D14" s="237"/>
      <c r="G14" s="238"/>
      <c r="H14" s="238"/>
      <c r="I14" s="238"/>
      <c r="J14" s="238"/>
    </row>
    <row r="15" spans="1:10">
      <c r="A15" s="239" t="s">
        <v>6</v>
      </c>
      <c r="B15" s="235"/>
      <c r="C15" s="239">
        <f>SUM(C6:C13)</f>
        <v>5205608487</v>
      </c>
      <c r="D15" s="239">
        <f>SUM(D6:D13)</f>
        <v>4961693.8</v>
      </c>
      <c r="E15" s="136"/>
      <c r="G15" s="238"/>
      <c r="H15" s="238"/>
      <c r="I15" s="238"/>
      <c r="J15" s="238"/>
    </row>
    <row r="16" spans="1:10">
      <c r="A16" s="137"/>
      <c r="B16" s="137"/>
      <c r="C16" s="141"/>
      <c r="D16" s="136"/>
      <c r="E16" s="240"/>
      <c r="G16" s="238"/>
      <c r="H16" s="238"/>
      <c r="I16" s="238"/>
      <c r="J16" s="238"/>
    </row>
    <row r="17" spans="4:10">
      <c r="D17" s="241"/>
      <c r="G17" s="238"/>
      <c r="H17" s="238"/>
      <c r="I17" s="238"/>
      <c r="J17" s="238"/>
    </row>
    <row r="18" spans="4:10">
      <c r="G18" s="238"/>
      <c r="J18" s="238"/>
    </row>
    <row r="19" spans="4:10">
      <c r="G19" s="238"/>
    </row>
    <row r="20" spans="4:10">
      <c r="G20" s="238"/>
    </row>
  </sheetData>
  <customSheetViews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4EF176FC-448F-4BD8-8859-C810312E84E7}" fitToPage="1">
      <selection activeCell="N33" sqref="N33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Props1.xml><?xml version="1.0" encoding="utf-8"?>
<ds:datastoreItem xmlns:ds="http://schemas.openxmlformats.org/officeDocument/2006/customXml" ds:itemID="{F35EE63B-73AB-40E9-A6F7-E2D2E686190A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Summary</vt:lpstr>
      <vt:lpstr>PPA Form 1.0</vt:lpstr>
      <vt:lpstr>PPA Form 2.0</vt:lpstr>
      <vt:lpstr>PPA Form 3.0</vt:lpstr>
      <vt:lpstr>PPA Form 3.0a</vt:lpstr>
      <vt:lpstr>PPA Form 4.0</vt:lpstr>
      <vt:lpstr>PPA Form 5.0</vt:lpstr>
      <vt:lpstr>Retail vs TO</vt:lpstr>
      <vt:lpstr>Input Sheet</vt:lpstr>
      <vt:lpstr>GRCF</vt:lpstr>
      <vt:lpstr>Rockport Deferral</vt:lpstr>
      <vt:lpstr>Rockport Savings-Offset</vt:lpstr>
      <vt:lpstr>GRCF!Print_Area</vt:lpstr>
      <vt:lpstr>'Input Sheet'!Print_Area</vt:lpstr>
      <vt:lpstr>'PPA Form 1.0'!Print_Area</vt:lpstr>
      <vt:lpstr>'PPA Form 2.0'!Print_Area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Summary!Print_Area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brandon.bruner</cp:lastModifiedBy>
  <cp:lastPrinted>2019-08-13T18:34:04Z</cp:lastPrinted>
  <dcterms:created xsi:type="dcterms:W3CDTF">2015-03-17T12:16:01Z</dcterms:created>
  <dcterms:modified xsi:type="dcterms:W3CDTF">2022-12-06T14:52:57Z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0195e068-1b59-4912-b2f7-23748f9baab1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