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  <Override PartName="/xl/threadedComments/threadedComment5.xml" ContentType="application/vnd.ms-excel.threadedcomments+xml"/>
  <Override PartName="/xl/threadedComments/threadedComment6.xml" ContentType="application/vnd.ms-excel.threadedcomments+xml"/>
  <Override PartName="/xl/threadedComments/threadedComment7.xml" ContentType="application/vnd.ms-excel.threadedcomments+xml"/>
  <Override PartName="/xl/threadedComments/threadedComment8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van.Stelter\Desktop\349.350 Deny Rehearing NMS\"/>
    </mc:Choice>
  </mc:AlternateContent>
  <workbookProtection workbookAlgorithmName="SHA-512" workbookHashValue="YqDju1LTejfDXMfsph7DAwpTdZFf4gf+Kst+iS1d5iBC+FzTH+hZL3ByXdPyRxep29hEQEWaW8TinzXiSe8INA==" workbookSaltValue="yURQyVtEkrDk/DeHfdCa4g==" workbookSpinCount="100000" lockStructure="1"/>
  <bookViews>
    <workbookView xWindow="0" yWindow="0" windowWidth="28800" windowHeight="11700"/>
  </bookViews>
  <sheets>
    <sheet name="Excess Gen Price" sheetId="1" r:id="rId1"/>
    <sheet name="Avoided Energy" sheetId="10" r:id="rId2"/>
    <sheet name="Avoided Generation" sheetId="9" r:id="rId3"/>
    <sheet name="D Cost ('19-'24)" sheetId="5" r:id="rId4"/>
    <sheet name="Avoided Distribution combined" sheetId="12" r:id="rId5"/>
    <sheet name="Avoided Distribution KU" sheetId="11" r:id="rId6"/>
    <sheet name="Avoided Distribution LG&amp;E" sheetId="7" r:id="rId7"/>
    <sheet name="Avoided Enviro Compliance" sheetId="8" r:id="rId8"/>
    <sheet name="Avoided Transmission" sheetId="3" r:id="rId9"/>
    <sheet name="Avoided CO2" sheetId="4" r:id="rId10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9">'Avoided CO2'!$A$1:$G$33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5" i="1"/>
  <c r="G17" i="1"/>
  <c r="G3" i="1"/>
  <c r="G23" i="1" l="1"/>
  <c r="G9" i="1"/>
  <c r="G21" i="1"/>
  <c r="E51" i="8"/>
  <c r="E52" i="8" s="1"/>
  <c r="E49" i="8"/>
  <c r="B3" i="12" l="1"/>
  <c r="B7" i="12"/>
  <c r="F9" i="12"/>
  <c r="H9" i="12" s="1"/>
  <c r="H10" i="12" s="1"/>
  <c r="B3" i="11"/>
  <c r="F9" i="11" s="1"/>
  <c r="H9" i="11" s="1"/>
  <c r="H10" i="11" s="1"/>
  <c r="B3" i="7"/>
  <c r="B7" i="11"/>
  <c r="F8" i="12" l="1"/>
  <c r="G8" i="12" s="1"/>
  <c r="G10" i="12" s="1"/>
  <c r="I10" i="12" s="1"/>
  <c r="B10" i="12" s="1"/>
  <c r="B11" i="12" s="1"/>
  <c r="B12" i="12" s="1"/>
  <c r="B13" i="12" s="1"/>
  <c r="F8" i="11"/>
  <c r="G8" i="11" s="1"/>
  <c r="G10" i="11" s="1"/>
  <c r="I10" i="11" s="1"/>
  <c r="B10" i="11" s="1"/>
  <c r="B11" i="11" s="1"/>
  <c r="B12" i="11" s="1"/>
  <c r="B13" i="11" s="1"/>
  <c r="G29" i="1"/>
  <c r="G22" i="1"/>
  <c r="G20" i="1"/>
  <c r="G18" i="1"/>
  <c r="E41" i="8"/>
  <c r="E31" i="8"/>
  <c r="E48" i="8" s="1"/>
  <c r="E30" i="8"/>
  <c r="E29" i="8"/>
  <c r="E28" i="8"/>
  <c r="AP58" i="8"/>
  <c r="AQ58" i="8"/>
  <c r="AR58" i="8"/>
  <c r="AS58" i="8"/>
  <c r="AT58" i="8"/>
  <c r="AU58" i="8"/>
  <c r="AV58" i="8"/>
  <c r="AW58" i="8"/>
  <c r="AX58" i="8"/>
  <c r="AY58" i="8"/>
  <c r="AZ58" i="8"/>
  <c r="BA58" i="8"/>
  <c r="BB58" i="8"/>
  <c r="BC58" i="8"/>
  <c r="BD58" i="8"/>
  <c r="BE58" i="8"/>
  <c r="BF58" i="8"/>
  <c r="BG58" i="8"/>
  <c r="BH58" i="8"/>
  <c r="BI58" i="8"/>
  <c r="BJ58" i="8"/>
  <c r="BK58" i="8"/>
  <c r="BL58" i="8"/>
  <c r="BM58" i="8"/>
  <c r="BN58" i="8"/>
  <c r="BO58" i="8"/>
  <c r="BP58" i="8"/>
  <c r="BQ58" i="8"/>
  <c r="BR58" i="8"/>
  <c r="BS58" i="8"/>
  <c r="BT58" i="8"/>
  <c r="BU58" i="8"/>
  <c r="BV58" i="8"/>
  <c r="BW58" i="8"/>
  <c r="BX58" i="8"/>
  <c r="BY58" i="8"/>
  <c r="BZ58" i="8"/>
  <c r="CA58" i="8"/>
  <c r="CB58" i="8"/>
  <c r="CC58" i="8"/>
  <c r="CD58" i="8"/>
  <c r="CE58" i="8"/>
  <c r="CF58" i="8"/>
  <c r="CG58" i="8"/>
  <c r="AO58" i="8"/>
  <c r="AP57" i="8"/>
  <c r="AQ57" i="8"/>
  <c r="AR57" i="8"/>
  <c r="AS57" i="8"/>
  <c r="AT57" i="8"/>
  <c r="AU57" i="8"/>
  <c r="AV57" i="8"/>
  <c r="AW57" i="8"/>
  <c r="AX57" i="8"/>
  <c r="AY57" i="8"/>
  <c r="AZ57" i="8"/>
  <c r="BA57" i="8"/>
  <c r="BB57" i="8"/>
  <c r="BC57" i="8"/>
  <c r="BD57" i="8"/>
  <c r="BE57" i="8"/>
  <c r="BF57" i="8"/>
  <c r="AO57" i="8"/>
  <c r="BD56" i="8"/>
  <c r="AP56" i="8"/>
  <c r="AQ56" i="8"/>
  <c r="AR56" i="8"/>
  <c r="AS56" i="8"/>
  <c r="AT56" i="8"/>
  <c r="AU56" i="8"/>
  <c r="AV56" i="8"/>
  <c r="AW56" i="8"/>
  <c r="AX56" i="8"/>
  <c r="AY56" i="8"/>
  <c r="AZ56" i="8"/>
  <c r="BA56" i="8"/>
  <c r="BB56" i="8"/>
  <c r="BC56" i="8"/>
  <c r="AO56" i="8"/>
  <c r="AU55" i="8"/>
  <c r="AP55" i="8"/>
  <c r="AQ55" i="8"/>
  <c r="AR55" i="8"/>
  <c r="AS55" i="8"/>
  <c r="AT55" i="8"/>
  <c r="AO55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AI16" i="8"/>
  <c r="AJ16" i="8"/>
  <c r="AK16" i="8"/>
  <c r="H16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H15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H17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H14" i="8"/>
  <c r="E17" i="8"/>
  <c r="E35" i="8" s="1"/>
  <c r="E16" i="8"/>
  <c r="E15" i="8"/>
  <c r="P19" i="8" s="1"/>
  <c r="E14" i="8"/>
  <c r="AN34" i="8"/>
  <c r="AN37" i="8"/>
  <c r="AN38" i="8"/>
  <c r="AN39" i="8"/>
  <c r="AO52" i="8"/>
  <c r="AP52" i="8"/>
  <c r="AQ52" i="8"/>
  <c r="AR52" i="8"/>
  <c r="AS52" i="8"/>
  <c r="BF51" i="8"/>
  <c r="AR51" i="8"/>
  <c r="AS51" i="8"/>
  <c r="AT51" i="8"/>
  <c r="AU51" i="8"/>
  <c r="AV51" i="8"/>
  <c r="AW51" i="8"/>
  <c r="AX51" i="8"/>
  <c r="AY51" i="8"/>
  <c r="AZ51" i="8"/>
  <c r="BA51" i="8"/>
  <c r="BB51" i="8"/>
  <c r="BC51" i="8"/>
  <c r="BD51" i="8"/>
  <c r="BE51" i="8"/>
  <c r="BG51" i="8"/>
  <c r="BH51" i="8"/>
  <c r="BI51" i="8"/>
  <c r="BJ51" i="8"/>
  <c r="BK51" i="8"/>
  <c r="BL51" i="8"/>
  <c r="BM51" i="8"/>
  <c r="BN51" i="8"/>
  <c r="BO51" i="8"/>
  <c r="BP51" i="8"/>
  <c r="BQ51" i="8"/>
  <c r="BR51" i="8"/>
  <c r="BS51" i="8"/>
  <c r="BT51" i="8"/>
  <c r="BU51" i="8"/>
  <c r="BV51" i="8"/>
  <c r="BW51" i="8"/>
  <c r="BX51" i="8"/>
  <c r="BY51" i="8"/>
  <c r="BZ51" i="8"/>
  <c r="CA51" i="8"/>
  <c r="CB51" i="8"/>
  <c r="CC51" i="8"/>
  <c r="CD51" i="8"/>
  <c r="CE51" i="8"/>
  <c r="CF51" i="8"/>
  <c r="CG51" i="8"/>
  <c r="AO51" i="8"/>
  <c r="AP51" i="8"/>
  <c r="AQ51" i="8"/>
  <c r="AN52" i="8"/>
  <c r="G28" i="1" l="1"/>
  <c r="AG18" i="8"/>
  <c r="Y18" i="8"/>
  <c r="E32" i="8"/>
  <c r="AJ18" i="8"/>
  <c r="AB18" i="8"/>
  <c r="T18" i="8"/>
  <c r="E34" i="8"/>
  <c r="L18" i="8"/>
  <c r="AG21" i="8"/>
  <c r="Y21" i="8"/>
  <c r="Q21" i="8"/>
  <c r="I21" i="8"/>
  <c r="E45" i="8"/>
  <c r="Q18" i="8"/>
  <c r="I18" i="8"/>
  <c r="R21" i="8"/>
  <c r="J19" i="8"/>
  <c r="K18" i="8"/>
  <c r="AE21" i="8"/>
  <c r="W21" i="8"/>
  <c r="O21" i="8"/>
  <c r="E47" i="8"/>
  <c r="Q20" i="8"/>
  <c r="E33" i="8"/>
  <c r="E46" i="8"/>
  <c r="AJ19" i="8"/>
  <c r="AH19" i="8"/>
  <c r="AI21" i="8"/>
  <c r="AA21" i="8"/>
  <c r="S21" i="8"/>
  <c r="K21" i="8"/>
  <c r="Y19" i="8"/>
  <c r="Q19" i="8"/>
  <c r="AE19" i="8"/>
  <c r="W19" i="8"/>
  <c r="O19" i="8"/>
  <c r="AK20" i="8"/>
  <c r="AC20" i="8"/>
  <c r="M20" i="8"/>
  <c r="AH18" i="8"/>
  <c r="Z18" i="8"/>
  <c r="R18" i="8"/>
  <c r="J18" i="8"/>
  <c r="AF21" i="8"/>
  <c r="X21" i="8"/>
  <c r="P21" i="8"/>
  <c r="AD19" i="8"/>
  <c r="V19" i="8"/>
  <c r="AJ20" i="8"/>
  <c r="AB20" i="8"/>
  <c r="AA19" i="8"/>
  <c r="S19" i="8"/>
  <c r="N21" i="8"/>
  <c r="AE18" i="8"/>
  <c r="W18" i="8"/>
  <c r="O18" i="8"/>
  <c r="AK21" i="8"/>
  <c r="AC21" i="8"/>
  <c r="U21" i="8"/>
  <c r="M21" i="8"/>
  <c r="AK18" i="8"/>
  <c r="R19" i="8"/>
  <c r="K20" i="8"/>
  <c r="M19" i="8"/>
  <c r="AH20" i="8"/>
  <c r="Y20" i="8"/>
  <c r="O20" i="8"/>
  <c r="AJ21" i="8"/>
  <c r="AB21" i="8"/>
  <c r="T21" i="8"/>
  <c r="L21" i="8"/>
  <c r="AF20" i="8"/>
  <c r="X20" i="8"/>
  <c r="P20" i="8"/>
  <c r="AD18" i="8"/>
  <c r="U20" i="8"/>
  <c r="U18" i="8"/>
  <c r="Z19" i="8"/>
  <c r="AF18" i="8"/>
  <c r="X18" i="8"/>
  <c r="P18" i="8"/>
  <c r="H21" i="8"/>
  <c r="AC19" i="8"/>
  <c r="U19" i="8"/>
  <c r="L19" i="8"/>
  <c r="AG20" i="8"/>
  <c r="W20" i="8"/>
  <c r="N20" i="8"/>
  <c r="AG19" i="8"/>
  <c r="V18" i="8"/>
  <c r="AD20" i="8"/>
  <c r="L20" i="8"/>
  <c r="AC18" i="8"/>
  <c r="AI19" i="8"/>
  <c r="I19" i="8"/>
  <c r="T20" i="8"/>
  <c r="N19" i="8"/>
  <c r="AK19" i="8"/>
  <c r="AB19" i="8"/>
  <c r="T19" i="8"/>
  <c r="K19" i="8"/>
  <c r="AE20" i="8"/>
  <c r="V20" i="8"/>
  <c r="AH21" i="8"/>
  <c r="Z21" i="8"/>
  <c r="J21" i="8"/>
  <c r="H20" i="8"/>
  <c r="S20" i="8"/>
  <c r="J20" i="8"/>
  <c r="H18" i="8"/>
  <c r="N18" i="8"/>
  <c r="M18" i="8"/>
  <c r="H19" i="8"/>
  <c r="AI18" i="8"/>
  <c r="AA18" i="8"/>
  <c r="S18" i="8"/>
  <c r="AF19" i="8"/>
  <c r="X19" i="8"/>
  <c r="AA20" i="8"/>
  <c r="R20" i="8"/>
  <c r="I20" i="8"/>
  <c r="AD21" i="8"/>
  <c r="V21" i="8"/>
  <c r="AI20" i="8"/>
  <c r="Z20" i="8"/>
  <c r="E40" i="8" l="1"/>
  <c r="E37" i="8"/>
  <c r="E39" i="8"/>
  <c r="E38" i="8"/>
  <c r="AN33" i="8"/>
  <c r="AN32" i="8"/>
  <c r="AN13" i="8"/>
  <c r="AN5" i="8"/>
  <c r="AN6" i="8"/>
  <c r="AN7" i="8"/>
  <c r="AN8" i="8"/>
  <c r="AN9" i="8"/>
  <c r="AN10" i="8"/>
  <c r="AN11" i="8"/>
  <c r="AN12" i="8"/>
  <c r="AN14" i="8"/>
  <c r="AN4" i="8"/>
  <c r="E50" i="8" l="1"/>
  <c r="AN51" i="8"/>
  <c r="B22" i="3" l="1"/>
  <c r="J2" i="3"/>
  <c r="B19" i="3"/>
  <c r="D5" i="3" l="1"/>
  <c r="D6" i="3"/>
  <c r="D7" i="3"/>
  <c r="D8" i="3"/>
  <c r="D9" i="3"/>
  <c r="B7" i="7" l="1"/>
  <c r="E32" i="4"/>
  <c r="E6" i="3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F6" i="3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D11" i="5"/>
  <c r="G4" i="1"/>
  <c r="B10" i="3" l="1"/>
  <c r="B15" i="3" s="1"/>
  <c r="G5" i="3" l="1"/>
  <c r="G29" i="3"/>
  <c r="G20" i="3"/>
  <c r="G19" i="3"/>
  <c r="G6" i="3"/>
  <c r="G12" i="3"/>
  <c r="G26" i="3"/>
  <c r="G23" i="3"/>
  <c r="G27" i="3"/>
  <c r="G10" i="3"/>
  <c r="G7" i="3"/>
  <c r="G11" i="3"/>
  <c r="G24" i="3"/>
  <c r="G21" i="3"/>
  <c r="G18" i="3"/>
  <c r="G16" i="3"/>
  <c r="G15" i="3"/>
  <c r="G25" i="3"/>
  <c r="G8" i="3"/>
  <c r="G13" i="3"/>
  <c r="G17" i="3"/>
  <c r="G22" i="3"/>
  <c r="G28" i="3"/>
  <c r="G9" i="3"/>
  <c r="G14" i="3"/>
  <c r="K2" i="3" l="1"/>
  <c r="L2" i="3" l="1"/>
  <c r="B24" i="3" s="1"/>
  <c r="B25" i="3" s="1"/>
  <c r="B23" i="3"/>
  <c r="G6" i="1" l="1"/>
  <c r="H22" i="5" l="1"/>
  <c r="G22" i="5"/>
  <c r="D22" i="5"/>
  <c r="C22" i="5"/>
  <c r="D8" i="5"/>
  <c r="C8" i="5"/>
  <c r="D7" i="5"/>
  <c r="C7" i="5"/>
  <c r="D6" i="5"/>
  <c r="C6" i="5"/>
  <c r="D5" i="5"/>
  <c r="C5" i="5"/>
  <c r="D4" i="5"/>
  <c r="C4" i="5"/>
  <c r="H24" i="5" l="1"/>
  <c r="D24" i="5"/>
  <c r="C9" i="5"/>
  <c r="D9" i="5"/>
  <c r="E28" i="4" l="1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E33" i="4" l="1"/>
  <c r="G8" i="1" l="1"/>
  <c r="F8" i="7" l="1"/>
  <c r="G8" i="7" s="1"/>
  <c r="G10" i="7" s="1"/>
  <c r="F9" i="7" l="1"/>
  <c r="H9" i="7" s="1"/>
  <c r="H10" i="7" s="1"/>
  <c r="I10" i="7" s="1"/>
  <c r="B10" i="7" s="1"/>
  <c r="B11" i="7" s="1"/>
  <c r="B12" i="7" s="1"/>
  <c r="B13" i="7" s="1"/>
  <c r="G25" i="1" s="1"/>
  <c r="G7" i="1" l="1"/>
  <c r="G11" i="1" s="1"/>
</calcChain>
</file>

<file path=xl/comments1.xml><?xml version="1.0" encoding="utf-8"?>
<comments xmlns="http://schemas.openxmlformats.org/spreadsheetml/2006/main">
  <authors>
    <author>tc={871F2050-D029-4263-8311-0DD76417BD01}</author>
  </authors>
  <commentList>
    <comment ref="B4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Values from 2020_PSC_DR7_KU_LGE_Attach_Q30_Att_1_AC_Model</t>
        </r>
      </text>
    </comment>
  </commentList>
</comments>
</file>

<file path=xl/comments2.xml><?xml version="1.0" encoding="utf-8"?>
<comments xmlns="http://schemas.openxmlformats.org/spreadsheetml/2006/main">
  <authors>
    <author>tc={152C07AB-EF6D-4FB2-BD09-47E3C30AEF38}</author>
  </authors>
  <commentList>
    <comment ref="A2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Data for both KU and LG&amp;E from Q16 and Q17 in Response to Commission Staff’s Eighth Request for Information Dated August 3, 2021</t>
        </r>
      </text>
    </comment>
  </commentList>
</comments>
</file>

<file path=xl/comments3.xml><?xml version="1.0" encoding="utf-8"?>
<comments xmlns="http://schemas.openxmlformats.org/spreadsheetml/2006/main">
  <authors>
    <author>tc={0DCD3E4E-2B8E-4F7F-A65E-5C43F8FAC919}</author>
    <author>tc={4A79D5F7-CF7A-4AB1-8C59-7208741E307A}</author>
    <author>tc={7C5BC733-5D0B-4AFB-AA14-2DBC431F1572}</author>
  </authors>
  <commentList>
    <comment ref="A4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Q17 from DR8</t>
        </r>
      </text>
    </comment>
    <comment ref="A5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Q30 Att_1_AC_Model, tab 'LevelCT', cell J53</t>
        </r>
      </text>
    </comment>
    <comment ref="A8" authorId="2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Data from attachment to Q34 in Response to Commission Staff’s Seventh Request for Information Dated July 22, 2021</t>
        </r>
      </text>
    </comment>
  </commentList>
</comments>
</file>

<file path=xl/comments4.xml><?xml version="1.0" encoding="utf-8"?>
<comments xmlns="http://schemas.openxmlformats.org/spreadsheetml/2006/main">
  <authors>
    <author>tc={B898D8EE-CDCE-4530-87CC-0BF29F11A17A}</author>
    <author>tc={149F5BC4-A9DB-4CA2-A63E-DCBD3D4FFE35}</author>
    <author>tc={DF1867D2-E5C1-4BBB-90DE-A909DF11BB88}</author>
  </authors>
  <commentList>
    <comment ref="A4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Q17 from DR8</t>
        </r>
      </text>
    </comment>
    <comment ref="A5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Q30 Att_1_AC_Model, tab 'LevelCT', cell J53</t>
        </r>
      </text>
    </comment>
    <comment ref="A8" authorId="2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Data from attachment to Q34 in Response to Commission Staff’s Seventh Request for Information Dated July 22, 2021</t>
        </r>
      </text>
    </comment>
  </commentList>
</comments>
</file>

<file path=xl/comments5.xml><?xml version="1.0" encoding="utf-8"?>
<comments xmlns="http://schemas.openxmlformats.org/spreadsheetml/2006/main">
  <authors>
    <author>tc={7EA3C9F1-25BE-4DBB-AB74-0AE99022DA52}</author>
    <author>tc={43418F94-7520-495A-89FC-1D5EF182221D}</author>
    <author>tc={751DA3FE-E034-4A21-A91A-0A49FB387194}</author>
  </authors>
  <commentList>
    <comment ref="A4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Q17 from DR8</t>
        </r>
      </text>
    </comment>
    <comment ref="A5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Q30 Att_1_AC_Model, tab 'LevelCT', cell J53</t>
        </r>
      </text>
    </comment>
    <comment ref="A8" authorId="2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Data from attachment to Q34 in Response to Commission Staff’s Seventh Request for Information Dated July 22, 2021</t>
        </r>
      </text>
    </comment>
  </commentList>
</comments>
</file>

<file path=xl/comments6.xml><?xml version="1.0" encoding="utf-8"?>
<comments xmlns="http://schemas.openxmlformats.org/spreadsheetml/2006/main">
  <authors>
    <author>tc={BEE12966-F123-4097-B427-E320227B3854}</author>
    <author>tc={55D9EB97-AF9E-498F-BF77-9BE8E9AACB64}</author>
    <author>tc={48E31BCA-BBCE-43CB-B4E7-9C2E3A5AF887}</author>
    <author>tc={571BFD4B-F5AF-49BA-AF1B-55D5803BFE96}</author>
    <author>tc={517DBEED-00CE-4D3C-B707-0C122DA7F393}</author>
    <author>tc={A6320B6A-5903-4808-B51C-53C987A436A2}</author>
    <author>tc={39F7EEC3-8B4F-42EC-BD5A-EC2DB28391ED}</author>
  </authors>
  <commentList>
    <comment ref="E2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From 2018 IRP, Table 8-2: KU and LG&amp;E Existing and Planned Electric Generation Facilities at 8-7.</t>
        </r>
      </text>
    </comment>
    <comment ref="AM2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Attachment 1 to Response to PSC-8 Question No. 27</t>
        </r>
      </text>
    </comment>
    <comment ref="C3" authorId="2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Attachment to Response to PSC-8 Question No. 28</t>
        </r>
      </text>
    </comment>
    <comment ref="E12" authorId="3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These numbers represent the Companies' 75% ownership shares of Trimble County units 1 &amp; 2</t>
        </r>
      </text>
    </comment>
    <comment ref="AM16" authorId="4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Attachment 2 to Response to PSC-8 Question No. 27</t>
        </r>
      </text>
    </comment>
    <comment ref="AM30" authorId="5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Attachment 1 to Response to PSC-8 Question No. 27</t>
        </r>
      </text>
    </comment>
    <comment ref="AM41" authorId="6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Attachment 2 to Response to PSC-8 Question No. 27</t>
        </r>
      </text>
    </comment>
  </commentList>
</comments>
</file>

<file path=xl/comments7.xml><?xml version="1.0" encoding="utf-8"?>
<comments xmlns="http://schemas.openxmlformats.org/spreadsheetml/2006/main">
  <authors>
    <author>tc={38C935B5-1592-439B-BD20-6E78517C5B9E}</author>
    <author>tc={72F22792-40F9-4B03-B5A6-B41462AD6795}</author>
    <author>tc={FB223037-6CB2-4FBB-B1A3-8B2F3E1939B3}</author>
    <author>tc={518A93E2-61D9-4E71-8C34-5F61EF00EDDE}</author>
  </authors>
  <commentList>
    <comment ref="A2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PTP data from Q19 in Response to Commission Staff’s Eighth Request for Information Dated August 3, 2021</t>
        </r>
      </text>
    </comment>
    <comment ref="A16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Using the distribution cost escalator as a proxy for transmission escalation</t>
        </r>
      </text>
    </comment>
    <comment ref="A17" authorId="2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Q30 Att_1_AC_Model, tab 'LevelCT', cell J53</t>
        </r>
      </text>
    </comment>
    <comment ref="A20" authorId="3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Data from attachment to Q34 in Response to Commission Staff’s Seventh Request for Information Dated July 22, 2021</t>
        </r>
      </text>
    </comment>
  </commentList>
</comments>
</file>

<file path=xl/comments8.xml><?xml version="1.0" encoding="utf-8"?>
<comments xmlns="http://schemas.openxmlformats.org/spreadsheetml/2006/main">
  <authors>
    <author>tc={8C407108-E18E-4D1F-852E-748D878158DD}</author>
    <author>tc={F08A6A05-F34A-4207-A91E-6318913C97AD}</author>
  </authors>
  <commentList>
    <comment ref="A1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Source: 2020_PSC_DR8_KU_LGE_Attach_to_Q21_-_Avoided_CO2_Cost.xlsx</t>
        </r>
      </text>
    </comment>
    <comment ref="B1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Per Response to MA-KFTC-KSES-MHC-3 Question No. 1(2a), The Companies do not have an updated CO2 price forecast (from the CO2 price forecasts from the 2018 IRP)</t>
        </r>
      </text>
    </comment>
  </commentList>
</comments>
</file>

<file path=xl/sharedStrings.xml><?xml version="1.0" encoding="utf-8"?>
<sst xmlns="http://schemas.openxmlformats.org/spreadsheetml/2006/main" count="339" uniqueCount="144">
  <si>
    <t>Energy</t>
  </si>
  <si>
    <t>Ancillary Services</t>
  </si>
  <si>
    <t>G Capacity</t>
  </si>
  <si>
    <t>T Capacity</t>
  </si>
  <si>
    <t>D Capacity</t>
  </si>
  <si>
    <t>Carbon cost</t>
  </si>
  <si>
    <t>Enviro Comp Cost</t>
  </si>
  <si>
    <t>Job's benefit</t>
  </si>
  <si>
    <t>NMS Price for Excess Gen</t>
  </si>
  <si>
    <t>Year</t>
  </si>
  <si>
    <t>New Dist.
Capacity</t>
  </si>
  <si>
    <t>Capital Cost - Capacity projects</t>
  </si>
  <si>
    <t>(MW)</t>
  </si>
  <si>
    <t>Total</t>
  </si>
  <si>
    <t>Cost per kW</t>
  </si>
  <si>
    <t>KU</t>
  </si>
  <si>
    <t>LG&amp;E</t>
  </si>
  <si>
    <t>($ Thousands)</t>
  </si>
  <si>
    <t>2018IRP CO2 ($/ton)</t>
  </si>
  <si>
    <t>Existing and Expansion Units CO2 Emissions (tons)</t>
  </si>
  <si>
    <t>Net Load (GWh)</t>
  </si>
  <si>
    <t>$/kWh</t>
  </si>
  <si>
    <t>Discount Rate</t>
  </si>
  <si>
    <t>NPV of 22-46</t>
  </si>
  <si>
    <t>life (years)</t>
  </si>
  <si>
    <t>Discount factor</t>
  </si>
  <si>
    <t>Capital Recovery Factor</t>
  </si>
  <si>
    <t>avoided cost</t>
  </si>
  <si>
    <t>Source</t>
  </si>
  <si>
    <t>Seelye Suppl Testimony</t>
  </si>
  <si>
    <t xml:space="preserve">Effective Date </t>
  </si>
  <si>
    <t>Firm PTP Rate ($/MW-year)</t>
  </si>
  <si>
    <t>As Filed</t>
  </si>
  <si>
    <t>As Revised</t>
  </si>
  <si>
    <t>5-Year Average</t>
  </si>
  <si>
    <t>WACC</t>
  </si>
  <si>
    <t>4% * G Capacity, Seelye Suppl Rebuttal</t>
  </si>
  <si>
    <t>Distribution Cost</t>
  </si>
  <si>
    <t xml:space="preserve"> $/kW-yr</t>
  </si>
  <si>
    <t>$/kW-yr</t>
  </si>
  <si>
    <t>Capital Cost</t>
  </si>
  <si>
    <t>Deferred capital cost</t>
  </si>
  <si>
    <t>KU/LG&amp;E LevelCT Approach</t>
  </si>
  <si>
    <t>Inputs</t>
  </si>
  <si>
    <t>Distribution Cost Escalation</t>
  </si>
  <si>
    <t>Outputs</t>
  </si>
  <si>
    <t>Avoided Dist ($/kWh)</t>
  </si>
  <si>
    <t>Deferral Savings (NPV $/kW)</t>
  </si>
  <si>
    <t>Avoided Dist ($/kW-year)</t>
  </si>
  <si>
    <t xml:space="preserve"> $/kW</t>
  </si>
  <si>
    <t>Distribution cost ($/kW)</t>
  </si>
  <si>
    <t>$/kW</t>
  </si>
  <si>
    <t>-</t>
  </si>
  <si>
    <t>Cost</t>
  </si>
  <si>
    <t>Transmission cost ($/kW-yr)</t>
  </si>
  <si>
    <t>Transmission Cost Escalation</t>
  </si>
  <si>
    <t>NPV</t>
  </si>
  <si>
    <t>Discounted Value</t>
  </si>
  <si>
    <t>NPV of savings</t>
  </si>
  <si>
    <t>Avoided Transm ($/kW-year)</t>
  </si>
  <si>
    <t>Avoided Transm ($/kWh)</t>
  </si>
  <si>
    <t>Annual Energy</t>
  </si>
  <si>
    <t>PV Capacity Factor</t>
  </si>
  <si>
    <t>Escalation</t>
  </si>
  <si>
    <t>Kentucky Power</t>
  </si>
  <si>
    <t>KU/LG&amp;E Provided Exact Value</t>
  </si>
  <si>
    <t>PV Availability Factor</t>
  </si>
  <si>
    <t>PV-Adj Avoided Dist ($/kWh)</t>
  </si>
  <si>
    <t>PV-Adj Avoided Transm ($/kWh)</t>
  </si>
  <si>
    <t>Avoided Transm ($/kW)</t>
  </si>
  <si>
    <t xml:space="preserve">Annual Energy </t>
  </si>
  <si>
    <t>Brown 3</t>
  </si>
  <si>
    <t>Ghent 1</t>
  </si>
  <si>
    <t>Ghent 2</t>
  </si>
  <si>
    <t>Ghent 3</t>
  </si>
  <si>
    <t>Ghent 4</t>
  </si>
  <si>
    <t>Mill Creek 1</t>
  </si>
  <si>
    <t>Mill Creek 2</t>
  </si>
  <si>
    <t>Mill Creek 3</t>
  </si>
  <si>
    <t>Mill Creek 4</t>
  </si>
  <si>
    <t>Trimble County 1</t>
  </si>
  <si>
    <t>Trimble County 2</t>
  </si>
  <si>
    <t>Annual Capacity Factors</t>
  </si>
  <si>
    <t>Ghent</t>
  </si>
  <si>
    <t>EW Brown</t>
  </si>
  <si>
    <t>Trimble County</t>
  </si>
  <si>
    <t>CCR</t>
  </si>
  <si>
    <t>ELG</t>
  </si>
  <si>
    <t>Total Ghent</t>
  </si>
  <si>
    <t>Brown</t>
  </si>
  <si>
    <t>Total EW Brown</t>
  </si>
  <si>
    <t>Total Trimble County</t>
  </si>
  <si>
    <t>KU O&amp;M</t>
  </si>
  <si>
    <t>KU Capital</t>
  </si>
  <si>
    <t>TOTAL</t>
  </si>
  <si>
    <t>Mill Creek</t>
  </si>
  <si>
    <t>Total Mill Creek</t>
  </si>
  <si>
    <t>LG&amp;E O&amp;M</t>
  </si>
  <si>
    <t>LG&amp;E Capital</t>
  </si>
  <si>
    <t>KU + LG&amp;E O&amp;M</t>
  </si>
  <si>
    <t>KU + LG&amp;E Capital</t>
  </si>
  <si>
    <t>MW Net Capacity (2019 Summer)</t>
  </si>
  <si>
    <t>Total Energy (MWh)</t>
  </si>
  <si>
    <t>Avg CF</t>
  </si>
  <si>
    <t>Last Year Online</t>
  </si>
  <si>
    <t>Total cost (O&amp;M + Capital)</t>
  </si>
  <si>
    <t>Cost per MW</t>
  </si>
  <si>
    <t>Average CF</t>
  </si>
  <si>
    <t>Annualized Cost</t>
  </si>
  <si>
    <t>Levelized Cost ($/MWh)</t>
  </si>
  <si>
    <t>2021 NPV (Capital)</t>
  </si>
  <si>
    <t>Lifetime</t>
  </si>
  <si>
    <t>Levelized Cost ($/kWh)</t>
  </si>
  <si>
    <t>QF</t>
  </si>
  <si>
    <t>fixed tilt QF from PPT</t>
  </si>
  <si>
    <r>
      <t>Calculated using data from PSC-7</t>
    </r>
    <r>
      <rPr>
        <b/>
        <i/>
        <sz val="11"/>
        <color theme="1"/>
        <rFont val="Calibri"/>
        <family val="2"/>
        <scheme val="minor"/>
      </rPr>
      <t>-</t>
    </r>
    <r>
      <rPr>
        <b/>
        <i/>
        <sz val="11"/>
        <color rgb="FFFF0000"/>
        <rFont val="Calibri"/>
        <family val="2"/>
        <scheme val="minor"/>
      </rPr>
      <t>##</t>
    </r>
  </si>
  <si>
    <t>Data anc calculation provided in PSC-8-Q21</t>
  </si>
  <si>
    <t>Calculated based on simplified MN VOS Approach</t>
  </si>
  <si>
    <t>20-Year Energy Payment for Contract Beginning:</t>
  </si>
  <si>
    <t>2-Year PPA</t>
  </si>
  <si>
    <t>Solar:  Single-Axis Tracking</t>
  </si>
  <si>
    <t>Solar:  Fixed Tilt</t>
  </si>
  <si>
    <t>Wind</t>
  </si>
  <si>
    <t>Other</t>
  </si>
  <si>
    <t>ownership</t>
  </si>
  <si>
    <t>Source: https://psc.ky.gov/pscecf/2020-00349/rick.lovekamp%40lge-ku.com/11252020084757/10-KU_Testimony_1of4%28Thompson_Blake_Bellar_Sinclair_Wolfe_Saunders%29.pdf#page=139</t>
  </si>
  <si>
    <t>Combined</t>
  </si>
  <si>
    <t>QF Avoided Energy, KU (with line losses)</t>
  </si>
  <si>
    <t>QF Avoided Energy, LG&amp;E (with line losses)</t>
  </si>
  <si>
    <t>QF Avoided Capacity, 2025 Need, KU (with line losses)</t>
  </si>
  <si>
    <t>QF Avoided Capacity, LG&amp;E (with line losses)</t>
  </si>
  <si>
    <t>Energy*</t>
  </si>
  <si>
    <t>Generation Capacity*</t>
  </si>
  <si>
    <t>Transmission Capacity</t>
  </si>
  <si>
    <t>Distribution Capacity</t>
  </si>
  <si>
    <t>Environmental Compliance Cost</t>
  </si>
  <si>
    <t>Carbon Cost</t>
  </si>
  <si>
    <t>Proposed Avoided Energy</t>
  </si>
  <si>
    <t>Jobs Benefit</t>
  </si>
  <si>
    <t>NMS 2 Price for Excess Gen</t>
  </si>
  <si>
    <t>LG&amp;E NMS 2 Export Rate</t>
  </si>
  <si>
    <t>KU NMS 2 Export Rate</t>
  </si>
  <si>
    <t>*With losses</t>
  </si>
  <si>
    <t>Source: PSC-7-Q30_Att1 Modified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</si>
</sst>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_);_(&quot;$&quot;* \(#,##0.00000\);_(&quot;$&quot;* &quot;-&quot;??_);_(@_)"/>
    <numFmt numFmtId="165" formatCode="#,##0.0"/>
    <numFmt numFmtId="166" formatCode="&quot;$&quot;#,##0.00;[Red]&quot;$&quot;#,##0.00"/>
    <numFmt numFmtId="167" formatCode="&quot;$&quot;#,##0;[Red]&quot;$&quot;#,##0"/>
    <numFmt numFmtId="168" formatCode="&quot;$&quot;#,##0.0_);\(&quot;$&quot;#,##0.0\)"/>
    <numFmt numFmtId="169" formatCode="_(* #,##0.000000_);_(* \(#,##0.000000\);_(* &quot;-&quot;??_);_(@_)"/>
    <numFmt numFmtId="170" formatCode="&quot;$&quot;#,##0"/>
    <numFmt numFmtId="171" formatCode="&quot;$&quot;#,##0.00"/>
    <numFmt numFmtId="172" formatCode="&quot;$&quot;#,##0.0000_);[Red]\(&quot;$&quot;#,##0.0000\)"/>
    <numFmt numFmtId="173" formatCode="_(* #,##0_);_(* \(#,##0\);_(* &quot;-&quot;??_);_(@_)"/>
    <numFmt numFmtId="174" formatCode="0.0%"/>
    <numFmt numFmtId="175" formatCode="&quot;$&quot;#,##0.000_);[Red]\(&quot;$&quot;#,##0.000\)"/>
    <numFmt numFmtId="176" formatCode="_(&quot;$&quot;* #,##0.0000_);_(&quot;$&quot;* \(#,##0.0000\);_(&quot;$&quot;* &quot;-&quot;??_);_(@_)"/>
    <numFmt numFmtId="177" formatCode="&quot;$&quot;#,##0.00000_);[Red]\(&quot;$&quot;#,##0.0000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Garamond"/>
      <family val="1"/>
    </font>
    <font>
      <sz val="10"/>
      <name val="Garamond"/>
      <family val="1"/>
    </font>
    <font>
      <sz val="14"/>
      <name val="Garamond"/>
      <family val="1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8" fillId="0" borderId="0" applyFont="0" applyFill="0" applyBorder="0" applyAlignment="0" applyProtection="0"/>
  </cellStyleXfs>
  <cellXfs count="138">
    <xf numFmtId="0" fontId="0" fillId="0" borderId="0" xfId="0"/>
    <xf numFmtId="0" fontId="0" fillId="2" borderId="0" xfId="0" applyFill="1"/>
    <xf numFmtId="164" fontId="0" fillId="0" borderId="0" xfId="1" applyNumberFormat="1" applyFont="1"/>
    <xf numFmtId="0" fontId="3" fillId="2" borderId="2" xfId="0" applyFont="1" applyFill="1" applyBorder="1"/>
    <xf numFmtId="164" fontId="4" fillId="0" borderId="2" xfId="1" applyNumberFormat="1" applyFont="1" applyBorder="1"/>
    <xf numFmtId="0" fontId="6" fillId="2" borderId="3" xfId="4" applyFont="1" applyFill="1" applyBorder="1" applyAlignment="1">
      <alignment horizontal="center"/>
    </xf>
    <xf numFmtId="0" fontId="6" fillId="2" borderId="4" xfId="4" applyFont="1" applyFill="1" applyBorder="1" applyAlignment="1">
      <alignment horizontal="center" wrapText="1"/>
    </xf>
    <xf numFmtId="0" fontId="6" fillId="2" borderId="5" xfId="4" applyFont="1" applyFill="1" applyBorder="1" applyAlignment="1">
      <alignment horizontal="center" wrapText="1"/>
    </xf>
    <xf numFmtId="0" fontId="7" fillId="2" borderId="6" xfId="4" applyFont="1" applyFill="1" applyBorder="1" applyAlignment="1">
      <alignment horizontal="center"/>
    </xf>
    <xf numFmtId="0" fontId="7" fillId="2" borderId="7" xfId="4" applyFont="1" applyFill="1" applyBorder="1" applyAlignment="1">
      <alignment horizontal="center"/>
    </xf>
    <xf numFmtId="0" fontId="7" fillId="2" borderId="8" xfId="4" applyFont="1" applyFill="1" applyBorder="1" applyAlignment="1">
      <alignment horizontal="center"/>
    </xf>
    <xf numFmtId="0" fontId="7" fillId="2" borderId="9" xfId="4" applyFont="1" applyFill="1" applyBorder="1" applyAlignment="1">
      <alignment horizontal="center"/>
    </xf>
    <xf numFmtId="165" fontId="7" fillId="2" borderId="10" xfId="4" applyNumberFormat="1" applyFont="1" applyFill="1" applyBorder="1" applyAlignment="1">
      <alignment horizontal="center"/>
    </xf>
    <xf numFmtId="0" fontId="7" fillId="2" borderId="10" xfId="4" applyFont="1" applyFill="1" applyBorder="1" applyAlignment="1">
      <alignment horizontal="center"/>
    </xf>
    <xf numFmtId="165" fontId="7" fillId="2" borderId="9" xfId="4" applyNumberFormat="1" applyFont="1" applyFill="1" applyBorder="1" applyAlignment="1">
      <alignment horizontal="center"/>
    </xf>
    <xf numFmtId="165" fontId="7" fillId="2" borderId="10" xfId="5" applyNumberFormat="1" applyFont="1" applyFill="1" applyBorder="1" applyAlignment="1">
      <alignment horizontal="center"/>
    </xf>
    <xf numFmtId="0" fontId="7" fillId="2" borderId="11" xfId="4" applyFont="1" applyFill="1" applyBorder="1" applyAlignment="1">
      <alignment horizontal="center"/>
    </xf>
    <xf numFmtId="0" fontId="7" fillId="2" borderId="12" xfId="4" applyFont="1" applyFill="1" applyBorder="1" applyAlignment="1">
      <alignment horizontal="center"/>
    </xf>
    <xf numFmtId="165" fontId="7" fillId="2" borderId="13" xfId="4" applyNumberFormat="1" applyFont="1" applyFill="1" applyBorder="1" applyAlignment="1">
      <alignment horizontal="center"/>
    </xf>
    <xf numFmtId="0" fontId="7" fillId="2" borderId="14" xfId="4" applyFont="1" applyFill="1" applyBorder="1" applyAlignment="1">
      <alignment horizontal="left"/>
    </xf>
    <xf numFmtId="165" fontId="7" fillId="2" borderId="15" xfId="4" applyNumberFormat="1" applyFont="1" applyFill="1" applyBorder="1"/>
    <xf numFmtId="165" fontId="7" fillId="2" borderId="16" xfId="4" applyNumberFormat="1" applyFont="1" applyFill="1" applyBorder="1"/>
    <xf numFmtId="0" fontId="7" fillId="2" borderId="17" xfId="4" applyFont="1" applyFill="1" applyBorder="1"/>
    <xf numFmtId="0" fontId="7" fillId="2" borderId="1" xfId="4" applyFont="1" applyFill="1" applyBorder="1"/>
    <xf numFmtId="166" fontId="7" fillId="2" borderId="18" xfId="4" applyNumberFormat="1" applyFont="1" applyFill="1" applyBorder="1" applyAlignment="1">
      <alignment horizontal="center"/>
    </xf>
    <xf numFmtId="0" fontId="7" fillId="2" borderId="19" xfId="4" applyFont="1" applyFill="1" applyBorder="1" applyAlignment="1">
      <alignment horizontal="center"/>
    </xf>
    <xf numFmtId="165" fontId="7" fillId="2" borderId="20" xfId="5" applyNumberFormat="1" applyFont="1" applyFill="1" applyBorder="1" applyAlignment="1">
      <alignment horizontal="center"/>
    </xf>
    <xf numFmtId="167" fontId="7" fillId="2" borderId="18" xfId="4" applyNumberFormat="1" applyFont="1" applyFill="1" applyBorder="1" applyAlignment="1">
      <alignment horizontal="center"/>
    </xf>
    <xf numFmtId="5" fontId="7" fillId="2" borderId="10" xfId="5" applyNumberFormat="1" applyFont="1" applyFill="1" applyBorder="1" applyAlignment="1">
      <alignment horizontal="center"/>
    </xf>
    <xf numFmtId="5" fontId="7" fillId="2" borderId="20" xfId="5" applyNumberFormat="1" applyFont="1" applyFill="1" applyBorder="1" applyAlignment="1">
      <alignment horizontal="center"/>
    </xf>
    <xf numFmtId="5" fontId="7" fillId="2" borderId="13" xfId="5" applyNumberFormat="1" applyFont="1" applyFill="1" applyBorder="1" applyAlignment="1">
      <alignment horizontal="center"/>
    </xf>
    <xf numFmtId="165" fontId="7" fillId="3" borderId="9" xfId="4" applyNumberFormat="1" applyFont="1" applyFill="1" applyBorder="1" applyAlignment="1">
      <alignment horizontal="center"/>
    </xf>
    <xf numFmtId="165" fontId="7" fillId="3" borderId="10" xfId="5" applyNumberFormat="1" applyFont="1" applyFill="1" applyBorder="1" applyAlignment="1">
      <alignment horizontal="center"/>
    </xf>
    <xf numFmtId="0" fontId="7" fillId="2" borderId="18" xfId="4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wrapText="1"/>
    </xf>
    <xf numFmtId="10" fontId="0" fillId="0" borderId="0" xfId="3" applyNumberFormat="1" applyFont="1"/>
    <xf numFmtId="3" fontId="0" fillId="0" borderId="0" xfId="0" applyNumberFormat="1"/>
    <xf numFmtId="2" fontId="0" fillId="0" borderId="0" xfId="0" applyNumberFormat="1"/>
    <xf numFmtId="169" fontId="0" fillId="2" borderId="0" xfId="2" applyNumberFormat="1" applyFont="1" applyFill="1"/>
    <xf numFmtId="2" fontId="0" fillId="2" borderId="0" xfId="0" applyNumberFormat="1" applyFill="1"/>
    <xf numFmtId="3" fontId="0" fillId="2" borderId="0" xfId="0" applyNumberFormat="1" applyFill="1"/>
    <xf numFmtId="0" fontId="0" fillId="0" borderId="9" xfId="0" applyBorder="1"/>
    <xf numFmtId="10" fontId="0" fillId="0" borderId="9" xfId="0" applyNumberFormat="1" applyBorder="1"/>
    <xf numFmtId="169" fontId="0" fillId="0" borderId="9" xfId="2" applyNumberFormat="1" applyFont="1" applyFill="1" applyBorder="1"/>
    <xf numFmtId="0" fontId="9" fillId="2" borderId="0" xfId="0" applyFont="1" applyFill="1" applyBorder="1" applyAlignment="1">
      <alignment horizontal="center"/>
    </xf>
    <xf numFmtId="164" fontId="10" fillId="0" borderId="0" xfId="1" applyNumberFormat="1" applyFont="1"/>
    <xf numFmtId="164" fontId="11" fillId="0" borderId="0" xfId="1" applyNumberFormat="1" applyFont="1" applyBorder="1"/>
    <xf numFmtId="0" fontId="10" fillId="0" borderId="0" xfId="0" applyFont="1"/>
    <xf numFmtId="0" fontId="9" fillId="0" borderId="0" xfId="0" applyFont="1"/>
    <xf numFmtId="165" fontId="7" fillId="0" borderId="20" xfId="5" applyNumberFormat="1" applyFont="1" applyFill="1" applyBorder="1" applyAlignment="1">
      <alignment horizontal="center"/>
    </xf>
    <xf numFmtId="0" fontId="7" fillId="2" borderId="21" xfId="4" applyFont="1" applyFill="1" applyBorder="1" applyAlignment="1">
      <alignment horizontal="center"/>
    </xf>
    <xf numFmtId="165" fontId="7" fillId="2" borderId="7" xfId="5" applyNumberFormat="1" applyFont="1" applyFill="1" applyBorder="1" applyAlignment="1">
      <alignment horizontal="center"/>
    </xf>
    <xf numFmtId="5" fontId="7" fillId="2" borderId="7" xfId="5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/>
    <xf numFmtId="0" fontId="0" fillId="4" borderId="0" xfId="0" applyFill="1"/>
    <xf numFmtId="9" fontId="0" fillId="4" borderId="0" xfId="0" applyNumberFormat="1" applyFill="1"/>
    <xf numFmtId="10" fontId="0" fillId="4" borderId="0" xfId="0" applyNumberFormat="1" applyFill="1"/>
    <xf numFmtId="44" fontId="0" fillId="0" borderId="0" xfId="0" applyNumberFormat="1"/>
    <xf numFmtId="43" fontId="0" fillId="4" borderId="0" xfId="2" applyFont="1" applyFill="1"/>
    <xf numFmtId="0" fontId="0" fillId="5" borderId="0" xfId="0" applyFill="1"/>
    <xf numFmtId="44" fontId="0" fillId="5" borderId="0" xfId="0" applyNumberFormat="1" applyFill="1"/>
    <xf numFmtId="8" fontId="0" fillId="5" borderId="0" xfId="0" applyNumberFormat="1" applyFill="1"/>
    <xf numFmtId="172" fontId="0" fillId="5" borderId="0" xfId="0" applyNumberFormat="1" applyFill="1"/>
    <xf numFmtId="164" fontId="0" fillId="0" borderId="0" xfId="0" applyNumberFormat="1"/>
    <xf numFmtId="168" fontId="0" fillId="0" borderId="0" xfId="0" applyNumberFormat="1"/>
    <xf numFmtId="7" fontId="0" fillId="0" borderId="0" xfId="0" applyNumberFormat="1"/>
    <xf numFmtId="6" fontId="0" fillId="4" borderId="0" xfId="0" applyNumberFormat="1" applyFill="1"/>
    <xf numFmtId="0" fontId="12" fillId="0" borderId="0" xfId="0" applyFont="1"/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wrapText="1"/>
    </xf>
    <xf numFmtId="173" fontId="13" fillId="0" borderId="0" xfId="5" applyNumberFormat="1" applyFont="1" applyBorder="1" applyAlignment="1">
      <alignment horizontal="center"/>
    </xf>
    <xf numFmtId="170" fontId="13" fillId="0" borderId="0" xfId="5" applyNumberFormat="1" applyFont="1" applyBorder="1" applyAlignment="1">
      <alignment horizontal="center"/>
    </xf>
    <xf numFmtId="171" fontId="13" fillId="0" borderId="0" xfId="5" applyNumberFormat="1" applyFont="1" applyBorder="1" applyAlignment="1">
      <alignment horizontal="center"/>
    </xf>
    <xf numFmtId="8" fontId="12" fillId="0" borderId="0" xfId="0" applyNumberFormat="1" applyFont="1" applyBorder="1"/>
    <xf numFmtId="8" fontId="13" fillId="0" borderId="0" xfId="0" applyNumberFormat="1" applyFont="1" applyBorder="1"/>
    <xf numFmtId="0" fontId="0" fillId="0" borderId="9" xfId="0" applyBorder="1" applyAlignment="1">
      <alignment vertical="center" wrapText="1"/>
    </xf>
    <xf numFmtId="44" fontId="0" fillId="0" borderId="9" xfId="1" applyFont="1" applyBorder="1"/>
    <xf numFmtId="44" fontId="0" fillId="0" borderId="9" xfId="0" applyNumberFormat="1" applyBorder="1"/>
    <xf numFmtId="174" fontId="0" fillId="4" borderId="0" xfId="0" applyNumberFormat="1" applyFill="1"/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/>
    </xf>
    <xf numFmtId="14" fontId="0" fillId="0" borderId="25" xfId="0" applyNumberFormat="1" applyBorder="1" applyAlignment="1">
      <alignment horizontal="center"/>
    </xf>
    <xf numFmtId="6" fontId="0" fillId="0" borderId="0" xfId="0" applyNumberFormat="1" applyBorder="1" applyAlignment="1">
      <alignment horizontal="center"/>
    </xf>
    <xf numFmtId="9" fontId="0" fillId="0" borderId="26" xfId="3" applyFont="1" applyBorder="1" applyAlignment="1">
      <alignment horizontal="center"/>
    </xf>
    <xf numFmtId="0" fontId="0" fillId="0" borderId="27" xfId="0" applyBorder="1" applyAlignment="1">
      <alignment horizontal="center"/>
    </xf>
    <xf numFmtId="6" fontId="0" fillId="0" borderId="28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9" fontId="0" fillId="0" borderId="29" xfId="0" applyNumberForma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Fill="1"/>
    <xf numFmtId="0" fontId="2" fillId="0" borderId="0" xfId="0" applyFont="1"/>
    <xf numFmtId="3" fontId="2" fillId="0" borderId="0" xfId="0" applyNumberFormat="1" applyFont="1"/>
    <xf numFmtId="0" fontId="0" fillId="0" borderId="2" xfId="0" applyBorder="1"/>
    <xf numFmtId="3" fontId="2" fillId="0" borderId="2" xfId="0" applyNumberFormat="1" applyFont="1" applyBorder="1"/>
    <xf numFmtId="3" fontId="0" fillId="0" borderId="2" xfId="0" applyNumberFormat="1" applyBorder="1"/>
    <xf numFmtId="0" fontId="2" fillId="0" borderId="0" xfId="0" applyFont="1" applyAlignment="1"/>
    <xf numFmtId="0" fontId="0" fillId="0" borderId="0" xfId="0" applyAlignment="1">
      <alignment horizontal="center" vertical="center" wrapText="1"/>
    </xf>
    <xf numFmtId="9" fontId="0" fillId="0" borderId="0" xfId="3" applyFont="1"/>
    <xf numFmtId="8" fontId="0" fillId="0" borderId="0" xfId="0" applyNumberFormat="1"/>
    <xf numFmtId="10" fontId="0" fillId="2" borderId="9" xfId="3" applyNumberFormat="1" applyFont="1" applyFill="1" applyBorder="1"/>
    <xf numFmtId="0" fontId="2" fillId="0" borderId="22" xfId="0" applyFont="1" applyBorder="1" applyAlignment="1">
      <alignment vertical="center" wrapText="1"/>
    </xf>
    <xf numFmtId="0" fontId="2" fillId="0" borderId="23" xfId="0" applyFont="1" applyBorder="1"/>
    <xf numFmtId="8" fontId="2" fillId="0" borderId="24" xfId="0" applyNumberFormat="1" applyFont="1" applyBorder="1"/>
    <xf numFmtId="0" fontId="2" fillId="0" borderId="27" xfId="0" applyFont="1" applyBorder="1" applyAlignment="1">
      <alignment vertical="center" wrapText="1"/>
    </xf>
    <xf numFmtId="0" fontId="2" fillId="0" borderId="28" xfId="0" applyFont="1" applyBorder="1"/>
    <xf numFmtId="175" fontId="2" fillId="0" borderId="29" xfId="0" applyNumberFormat="1" applyFont="1" applyBorder="1"/>
    <xf numFmtId="176" fontId="0" fillId="0" borderId="0" xfId="0" applyNumberFormat="1"/>
    <xf numFmtId="10" fontId="0" fillId="2" borderId="0" xfId="3" applyNumberFormat="1" applyFont="1" applyFill="1" applyBorder="1"/>
    <xf numFmtId="8" fontId="2" fillId="0" borderId="0" xfId="0" applyNumberFormat="1" applyFont="1" applyBorder="1"/>
    <xf numFmtId="175" fontId="2" fillId="0" borderId="0" xfId="0" applyNumberFormat="1" applyFont="1" applyBorder="1"/>
    <xf numFmtId="9" fontId="0" fillId="0" borderId="0" xfId="0" applyNumberFormat="1"/>
    <xf numFmtId="177" fontId="0" fillId="0" borderId="0" xfId="0" applyNumberFormat="1"/>
    <xf numFmtId="0" fontId="16" fillId="0" borderId="30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left" vertical="center" wrapText="1"/>
    </xf>
    <xf numFmtId="8" fontId="15" fillId="0" borderId="29" xfId="0" applyNumberFormat="1" applyFont="1" applyBorder="1" applyAlignment="1">
      <alignment horizontal="center" vertical="center" wrapText="1"/>
    </xf>
    <xf numFmtId="0" fontId="16" fillId="0" borderId="30" xfId="0" applyFont="1" applyBorder="1" applyAlignment="1">
      <alignment horizontal="justify" vertical="center" wrapText="1"/>
    </xf>
    <xf numFmtId="0" fontId="16" fillId="0" borderId="33" xfId="0" applyFont="1" applyBorder="1" applyAlignment="1">
      <alignment horizontal="justify" vertical="center" wrapText="1"/>
    </xf>
    <xf numFmtId="164" fontId="3" fillId="0" borderId="2" xfId="1" applyNumberFormat="1" applyFont="1" applyBorder="1"/>
    <xf numFmtId="0" fontId="15" fillId="0" borderId="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6" fillId="0" borderId="34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3" xfId="0" applyBorder="1" applyAlignment="1">
      <alignment horizontal="center"/>
    </xf>
  </cellXfs>
  <cellStyles count="6">
    <cellStyle name="Comma" xfId="2" builtinId="3"/>
    <cellStyle name="Comma 7" xfId="5"/>
    <cellStyle name="Currency" xfId="1" builtinId="4"/>
    <cellStyle name="Normal" xfId="0" builtinId="0"/>
    <cellStyle name="Normal 10 4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291353</xdr:colOff>
      <xdr:row>23</xdr:row>
      <xdr:rowOff>3174</xdr:rowOff>
    </xdr:from>
    <xdr:to>
      <xdr:col>19</xdr:col>
      <xdr:colOff>444842</xdr:colOff>
      <xdr:row>57</xdr:row>
      <xdr:rowOff>102126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5E7E7F-D0C4-4349-B8E9-51A732E07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8765" y="4126939"/>
          <a:ext cx="7723809" cy="62317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281609</xdr:colOff>
      <xdr:row>4</xdr:row>
      <xdr:rowOff>149087</xdr:rowOff>
    </xdr:from>
    <xdr:to>
      <xdr:col>13</xdr:col>
      <xdr:colOff>421345</xdr:colOff>
      <xdr:row>19</xdr:row>
      <xdr:rowOff>126303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004AEF-8D53-47E0-A92F-3F1EBA51E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7326" y="1250674"/>
          <a:ext cx="6550476" cy="270476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aroline Palmer" id="{47D87778-1E0D-40A2-BE28-E447EFD8115B}" userId="S::cpalmer@strategen.com::b8f9fd7e-2bb9-4050-ba5b-4b519fad778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" dT="2021-09-08T15:49:42.31" personId="{47D87778-1E0D-40A2-BE28-E447EFD8115B}" id="{871F2050-D029-4263-8311-0DD76417BD01}">
    <text>Values from 2020_PSC_DR7_KU_LGE_Attach_Q30_Att_1_AC_Model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2" dT="2021-08-27T22:20:32.87" personId="{47D87778-1E0D-40A2-BE28-E447EFD8115B}" id="{152C07AB-EF6D-4FB2-BD09-47E3C30AEF38}">
    <text>Data for both KU and LG&amp;E from Q16 and Q17 in Response to Commission Staff’s Eighth Request for Information Dated August 3, 2021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4" dT="2021-08-30T19:16:31.49" personId="{47D87778-1E0D-40A2-BE28-E447EFD8115B}" id="{0DCD3E4E-2B8E-4F7F-A65E-5C43F8FAC919}">
    <text>Q17 from DR8</text>
  </threadedComment>
  <threadedComment ref="A5" dT="2021-08-31T22:02:17.06" personId="{47D87778-1E0D-40A2-BE28-E447EFD8115B}" id="{4A79D5F7-CF7A-4AB1-8C59-7208741E307A}">
    <text>Q30 Att_1_AC_Model, tab 'LevelCT', cell J53</text>
  </threadedComment>
  <threadedComment ref="A8" dT="2021-09-01T20:29:49.84" personId="{47D87778-1E0D-40A2-BE28-E447EFD8115B}" id="{7C5BC733-5D0B-4AFB-AA14-2DBC431F1572}">
    <text>Data from attachment to Q34 in Response to Commission Staff’s Seventh Request for Information Dated July 22, 2021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A4" dT="2021-08-30T19:16:31.49" personId="{47D87778-1E0D-40A2-BE28-E447EFD8115B}" id="{B898D8EE-CDCE-4530-87CC-0BF29F11A17A}">
    <text>Q17 from DR8</text>
  </threadedComment>
  <threadedComment ref="A5" dT="2021-08-31T22:02:17.06" personId="{47D87778-1E0D-40A2-BE28-E447EFD8115B}" id="{149F5BC4-A9DB-4CA2-A63E-DCBD3D4FFE35}">
    <text>Q30 Att_1_AC_Model, tab 'LevelCT', cell J53</text>
  </threadedComment>
  <threadedComment ref="A8" dT="2021-09-01T20:29:49.84" personId="{47D87778-1E0D-40A2-BE28-E447EFD8115B}" id="{DF1867D2-E5C1-4BBB-90DE-A909DF11BB88}">
    <text>Data from attachment to Q34 in Response to Commission Staff’s Seventh Request for Information Dated July 22, 2021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A4" dT="2021-08-30T19:16:31.49" personId="{47D87778-1E0D-40A2-BE28-E447EFD8115B}" id="{7EA3C9F1-25BE-4DBB-AB74-0AE99022DA52}">
    <text>Q17 from DR8</text>
  </threadedComment>
  <threadedComment ref="A5" dT="2021-08-31T22:02:17.06" personId="{47D87778-1E0D-40A2-BE28-E447EFD8115B}" id="{43418F94-7520-495A-89FC-1D5EF182221D}">
    <text>Q30 Att_1_AC_Model, tab 'LevelCT', cell J53</text>
  </threadedComment>
  <threadedComment ref="A8" dT="2021-09-01T20:29:49.84" personId="{47D87778-1E0D-40A2-BE28-E447EFD8115B}" id="{751DA3FE-E034-4A21-A91A-0A49FB387194}">
    <text>Data from attachment to Q34 in Response to Commission Staff’s Seventh Request for Information Dated July 22, 2021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E2" dT="2021-09-02T18:06:12.71" personId="{47D87778-1E0D-40A2-BE28-E447EFD8115B}" id="{BEE12966-F123-4097-B427-E320227B3854}">
    <text>From 2018 IRP, Table 8-2: KU and LG&amp;E Existing and Planned Electric Generation Facilities at 8-7.</text>
  </threadedComment>
  <threadedComment ref="AM2" dT="2021-09-02T17:53:51.97" personId="{47D87778-1E0D-40A2-BE28-E447EFD8115B}" id="{55D9EB97-AF9E-498F-BF77-9BE8E9AACB64}">
    <text>Attachment 1 to Response to PSC-8 Question No. 27</text>
  </threadedComment>
  <threadedComment ref="C3" dT="2021-09-02T16:59:49.92" personId="{47D87778-1E0D-40A2-BE28-E447EFD8115B}" id="{48E31BCA-BBCE-43CB-B4E7-9C2E3A5AF887}">
    <text>Attachment to Response to PSC-8 Question No. 28</text>
  </threadedComment>
  <threadedComment ref="E12" dT="2021-09-02T18:08:47.93" personId="{47D87778-1E0D-40A2-BE28-E447EFD8115B}" id="{571BFD4B-F5AF-49BA-AF1B-55D5803BFE96}">
    <text>These numbers represent the Companies' 75% ownership shares of Trimble County units 1 &amp; 2</text>
  </threadedComment>
  <threadedComment ref="AM16" dT="2021-09-02T17:53:33.15" personId="{47D87778-1E0D-40A2-BE28-E447EFD8115B}" id="{517DBEED-00CE-4D3C-B707-0C122DA7F393}">
    <text>Attachment 2 to Response to PSC-8 Question No. 27</text>
  </threadedComment>
  <threadedComment ref="AM30" dT="2021-09-02T17:53:56.44" personId="{47D87778-1E0D-40A2-BE28-E447EFD8115B}" id="{A6320B6A-5903-4808-B51C-53C987A436A2}">
    <text>Attachment 1 to Response to PSC-8 Question No. 27</text>
  </threadedComment>
  <threadedComment ref="AM41" dT="2021-09-02T17:53:38.40" personId="{47D87778-1E0D-40A2-BE28-E447EFD8115B}" id="{39F7EEC3-8B4F-42EC-BD5A-EC2DB28391ED}">
    <text>Attachment 2 to Response to PSC-8 Question No. 27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A2" dT="2021-08-27T22:31:38.88" personId="{47D87778-1E0D-40A2-BE28-E447EFD8115B}" id="{38C935B5-1592-439B-BD20-6E78517C5B9E}">
    <text>PTP data from Q19 in Response to Commission Staff’s Eighth Request for Information Dated August 3, 2021</text>
  </threadedComment>
  <threadedComment ref="A16" dT="2021-09-01T20:20:32.48" personId="{47D87778-1E0D-40A2-BE28-E447EFD8115B}" id="{72F22792-40F9-4B03-B5A6-B41462AD6795}">
    <text>Using the distribution cost escalator as a proxy for transmission escalation</text>
  </threadedComment>
  <threadedComment ref="A17" dT="2021-08-31T22:02:17.06" personId="{47D87778-1E0D-40A2-BE28-E447EFD8115B}" id="{FB223037-6CB2-4FBB-B1A3-8B2F3E1939B3}">
    <text>Q30 Att_1_AC_Model, tab 'LevelCT', cell J53</text>
  </threadedComment>
  <threadedComment ref="A20" dT="2021-09-01T20:29:49.84" personId="{47D87778-1E0D-40A2-BE28-E447EFD8115B}" id="{518A93E2-61D9-4E71-8C34-5F61EF00EDDE}">
    <text>Data from attachment to Q34 in Response to Commission Staff’s Seventh Request for Information Dated July 22, 2021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A1" dT="2021-08-26T19:47:02.07" personId="{47D87778-1E0D-40A2-BE28-E447EFD8115B}" id="{8C407108-E18E-4D1F-852E-748D878158DD}">
    <text>Source: 2020_PSC_DR8_KU_LGE_Attach_to_Q21_-_Avoided_CO2_Cost.xlsx</text>
  </threadedComment>
  <threadedComment ref="B1" dT="2021-08-26T19:53:32.40" personId="{47D87778-1E0D-40A2-BE28-E447EFD8115B}" id="{F08A6A05-F34A-4207-A91E-6318913C97AD}">
    <text>Per Response to MA-KFTC-KSES-MHC-3 Question No. 1(2a), The Companies do not have an updated CO2 price forecast (from the CO2 price forecasts from the 2018 IRP)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8.xml"/><Relationship Id="rId4" Type="http://schemas.openxmlformats.org/officeDocument/2006/relationships/comments" Target="../comments8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5.xml"/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6.xml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7.xml"/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9"/>
  <sheetViews>
    <sheetView tabSelected="1" zoomScaleNormal="100" workbookViewId="0">
      <selection activeCell="D9" sqref="D9"/>
    </sheetView>
  </sheetViews>
  <sheetFormatPr defaultRowHeight="15" x14ac:dyDescent="0.25"/>
  <cols>
    <col min="2" max="2" width="23.140625" bestFit="1" customWidth="1"/>
    <col min="3" max="3" width="10.140625" bestFit="1" customWidth="1"/>
    <col min="4" max="4" width="36.140625" style="48" bestFit="1" customWidth="1"/>
    <col min="6" max="6" width="27.5703125" bestFit="1" customWidth="1"/>
    <col min="7" max="7" width="11.140625" bestFit="1" customWidth="1"/>
    <col min="8" max="8" width="22.85546875" style="48" bestFit="1" customWidth="1"/>
  </cols>
  <sheetData>
    <row r="2" spans="2:8" x14ac:dyDescent="0.25">
      <c r="B2" s="130"/>
      <c r="C2" s="130"/>
      <c r="D2" s="45"/>
      <c r="F2" s="130" t="s">
        <v>140</v>
      </c>
      <c r="G2" s="130"/>
      <c r="H2" s="49" t="s">
        <v>28</v>
      </c>
    </row>
    <row r="3" spans="2:8" x14ac:dyDescent="0.25">
      <c r="B3" s="1"/>
      <c r="C3" s="2"/>
      <c r="D3" s="46"/>
      <c r="F3" s="1" t="s">
        <v>131</v>
      </c>
      <c r="G3" s="2">
        <f>AVERAGE('Avoided Energy'!G15:H15)/1000</f>
        <v>2.4774999999999998E-2</v>
      </c>
      <c r="H3" s="46" t="s">
        <v>29</v>
      </c>
    </row>
    <row r="4" spans="2:8" x14ac:dyDescent="0.25">
      <c r="B4" s="1"/>
      <c r="C4" s="2"/>
      <c r="D4" s="46"/>
      <c r="F4" s="1" t="s">
        <v>1</v>
      </c>
      <c r="G4" s="2">
        <f>0.04*G5</f>
        <v>8.2419999999999998E-4</v>
      </c>
      <c r="H4" s="46" t="s">
        <v>36</v>
      </c>
    </row>
    <row r="5" spans="2:8" x14ac:dyDescent="0.25">
      <c r="B5" s="1"/>
      <c r="C5" s="2"/>
      <c r="D5" s="46"/>
      <c r="F5" s="1" t="s">
        <v>132</v>
      </c>
      <c r="G5" s="97">
        <f>AVERAGE('Avoided Generation'!G7:H7)/1000</f>
        <v>2.0604999999999998E-2</v>
      </c>
      <c r="H5" s="46" t="s">
        <v>42</v>
      </c>
    </row>
    <row r="6" spans="2:8" x14ac:dyDescent="0.25">
      <c r="B6" s="1"/>
      <c r="C6" s="2"/>
      <c r="D6" s="46"/>
      <c r="F6" s="1" t="s">
        <v>133</v>
      </c>
      <c r="G6" s="2">
        <f>'Avoided Transmission'!B25</f>
        <v>7.3172591366499904E-3</v>
      </c>
    </row>
    <row r="7" spans="2:8" x14ac:dyDescent="0.25">
      <c r="B7" s="1"/>
      <c r="C7" s="2"/>
      <c r="D7" s="46"/>
      <c r="F7" s="1" t="s">
        <v>134</v>
      </c>
      <c r="G7" s="2">
        <f>'Avoided Distribution LG&amp;E'!B13</f>
        <v>1.2870352423140063E-3</v>
      </c>
    </row>
    <row r="8" spans="2:8" x14ac:dyDescent="0.25">
      <c r="B8" s="1"/>
      <c r="C8" s="2"/>
      <c r="F8" s="1" t="s">
        <v>136</v>
      </c>
      <c r="G8" s="2">
        <f>'Avoided CO2'!E33</f>
        <v>1.3378402381749244E-2</v>
      </c>
      <c r="H8" s="48" t="s">
        <v>65</v>
      </c>
    </row>
    <row r="9" spans="2:8" x14ac:dyDescent="0.25">
      <c r="B9" s="1"/>
      <c r="C9" s="96"/>
      <c r="D9" s="46"/>
      <c r="F9" s="1" t="s">
        <v>135</v>
      </c>
      <c r="G9" s="96">
        <f>'Avoided Enviro Compliance'!E50</f>
        <v>1.0492686678498959E-3</v>
      </c>
    </row>
    <row r="10" spans="2:8" x14ac:dyDescent="0.25">
      <c r="B10" s="1"/>
      <c r="C10" s="2"/>
      <c r="D10" s="46"/>
      <c r="F10" s="1" t="s">
        <v>138</v>
      </c>
      <c r="G10" s="2">
        <v>0</v>
      </c>
    </row>
    <row r="11" spans="2:8" x14ac:dyDescent="0.25">
      <c r="B11" s="3"/>
      <c r="C11" s="4"/>
      <c r="D11" s="47"/>
      <c r="F11" s="3" t="s">
        <v>139</v>
      </c>
      <c r="G11" s="127">
        <f>ROUND(SUM(G3:G9),5)</f>
        <v>6.9239999999999996E-2</v>
      </c>
    </row>
    <row r="12" spans="2:8" x14ac:dyDescent="0.25">
      <c r="F12" s="129" t="s">
        <v>142</v>
      </c>
      <c r="G12" s="129"/>
    </row>
    <row r="14" spans="2:8" x14ac:dyDescent="0.25">
      <c r="G14" s="114"/>
    </row>
    <row r="16" spans="2:8" x14ac:dyDescent="0.25">
      <c r="B16" s="130" t="s">
        <v>64</v>
      </c>
      <c r="C16" s="130"/>
      <c r="F16" s="130" t="s">
        <v>141</v>
      </c>
      <c r="G16" s="130"/>
      <c r="H16" s="45" t="s">
        <v>28</v>
      </c>
    </row>
    <row r="17" spans="2:8" x14ac:dyDescent="0.25">
      <c r="B17" t="s">
        <v>0</v>
      </c>
      <c r="C17" s="65">
        <v>3.8932237870651504E-2</v>
      </c>
      <c r="F17" s="1" t="s">
        <v>131</v>
      </c>
      <c r="G17" s="2">
        <f>AVERAGE('Avoided Energy'!D15:E15)/1000</f>
        <v>2.5255E-2</v>
      </c>
      <c r="H17" s="46" t="s">
        <v>29</v>
      </c>
    </row>
    <row r="18" spans="2:8" x14ac:dyDescent="0.25">
      <c r="B18" t="s">
        <v>1</v>
      </c>
      <c r="C18" s="65">
        <v>6.3000000000000003E-4</v>
      </c>
      <c r="F18" s="1" t="s">
        <v>1</v>
      </c>
      <c r="G18" s="2">
        <f>0.04*G19</f>
        <v>8.4239999999999998E-4</v>
      </c>
      <c r="H18" s="46" t="s">
        <v>36</v>
      </c>
    </row>
    <row r="19" spans="2:8" x14ac:dyDescent="0.25">
      <c r="B19" t="s">
        <v>2</v>
      </c>
      <c r="C19" s="65">
        <v>2.8155415184022682E-2</v>
      </c>
      <c r="F19" s="1" t="s">
        <v>132</v>
      </c>
      <c r="G19" s="2">
        <f>AVERAGE('Avoided Generation'!D7:E7)/1000</f>
        <v>2.1059999999999999E-2</v>
      </c>
      <c r="H19" s="46" t="s">
        <v>42</v>
      </c>
    </row>
    <row r="20" spans="2:8" x14ac:dyDescent="0.25">
      <c r="B20" t="s">
        <v>3</v>
      </c>
      <c r="C20" s="65">
        <v>1.2452127931362439E-2</v>
      </c>
      <c r="F20" s="1" t="s">
        <v>133</v>
      </c>
      <c r="G20" s="2">
        <f>'Avoided Transmission'!B25</f>
        <v>7.3172591366499904E-3</v>
      </c>
      <c r="H20" s="46" t="s">
        <v>117</v>
      </c>
    </row>
    <row r="21" spans="2:8" x14ac:dyDescent="0.25">
      <c r="B21" t="s">
        <v>4</v>
      </c>
      <c r="C21" s="65">
        <v>1.0460137591154356E-2</v>
      </c>
      <c r="F21" s="1" t="s">
        <v>134</v>
      </c>
      <c r="G21" s="2">
        <f>'Avoided Distribution KU'!B13</f>
        <v>1.8464552293289795E-3</v>
      </c>
      <c r="H21" s="46" t="s">
        <v>117</v>
      </c>
    </row>
    <row r="22" spans="2:8" x14ac:dyDescent="0.25">
      <c r="B22" t="s">
        <v>5</v>
      </c>
      <c r="C22" s="65">
        <v>5.7784875873315121E-3</v>
      </c>
      <c r="F22" s="1" t="s">
        <v>5</v>
      </c>
      <c r="G22" s="2">
        <f>'Avoided CO2'!E33</f>
        <v>1.3378402381749244E-2</v>
      </c>
      <c r="H22" s="48" t="s">
        <v>116</v>
      </c>
    </row>
    <row r="23" spans="2:8" x14ac:dyDescent="0.25">
      <c r="B23" t="s">
        <v>6</v>
      </c>
      <c r="C23" s="65">
        <v>1.0547150937471063E-3</v>
      </c>
      <c r="F23" s="1" t="s">
        <v>135</v>
      </c>
      <c r="G23" s="96">
        <f>'Avoided Enviro Compliance'!E52</f>
        <v>3.9650279399417619E-3</v>
      </c>
      <c r="H23" s="46" t="s">
        <v>115</v>
      </c>
    </row>
    <row r="24" spans="2:8" x14ac:dyDescent="0.25">
      <c r="B24" t="s">
        <v>7</v>
      </c>
      <c r="C24" s="65" t="s">
        <v>52</v>
      </c>
      <c r="F24" s="1" t="s">
        <v>138</v>
      </c>
      <c r="G24" s="2">
        <v>0</v>
      </c>
      <c r="H24" s="46"/>
    </row>
    <row r="25" spans="2:8" x14ac:dyDescent="0.25">
      <c r="B25" s="3" t="s">
        <v>8</v>
      </c>
      <c r="C25" s="4">
        <v>9.7460000000000005E-2</v>
      </c>
      <c r="F25" s="3" t="s">
        <v>139</v>
      </c>
      <c r="G25" s="127">
        <f>ROUND(SUM(G17:G23),5)</f>
        <v>7.3660000000000003E-2</v>
      </c>
      <c r="H25" s="47"/>
    </row>
    <row r="26" spans="2:8" x14ac:dyDescent="0.25">
      <c r="F26" s="129" t="s">
        <v>142</v>
      </c>
      <c r="G26" s="129"/>
    </row>
    <row r="28" spans="2:8" x14ac:dyDescent="0.25">
      <c r="F28" t="s">
        <v>113</v>
      </c>
      <c r="G28" s="65">
        <f>SUM(G17,G19)</f>
        <v>4.6314999999999995E-2</v>
      </c>
    </row>
    <row r="29" spans="2:8" x14ac:dyDescent="0.25">
      <c r="F29" t="s">
        <v>114</v>
      </c>
      <c r="G29">
        <f>AVERAGE(42.85,44.94)/1000</f>
        <v>4.3894999999999997E-2</v>
      </c>
    </row>
  </sheetData>
  <sheetProtection algorithmName="SHA-512" hashValue="PE7hPxsBYbNsuadmP6YTuDr0VoUvQabeoi7J1D5PAgoRW3GhI0yHfHGRpi1QulEKh/AM/EJb3yQ14p2uf9dGoA==" saltValue="oCkcxa4w1oD2Doz5S8HmcQ==" spinCount="100000" sheet="1" objects="1" scenarios="1"/>
  <mergeCells count="6">
    <mergeCell ref="F26:G26"/>
    <mergeCell ref="B2:C2"/>
    <mergeCell ref="F2:G2"/>
    <mergeCell ref="B16:C16"/>
    <mergeCell ref="F16:G16"/>
    <mergeCell ref="F12:G12"/>
  </mergeCells>
  <pageMargins left="0.7" right="0.7" top="0.75" bottom="0.75" header="0.3" footer="0.3"/>
  <pageSetup orientation="portrait" r:id="rId1"/>
  <ignoredErrors>
    <ignoredError sqref="G5 G3 G19 G17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zoomScaleNormal="100" workbookViewId="0">
      <selection activeCell="G37" sqref="G37"/>
    </sheetView>
  </sheetViews>
  <sheetFormatPr defaultRowHeight="15" x14ac:dyDescent="0.25"/>
  <cols>
    <col min="1" max="1" width="5.42578125" bestFit="1" customWidth="1"/>
    <col min="2" max="2" width="12" customWidth="1"/>
    <col min="3" max="3" width="19.140625" customWidth="1"/>
    <col min="4" max="4" width="20.42578125" bestFit="1" customWidth="1"/>
    <col min="5" max="5" width="11.85546875" bestFit="1" customWidth="1"/>
    <col min="8" max="8" width="9.5703125" bestFit="1" customWidth="1"/>
    <col min="9" max="9" width="12.85546875" bestFit="1" customWidth="1"/>
    <col min="10" max="11" width="16.42578125" bestFit="1" customWidth="1"/>
    <col min="12" max="12" width="20" bestFit="1" customWidth="1"/>
    <col min="14" max="14" width="9.5703125" bestFit="1" customWidth="1"/>
    <col min="15" max="15" width="11.85546875" bestFit="1" customWidth="1"/>
  </cols>
  <sheetData>
    <row r="1" spans="1:7" ht="60" x14ac:dyDescent="0.25">
      <c r="A1" s="34"/>
      <c r="B1" s="35" t="s">
        <v>18</v>
      </c>
      <c r="C1" s="35" t="s">
        <v>19</v>
      </c>
      <c r="D1" s="35" t="s">
        <v>20</v>
      </c>
      <c r="E1" s="35" t="s">
        <v>21</v>
      </c>
      <c r="F1" s="34" t="s">
        <v>22</v>
      </c>
      <c r="G1" s="36">
        <v>6.7500000000000004E-2</v>
      </c>
    </row>
    <row r="2" spans="1:7" x14ac:dyDescent="0.25">
      <c r="A2" s="1">
        <v>2022</v>
      </c>
      <c r="B2">
        <v>0</v>
      </c>
      <c r="C2" s="37">
        <v>28859221</v>
      </c>
      <c r="D2" s="37">
        <v>31805.155814761732</v>
      </c>
      <c r="E2" s="1">
        <f t="shared" ref="E2:E26" si="0">B2*C2/D2/1000000</f>
        <v>0</v>
      </c>
    </row>
    <row r="3" spans="1:7" x14ac:dyDescent="0.25">
      <c r="A3" s="1">
        <v>2023</v>
      </c>
      <c r="B3">
        <v>0</v>
      </c>
      <c r="C3" s="37">
        <v>28769119.999999996</v>
      </c>
      <c r="D3" s="37">
        <v>31773.454956170022</v>
      </c>
      <c r="E3" s="1">
        <f t="shared" si="0"/>
        <v>0</v>
      </c>
    </row>
    <row r="4" spans="1:7" x14ac:dyDescent="0.25">
      <c r="A4" s="1">
        <v>2024</v>
      </c>
      <c r="B4">
        <v>0</v>
      </c>
      <c r="C4" s="37">
        <v>29203935.999999993</v>
      </c>
      <c r="D4" s="37">
        <v>31768.489023677746</v>
      </c>
      <c r="E4" s="1">
        <f t="shared" si="0"/>
        <v>0</v>
      </c>
    </row>
    <row r="5" spans="1:7" x14ac:dyDescent="0.25">
      <c r="A5" s="1">
        <v>2025</v>
      </c>
      <c r="B5">
        <v>0</v>
      </c>
      <c r="C5" s="37">
        <v>28476969.000000004</v>
      </c>
      <c r="D5" s="37">
        <v>31631.536861266908</v>
      </c>
      <c r="E5" s="1">
        <f t="shared" si="0"/>
        <v>0</v>
      </c>
    </row>
    <row r="6" spans="1:7" x14ac:dyDescent="0.25">
      <c r="A6" s="1">
        <v>2026</v>
      </c>
      <c r="B6" s="38">
        <v>17</v>
      </c>
      <c r="C6" s="37">
        <v>28312937</v>
      </c>
      <c r="D6" s="37">
        <v>31538.490495157825</v>
      </c>
      <c r="E6" s="39">
        <f t="shared" si="0"/>
        <v>1.5261349590396475E-2</v>
      </c>
    </row>
    <row r="7" spans="1:7" x14ac:dyDescent="0.25">
      <c r="A7" s="1">
        <v>2027</v>
      </c>
      <c r="B7">
        <v>18.170000000000002</v>
      </c>
      <c r="C7" s="37">
        <v>28166522</v>
      </c>
      <c r="D7" s="37">
        <v>31430.415224789627</v>
      </c>
      <c r="E7" s="39">
        <f t="shared" si="0"/>
        <v>1.6283135334984288E-2</v>
      </c>
    </row>
    <row r="8" spans="1:7" x14ac:dyDescent="0.25">
      <c r="A8" s="1">
        <v>2028</v>
      </c>
      <c r="B8">
        <v>19.37</v>
      </c>
      <c r="C8" s="37">
        <v>26072955.999999996</v>
      </c>
      <c r="D8" s="37">
        <v>31361.793540643564</v>
      </c>
      <c r="E8" s="39">
        <f t="shared" si="0"/>
        <v>1.6103452663365641E-2</v>
      </c>
    </row>
    <row r="9" spans="1:7" x14ac:dyDescent="0.25">
      <c r="A9" s="1">
        <v>2029</v>
      </c>
      <c r="B9">
        <v>20.62</v>
      </c>
      <c r="C9" s="37">
        <v>25573069</v>
      </c>
      <c r="D9" s="37">
        <v>31200.652935599872</v>
      </c>
      <c r="E9" s="39">
        <f t="shared" si="0"/>
        <v>1.6900822039475107E-2</v>
      </c>
    </row>
    <row r="10" spans="1:7" x14ac:dyDescent="0.25">
      <c r="A10" s="1">
        <v>2030</v>
      </c>
      <c r="B10" s="38">
        <v>21.9</v>
      </c>
      <c r="C10" s="37">
        <v>25634384.000000004</v>
      </c>
      <c r="D10" s="37">
        <v>31054.090183555178</v>
      </c>
      <c r="E10" s="39">
        <f t="shared" si="0"/>
        <v>1.8077908780508665E-2</v>
      </c>
    </row>
    <row r="11" spans="1:7" x14ac:dyDescent="0.25">
      <c r="A11" s="1">
        <v>2031</v>
      </c>
      <c r="B11" s="38">
        <v>23.23</v>
      </c>
      <c r="C11" s="37">
        <v>25905057</v>
      </c>
      <c r="D11" s="37">
        <v>31018.751682981809</v>
      </c>
      <c r="E11" s="39">
        <f t="shared" si="0"/>
        <v>1.9400344677318489E-2</v>
      </c>
    </row>
    <row r="12" spans="1:7" x14ac:dyDescent="0.25">
      <c r="A12" s="1">
        <v>2032</v>
      </c>
      <c r="B12" s="38">
        <v>24.59</v>
      </c>
      <c r="C12" s="37">
        <v>25994265</v>
      </c>
      <c r="D12" s="37">
        <v>31024.814398199349</v>
      </c>
      <c r="E12" s="39">
        <f t="shared" si="0"/>
        <v>2.0602829984604148E-2</v>
      </c>
    </row>
    <row r="13" spans="1:7" x14ac:dyDescent="0.25">
      <c r="A13" s="1">
        <v>2033</v>
      </c>
      <c r="B13" s="38">
        <v>26</v>
      </c>
      <c r="C13" s="37">
        <v>25753257</v>
      </c>
      <c r="D13" s="37">
        <v>30978.723413532796</v>
      </c>
      <c r="E13" s="39">
        <f t="shared" si="0"/>
        <v>2.1614340689955529E-2</v>
      </c>
    </row>
    <row r="14" spans="1:7" x14ac:dyDescent="0.25">
      <c r="A14" s="1">
        <v>2034</v>
      </c>
      <c r="B14" s="38">
        <v>27.44</v>
      </c>
      <c r="C14" s="37">
        <v>22796310</v>
      </c>
      <c r="D14" s="37">
        <v>30969.792834569853</v>
      </c>
      <c r="E14" s="39">
        <f t="shared" si="0"/>
        <v>2.0198092694432068E-2</v>
      </c>
    </row>
    <row r="15" spans="1:7" x14ac:dyDescent="0.25">
      <c r="A15" s="1">
        <v>2035</v>
      </c>
      <c r="B15" s="38">
        <v>28.94</v>
      </c>
      <c r="C15" s="37">
        <v>21409836.000000004</v>
      </c>
      <c r="D15" s="37">
        <v>30970.060342350291</v>
      </c>
      <c r="E15" s="39">
        <f t="shared" si="0"/>
        <v>2.0006439993683886E-2</v>
      </c>
    </row>
    <row r="16" spans="1:7" x14ac:dyDescent="0.25">
      <c r="A16" s="1">
        <v>2036</v>
      </c>
      <c r="B16" s="38">
        <v>30.47</v>
      </c>
      <c r="C16" s="37">
        <v>21372634</v>
      </c>
      <c r="D16" s="37">
        <v>31009.217719232754</v>
      </c>
      <c r="E16" s="39">
        <f t="shared" si="0"/>
        <v>2.1000986347878527E-2</v>
      </c>
    </row>
    <row r="17" spans="1:5" x14ac:dyDescent="0.25">
      <c r="A17" s="1">
        <v>2037</v>
      </c>
      <c r="B17" s="38">
        <v>32.049999999999997</v>
      </c>
      <c r="C17" s="37">
        <v>19246798.000000004</v>
      </c>
      <c r="D17" s="37">
        <v>30996.415231448042</v>
      </c>
      <c r="E17" s="39">
        <f t="shared" si="0"/>
        <v>1.9901006980773454E-2</v>
      </c>
    </row>
    <row r="18" spans="1:5" x14ac:dyDescent="0.25">
      <c r="A18" s="1">
        <v>2038</v>
      </c>
      <c r="B18" s="38">
        <v>33.68</v>
      </c>
      <c r="C18" s="37">
        <v>17788962</v>
      </c>
      <c r="D18" s="37">
        <v>31019.132289856367</v>
      </c>
      <c r="E18" s="39">
        <f t="shared" si="0"/>
        <v>1.9314925851614598E-2</v>
      </c>
    </row>
    <row r="19" spans="1:5" x14ac:dyDescent="0.25">
      <c r="A19" s="1">
        <v>2039</v>
      </c>
      <c r="B19" s="38">
        <v>35.36</v>
      </c>
      <c r="C19" s="37">
        <v>15779800</v>
      </c>
      <c r="D19" s="37">
        <v>31041.096990142938</v>
      </c>
      <c r="E19" s="39">
        <f t="shared" si="0"/>
        <v>1.7975322462900841E-2</v>
      </c>
    </row>
    <row r="20" spans="1:5" x14ac:dyDescent="0.25">
      <c r="A20" s="1">
        <v>2040</v>
      </c>
      <c r="B20" s="38">
        <v>37.090000000000003</v>
      </c>
      <c r="C20" s="37">
        <v>14745550</v>
      </c>
      <c r="D20" s="37">
        <v>31073.225366506875</v>
      </c>
      <c r="E20" s="39">
        <f t="shared" si="0"/>
        <v>1.7600762169012057E-2</v>
      </c>
    </row>
    <row r="21" spans="1:5" x14ac:dyDescent="0.25">
      <c r="A21" s="1">
        <v>2041</v>
      </c>
      <c r="B21" s="38">
        <v>38.869999999999997</v>
      </c>
      <c r="C21" s="37">
        <v>14401678.000000002</v>
      </c>
      <c r="D21" s="37">
        <v>31048.841030713025</v>
      </c>
      <c r="E21" s="39">
        <f t="shared" si="0"/>
        <v>1.8029440239210905E-2</v>
      </c>
    </row>
    <row r="22" spans="1:5" x14ac:dyDescent="0.25">
      <c r="A22" s="1">
        <v>2042</v>
      </c>
      <c r="B22" s="38">
        <v>46.51</v>
      </c>
      <c r="C22" s="37">
        <v>14241961.000000004</v>
      </c>
      <c r="D22" s="37">
        <v>31057.392887806542</v>
      </c>
      <c r="E22" s="39">
        <f t="shared" si="0"/>
        <v>2.1328049282915273E-2</v>
      </c>
    </row>
    <row r="23" spans="1:5" x14ac:dyDescent="0.25">
      <c r="A23" s="1">
        <v>2043</v>
      </c>
      <c r="B23" s="38">
        <v>48.56</v>
      </c>
      <c r="C23" s="37">
        <v>14410577.999999998</v>
      </c>
      <c r="D23" s="37">
        <v>31069.956084286972</v>
      </c>
      <c r="E23" s="39">
        <f t="shared" si="0"/>
        <v>2.2522647466305848E-2</v>
      </c>
    </row>
    <row r="24" spans="1:5" x14ac:dyDescent="0.25">
      <c r="A24" s="1">
        <v>2044</v>
      </c>
      <c r="B24" s="38">
        <v>44.52</v>
      </c>
      <c r="C24" s="37">
        <v>14479064.000000002</v>
      </c>
      <c r="D24" s="37">
        <v>31116.301771601244</v>
      </c>
      <c r="E24" s="39">
        <f t="shared" si="0"/>
        <v>2.0716084257426475E-2</v>
      </c>
    </row>
    <row r="25" spans="1:5" x14ac:dyDescent="0.25">
      <c r="A25" s="1">
        <v>2045</v>
      </c>
      <c r="B25" s="38">
        <v>46.51</v>
      </c>
      <c r="C25" s="37">
        <v>13812494</v>
      </c>
      <c r="D25" s="37">
        <v>31097.881698931778</v>
      </c>
      <c r="E25" s="39">
        <f t="shared" si="0"/>
        <v>2.065796963791483E-2</v>
      </c>
    </row>
    <row r="26" spans="1:5" x14ac:dyDescent="0.25">
      <c r="A26" s="1">
        <v>2046</v>
      </c>
      <c r="B26" s="38">
        <v>48.56</v>
      </c>
      <c r="C26" s="37">
        <v>13447829</v>
      </c>
      <c r="D26" s="37">
        <v>31113.15744419194</v>
      </c>
      <c r="E26" s="39">
        <f t="shared" si="0"/>
        <v>2.0988759415091252E-2</v>
      </c>
    </row>
    <row r="27" spans="1:5" x14ac:dyDescent="0.25">
      <c r="A27" s="1"/>
      <c r="B27" s="40"/>
      <c r="C27" s="41"/>
      <c r="D27" s="41"/>
      <c r="E27" s="39"/>
    </row>
    <row r="28" spans="1:5" x14ac:dyDescent="0.25">
      <c r="A28" s="1"/>
      <c r="B28" s="40"/>
      <c r="C28" s="41"/>
      <c r="D28" s="41" t="s">
        <v>23</v>
      </c>
      <c r="E28" s="39">
        <f>NPV($E$31,E2:E26)</f>
        <v>0.15948140311164904</v>
      </c>
    </row>
    <row r="29" spans="1:5" x14ac:dyDescent="0.25">
      <c r="A29" s="1"/>
      <c r="B29" s="40"/>
      <c r="C29" s="41"/>
      <c r="D29" s="41"/>
    </row>
    <row r="30" spans="1:5" x14ac:dyDescent="0.25">
      <c r="A30" s="1"/>
      <c r="B30" s="40"/>
      <c r="C30" s="41"/>
      <c r="D30" s="1" t="s">
        <v>24</v>
      </c>
      <c r="E30" s="42">
        <v>25</v>
      </c>
    </row>
    <row r="31" spans="1:5" x14ac:dyDescent="0.25">
      <c r="A31" s="1"/>
      <c r="B31" s="40"/>
      <c r="C31" s="1"/>
      <c r="D31" s="1" t="s">
        <v>25</v>
      </c>
      <c r="E31" s="43">
        <v>6.7500000000000004E-2</v>
      </c>
    </row>
    <row r="32" spans="1:5" x14ac:dyDescent="0.25">
      <c r="A32" s="1"/>
      <c r="B32" s="40"/>
      <c r="C32" s="1"/>
      <c r="D32" s="1" t="s">
        <v>26</v>
      </c>
      <c r="E32">
        <f>E31*(1+E31)^E30/((1+E31)^E30-1)</f>
        <v>8.3886911707086939E-2</v>
      </c>
    </row>
    <row r="33" spans="1:5" x14ac:dyDescent="0.25">
      <c r="A33" s="1"/>
      <c r="B33" s="40"/>
      <c r="C33" s="1"/>
      <c r="D33" s="1" t="s">
        <v>27</v>
      </c>
      <c r="E33" s="44">
        <f>E32*E28</f>
        <v>1.3378402381749244E-2</v>
      </c>
    </row>
  </sheetData>
  <sheetProtection algorithmName="SHA-512" hashValue="Uh20bTiu1eD5SpGtWqaeEU/As/+HV3iIt5qCOCohguQwvgycMnUcvkrcYKTcMDzS20m4ftkJ97/eIQvFWMF2wQ==" saltValue="mNB/bnsaumDJNMUGdfMFsA==" spinCount="100000" sheet="1" objects="1" scenarios="1"/>
  <pageMargins left="1" right="1" top="1.5" bottom="1" header="0.5" footer="0.5"/>
  <pageSetup scale="96" orientation="portrait" r:id="rId1"/>
  <headerFooter scaleWithDoc="0">
    <oddHeader xml:space="preserve">&amp;R&amp;"Times New Roman,Bold"&amp;12 Case Nos. 2020-00349 and 2020-00350
Attachment to Response to PSC-8 Question No. 21
Page &amp;P of &amp;N
Sinclair
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H19"/>
  <sheetViews>
    <sheetView workbookViewId="0">
      <selection activeCell="B19" sqref="B19"/>
    </sheetView>
  </sheetViews>
  <sheetFormatPr defaultRowHeight="15" x14ac:dyDescent="0.25"/>
  <cols>
    <col min="2" max="2" width="22.85546875" bestFit="1" customWidth="1"/>
  </cols>
  <sheetData>
    <row r="4" spans="2:8" x14ac:dyDescent="0.25">
      <c r="B4" t="s">
        <v>137</v>
      </c>
      <c r="D4" t="s">
        <v>118</v>
      </c>
    </row>
    <row r="5" spans="2:8" x14ac:dyDescent="0.25">
      <c r="C5" t="s">
        <v>119</v>
      </c>
      <c r="D5">
        <v>2022</v>
      </c>
      <c r="E5">
        <v>2023</v>
      </c>
      <c r="F5">
        <v>2024</v>
      </c>
      <c r="G5">
        <v>2025</v>
      </c>
      <c r="H5">
        <v>2026</v>
      </c>
    </row>
    <row r="6" spans="2:8" x14ac:dyDescent="0.25">
      <c r="B6" t="s">
        <v>120</v>
      </c>
      <c r="C6">
        <v>22.938440781952423</v>
      </c>
      <c r="D6">
        <v>23.847477215313305</v>
      </c>
      <c r="E6">
        <v>23.919912065197636</v>
      </c>
      <c r="F6">
        <v>24.031946428697076</v>
      </c>
      <c r="G6">
        <v>24.135791594198825</v>
      </c>
      <c r="H6">
        <v>24.256512960380498</v>
      </c>
    </row>
    <row r="7" spans="2:8" x14ac:dyDescent="0.25">
      <c r="B7" t="s">
        <v>121</v>
      </c>
      <c r="C7">
        <v>23.191001538923565</v>
      </c>
      <c r="D7">
        <v>24.073746044025217</v>
      </c>
      <c r="E7">
        <v>24.141873798976018</v>
      </c>
      <c r="F7">
        <v>24.256394770320799</v>
      </c>
      <c r="G7">
        <v>24.359573073461487</v>
      </c>
      <c r="H7">
        <v>24.482305875275351</v>
      </c>
    </row>
    <row r="8" spans="2:8" x14ac:dyDescent="0.25">
      <c r="B8" t="s">
        <v>122</v>
      </c>
      <c r="C8">
        <v>22.512895191486834</v>
      </c>
      <c r="D8">
        <v>23.709405541249865</v>
      </c>
      <c r="E8">
        <v>23.827511621254324</v>
      </c>
      <c r="F8">
        <v>23.969441689835524</v>
      </c>
      <c r="G8">
        <v>24.107094092587502</v>
      </c>
      <c r="H8">
        <v>24.237212330562343</v>
      </c>
    </row>
    <row r="9" spans="2:8" x14ac:dyDescent="0.25">
      <c r="B9" t="s">
        <v>123</v>
      </c>
      <c r="C9">
        <v>22.038414927846855</v>
      </c>
      <c r="D9">
        <v>22.983763025320979</v>
      </c>
      <c r="E9">
        <v>23.074165309689445</v>
      </c>
      <c r="F9">
        <v>23.184809867855371</v>
      </c>
      <c r="G9">
        <v>23.288832941755736</v>
      </c>
      <c r="H9">
        <v>23.394263251432996</v>
      </c>
    </row>
    <row r="11" spans="2:8" ht="15.75" thickBot="1" x14ac:dyDescent="0.3"/>
    <row r="12" spans="2:8" ht="16.5" thickBot="1" x14ac:dyDescent="0.3">
      <c r="B12" s="120"/>
      <c r="C12" s="131" t="s">
        <v>127</v>
      </c>
      <c r="D12" s="132"/>
      <c r="E12" s="133"/>
      <c r="F12" s="131" t="s">
        <v>128</v>
      </c>
      <c r="G12" s="132"/>
      <c r="H12" s="133"/>
    </row>
    <row r="13" spans="2:8" ht="32.25" thickBot="1" x14ac:dyDescent="0.3">
      <c r="B13" s="121"/>
      <c r="C13" s="122" t="s">
        <v>119</v>
      </c>
      <c r="D13" s="122">
        <v>2022</v>
      </c>
      <c r="E13" s="122">
        <v>2023</v>
      </c>
      <c r="F13" s="122" t="s">
        <v>119</v>
      </c>
      <c r="G13" s="122">
        <v>2022</v>
      </c>
      <c r="H13" s="122">
        <v>2023</v>
      </c>
    </row>
    <row r="14" spans="2:8" ht="30.75" thickBot="1" x14ac:dyDescent="0.3">
      <c r="B14" s="123" t="s">
        <v>120</v>
      </c>
      <c r="C14" s="124">
        <v>24.03</v>
      </c>
      <c r="D14" s="124">
        <v>24.98</v>
      </c>
      <c r="E14" s="124">
        <v>25.06</v>
      </c>
      <c r="F14" s="124">
        <v>23.57</v>
      </c>
      <c r="G14" s="124">
        <v>24.51</v>
      </c>
      <c r="H14" s="124">
        <v>24.58</v>
      </c>
    </row>
    <row r="15" spans="2:8" ht="15.75" thickBot="1" x14ac:dyDescent="0.3">
      <c r="B15" s="123" t="s">
        <v>121</v>
      </c>
      <c r="C15" s="124">
        <v>24.29</v>
      </c>
      <c r="D15" s="124">
        <v>25.22</v>
      </c>
      <c r="E15" s="124">
        <v>25.29</v>
      </c>
      <c r="F15" s="124">
        <v>23.83</v>
      </c>
      <c r="G15" s="124">
        <v>24.74</v>
      </c>
      <c r="H15" s="124">
        <v>24.81</v>
      </c>
    </row>
    <row r="16" spans="2:8" ht="15.75" thickBot="1" x14ac:dyDescent="0.3">
      <c r="B16" s="123" t="s">
        <v>122</v>
      </c>
      <c r="C16" s="124">
        <v>23.58</v>
      </c>
      <c r="D16" s="124">
        <v>24.84</v>
      </c>
      <c r="E16" s="124">
        <v>24.96</v>
      </c>
      <c r="F16" s="124">
        <v>23.14</v>
      </c>
      <c r="G16" s="124">
        <v>24.37</v>
      </c>
      <c r="H16" s="124">
        <v>24.49</v>
      </c>
    </row>
    <row r="17" spans="2:8" ht="15.75" thickBot="1" x14ac:dyDescent="0.3">
      <c r="B17" s="123" t="s">
        <v>123</v>
      </c>
      <c r="C17" s="124">
        <v>23.08</v>
      </c>
      <c r="D17" s="124">
        <v>24.08</v>
      </c>
      <c r="E17" s="124">
        <v>24.17</v>
      </c>
      <c r="F17" s="124">
        <v>22.65</v>
      </c>
      <c r="G17" s="124">
        <v>23.62</v>
      </c>
      <c r="H17" s="124">
        <v>23.71</v>
      </c>
    </row>
    <row r="19" spans="2:8" ht="30" x14ac:dyDescent="0.25">
      <c r="B19" s="128" t="s">
        <v>143</v>
      </c>
    </row>
  </sheetData>
  <sheetProtection algorithmName="SHA-512" hashValue="OUkc6CuVDUYtD4Q/l3LWoxPGebmqEb37eI+h2oBrjhW3V6lAOjcu7iEsttkF/S481rj6KaQmkceKU1gyfczwsQ==" saltValue="pY2yFPGLJgXCGiJXTmSz5g==" spinCount="100000" sheet="1" objects="1" scenarios="1"/>
  <mergeCells count="2">
    <mergeCell ref="C12:E12"/>
    <mergeCell ref="F12:H1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1"/>
  <sheetViews>
    <sheetView workbookViewId="0">
      <selection activeCell="B11" sqref="B11"/>
    </sheetView>
  </sheetViews>
  <sheetFormatPr defaultRowHeight="15" x14ac:dyDescent="0.25"/>
  <cols>
    <col min="1" max="1" width="14.5703125" customWidth="1"/>
  </cols>
  <sheetData>
    <row r="3" spans="2:8" ht="15.75" thickBot="1" x14ac:dyDescent="0.3"/>
    <row r="4" spans="2:8" ht="16.5" thickBot="1" x14ac:dyDescent="0.3">
      <c r="B4" s="125"/>
      <c r="C4" s="131" t="s">
        <v>129</v>
      </c>
      <c r="D4" s="132"/>
      <c r="E4" s="133"/>
      <c r="F4" s="131" t="s">
        <v>130</v>
      </c>
      <c r="G4" s="132"/>
      <c r="H4" s="133"/>
    </row>
    <row r="5" spans="2:8" ht="32.25" thickBot="1" x14ac:dyDescent="0.3">
      <c r="B5" s="126"/>
      <c r="C5" s="122" t="s">
        <v>119</v>
      </c>
      <c r="D5" s="122">
        <v>2022</v>
      </c>
      <c r="E5" s="122">
        <v>2023</v>
      </c>
      <c r="F5" s="122" t="s">
        <v>119</v>
      </c>
      <c r="G5" s="122">
        <v>2022</v>
      </c>
      <c r="H5" s="122">
        <v>2023</v>
      </c>
    </row>
    <row r="6" spans="2:8" ht="75.75" thickBot="1" x14ac:dyDescent="0.3">
      <c r="B6" s="123" t="s">
        <v>120</v>
      </c>
      <c r="C6" s="124">
        <v>0</v>
      </c>
      <c r="D6" s="124">
        <v>16.62</v>
      </c>
      <c r="E6" s="124">
        <v>18.399999999999999</v>
      </c>
      <c r="F6" s="124">
        <v>0</v>
      </c>
      <c r="G6" s="124">
        <v>16.260000000000002</v>
      </c>
      <c r="H6" s="124">
        <v>18.010000000000002</v>
      </c>
    </row>
    <row r="7" spans="2:8" ht="45.75" thickBot="1" x14ac:dyDescent="0.3">
      <c r="B7" s="123" t="s">
        <v>121</v>
      </c>
      <c r="C7" s="124">
        <v>0</v>
      </c>
      <c r="D7" s="124">
        <v>19.989999999999998</v>
      </c>
      <c r="E7" s="124">
        <v>22.13</v>
      </c>
      <c r="F7" s="124">
        <v>0</v>
      </c>
      <c r="G7" s="124">
        <v>19.559999999999999</v>
      </c>
      <c r="H7" s="124">
        <v>21.65</v>
      </c>
    </row>
    <row r="8" spans="2:8" ht="15.75" thickBot="1" x14ac:dyDescent="0.3">
      <c r="B8" s="123" t="s">
        <v>122</v>
      </c>
      <c r="C8" s="124">
        <v>0</v>
      </c>
      <c r="D8" s="124">
        <v>13.11</v>
      </c>
      <c r="E8" s="124">
        <v>14.51</v>
      </c>
      <c r="F8" s="124">
        <v>0</v>
      </c>
      <c r="G8" s="124">
        <v>12.82</v>
      </c>
      <c r="H8" s="124">
        <v>14.2</v>
      </c>
    </row>
    <row r="9" spans="2:8" ht="15.75" thickBot="1" x14ac:dyDescent="0.3">
      <c r="B9" s="123" t="s">
        <v>123</v>
      </c>
      <c r="C9" s="124">
        <v>0</v>
      </c>
      <c r="D9" s="124">
        <v>11.59</v>
      </c>
      <c r="E9" s="124">
        <v>12.83</v>
      </c>
      <c r="F9" s="124">
        <v>0</v>
      </c>
      <c r="G9" s="124">
        <v>11.34</v>
      </c>
      <c r="H9" s="124">
        <v>12.56</v>
      </c>
    </row>
    <row r="11" spans="2:8" ht="90" x14ac:dyDescent="0.25">
      <c r="B11" s="128" t="s">
        <v>143</v>
      </c>
    </row>
  </sheetData>
  <sheetProtection algorithmName="SHA-512" hashValue="35nZHrjijWkKfJY30Zpswyj7igJdMh7PrzX33rUForY8d3p/i+UakcyEZFlI4EYXo1zCtNEUEvNzJh9fwAXelg==" saltValue="shgDr4EmtDtdHkP6yEia9w==" spinCount="100000" sheet="1" objects="1" scenarios="1"/>
  <mergeCells count="2">
    <mergeCell ref="C4:E4"/>
    <mergeCell ref="F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"/>
  <sheetViews>
    <sheetView zoomScale="130" zoomScaleNormal="130" workbookViewId="0">
      <selection activeCell="D8" sqref="D8"/>
    </sheetView>
  </sheetViews>
  <sheetFormatPr defaultRowHeight="15" x14ac:dyDescent="0.25"/>
  <cols>
    <col min="4" max="4" width="11.42578125" bestFit="1" customWidth="1"/>
    <col min="8" max="8" width="11.42578125" bestFit="1" customWidth="1"/>
  </cols>
  <sheetData>
    <row r="1" spans="1:8" ht="15.75" thickBot="1" x14ac:dyDescent="0.3">
      <c r="B1" t="s">
        <v>126</v>
      </c>
    </row>
    <row r="2" spans="1:8" ht="39" x14ac:dyDescent="0.25">
      <c r="B2" s="5" t="s">
        <v>9</v>
      </c>
      <c r="C2" s="6" t="s">
        <v>10</v>
      </c>
      <c r="D2" s="7" t="s">
        <v>11</v>
      </c>
    </row>
    <row r="3" spans="1:8" ht="15.75" thickBot="1" x14ac:dyDescent="0.3">
      <c r="B3" s="8"/>
      <c r="C3" s="9" t="s">
        <v>12</v>
      </c>
      <c r="D3" s="10" t="s">
        <v>17</v>
      </c>
    </row>
    <row r="4" spans="1:8" x14ac:dyDescent="0.25">
      <c r="B4" s="13">
        <v>2019</v>
      </c>
      <c r="C4" s="12">
        <f>C17+G17</f>
        <v>52.7</v>
      </c>
      <c r="D4" s="28">
        <f>D17+H17</f>
        <v>11653</v>
      </c>
      <c r="E4" s="66"/>
    </row>
    <row r="5" spans="1:8" x14ac:dyDescent="0.25">
      <c r="B5" s="11">
        <v>2020</v>
      </c>
      <c r="C5" s="12">
        <f t="shared" ref="C5:D8" si="0">C18+G18</f>
        <v>0</v>
      </c>
      <c r="D5" s="28">
        <f t="shared" si="0"/>
        <v>75</v>
      </c>
      <c r="E5" s="67"/>
    </row>
    <row r="6" spans="1:8" x14ac:dyDescent="0.25">
      <c r="B6" s="16">
        <v>2021</v>
      </c>
      <c r="C6" s="12">
        <f t="shared" si="0"/>
        <v>46.4</v>
      </c>
      <c r="D6" s="28">
        <f t="shared" si="0"/>
        <v>7261</v>
      </c>
      <c r="E6" s="66"/>
    </row>
    <row r="7" spans="1:8" x14ac:dyDescent="0.25">
      <c r="B7" s="16">
        <v>2022</v>
      </c>
      <c r="C7" s="12">
        <f t="shared" si="0"/>
        <v>22.4</v>
      </c>
      <c r="D7" s="28">
        <f t="shared" si="0"/>
        <v>12905</v>
      </c>
      <c r="E7" s="67"/>
    </row>
    <row r="8" spans="1:8" x14ac:dyDescent="0.25">
      <c r="B8" s="16">
        <v>2023</v>
      </c>
      <c r="C8" s="12">
        <f t="shared" si="0"/>
        <v>119.39999999999999</v>
      </c>
      <c r="D8" s="28">
        <f t="shared" si="0"/>
        <v>11057</v>
      </c>
      <c r="E8" s="67"/>
    </row>
    <row r="9" spans="1:8" ht="15.75" thickBot="1" x14ac:dyDescent="0.3">
      <c r="B9" s="17" t="s">
        <v>13</v>
      </c>
      <c r="C9" s="18">
        <f>SUM(C4:C8)</f>
        <v>240.89999999999998</v>
      </c>
      <c r="D9" s="30">
        <f>SUM(D4:D8)</f>
        <v>42951</v>
      </c>
    </row>
    <row r="10" spans="1:8" ht="15.75" thickTop="1" x14ac:dyDescent="0.25">
      <c r="B10" s="19"/>
      <c r="C10" s="20"/>
      <c r="D10" s="21"/>
    </row>
    <row r="11" spans="1:8" x14ac:dyDescent="0.25">
      <c r="B11" s="22" t="s">
        <v>14</v>
      </c>
      <c r="C11" s="23"/>
      <c r="D11" s="24">
        <f>D9/C9</f>
        <v>178.29389788293901</v>
      </c>
    </row>
    <row r="14" spans="1:8" ht="15.75" thickBot="1" x14ac:dyDescent="0.3">
      <c r="B14" t="s">
        <v>15</v>
      </c>
      <c r="F14" t="s">
        <v>16</v>
      </c>
    </row>
    <row r="15" spans="1:8" ht="39" x14ac:dyDescent="0.25">
      <c r="B15" s="5" t="s">
        <v>9</v>
      </c>
      <c r="C15" s="6" t="s">
        <v>10</v>
      </c>
      <c r="D15" s="7" t="s">
        <v>11</v>
      </c>
      <c r="F15" s="5" t="s">
        <v>9</v>
      </c>
      <c r="G15" s="6" t="s">
        <v>10</v>
      </c>
      <c r="H15" s="7" t="s">
        <v>11</v>
      </c>
    </row>
    <row r="16" spans="1:8" ht="15.75" thickBot="1" x14ac:dyDescent="0.3">
      <c r="B16" s="8"/>
      <c r="C16" s="9" t="s">
        <v>12</v>
      </c>
      <c r="D16" s="10" t="s">
        <v>17</v>
      </c>
      <c r="F16" s="8"/>
      <c r="G16" s="9" t="s">
        <v>12</v>
      </c>
      <c r="H16" s="10" t="s">
        <v>17</v>
      </c>
    </row>
    <row r="17" spans="2:8" x14ac:dyDescent="0.25">
      <c r="B17" s="13">
        <v>2019</v>
      </c>
      <c r="C17" s="12">
        <v>52.7</v>
      </c>
      <c r="D17" s="28">
        <v>11653</v>
      </c>
      <c r="F17" s="13">
        <v>2019</v>
      </c>
      <c r="G17" s="12">
        <v>0</v>
      </c>
      <c r="H17" s="28">
        <v>0</v>
      </c>
    </row>
    <row r="18" spans="2:8" x14ac:dyDescent="0.25">
      <c r="B18" s="11">
        <v>2020</v>
      </c>
      <c r="C18" s="31">
        <v>0</v>
      </c>
      <c r="D18" s="28">
        <v>75</v>
      </c>
      <c r="F18" s="11">
        <v>2020</v>
      </c>
      <c r="G18" s="14">
        <v>0</v>
      </c>
      <c r="H18" s="28">
        <v>0</v>
      </c>
    </row>
    <row r="19" spans="2:8" ht="15.75" thickBot="1" x14ac:dyDescent="0.3">
      <c r="B19" s="25">
        <v>2022</v>
      </c>
      <c r="C19" s="52">
        <v>46.4</v>
      </c>
      <c r="D19" s="53">
        <v>7261</v>
      </c>
      <c r="F19" s="25">
        <v>2022</v>
      </c>
      <c r="G19" s="52">
        <v>0</v>
      </c>
      <c r="H19" s="53">
        <v>0</v>
      </c>
    </row>
    <row r="20" spans="2:8" x14ac:dyDescent="0.25">
      <c r="B20" s="51">
        <v>2023</v>
      </c>
      <c r="C20" s="15">
        <v>22.4</v>
      </c>
      <c r="D20" s="28">
        <v>9705</v>
      </c>
      <c r="F20" s="51">
        <v>2023</v>
      </c>
      <c r="G20" s="32">
        <v>0</v>
      </c>
      <c r="H20" s="28">
        <v>3200</v>
      </c>
    </row>
    <row r="21" spans="2:8" x14ac:dyDescent="0.25">
      <c r="B21" s="16">
        <v>2024</v>
      </c>
      <c r="C21" s="26">
        <v>74.599999999999994</v>
      </c>
      <c r="D21" s="29">
        <v>8357</v>
      </c>
      <c r="F21" s="16">
        <v>2024</v>
      </c>
      <c r="G21" s="50">
        <v>44.8</v>
      </c>
      <c r="H21" s="29">
        <v>2700</v>
      </c>
    </row>
    <row r="22" spans="2:8" ht="15.75" thickBot="1" x14ac:dyDescent="0.3">
      <c r="B22" s="17" t="s">
        <v>13</v>
      </c>
      <c r="C22" s="18">
        <f>SUM(C17:C21)</f>
        <v>196.1</v>
      </c>
      <c r="D22" s="30">
        <f>SUM(D17:D21)</f>
        <v>37051</v>
      </c>
      <c r="F22" s="17" t="s">
        <v>13</v>
      </c>
      <c r="G22" s="18">
        <f>SUM(G17:G21)</f>
        <v>44.8</v>
      </c>
      <c r="H22" s="30">
        <f>SUM(H17:H21)</f>
        <v>5900</v>
      </c>
    </row>
    <row r="23" spans="2:8" ht="15.75" thickTop="1" x14ac:dyDescent="0.25">
      <c r="B23" s="19"/>
      <c r="C23" s="20"/>
      <c r="D23" s="21"/>
      <c r="F23" s="19"/>
      <c r="G23" s="20"/>
      <c r="H23" s="21"/>
    </row>
    <row r="24" spans="2:8" x14ac:dyDescent="0.25">
      <c r="B24" s="22" t="s">
        <v>14</v>
      </c>
      <c r="C24" s="23"/>
      <c r="D24" s="27">
        <f>D22/C22</f>
        <v>188.93931667516574</v>
      </c>
      <c r="F24" s="22" t="s">
        <v>14</v>
      </c>
      <c r="G24" s="23"/>
      <c r="H24" s="33">
        <f>H22/G22</f>
        <v>131.69642857142858</v>
      </c>
    </row>
  </sheetData>
  <sheetProtection algorithmName="SHA-512" hashValue="KYUyENI1xt9k/K9cTTfoFhG8KUCP73w4BRFo9c+9uVWs0dNcO81AKMmvDJAFQ98Y7YhPJTA69h1YiBDpNDtPfA==" saltValue="jFUw1a5tcHJF0QdXdy+ceQ==" spinCount="100000" sheet="1" objects="1" scenarios="1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3"/>
  <sheetViews>
    <sheetView workbookViewId="0">
      <selection activeCell="B4" sqref="B4"/>
    </sheetView>
  </sheetViews>
  <sheetFormatPr defaultRowHeight="15" x14ac:dyDescent="0.25"/>
  <cols>
    <col min="1" max="1" width="26" bestFit="1" customWidth="1"/>
    <col min="2" max="2" width="9.42578125" bestFit="1" customWidth="1"/>
    <col min="6" max="8" width="15.5703125" customWidth="1"/>
    <col min="9" max="9" width="13.85546875" bestFit="1" customWidth="1"/>
  </cols>
  <sheetData>
    <row r="1" spans="1:9" x14ac:dyDescent="0.25">
      <c r="F1" s="55"/>
      <c r="G1" s="55"/>
      <c r="H1" s="55"/>
      <c r="I1" s="59"/>
    </row>
    <row r="2" spans="1:9" x14ac:dyDescent="0.25">
      <c r="A2" t="s">
        <v>43</v>
      </c>
    </row>
    <row r="3" spans="1:9" x14ac:dyDescent="0.25">
      <c r="A3" s="56" t="s">
        <v>50</v>
      </c>
      <c r="B3" s="56">
        <f>'D Cost (''19-''24)'!D11</f>
        <v>178.29389788293901</v>
      </c>
    </row>
    <row r="4" spans="1:9" x14ac:dyDescent="0.25">
      <c r="A4" s="56" t="s">
        <v>44</v>
      </c>
      <c r="B4" s="57">
        <v>0.03</v>
      </c>
    </row>
    <row r="5" spans="1:9" x14ac:dyDescent="0.25">
      <c r="A5" s="56" t="s">
        <v>62</v>
      </c>
      <c r="B5" s="83">
        <v>0.16678481729491185</v>
      </c>
    </row>
    <row r="6" spans="1:9" ht="30" x14ac:dyDescent="0.25">
      <c r="A6" s="56" t="s">
        <v>35</v>
      </c>
      <c r="B6" s="58">
        <v>6.7500000000000004E-2</v>
      </c>
      <c r="D6" s="42"/>
      <c r="E6" s="80" t="s">
        <v>9</v>
      </c>
      <c r="F6" s="80" t="s">
        <v>37</v>
      </c>
      <c r="G6" s="80" t="s">
        <v>40</v>
      </c>
      <c r="H6" s="80" t="s">
        <v>41</v>
      </c>
      <c r="I6" s="59"/>
    </row>
    <row r="7" spans="1:9" x14ac:dyDescent="0.25">
      <c r="A7" s="56" t="s">
        <v>61</v>
      </c>
      <c r="B7" s="60">
        <f>B5*8760</f>
        <v>1461.0349995034278</v>
      </c>
      <c r="D7" s="42"/>
      <c r="E7" s="42"/>
      <c r="F7" s="42" t="s">
        <v>49</v>
      </c>
      <c r="G7" s="42" t="s">
        <v>51</v>
      </c>
      <c r="H7" s="42" t="s">
        <v>51</v>
      </c>
    </row>
    <row r="8" spans="1:9" x14ac:dyDescent="0.25">
      <c r="A8" s="56" t="s">
        <v>66</v>
      </c>
      <c r="B8" s="57">
        <v>0.28800660323483235</v>
      </c>
      <c r="D8" s="42">
        <v>1</v>
      </c>
      <c r="E8" s="42">
        <v>2021</v>
      </c>
      <c r="F8" s="81">
        <f>B$3*(1+B$4)^(E8-E$8)</f>
        <v>178.29389788293901</v>
      </c>
      <c r="G8" s="81">
        <f>F8</f>
        <v>178.29389788293901</v>
      </c>
      <c r="H8" s="81"/>
    </row>
    <row r="9" spans="1:9" x14ac:dyDescent="0.25">
      <c r="A9" t="s">
        <v>45</v>
      </c>
      <c r="D9" s="42">
        <v>26</v>
      </c>
      <c r="E9" s="42">
        <v>2046</v>
      </c>
      <c r="F9" s="81">
        <f>B$3*(1+B$4)^(E9-E$8)</f>
        <v>373.30782837931986</v>
      </c>
      <c r="G9" s="81"/>
      <c r="H9" s="81">
        <f>F9</f>
        <v>373.30782837931986</v>
      </c>
      <c r="I9" t="s">
        <v>58</v>
      </c>
    </row>
    <row r="10" spans="1:9" x14ac:dyDescent="0.25">
      <c r="A10" s="61" t="s">
        <v>47</v>
      </c>
      <c r="B10" s="62">
        <f>I10</f>
        <v>105.36997806363939</v>
      </c>
      <c r="F10" s="42" t="s">
        <v>57</v>
      </c>
      <c r="G10" s="82">
        <f>G8/(1+B6)^(E8-E$8)</f>
        <v>178.29389788293901</v>
      </c>
      <c r="H10" s="82">
        <f>H9/(1+B6)^(E9-E$8)</f>
        <v>72.923919819299613</v>
      </c>
      <c r="I10" s="82">
        <f>G10-H10</f>
        <v>105.36997806363939</v>
      </c>
    </row>
    <row r="11" spans="1:9" x14ac:dyDescent="0.25">
      <c r="A11" s="61" t="s">
        <v>48</v>
      </c>
      <c r="B11" s="63">
        <f>PMT(B6,25,-B10)</f>
        <v>8.8391620464021994</v>
      </c>
    </row>
    <row r="12" spans="1:9" x14ac:dyDescent="0.25">
      <c r="A12" s="61" t="s">
        <v>46</v>
      </c>
      <c r="B12" s="64">
        <f>B11/B7</f>
        <v>6.0499317602976162E-3</v>
      </c>
    </row>
    <row r="13" spans="1:9" x14ac:dyDescent="0.25">
      <c r="A13" s="61" t="s">
        <v>67</v>
      </c>
      <c r="B13" s="64">
        <f>B12*B8</f>
        <v>1.7424202960858463E-3</v>
      </c>
    </row>
  </sheetData>
  <sheetProtection algorithmName="SHA-512" hashValue="ad3NHDxaqUoM3dJ91KpHcoMnPRDWs5hzjBi9O+DpV9ywt7HHrfswDaqdPSgzS8cjGWT6uMivPlQEEBqrAUeVWA==" saltValue="fwS3Etf4E+KhyGf8KhvFfw==" spinCount="100000" sheet="1" objects="1" scenarios="1"/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3"/>
  <sheetViews>
    <sheetView workbookViewId="0">
      <selection activeCell="B4" sqref="B4"/>
    </sheetView>
  </sheetViews>
  <sheetFormatPr defaultRowHeight="15" x14ac:dyDescent="0.25"/>
  <cols>
    <col min="1" max="1" width="26" bestFit="1" customWidth="1"/>
    <col min="2" max="2" width="9.42578125" bestFit="1" customWidth="1"/>
    <col min="6" max="8" width="15.5703125" customWidth="1"/>
    <col min="9" max="9" width="13.85546875" bestFit="1" customWidth="1"/>
  </cols>
  <sheetData>
    <row r="1" spans="1:9" x14ac:dyDescent="0.25">
      <c r="F1" s="55"/>
      <c r="G1" s="55"/>
      <c r="H1" s="55"/>
      <c r="I1" s="59"/>
    </row>
    <row r="2" spans="1:9" x14ac:dyDescent="0.25">
      <c r="A2" t="s">
        <v>43</v>
      </c>
    </row>
    <row r="3" spans="1:9" x14ac:dyDescent="0.25">
      <c r="A3" s="56" t="s">
        <v>50</v>
      </c>
      <c r="B3" s="56">
        <f>'D Cost (''19-''24)'!D24</f>
        <v>188.93931667516574</v>
      </c>
    </row>
    <row r="4" spans="1:9" x14ac:dyDescent="0.25">
      <c r="A4" s="56" t="s">
        <v>44</v>
      </c>
      <c r="B4" s="57">
        <v>0.03</v>
      </c>
    </row>
    <row r="5" spans="1:9" x14ac:dyDescent="0.25">
      <c r="A5" s="56" t="s">
        <v>62</v>
      </c>
      <c r="B5" s="83">
        <v>0.16678481729491185</v>
      </c>
    </row>
    <row r="6" spans="1:9" ht="30" x14ac:dyDescent="0.25">
      <c r="A6" s="56" t="s">
        <v>35</v>
      </c>
      <c r="B6" s="58">
        <v>6.7500000000000004E-2</v>
      </c>
      <c r="D6" s="42"/>
      <c r="E6" s="80" t="s">
        <v>9</v>
      </c>
      <c r="F6" s="80" t="s">
        <v>37</v>
      </c>
      <c r="G6" s="80" t="s">
        <v>40</v>
      </c>
      <c r="H6" s="80" t="s">
        <v>41</v>
      </c>
      <c r="I6" s="59"/>
    </row>
    <row r="7" spans="1:9" x14ac:dyDescent="0.25">
      <c r="A7" s="56" t="s">
        <v>61</v>
      </c>
      <c r="B7" s="60">
        <f>B5*8760</f>
        <v>1461.0349995034278</v>
      </c>
      <c r="D7" s="42"/>
      <c r="E7" s="42"/>
      <c r="F7" s="42" t="s">
        <v>49</v>
      </c>
      <c r="G7" s="42" t="s">
        <v>51</v>
      </c>
      <c r="H7" s="42" t="s">
        <v>51</v>
      </c>
    </row>
    <row r="8" spans="1:9" x14ac:dyDescent="0.25">
      <c r="A8" s="56" t="s">
        <v>66</v>
      </c>
      <c r="B8" s="57">
        <v>0.28800660323483235</v>
      </c>
      <c r="D8" s="42">
        <v>1</v>
      </c>
      <c r="E8" s="42">
        <v>2021</v>
      </c>
      <c r="F8" s="81">
        <f>B$3*(1+B$4)^(E8-E$8)</f>
        <v>188.93931667516574</v>
      </c>
      <c r="G8" s="81">
        <f>F8</f>
        <v>188.93931667516574</v>
      </c>
      <c r="H8" s="81"/>
    </row>
    <row r="9" spans="1:9" x14ac:dyDescent="0.25">
      <c r="A9" t="s">
        <v>45</v>
      </c>
      <c r="D9" s="42">
        <v>26</v>
      </c>
      <c r="E9" s="42">
        <v>2046</v>
      </c>
      <c r="F9" s="81">
        <f>B$3*(1+B$4)^(E9-E$8)</f>
        <v>395.59697129841038</v>
      </c>
      <c r="G9" s="81"/>
      <c r="H9" s="81">
        <f>F9</f>
        <v>395.59697129841038</v>
      </c>
      <c r="I9" t="s">
        <v>58</v>
      </c>
    </row>
    <row r="10" spans="1:9" x14ac:dyDescent="0.25">
      <c r="A10" s="61" t="s">
        <v>47</v>
      </c>
      <c r="B10" s="62">
        <f>I10</f>
        <v>111.66131813716035</v>
      </c>
      <c r="F10" s="42" t="s">
        <v>57</v>
      </c>
      <c r="G10" s="82">
        <f>G8/(1+B6)^(E8-E$8)</f>
        <v>188.93931667516574</v>
      </c>
      <c r="H10" s="82">
        <f>H9/(1+B6)^(E9-E$8)</f>
        <v>77.277998538005392</v>
      </c>
      <c r="I10" s="82">
        <f>G10-H10</f>
        <v>111.66131813716035</v>
      </c>
    </row>
    <row r="11" spans="1:9" x14ac:dyDescent="0.25">
      <c r="A11" s="61" t="s">
        <v>48</v>
      </c>
      <c r="B11" s="63">
        <f>PMT(B6,25,-B10)</f>
        <v>9.3669231356689089</v>
      </c>
    </row>
    <row r="12" spans="1:9" x14ac:dyDescent="0.25">
      <c r="A12" s="61" t="s">
        <v>46</v>
      </c>
      <c r="B12" s="64">
        <f>B11/B7</f>
        <v>6.4111558852816743E-3</v>
      </c>
    </row>
    <row r="13" spans="1:9" x14ac:dyDescent="0.25">
      <c r="A13" s="61" t="s">
        <v>67</v>
      </c>
      <c r="B13" s="64">
        <f>B12*B8</f>
        <v>1.8464552293289795E-3</v>
      </c>
    </row>
  </sheetData>
  <sheetProtection algorithmName="SHA-512" hashValue="TKCFF3MXpzQR+Gdj1iHXdivxIVK3e8ZnYTAXMUxFQmp0cfgDrJKec83pe8Ya0f0UPs2+GF917OqlcOyvQRHYaw==" saltValue="IPNL5mjWkZARawz1omluLg==" spinCount="100000" sheet="1" objects="1" scenarios="1"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3"/>
  <sheetViews>
    <sheetView workbookViewId="0">
      <selection activeCell="A4" sqref="A4"/>
    </sheetView>
  </sheetViews>
  <sheetFormatPr defaultRowHeight="15" x14ac:dyDescent="0.25"/>
  <cols>
    <col min="1" max="1" width="26" bestFit="1" customWidth="1"/>
    <col min="2" max="2" width="9.42578125" bestFit="1" customWidth="1"/>
    <col min="6" max="8" width="15.5703125" customWidth="1"/>
    <col min="9" max="9" width="13.85546875" bestFit="1" customWidth="1"/>
  </cols>
  <sheetData>
    <row r="1" spans="1:9" x14ac:dyDescent="0.25">
      <c r="F1" s="55"/>
      <c r="G1" s="55"/>
      <c r="H1" s="55"/>
      <c r="I1" s="59"/>
    </row>
    <row r="2" spans="1:9" x14ac:dyDescent="0.25">
      <c r="A2" t="s">
        <v>43</v>
      </c>
    </row>
    <row r="3" spans="1:9" x14ac:dyDescent="0.25">
      <c r="A3" s="56" t="s">
        <v>50</v>
      </c>
      <c r="B3" s="56">
        <f>'D Cost (''19-''24)'!H24</f>
        <v>131.69642857142858</v>
      </c>
    </row>
    <row r="4" spans="1:9" x14ac:dyDescent="0.25">
      <c r="A4" s="56" t="s">
        <v>44</v>
      </c>
      <c r="B4" s="57">
        <v>0.03</v>
      </c>
    </row>
    <row r="5" spans="1:9" x14ac:dyDescent="0.25">
      <c r="A5" s="56" t="s">
        <v>62</v>
      </c>
      <c r="B5" s="83">
        <v>0.16678481729491185</v>
      </c>
    </row>
    <row r="6" spans="1:9" ht="30" x14ac:dyDescent="0.25">
      <c r="A6" s="56" t="s">
        <v>35</v>
      </c>
      <c r="B6" s="58">
        <v>6.7500000000000004E-2</v>
      </c>
      <c r="D6" s="42"/>
      <c r="E6" s="80" t="s">
        <v>9</v>
      </c>
      <c r="F6" s="80" t="s">
        <v>37</v>
      </c>
      <c r="G6" s="80" t="s">
        <v>40</v>
      </c>
      <c r="H6" s="80" t="s">
        <v>41</v>
      </c>
      <c r="I6" s="59"/>
    </row>
    <row r="7" spans="1:9" x14ac:dyDescent="0.25">
      <c r="A7" s="56" t="s">
        <v>61</v>
      </c>
      <c r="B7" s="60">
        <f>B5*8760</f>
        <v>1461.0349995034278</v>
      </c>
      <c r="D7" s="42"/>
      <c r="E7" s="42"/>
      <c r="F7" s="42" t="s">
        <v>49</v>
      </c>
      <c r="G7" s="42" t="s">
        <v>51</v>
      </c>
      <c r="H7" s="42" t="s">
        <v>51</v>
      </c>
    </row>
    <row r="8" spans="1:9" x14ac:dyDescent="0.25">
      <c r="A8" s="56" t="s">
        <v>66</v>
      </c>
      <c r="B8" s="57">
        <v>0.28800660323483235</v>
      </c>
      <c r="D8" s="42">
        <v>1</v>
      </c>
      <c r="E8" s="42">
        <v>2021</v>
      </c>
      <c r="F8" s="81">
        <f>B$3*(1+B$4)^(E8-E$8)</f>
        <v>131.69642857142858</v>
      </c>
      <c r="G8" s="81">
        <f>F8</f>
        <v>131.69642857142858</v>
      </c>
      <c r="H8" s="81"/>
    </row>
    <row r="9" spans="1:9" x14ac:dyDescent="0.25">
      <c r="A9" t="s">
        <v>45</v>
      </c>
      <c r="D9" s="42">
        <v>26</v>
      </c>
      <c r="E9" s="42">
        <v>2046</v>
      </c>
      <c r="F9" s="81">
        <f>B$3*(1+B$4)^(E9-E$8)</f>
        <v>275.74307555713978</v>
      </c>
      <c r="G9" s="81"/>
      <c r="H9" s="81">
        <f>F9</f>
        <v>275.74307555713978</v>
      </c>
      <c r="I9" t="s">
        <v>58</v>
      </c>
    </row>
    <row r="10" spans="1:9" x14ac:dyDescent="0.25">
      <c r="A10" s="61" t="s">
        <v>47</v>
      </c>
      <c r="B10" s="62">
        <f>I10</f>
        <v>77.831322072178239</v>
      </c>
      <c r="F10" s="42" t="s">
        <v>57</v>
      </c>
      <c r="G10" s="82">
        <f>G8/(1+B6)^(E8-E$8)</f>
        <v>131.69642857142858</v>
      </c>
      <c r="H10" s="82">
        <f>H9/(1+B6)^(E9-E$8)</f>
        <v>53.865106499250352</v>
      </c>
      <c r="I10" s="82">
        <f>G10-H10</f>
        <v>77.831322072178239</v>
      </c>
    </row>
    <row r="11" spans="1:9" x14ac:dyDescent="0.25">
      <c r="A11" s="61" t="s">
        <v>48</v>
      </c>
      <c r="B11" s="63">
        <f>PMT(B6,25,-B10)</f>
        <v>6.5290292427146577</v>
      </c>
    </row>
    <row r="12" spans="1:9" x14ac:dyDescent="0.25">
      <c r="A12" s="61" t="s">
        <v>46</v>
      </c>
      <c r="B12" s="64">
        <f>B11/B7</f>
        <v>4.4687699096419486E-3</v>
      </c>
    </row>
    <row r="13" spans="1:9" x14ac:dyDescent="0.25">
      <c r="A13" s="61" t="s">
        <v>67</v>
      </c>
      <c r="B13" s="64">
        <f>B12*B8</f>
        <v>1.2870352423140063E-3</v>
      </c>
    </row>
  </sheetData>
  <sheetProtection algorithmName="SHA-512" hashValue="WPXdG5etwIZ+TlIOMl65nh6rq5wfE8nJ/2fdV8FYngJ9heLFeWfeW0T4tkO8OHBu2U5uXLrnYqAWlmcLjdecFg==" saltValue="FyUzPfz97Gus/fUlhVF/Kw==" spinCount="100000" sheet="1" objects="1" scenarios="1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CG59"/>
  <sheetViews>
    <sheetView zoomScale="85" zoomScaleNormal="85" workbookViewId="0"/>
  </sheetViews>
  <sheetFormatPr defaultRowHeight="15" x14ac:dyDescent="0.25"/>
  <cols>
    <col min="1" max="2" width="7.5703125" customWidth="1"/>
    <col min="3" max="3" width="21.85546875" bestFit="1" customWidth="1"/>
    <col min="4" max="4" width="16" bestFit="1" customWidth="1"/>
    <col min="5" max="7" width="16" customWidth="1"/>
    <col min="8" max="34" width="12" bestFit="1" customWidth="1"/>
    <col min="35" max="35" width="10" bestFit="1" customWidth="1"/>
    <col min="36" max="37" width="16" bestFit="1" customWidth="1"/>
    <col min="39" max="39" width="19.140625" bestFit="1" customWidth="1"/>
    <col min="40" max="40" width="11.140625" style="98" bestFit="1" customWidth="1"/>
    <col min="41" max="42" width="11.140625" bestFit="1" customWidth="1"/>
    <col min="43" max="53" width="9.85546875" bestFit="1" customWidth="1"/>
    <col min="79" max="85" width="10.140625" bestFit="1" customWidth="1"/>
    <col min="87" max="87" width="19.5703125" bestFit="1" customWidth="1"/>
    <col min="88" max="88" width="19.5703125" customWidth="1"/>
    <col min="89" max="90" width="9.85546875" bestFit="1" customWidth="1"/>
    <col min="91" max="91" width="8.85546875" bestFit="1" customWidth="1"/>
    <col min="135" max="135" width="19.5703125" bestFit="1" customWidth="1"/>
    <col min="136" max="139" width="10" bestFit="1" customWidth="1"/>
    <col min="141" max="141" width="10" bestFit="1" customWidth="1"/>
  </cols>
  <sheetData>
    <row r="1" spans="3:85" x14ac:dyDescent="0.25">
      <c r="F1" s="134" t="s">
        <v>124</v>
      </c>
      <c r="G1" s="134"/>
      <c r="AA1" s="103"/>
      <c r="AB1" s="103"/>
    </row>
    <row r="2" spans="3:85" x14ac:dyDescent="0.25">
      <c r="E2" t="s">
        <v>101</v>
      </c>
      <c r="F2" t="s">
        <v>16</v>
      </c>
      <c r="G2" t="s">
        <v>15</v>
      </c>
      <c r="H2">
        <v>2021</v>
      </c>
      <c r="I2">
        <v>2022</v>
      </c>
      <c r="J2">
        <v>2023</v>
      </c>
      <c r="K2">
        <v>2024</v>
      </c>
      <c r="L2">
        <v>2025</v>
      </c>
      <c r="M2">
        <v>2026</v>
      </c>
      <c r="N2">
        <v>2027</v>
      </c>
      <c r="O2">
        <v>2028</v>
      </c>
      <c r="P2">
        <v>2029</v>
      </c>
      <c r="Q2">
        <v>2030</v>
      </c>
      <c r="R2">
        <v>2031</v>
      </c>
      <c r="S2">
        <v>2032</v>
      </c>
      <c r="T2">
        <v>2033</v>
      </c>
      <c r="U2">
        <v>2034</v>
      </c>
      <c r="V2">
        <v>2035</v>
      </c>
      <c r="W2">
        <v>2036</v>
      </c>
      <c r="X2">
        <v>2037</v>
      </c>
      <c r="Y2">
        <v>2038</v>
      </c>
      <c r="Z2">
        <v>2039</v>
      </c>
      <c r="AA2">
        <v>2040</v>
      </c>
      <c r="AB2">
        <v>2041</v>
      </c>
      <c r="AC2">
        <v>2042</v>
      </c>
      <c r="AD2">
        <v>2043</v>
      </c>
      <c r="AE2">
        <v>2044</v>
      </c>
      <c r="AF2">
        <v>2045</v>
      </c>
      <c r="AG2">
        <v>2046</v>
      </c>
      <c r="AH2">
        <v>2047</v>
      </c>
      <c r="AI2">
        <v>2048</v>
      </c>
      <c r="AJ2">
        <v>2049</v>
      </c>
      <c r="AK2">
        <v>2050</v>
      </c>
      <c r="AM2" s="98" t="s">
        <v>92</v>
      </c>
      <c r="AN2" s="98" t="s">
        <v>94</v>
      </c>
      <c r="AO2">
        <v>2021</v>
      </c>
      <c r="AP2">
        <v>2022</v>
      </c>
      <c r="AQ2">
        <v>2023</v>
      </c>
      <c r="AR2">
        <v>2024</v>
      </c>
      <c r="AS2">
        <v>2025</v>
      </c>
      <c r="AT2">
        <v>2026</v>
      </c>
      <c r="AU2">
        <v>2027</v>
      </c>
      <c r="AV2">
        <v>2028</v>
      </c>
      <c r="AW2">
        <v>2029</v>
      </c>
      <c r="AX2">
        <v>2030</v>
      </c>
      <c r="AY2">
        <v>2031</v>
      </c>
      <c r="AZ2">
        <v>2032</v>
      </c>
      <c r="BA2">
        <v>2033</v>
      </c>
      <c r="BB2">
        <v>2034</v>
      </c>
      <c r="BC2">
        <v>2035</v>
      </c>
      <c r="BD2">
        <v>2036</v>
      </c>
      <c r="BE2">
        <v>2037</v>
      </c>
      <c r="BF2">
        <v>2038</v>
      </c>
      <c r="BG2">
        <v>2039</v>
      </c>
      <c r="BH2">
        <v>2040</v>
      </c>
      <c r="BI2">
        <v>2041</v>
      </c>
      <c r="BJ2">
        <v>2042</v>
      </c>
      <c r="BK2">
        <v>2043</v>
      </c>
      <c r="BL2">
        <v>2044</v>
      </c>
      <c r="BM2">
        <v>2045</v>
      </c>
      <c r="BN2">
        <v>2046</v>
      </c>
      <c r="BO2">
        <v>2047</v>
      </c>
      <c r="BP2">
        <v>2048</v>
      </c>
      <c r="BQ2">
        <v>2049</v>
      </c>
      <c r="BR2">
        <v>2050</v>
      </c>
      <c r="BS2">
        <v>2051</v>
      </c>
      <c r="BT2">
        <v>2052</v>
      </c>
      <c r="BU2">
        <v>2053</v>
      </c>
      <c r="BV2">
        <v>2054</v>
      </c>
      <c r="BW2">
        <v>2055</v>
      </c>
      <c r="BX2">
        <v>2056</v>
      </c>
      <c r="BY2">
        <v>2057</v>
      </c>
      <c r="BZ2">
        <v>2058</v>
      </c>
      <c r="CA2">
        <v>2059</v>
      </c>
      <c r="CB2">
        <v>2060</v>
      </c>
      <c r="CC2">
        <v>2061</v>
      </c>
      <c r="CD2">
        <v>2062</v>
      </c>
      <c r="CE2">
        <v>2063</v>
      </c>
      <c r="CF2">
        <v>2064</v>
      </c>
      <c r="CG2">
        <v>2065</v>
      </c>
    </row>
    <row r="3" spans="3:85" x14ac:dyDescent="0.25">
      <c r="C3" s="135" t="s">
        <v>82</v>
      </c>
      <c r="D3" t="s">
        <v>71</v>
      </c>
      <c r="E3">
        <v>409</v>
      </c>
      <c r="G3" s="118">
        <v>1</v>
      </c>
      <c r="H3">
        <v>23.5</v>
      </c>
      <c r="I3">
        <v>21.7</v>
      </c>
      <c r="J3">
        <v>25.6</v>
      </c>
      <c r="K3">
        <v>24.6</v>
      </c>
      <c r="L3">
        <v>23.1</v>
      </c>
      <c r="M3">
        <v>19.8</v>
      </c>
      <c r="N3">
        <v>18.399999999999999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M3" t="s">
        <v>83</v>
      </c>
    </row>
    <row r="4" spans="3:85" x14ac:dyDescent="0.25">
      <c r="C4" s="135"/>
      <c r="D4" t="s">
        <v>72</v>
      </c>
      <c r="E4">
        <v>475</v>
      </c>
      <c r="G4" s="118">
        <v>1</v>
      </c>
      <c r="H4">
        <v>59.8</v>
      </c>
      <c r="I4">
        <v>58.9</v>
      </c>
      <c r="J4">
        <v>65.5</v>
      </c>
      <c r="K4">
        <v>63.9</v>
      </c>
      <c r="L4">
        <v>59.8</v>
      </c>
      <c r="M4">
        <v>63.7</v>
      </c>
      <c r="N4">
        <v>63.2</v>
      </c>
      <c r="O4">
        <v>60.4</v>
      </c>
      <c r="P4">
        <v>54.2</v>
      </c>
      <c r="Q4">
        <v>59</v>
      </c>
      <c r="R4">
        <v>61.9</v>
      </c>
      <c r="S4">
        <v>61.1</v>
      </c>
      <c r="T4">
        <v>61.9</v>
      </c>
      <c r="U4">
        <v>55.6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M4" t="s">
        <v>86</v>
      </c>
      <c r="AN4" s="99">
        <f>SUM(AO4:CG4)</f>
        <v>159344470</v>
      </c>
      <c r="AO4" s="37">
        <v>7835515</v>
      </c>
      <c r="AP4" s="37">
        <v>7462936</v>
      </c>
      <c r="AQ4" s="37">
        <v>8990941</v>
      </c>
      <c r="AR4" s="37">
        <v>10616046</v>
      </c>
      <c r="AS4" s="37">
        <v>10743798</v>
      </c>
      <c r="AT4" s="37">
        <v>10958674</v>
      </c>
      <c r="AU4" s="37">
        <v>11177847</v>
      </c>
      <c r="AV4" s="37">
        <v>11401404</v>
      </c>
      <c r="AW4" s="37">
        <v>11629432</v>
      </c>
      <c r="AX4" s="37">
        <v>11862021</v>
      </c>
      <c r="AY4" s="37">
        <v>12099262</v>
      </c>
      <c r="AZ4" s="37">
        <v>12341247</v>
      </c>
      <c r="BA4" s="37">
        <v>12588072</v>
      </c>
      <c r="BB4" s="37">
        <v>6416571</v>
      </c>
      <c r="BC4" s="37">
        <v>6544903</v>
      </c>
      <c r="BD4" s="37">
        <v>6675801</v>
      </c>
    </row>
    <row r="5" spans="3:85" x14ac:dyDescent="0.25">
      <c r="C5" s="135"/>
      <c r="D5" t="s">
        <v>73</v>
      </c>
      <c r="E5">
        <v>485</v>
      </c>
      <c r="G5" s="118">
        <v>1</v>
      </c>
      <c r="H5">
        <v>64.5</v>
      </c>
      <c r="I5">
        <v>62.4</v>
      </c>
      <c r="J5">
        <v>64.3</v>
      </c>
      <c r="K5">
        <v>56.7</v>
      </c>
      <c r="L5">
        <v>62.4</v>
      </c>
      <c r="M5">
        <v>61.4</v>
      </c>
      <c r="N5">
        <v>54</v>
      </c>
      <c r="O5">
        <v>60.4</v>
      </c>
      <c r="P5">
        <v>58.1</v>
      </c>
      <c r="Q5">
        <v>56.2</v>
      </c>
      <c r="R5">
        <v>59.2</v>
      </c>
      <c r="S5">
        <v>60.3</v>
      </c>
      <c r="T5">
        <v>58.5</v>
      </c>
      <c r="U5">
        <v>64.099999999999994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M5" t="s">
        <v>87</v>
      </c>
      <c r="AN5" s="99">
        <f t="shared" ref="AN5:AN14" si="0">SUM(AO5:CG5)</f>
        <v>61046704</v>
      </c>
      <c r="AO5" t="s">
        <v>52</v>
      </c>
      <c r="AP5" t="s">
        <v>52</v>
      </c>
      <c r="AQ5" t="s">
        <v>52</v>
      </c>
      <c r="AR5" s="37">
        <v>2439208</v>
      </c>
      <c r="AS5" s="37">
        <v>5060045</v>
      </c>
      <c r="AT5" s="37">
        <v>5161246</v>
      </c>
      <c r="AU5" s="37">
        <v>5264471</v>
      </c>
      <c r="AV5" s="37">
        <v>5369760</v>
      </c>
      <c r="AW5" s="37">
        <v>5477155</v>
      </c>
      <c r="AX5" s="37">
        <v>5586699</v>
      </c>
      <c r="AY5" s="37">
        <v>5698433</v>
      </c>
      <c r="AZ5" s="37">
        <v>5812401</v>
      </c>
      <c r="BA5" s="37">
        <v>5928649</v>
      </c>
      <c r="BB5" s="37">
        <v>3022035</v>
      </c>
      <c r="BC5" s="37">
        <v>3082476</v>
      </c>
      <c r="BD5" s="37">
        <v>3144126</v>
      </c>
    </row>
    <row r="6" spans="3:85" x14ac:dyDescent="0.25">
      <c r="C6" s="135"/>
      <c r="D6" t="s">
        <v>74</v>
      </c>
      <c r="E6">
        <v>481</v>
      </c>
      <c r="G6" s="118">
        <v>1</v>
      </c>
      <c r="H6">
        <v>59.8</v>
      </c>
      <c r="I6">
        <v>57.7</v>
      </c>
      <c r="J6">
        <v>55.4</v>
      </c>
      <c r="K6">
        <v>55.7</v>
      </c>
      <c r="L6">
        <v>54.2</v>
      </c>
      <c r="M6">
        <v>51</v>
      </c>
      <c r="N6">
        <v>55.1</v>
      </c>
      <c r="O6">
        <v>53.5</v>
      </c>
      <c r="P6">
        <v>50.9</v>
      </c>
      <c r="Q6">
        <v>49.3</v>
      </c>
      <c r="R6">
        <v>54.5</v>
      </c>
      <c r="S6">
        <v>51.6</v>
      </c>
      <c r="T6">
        <v>52.9</v>
      </c>
      <c r="U6">
        <v>50.9</v>
      </c>
      <c r="V6">
        <v>48.9</v>
      </c>
      <c r="W6">
        <v>47.3</v>
      </c>
      <c r="X6">
        <v>55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M6" s="100" t="s">
        <v>88</v>
      </c>
      <c r="AN6" s="101">
        <f t="shared" si="0"/>
        <v>220391175</v>
      </c>
      <c r="AO6" s="102">
        <v>7835515</v>
      </c>
      <c r="AP6" s="102">
        <v>7462936</v>
      </c>
      <c r="AQ6" s="102">
        <v>8990941</v>
      </c>
      <c r="AR6" s="102">
        <v>13055254</v>
      </c>
      <c r="AS6" s="102">
        <v>15803843</v>
      </c>
      <c r="AT6" s="102">
        <v>16119920</v>
      </c>
      <c r="AU6" s="102">
        <v>16442318</v>
      </c>
      <c r="AV6" s="102">
        <v>16771165</v>
      </c>
      <c r="AW6" s="102">
        <v>17106588</v>
      </c>
      <c r="AX6" s="102">
        <v>17448720</v>
      </c>
      <c r="AY6" s="102">
        <v>17797694</v>
      </c>
      <c r="AZ6" s="102">
        <v>18153648</v>
      </c>
      <c r="BA6" s="102">
        <v>18516721</v>
      </c>
      <c r="BB6" s="102">
        <v>9438607</v>
      </c>
      <c r="BC6" s="102">
        <v>9627379</v>
      </c>
      <c r="BD6" s="102">
        <v>9819926</v>
      </c>
    </row>
    <row r="7" spans="3:85" x14ac:dyDescent="0.25">
      <c r="C7" s="135"/>
      <c r="D7" t="s">
        <v>75</v>
      </c>
      <c r="E7">
        <v>478</v>
      </c>
      <c r="G7" s="118">
        <v>1</v>
      </c>
      <c r="H7">
        <v>54.7</v>
      </c>
      <c r="I7">
        <v>50.3</v>
      </c>
      <c r="J7">
        <v>51.9</v>
      </c>
      <c r="K7">
        <v>47</v>
      </c>
      <c r="L7">
        <v>51.9</v>
      </c>
      <c r="M7">
        <v>47.6</v>
      </c>
      <c r="N7">
        <v>48.5</v>
      </c>
      <c r="O7">
        <v>40.299999999999997</v>
      </c>
      <c r="P7">
        <v>44.4</v>
      </c>
      <c r="Q7">
        <v>46.6</v>
      </c>
      <c r="R7">
        <v>47.6</v>
      </c>
      <c r="S7">
        <v>46.8</v>
      </c>
      <c r="T7">
        <v>47.5</v>
      </c>
      <c r="U7">
        <v>43.4</v>
      </c>
      <c r="V7">
        <v>41.7</v>
      </c>
      <c r="W7">
        <v>39.200000000000003</v>
      </c>
      <c r="X7">
        <v>42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M7" t="s">
        <v>84</v>
      </c>
      <c r="AN7" s="99">
        <f t="shared" si="0"/>
        <v>0</v>
      </c>
    </row>
    <row r="8" spans="3:85" x14ac:dyDescent="0.25">
      <c r="C8" s="135"/>
      <c r="D8" t="s">
        <v>76</v>
      </c>
      <c r="E8">
        <v>300</v>
      </c>
      <c r="F8" s="118">
        <v>1</v>
      </c>
      <c r="H8">
        <v>70.400000000000006</v>
      </c>
      <c r="I8">
        <v>76.3</v>
      </c>
      <c r="J8">
        <v>69.5</v>
      </c>
      <c r="K8">
        <v>80.8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M8" t="s">
        <v>86</v>
      </c>
      <c r="AN8" s="99">
        <f t="shared" si="0"/>
        <v>23882633</v>
      </c>
      <c r="AO8" s="37">
        <v>3112401</v>
      </c>
      <c r="AP8" s="37">
        <v>3288641</v>
      </c>
      <c r="AQ8" s="37">
        <v>3232352</v>
      </c>
      <c r="AR8" s="37">
        <v>3504169</v>
      </c>
      <c r="AS8" s="37">
        <v>3511002</v>
      </c>
      <c r="AT8" s="37">
        <v>3581222</v>
      </c>
      <c r="AU8" s="37">
        <v>3652846</v>
      </c>
    </row>
    <row r="9" spans="3:85" x14ac:dyDescent="0.25">
      <c r="C9" s="135"/>
      <c r="D9" t="s">
        <v>77</v>
      </c>
      <c r="E9">
        <v>297</v>
      </c>
      <c r="F9" s="118">
        <v>1</v>
      </c>
      <c r="H9">
        <v>24</v>
      </c>
      <c r="I9">
        <v>30.8</v>
      </c>
      <c r="J9">
        <v>30.3</v>
      </c>
      <c r="K9">
        <v>31.7</v>
      </c>
      <c r="L9">
        <v>79.599999999999994</v>
      </c>
      <c r="M9">
        <v>71.2</v>
      </c>
      <c r="N9">
        <v>79.400000000000006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M9" t="s">
        <v>87</v>
      </c>
      <c r="AN9" s="99">
        <f t="shared" si="0"/>
        <v>0</v>
      </c>
      <c r="AO9" t="s">
        <v>52</v>
      </c>
      <c r="AP9" t="s">
        <v>52</v>
      </c>
      <c r="AQ9" t="s">
        <v>52</v>
      </c>
      <c r="AR9" t="s">
        <v>52</v>
      </c>
      <c r="AS9" t="s">
        <v>52</v>
      </c>
      <c r="AT9" t="s">
        <v>52</v>
      </c>
      <c r="AU9" t="s">
        <v>52</v>
      </c>
    </row>
    <row r="10" spans="3:85" x14ac:dyDescent="0.25">
      <c r="C10" s="135"/>
      <c r="D10" t="s">
        <v>78</v>
      </c>
      <c r="E10">
        <v>391</v>
      </c>
      <c r="F10" s="118">
        <v>1</v>
      </c>
      <c r="H10">
        <v>63.7</v>
      </c>
      <c r="I10">
        <v>76.5</v>
      </c>
      <c r="J10">
        <v>66.599999999999994</v>
      </c>
      <c r="K10">
        <v>81.599999999999994</v>
      </c>
      <c r="L10">
        <v>75</v>
      </c>
      <c r="M10">
        <v>82.3</v>
      </c>
      <c r="N10">
        <v>68.400000000000006</v>
      </c>
      <c r="O10">
        <v>79.8</v>
      </c>
      <c r="P10">
        <v>73.3</v>
      </c>
      <c r="Q10">
        <v>79.3</v>
      </c>
      <c r="R10">
        <v>74.7</v>
      </c>
      <c r="S10">
        <v>79.099999999999994</v>
      </c>
      <c r="T10">
        <v>74.400000000000006</v>
      </c>
      <c r="U10">
        <v>72.3</v>
      </c>
      <c r="V10">
        <v>61.8</v>
      </c>
      <c r="W10">
        <v>68.599999999999994</v>
      </c>
      <c r="X10">
        <v>60.3</v>
      </c>
      <c r="Y10">
        <v>57.8</v>
      </c>
      <c r="Z10">
        <v>63.7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M10" s="100" t="s">
        <v>90</v>
      </c>
      <c r="AN10" s="101">
        <f t="shared" si="0"/>
        <v>23882633</v>
      </c>
      <c r="AO10" s="102">
        <v>3112401</v>
      </c>
      <c r="AP10" s="102">
        <v>3288641</v>
      </c>
      <c r="AQ10" s="102">
        <v>3232352</v>
      </c>
      <c r="AR10" s="102">
        <v>3504169</v>
      </c>
      <c r="AS10" s="102">
        <v>3511002</v>
      </c>
      <c r="AT10" s="102">
        <v>3581222</v>
      </c>
      <c r="AU10" s="102">
        <v>3652846</v>
      </c>
    </row>
    <row r="11" spans="3:85" x14ac:dyDescent="0.25">
      <c r="C11" s="135"/>
      <c r="D11" t="s">
        <v>79</v>
      </c>
      <c r="E11">
        <v>477</v>
      </c>
      <c r="F11" s="118">
        <v>1</v>
      </c>
      <c r="H11">
        <v>72.900000000000006</v>
      </c>
      <c r="I11">
        <v>63.7</v>
      </c>
      <c r="J11">
        <v>72.900000000000006</v>
      </c>
      <c r="K11">
        <v>71.3</v>
      </c>
      <c r="L11">
        <v>78.2</v>
      </c>
      <c r="M11">
        <v>73.599999999999994</v>
      </c>
      <c r="N11">
        <v>79</v>
      </c>
      <c r="O11">
        <v>70.2</v>
      </c>
      <c r="P11">
        <v>76.400000000000006</v>
      </c>
      <c r="Q11">
        <v>68</v>
      </c>
      <c r="R11">
        <v>77.599999999999994</v>
      </c>
      <c r="S11">
        <v>73.900000000000006</v>
      </c>
      <c r="T11">
        <v>77.900000000000006</v>
      </c>
      <c r="U11">
        <v>66.8</v>
      </c>
      <c r="V11">
        <v>68.7</v>
      </c>
      <c r="W11">
        <v>64</v>
      </c>
      <c r="X11">
        <v>61.4</v>
      </c>
      <c r="Y11">
        <v>52.5</v>
      </c>
      <c r="Z11">
        <v>61.9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M11" t="s">
        <v>85</v>
      </c>
      <c r="AN11" s="99">
        <f t="shared" si="0"/>
        <v>0</v>
      </c>
    </row>
    <row r="12" spans="3:85" x14ac:dyDescent="0.25">
      <c r="C12" s="135"/>
      <c r="D12" t="s">
        <v>80</v>
      </c>
      <c r="E12">
        <v>370</v>
      </c>
      <c r="F12" s="118">
        <v>1</v>
      </c>
      <c r="H12">
        <v>71.599999999999994</v>
      </c>
      <c r="I12">
        <v>80</v>
      </c>
      <c r="J12">
        <v>76</v>
      </c>
      <c r="K12">
        <v>79.7</v>
      </c>
      <c r="L12">
        <v>70</v>
      </c>
      <c r="M12">
        <v>81.3</v>
      </c>
      <c r="N12">
        <v>77.8</v>
      </c>
      <c r="O12">
        <v>81</v>
      </c>
      <c r="P12">
        <v>76.900000000000006</v>
      </c>
      <c r="Q12">
        <v>81.2</v>
      </c>
      <c r="R12">
        <v>74.400000000000006</v>
      </c>
      <c r="S12">
        <v>80</v>
      </c>
      <c r="T12">
        <v>68</v>
      </c>
      <c r="U12">
        <v>77.8</v>
      </c>
      <c r="V12">
        <v>71.900000000000006</v>
      </c>
      <c r="W12">
        <v>75.900000000000006</v>
      </c>
      <c r="X12">
        <v>69.099999999999994</v>
      </c>
      <c r="Y12">
        <v>62.8</v>
      </c>
      <c r="Z12">
        <v>57.9</v>
      </c>
      <c r="AA12">
        <v>58.2</v>
      </c>
      <c r="AB12">
        <v>49</v>
      </c>
      <c r="AC12">
        <v>48.5</v>
      </c>
      <c r="AD12">
        <v>46.2</v>
      </c>
      <c r="AE12">
        <v>49</v>
      </c>
      <c r="AF12">
        <v>60.2</v>
      </c>
      <c r="AG12">
        <v>0</v>
      </c>
      <c r="AH12">
        <v>0</v>
      </c>
      <c r="AI12">
        <v>0</v>
      </c>
      <c r="AJ12">
        <v>0</v>
      </c>
      <c r="AK12">
        <v>0</v>
      </c>
      <c r="AM12" t="s">
        <v>86</v>
      </c>
      <c r="AN12" s="99">
        <f t="shared" si="0"/>
        <v>139483924</v>
      </c>
      <c r="AO12" s="37">
        <v>1549698</v>
      </c>
      <c r="AP12" s="37">
        <v>1675499</v>
      </c>
      <c r="AQ12" s="37">
        <v>2591408</v>
      </c>
      <c r="AR12" s="37">
        <v>2667215</v>
      </c>
      <c r="AS12" s="37">
        <v>2775947</v>
      </c>
      <c r="AT12" s="37">
        <v>2831466</v>
      </c>
      <c r="AU12" s="37">
        <v>2888096</v>
      </c>
      <c r="AV12" s="37">
        <v>2945858</v>
      </c>
      <c r="AW12" s="37">
        <v>3004775</v>
      </c>
      <c r="AX12" s="37">
        <v>3064870</v>
      </c>
      <c r="AY12" s="37">
        <v>3126168</v>
      </c>
      <c r="AZ12" s="37">
        <v>3188691</v>
      </c>
      <c r="BA12" s="37">
        <v>3252465</v>
      </c>
      <c r="BB12" s="37">
        <v>3317514</v>
      </c>
      <c r="BC12" s="37">
        <v>3383864</v>
      </c>
      <c r="BD12" s="37">
        <v>3451542</v>
      </c>
      <c r="BE12" s="37">
        <v>3520572</v>
      </c>
      <c r="BF12" s="37">
        <v>3590984</v>
      </c>
      <c r="BG12" s="37">
        <v>3662804</v>
      </c>
      <c r="BH12" s="37">
        <v>3736060</v>
      </c>
      <c r="BI12" s="37">
        <v>3810781</v>
      </c>
      <c r="BJ12" s="37">
        <v>3886996</v>
      </c>
      <c r="BK12" s="37">
        <v>3964736</v>
      </c>
      <c r="BL12" s="37">
        <v>4044031</v>
      </c>
      <c r="BM12" s="37">
        <v>2464845</v>
      </c>
      <c r="BN12" s="37">
        <v>2514142</v>
      </c>
      <c r="BO12" s="37">
        <v>2564425</v>
      </c>
      <c r="BP12" s="37">
        <v>2615713</v>
      </c>
      <c r="BQ12" s="37">
        <v>2668028</v>
      </c>
      <c r="BR12" s="37">
        <v>2721388</v>
      </c>
      <c r="BS12" s="37">
        <v>2775816</v>
      </c>
      <c r="BT12" s="37">
        <v>2831332</v>
      </c>
      <c r="BU12" s="37">
        <v>2887959</v>
      </c>
      <c r="BV12" s="37">
        <v>2945718</v>
      </c>
      <c r="BW12" s="37">
        <v>3004633</v>
      </c>
      <c r="BX12" s="37">
        <v>3064725</v>
      </c>
      <c r="BY12" s="37">
        <v>3126020</v>
      </c>
      <c r="BZ12" s="37">
        <v>3188540</v>
      </c>
      <c r="CA12" s="37">
        <v>3252311</v>
      </c>
      <c r="CB12" s="37">
        <v>3317357</v>
      </c>
      <c r="CC12" s="37">
        <v>3383704</v>
      </c>
      <c r="CD12" s="37">
        <v>3451378</v>
      </c>
      <c r="CE12" s="37">
        <v>3520406</v>
      </c>
      <c r="CF12" s="37">
        <v>3590814</v>
      </c>
      <c r="CG12" s="37">
        <v>3662630</v>
      </c>
    </row>
    <row r="13" spans="3:85" x14ac:dyDescent="0.25">
      <c r="C13" s="135"/>
      <c r="D13" t="s">
        <v>81</v>
      </c>
      <c r="E13">
        <v>549</v>
      </c>
      <c r="F13" s="118">
        <v>0.19</v>
      </c>
      <c r="G13" s="118">
        <v>0.81</v>
      </c>
      <c r="H13">
        <v>62</v>
      </c>
      <c r="I13">
        <v>59.3</v>
      </c>
      <c r="J13">
        <v>54.5</v>
      </c>
      <c r="K13">
        <v>60.8</v>
      </c>
      <c r="L13">
        <v>61.9</v>
      </c>
      <c r="M13">
        <v>55.3</v>
      </c>
      <c r="N13">
        <v>61</v>
      </c>
      <c r="O13">
        <v>60.7</v>
      </c>
      <c r="P13">
        <v>59.6</v>
      </c>
      <c r="Q13">
        <v>60.3</v>
      </c>
      <c r="R13">
        <v>60.3</v>
      </c>
      <c r="S13">
        <v>60.3</v>
      </c>
      <c r="T13">
        <v>60.9</v>
      </c>
      <c r="U13">
        <v>52.4</v>
      </c>
      <c r="V13">
        <v>57.4</v>
      </c>
      <c r="W13">
        <v>56.3</v>
      </c>
      <c r="X13">
        <v>53.3</v>
      </c>
      <c r="Y13">
        <v>50.7</v>
      </c>
      <c r="Z13">
        <v>47.7</v>
      </c>
      <c r="AA13">
        <v>44.9</v>
      </c>
      <c r="AB13">
        <v>38.5</v>
      </c>
      <c r="AC13">
        <v>34.700000000000003</v>
      </c>
      <c r="AD13">
        <v>39.299999999999997</v>
      </c>
      <c r="AE13">
        <v>38</v>
      </c>
      <c r="AF13">
        <v>34.700000000000003</v>
      </c>
      <c r="AG13">
        <v>36.299999999999997</v>
      </c>
      <c r="AH13">
        <v>35.700000000000003</v>
      </c>
      <c r="AI13">
        <v>37.799999999999997</v>
      </c>
      <c r="AJ13">
        <v>37.299999999999997</v>
      </c>
      <c r="AK13">
        <v>36.9</v>
      </c>
      <c r="AM13" t="s">
        <v>87</v>
      </c>
      <c r="AN13" s="99">
        <f>SUM(AO13:CG13)</f>
        <v>64569553</v>
      </c>
      <c r="AO13" t="s">
        <v>52</v>
      </c>
      <c r="AP13" t="s">
        <v>52</v>
      </c>
      <c r="AQ13">
        <v>618201</v>
      </c>
      <c r="AR13" s="37">
        <v>1281370</v>
      </c>
      <c r="AS13" s="37">
        <v>1328003</v>
      </c>
      <c r="AT13" s="37">
        <v>1354563</v>
      </c>
      <c r="AU13" s="37">
        <v>1381655</v>
      </c>
      <c r="AV13" s="37">
        <v>1409288</v>
      </c>
      <c r="AW13" s="37">
        <v>1437473</v>
      </c>
      <c r="AX13" s="37">
        <v>1466223</v>
      </c>
      <c r="AY13" s="37">
        <v>1495547</v>
      </c>
      <c r="AZ13" s="37">
        <v>1525458</v>
      </c>
      <c r="BA13" s="37">
        <v>1555968</v>
      </c>
      <c r="BB13" s="37">
        <v>1587087</v>
      </c>
      <c r="BC13" s="37">
        <v>1618829</v>
      </c>
      <c r="BD13" s="37">
        <v>1651205</v>
      </c>
      <c r="BE13" s="37">
        <v>1684229</v>
      </c>
      <c r="BF13" s="37">
        <v>1717914</v>
      </c>
      <c r="BG13" s="37">
        <v>1752272</v>
      </c>
      <c r="BH13" s="37">
        <v>1787318</v>
      </c>
      <c r="BI13" s="37">
        <v>1823064</v>
      </c>
      <c r="BJ13" s="37">
        <v>1859525</v>
      </c>
      <c r="BK13" s="37">
        <v>1896716</v>
      </c>
      <c r="BL13" s="37">
        <v>1934650</v>
      </c>
      <c r="BM13" s="37">
        <v>1179173</v>
      </c>
      <c r="BN13" s="37">
        <v>1202757</v>
      </c>
      <c r="BO13" s="37">
        <v>1226812</v>
      </c>
      <c r="BP13" s="37">
        <v>1251348</v>
      </c>
      <c r="BQ13" s="37">
        <v>1276375</v>
      </c>
      <c r="BR13" s="37">
        <v>1301902</v>
      </c>
      <c r="BS13" s="37">
        <v>1327940</v>
      </c>
      <c r="BT13" s="37">
        <v>1354499</v>
      </c>
      <c r="BU13" s="37">
        <v>1381589</v>
      </c>
      <c r="BV13" s="37">
        <v>1409221</v>
      </c>
      <c r="BW13" s="37">
        <v>1437405</v>
      </c>
      <c r="BX13" s="37">
        <v>1466154</v>
      </c>
      <c r="BY13" s="37">
        <v>1495477</v>
      </c>
      <c r="BZ13" s="37">
        <v>1525386</v>
      </c>
      <c r="CA13" s="37">
        <v>1555894</v>
      </c>
      <c r="CB13" s="37">
        <v>1587012</v>
      </c>
      <c r="CC13" s="37">
        <v>1618752</v>
      </c>
      <c r="CD13" s="37">
        <v>1651127</v>
      </c>
      <c r="CE13" s="37">
        <v>1684150</v>
      </c>
      <c r="CF13" s="37">
        <v>1717833</v>
      </c>
      <c r="CG13" s="37">
        <v>1752189</v>
      </c>
    </row>
    <row r="14" spans="3:85" x14ac:dyDescent="0.25">
      <c r="C14" s="136" t="s">
        <v>102</v>
      </c>
      <c r="D14" t="s">
        <v>89</v>
      </c>
      <c r="E14">
        <f>E3</f>
        <v>409</v>
      </c>
      <c r="H14">
        <f>8760*H3*$E$3</f>
        <v>84196740</v>
      </c>
      <c r="I14">
        <f t="shared" ref="I14:AK14" si="1">8760*I3*$E$3</f>
        <v>77747628</v>
      </c>
      <c r="J14">
        <f t="shared" si="1"/>
        <v>91720704</v>
      </c>
      <c r="K14">
        <f t="shared" si="1"/>
        <v>88137864</v>
      </c>
      <c r="L14">
        <f t="shared" si="1"/>
        <v>82763604</v>
      </c>
      <c r="M14">
        <f t="shared" si="1"/>
        <v>70940232</v>
      </c>
      <c r="N14">
        <f t="shared" si="1"/>
        <v>65924256</v>
      </c>
      <c r="O14">
        <f t="shared" si="1"/>
        <v>0</v>
      </c>
      <c r="P14">
        <f t="shared" si="1"/>
        <v>0</v>
      </c>
      <c r="Q14">
        <f t="shared" si="1"/>
        <v>0</v>
      </c>
      <c r="R14">
        <f t="shared" si="1"/>
        <v>0</v>
      </c>
      <c r="S14">
        <f t="shared" si="1"/>
        <v>0</v>
      </c>
      <c r="T14">
        <f t="shared" si="1"/>
        <v>0</v>
      </c>
      <c r="U14">
        <f t="shared" si="1"/>
        <v>0</v>
      </c>
      <c r="V14">
        <f t="shared" si="1"/>
        <v>0</v>
      </c>
      <c r="W14">
        <f t="shared" si="1"/>
        <v>0</v>
      </c>
      <c r="X14">
        <f t="shared" si="1"/>
        <v>0</v>
      </c>
      <c r="Y14">
        <f t="shared" si="1"/>
        <v>0</v>
      </c>
      <c r="Z14">
        <f t="shared" si="1"/>
        <v>0</v>
      </c>
      <c r="AA14">
        <f t="shared" si="1"/>
        <v>0</v>
      </c>
      <c r="AB14">
        <f t="shared" si="1"/>
        <v>0</v>
      </c>
      <c r="AC14">
        <f t="shared" si="1"/>
        <v>0</v>
      </c>
      <c r="AD14">
        <f t="shared" si="1"/>
        <v>0</v>
      </c>
      <c r="AE14">
        <f t="shared" si="1"/>
        <v>0</v>
      </c>
      <c r="AF14">
        <f t="shared" si="1"/>
        <v>0</v>
      </c>
      <c r="AG14">
        <f t="shared" si="1"/>
        <v>0</v>
      </c>
      <c r="AH14">
        <f t="shared" si="1"/>
        <v>0</v>
      </c>
      <c r="AI14">
        <f t="shared" si="1"/>
        <v>0</v>
      </c>
      <c r="AJ14">
        <f t="shared" si="1"/>
        <v>0</v>
      </c>
      <c r="AK14">
        <f t="shared" si="1"/>
        <v>0</v>
      </c>
      <c r="AM14" s="100" t="s">
        <v>91</v>
      </c>
      <c r="AN14" s="101">
        <f t="shared" si="0"/>
        <v>204053480</v>
      </c>
      <c r="AO14" s="102">
        <v>1549698</v>
      </c>
      <c r="AP14" s="102">
        <v>1675499</v>
      </c>
      <c r="AQ14" s="102">
        <v>3209609</v>
      </c>
      <c r="AR14" s="102">
        <v>3948585</v>
      </c>
      <c r="AS14" s="102">
        <v>4103951</v>
      </c>
      <c r="AT14" s="102">
        <v>4186030</v>
      </c>
      <c r="AU14" s="102">
        <v>4269750</v>
      </c>
      <c r="AV14" s="102">
        <v>4355145</v>
      </c>
      <c r="AW14" s="102">
        <v>4442248</v>
      </c>
      <c r="AX14" s="102">
        <v>4531093</v>
      </c>
      <c r="AY14" s="102">
        <v>4621715</v>
      </c>
      <c r="AZ14" s="102">
        <v>4714149</v>
      </c>
      <c r="BA14" s="102">
        <v>4808432</v>
      </c>
      <c r="BB14" s="102">
        <v>4904601</v>
      </c>
      <c r="BC14" s="102">
        <v>5002693</v>
      </c>
      <c r="BD14" s="102">
        <v>5102747</v>
      </c>
      <c r="BE14" s="102">
        <v>5204802</v>
      </c>
      <c r="BF14" s="102">
        <v>5308898</v>
      </c>
      <c r="BG14" s="102">
        <v>5415076</v>
      </c>
      <c r="BH14" s="102">
        <v>5523377</v>
      </c>
      <c r="BI14" s="102">
        <v>5633845</v>
      </c>
      <c r="BJ14" s="102">
        <v>5746522</v>
      </c>
      <c r="BK14" s="102">
        <v>5861452</v>
      </c>
      <c r="BL14" s="102">
        <v>5978681</v>
      </c>
      <c r="BM14" s="102">
        <v>3644018</v>
      </c>
      <c r="BN14" s="102">
        <v>3716899</v>
      </c>
      <c r="BO14" s="102">
        <v>3791237</v>
      </c>
      <c r="BP14" s="102">
        <v>3867061</v>
      </c>
      <c r="BQ14" s="102">
        <v>3944403</v>
      </c>
      <c r="BR14" s="102">
        <v>4023291</v>
      </c>
      <c r="BS14" s="102">
        <v>4103757</v>
      </c>
      <c r="BT14" s="102">
        <v>4185832</v>
      </c>
      <c r="BU14" s="102">
        <v>4269548</v>
      </c>
      <c r="BV14" s="102">
        <v>4354939</v>
      </c>
      <c r="BW14" s="102">
        <v>4442038</v>
      </c>
      <c r="BX14" s="102">
        <v>4530879</v>
      </c>
      <c r="BY14" s="102">
        <v>4621496</v>
      </c>
      <c r="BZ14" s="102">
        <v>4713926</v>
      </c>
      <c r="CA14" s="102">
        <v>4808205</v>
      </c>
      <c r="CB14" s="102">
        <v>4904369</v>
      </c>
      <c r="CC14" s="102">
        <v>5002456</v>
      </c>
      <c r="CD14" s="102">
        <v>5102505</v>
      </c>
      <c r="CE14" s="102">
        <v>5204556</v>
      </c>
      <c r="CF14" s="102">
        <v>5308647</v>
      </c>
      <c r="CG14" s="102">
        <v>5414820</v>
      </c>
    </row>
    <row r="15" spans="3:85" x14ac:dyDescent="0.25">
      <c r="C15" s="136"/>
      <c r="D15" t="s">
        <v>83</v>
      </c>
      <c r="E15">
        <f>SUM(E4:E7)</f>
        <v>1919</v>
      </c>
      <c r="H15">
        <f>8760*((H4*$E$4)+($E$5*H5)+($E$6*H6)+($E$7*H7))</f>
        <v>1003877604.0000001</v>
      </c>
      <c r="I15">
        <f t="shared" ref="I15:AK15" si="2">8760*((I4*$E$4)+($E$5*I5)+($E$6*I6)+($E$7*I7))</f>
        <v>963938135.99999988</v>
      </c>
      <c r="J15">
        <f t="shared" si="2"/>
        <v>996481535.99999988</v>
      </c>
      <c r="K15">
        <f t="shared" si="2"/>
        <v>938280972</v>
      </c>
      <c r="L15">
        <f t="shared" si="2"/>
        <v>959635224</v>
      </c>
      <c r="M15">
        <f t="shared" si="2"/>
        <v>940125828</v>
      </c>
      <c r="N15">
        <f t="shared" si="2"/>
        <v>927649836</v>
      </c>
      <c r="O15">
        <f t="shared" si="2"/>
        <v>902112684</v>
      </c>
      <c r="P15">
        <f t="shared" si="2"/>
        <v>872755295.99999988</v>
      </c>
      <c r="Q15">
        <f t="shared" si="2"/>
        <v>887126076</v>
      </c>
      <c r="R15">
        <f t="shared" si="2"/>
        <v>938036568</v>
      </c>
      <c r="S15">
        <f t="shared" si="2"/>
        <v>923812080</v>
      </c>
      <c r="T15">
        <f t="shared" si="2"/>
        <v>927902124</v>
      </c>
      <c r="U15">
        <f t="shared" si="2"/>
        <v>899885015.99999988</v>
      </c>
      <c r="V15">
        <f t="shared" si="2"/>
        <v>380652660</v>
      </c>
      <c r="W15">
        <f t="shared" si="2"/>
        <v>363442764</v>
      </c>
      <c r="X15">
        <f t="shared" si="2"/>
        <v>407611560</v>
      </c>
      <c r="Y15">
        <f t="shared" si="2"/>
        <v>0</v>
      </c>
      <c r="Z15">
        <f t="shared" si="2"/>
        <v>0</v>
      </c>
      <c r="AA15">
        <f t="shared" si="2"/>
        <v>0</v>
      </c>
      <c r="AB15">
        <f t="shared" si="2"/>
        <v>0</v>
      </c>
      <c r="AC15">
        <f t="shared" si="2"/>
        <v>0</v>
      </c>
      <c r="AD15">
        <f t="shared" si="2"/>
        <v>0</v>
      </c>
      <c r="AE15">
        <f t="shared" si="2"/>
        <v>0</v>
      </c>
      <c r="AF15">
        <f t="shared" si="2"/>
        <v>0</v>
      </c>
      <c r="AG15">
        <f t="shared" si="2"/>
        <v>0</v>
      </c>
      <c r="AH15">
        <f t="shared" si="2"/>
        <v>0</v>
      </c>
      <c r="AI15">
        <f t="shared" si="2"/>
        <v>0</v>
      </c>
      <c r="AJ15">
        <f t="shared" si="2"/>
        <v>0</v>
      </c>
      <c r="AK15">
        <f t="shared" si="2"/>
        <v>0</v>
      </c>
    </row>
    <row r="16" spans="3:85" x14ac:dyDescent="0.25">
      <c r="C16" s="136"/>
      <c r="D16" t="s">
        <v>95</v>
      </c>
      <c r="E16">
        <f>SUM(E8:E11)</f>
        <v>1465</v>
      </c>
      <c r="H16">
        <f>8760*((H8*$E$8)+($E$9*H9)+($E$10*H10)+($E$11*H11))</f>
        <v>770249280</v>
      </c>
      <c r="I16">
        <f t="shared" ref="I16:AK16" si="3">8760*((I8*$E$8)+($E$9*I9)+($E$10*I10)+($E$11*I11))</f>
        <v>808845840</v>
      </c>
      <c r="J16">
        <f t="shared" si="3"/>
        <v>794207880</v>
      </c>
      <c r="K16">
        <f t="shared" si="3"/>
        <v>872238456</v>
      </c>
      <c r="L16">
        <f t="shared" si="3"/>
        <v>790744176</v>
      </c>
      <c r="M16">
        <f t="shared" si="3"/>
        <v>774672204</v>
      </c>
      <c r="N16">
        <f t="shared" si="3"/>
        <v>770960592.00000012</v>
      </c>
      <c r="O16">
        <f t="shared" si="3"/>
        <v>566659872</v>
      </c>
      <c r="P16">
        <f t="shared" si="3"/>
        <v>570303156</v>
      </c>
      <c r="Q16">
        <f t="shared" si="3"/>
        <v>555754548</v>
      </c>
      <c r="R16">
        <f t="shared" si="3"/>
        <v>580112604</v>
      </c>
      <c r="S16">
        <f t="shared" si="3"/>
        <v>579722784</v>
      </c>
      <c r="T16">
        <f t="shared" si="3"/>
        <v>580338612.00000012</v>
      </c>
      <c r="U16">
        <f t="shared" si="3"/>
        <v>526764203.99999994</v>
      </c>
      <c r="V16">
        <f t="shared" si="3"/>
        <v>498739212</v>
      </c>
      <c r="W16">
        <f t="shared" si="3"/>
        <v>502391256</v>
      </c>
      <c r="X16">
        <f t="shared" si="3"/>
        <v>463098276</v>
      </c>
      <c r="Y16">
        <f t="shared" si="3"/>
        <v>417346548</v>
      </c>
      <c r="Z16">
        <f t="shared" si="3"/>
        <v>476833080</v>
      </c>
      <c r="AA16">
        <f t="shared" si="3"/>
        <v>0</v>
      </c>
      <c r="AB16">
        <f t="shared" si="3"/>
        <v>0</v>
      </c>
      <c r="AC16">
        <f t="shared" si="3"/>
        <v>0</v>
      </c>
      <c r="AD16">
        <f t="shared" si="3"/>
        <v>0</v>
      </c>
      <c r="AE16">
        <f t="shared" si="3"/>
        <v>0</v>
      </c>
      <c r="AF16">
        <f t="shared" si="3"/>
        <v>0</v>
      </c>
      <c r="AG16">
        <f t="shared" si="3"/>
        <v>0</v>
      </c>
      <c r="AH16">
        <f t="shared" si="3"/>
        <v>0</v>
      </c>
      <c r="AI16">
        <f t="shared" si="3"/>
        <v>0</v>
      </c>
      <c r="AJ16">
        <f t="shared" si="3"/>
        <v>0</v>
      </c>
      <c r="AK16">
        <f t="shared" si="3"/>
        <v>0</v>
      </c>
      <c r="AM16" s="98" t="s">
        <v>93</v>
      </c>
      <c r="AN16" s="98" t="s">
        <v>94</v>
      </c>
      <c r="AO16">
        <v>2021</v>
      </c>
      <c r="AP16">
        <v>2022</v>
      </c>
      <c r="AQ16">
        <v>2023</v>
      </c>
      <c r="AR16">
        <v>2024</v>
      </c>
      <c r="AS16">
        <v>2025</v>
      </c>
    </row>
    <row r="17" spans="3:85" x14ac:dyDescent="0.25">
      <c r="C17" s="136"/>
      <c r="D17" t="s">
        <v>85</v>
      </c>
      <c r="E17">
        <f>SUM(E12:E13)</f>
        <v>919</v>
      </c>
      <c r="H17">
        <f>8760*((H12*$E$12)+($E$13*H13))</f>
        <v>530242800</v>
      </c>
      <c r="I17">
        <f t="shared" ref="I17:AK17" si="4">8760*((I12*$E$12)+($E$13*I13))</f>
        <v>544483932</v>
      </c>
      <c r="J17">
        <f t="shared" si="4"/>
        <v>508434780</v>
      </c>
      <c r="K17">
        <f t="shared" si="4"/>
        <v>550725432</v>
      </c>
      <c r="L17">
        <f t="shared" si="4"/>
        <v>524575956</v>
      </c>
      <c r="M17">
        <f t="shared" si="4"/>
        <v>529460532</v>
      </c>
      <c r="N17">
        <f t="shared" si="4"/>
        <v>545529000</v>
      </c>
      <c r="O17">
        <f t="shared" si="4"/>
        <v>554458068</v>
      </c>
      <c r="P17">
        <f t="shared" si="4"/>
        <v>535878984.00000006</v>
      </c>
      <c r="Q17">
        <f t="shared" si="4"/>
        <v>553182612</v>
      </c>
      <c r="R17">
        <f t="shared" si="4"/>
        <v>531142452</v>
      </c>
      <c r="S17">
        <f t="shared" si="4"/>
        <v>549293172</v>
      </c>
      <c r="T17">
        <f t="shared" si="4"/>
        <v>513284316</v>
      </c>
      <c r="U17">
        <f t="shared" si="4"/>
        <v>504169536</v>
      </c>
      <c r="V17">
        <f t="shared" si="4"/>
        <v>509092656.00000006</v>
      </c>
      <c r="W17">
        <f t="shared" si="4"/>
        <v>516767292</v>
      </c>
      <c r="X17">
        <f t="shared" si="4"/>
        <v>480299412</v>
      </c>
      <c r="Y17">
        <f t="shared" si="4"/>
        <v>447375828</v>
      </c>
      <c r="Z17">
        <f t="shared" si="4"/>
        <v>417066228</v>
      </c>
      <c r="AA17">
        <f t="shared" si="4"/>
        <v>404572716</v>
      </c>
      <c r="AB17">
        <f t="shared" si="4"/>
        <v>343974540</v>
      </c>
      <c r="AC17">
        <f t="shared" si="4"/>
        <v>324078828</v>
      </c>
      <c r="AD17">
        <f t="shared" si="4"/>
        <v>338746572</v>
      </c>
      <c r="AE17">
        <f t="shared" si="4"/>
        <v>341569920</v>
      </c>
      <c r="AF17">
        <f t="shared" si="4"/>
        <v>362000868</v>
      </c>
      <c r="AG17">
        <f t="shared" si="4"/>
        <v>174575411.99999997</v>
      </c>
      <c r="AH17">
        <f t="shared" si="4"/>
        <v>171689868.00000003</v>
      </c>
      <c r="AI17">
        <f t="shared" si="4"/>
        <v>181789271.99999997</v>
      </c>
      <c r="AJ17">
        <f t="shared" si="4"/>
        <v>179384651.99999997</v>
      </c>
      <c r="AK17">
        <f t="shared" si="4"/>
        <v>177460956</v>
      </c>
      <c r="AM17" t="s">
        <v>83</v>
      </c>
    </row>
    <row r="18" spans="3:85" x14ac:dyDescent="0.25">
      <c r="C18" s="136" t="s">
        <v>103</v>
      </c>
      <c r="D18" t="s">
        <v>89</v>
      </c>
      <c r="H18">
        <f>H14/$E$14/8760</f>
        <v>23.5</v>
      </c>
      <c r="I18">
        <f t="shared" ref="I18:AK18" si="5">I14/$E$14/8760</f>
        <v>21.7</v>
      </c>
      <c r="J18">
        <f t="shared" si="5"/>
        <v>25.6</v>
      </c>
      <c r="K18">
        <f t="shared" si="5"/>
        <v>24.6</v>
      </c>
      <c r="L18">
        <f t="shared" si="5"/>
        <v>23.1</v>
      </c>
      <c r="M18">
        <f t="shared" si="5"/>
        <v>19.8</v>
      </c>
      <c r="N18">
        <f t="shared" si="5"/>
        <v>18.399999999999999</v>
      </c>
      <c r="O18">
        <f t="shared" si="5"/>
        <v>0</v>
      </c>
      <c r="P18">
        <f t="shared" si="5"/>
        <v>0</v>
      </c>
      <c r="Q18">
        <f t="shared" si="5"/>
        <v>0</v>
      </c>
      <c r="R18">
        <f t="shared" si="5"/>
        <v>0</v>
      </c>
      <c r="S18">
        <f t="shared" si="5"/>
        <v>0</v>
      </c>
      <c r="T18">
        <f t="shared" si="5"/>
        <v>0</v>
      </c>
      <c r="U18">
        <f t="shared" si="5"/>
        <v>0</v>
      </c>
      <c r="V18">
        <f t="shared" si="5"/>
        <v>0</v>
      </c>
      <c r="W18">
        <f t="shared" si="5"/>
        <v>0</v>
      </c>
      <c r="X18">
        <f t="shared" si="5"/>
        <v>0</v>
      </c>
      <c r="Y18">
        <f t="shared" si="5"/>
        <v>0</v>
      </c>
      <c r="Z18">
        <f t="shared" si="5"/>
        <v>0</v>
      </c>
      <c r="AA18">
        <f t="shared" si="5"/>
        <v>0</v>
      </c>
      <c r="AB18">
        <f t="shared" si="5"/>
        <v>0</v>
      </c>
      <c r="AC18">
        <f t="shared" si="5"/>
        <v>0</v>
      </c>
      <c r="AD18">
        <f t="shared" si="5"/>
        <v>0</v>
      </c>
      <c r="AE18">
        <f t="shared" si="5"/>
        <v>0</v>
      </c>
      <c r="AF18">
        <f t="shared" si="5"/>
        <v>0</v>
      </c>
      <c r="AG18">
        <f t="shared" si="5"/>
        <v>0</v>
      </c>
      <c r="AH18">
        <f t="shared" si="5"/>
        <v>0</v>
      </c>
      <c r="AI18">
        <f t="shared" si="5"/>
        <v>0</v>
      </c>
      <c r="AJ18">
        <f t="shared" si="5"/>
        <v>0</v>
      </c>
      <c r="AK18">
        <f t="shared" si="5"/>
        <v>0</v>
      </c>
      <c r="AM18" t="s">
        <v>86</v>
      </c>
      <c r="AN18" s="99">
        <v>77080493</v>
      </c>
      <c r="AO18" s="37">
        <v>39544326</v>
      </c>
      <c r="AP18" s="37">
        <v>24594870</v>
      </c>
      <c r="AQ18" s="37">
        <v>9657422</v>
      </c>
      <c r="AR18" s="37">
        <v>3213452</v>
      </c>
      <c r="AS18" s="37">
        <v>70423</v>
      </c>
    </row>
    <row r="19" spans="3:85" x14ac:dyDescent="0.25">
      <c r="C19" s="136"/>
      <c r="D19" t="s">
        <v>83</v>
      </c>
      <c r="H19">
        <f>H15/$E$15/8760</f>
        <v>59.717509119332995</v>
      </c>
      <c r="I19">
        <f t="shared" ref="I19:AK19" si="6">I15/$E$15/8760</f>
        <v>57.341636268890042</v>
      </c>
      <c r="J19">
        <f t="shared" si="6"/>
        <v>59.277540385617506</v>
      </c>
      <c r="K19">
        <f t="shared" si="6"/>
        <v>55.815372589890572</v>
      </c>
      <c r="L19">
        <f t="shared" si="6"/>
        <v>57.085669619593538</v>
      </c>
      <c r="M19">
        <f t="shared" si="6"/>
        <v>55.925117248566963</v>
      </c>
      <c r="N19">
        <f t="shared" si="6"/>
        <v>55.182959874934859</v>
      </c>
      <c r="O19">
        <f t="shared" si="6"/>
        <v>53.663835330901513</v>
      </c>
      <c r="P19">
        <f t="shared" si="6"/>
        <v>51.917457008858776</v>
      </c>
      <c r="Q19">
        <f t="shared" si="6"/>
        <v>52.772329338196975</v>
      </c>
      <c r="R19">
        <f t="shared" si="6"/>
        <v>55.800833767587285</v>
      </c>
      <c r="S19">
        <f t="shared" si="6"/>
        <v>54.954663887441377</v>
      </c>
      <c r="T19">
        <f t="shared" si="6"/>
        <v>55.197967691505994</v>
      </c>
      <c r="U19">
        <f t="shared" si="6"/>
        <v>53.531318394997392</v>
      </c>
      <c r="V19">
        <f t="shared" si="6"/>
        <v>22.643824908806671</v>
      </c>
      <c r="W19">
        <f t="shared" si="6"/>
        <v>21.620062532569047</v>
      </c>
      <c r="X19">
        <f t="shared" si="6"/>
        <v>24.247524752475247</v>
      </c>
      <c r="Y19">
        <f t="shared" si="6"/>
        <v>0</v>
      </c>
      <c r="Z19">
        <f t="shared" si="6"/>
        <v>0</v>
      </c>
      <c r="AA19">
        <f t="shared" si="6"/>
        <v>0</v>
      </c>
      <c r="AB19">
        <f t="shared" si="6"/>
        <v>0</v>
      </c>
      <c r="AC19">
        <f t="shared" si="6"/>
        <v>0</v>
      </c>
      <c r="AD19">
        <f t="shared" si="6"/>
        <v>0</v>
      </c>
      <c r="AE19">
        <f t="shared" si="6"/>
        <v>0</v>
      </c>
      <c r="AF19">
        <f t="shared" si="6"/>
        <v>0</v>
      </c>
      <c r="AG19">
        <f t="shared" si="6"/>
        <v>0</v>
      </c>
      <c r="AH19">
        <f t="shared" si="6"/>
        <v>0</v>
      </c>
      <c r="AI19">
        <f t="shared" si="6"/>
        <v>0</v>
      </c>
      <c r="AJ19">
        <f t="shared" si="6"/>
        <v>0</v>
      </c>
      <c r="AK19">
        <f t="shared" si="6"/>
        <v>0</v>
      </c>
      <c r="AM19" t="s">
        <v>87</v>
      </c>
      <c r="AN19" s="99">
        <v>127784546</v>
      </c>
      <c r="AO19" s="37">
        <v>32992546</v>
      </c>
      <c r="AP19" s="37">
        <v>55055000</v>
      </c>
      <c r="AQ19" s="37">
        <v>18030000</v>
      </c>
      <c r="AR19" s="37">
        <v>21707000</v>
      </c>
      <c r="AS19" t="s">
        <v>52</v>
      </c>
    </row>
    <row r="20" spans="3:85" x14ac:dyDescent="0.25">
      <c r="C20" s="136"/>
      <c r="D20" t="s">
        <v>95</v>
      </c>
      <c r="H20">
        <f>H16/$E$16/8760</f>
        <v>60.019112627986338</v>
      </c>
      <c r="I20">
        <f t="shared" ref="I20:AK20" si="7">I16/$E$16/8760</f>
        <v>63.026621160409562</v>
      </c>
      <c r="J20">
        <f t="shared" si="7"/>
        <v>61.886006825938573</v>
      </c>
      <c r="K20">
        <f t="shared" si="7"/>
        <v>67.966279863481233</v>
      </c>
      <c r="L20">
        <f t="shared" si="7"/>
        <v>61.616109215017062</v>
      </c>
      <c r="M20">
        <f t="shared" si="7"/>
        <v>60.3637542662116</v>
      </c>
      <c r="N20">
        <f t="shared" si="7"/>
        <v>60.074539249146767</v>
      </c>
      <c r="O20">
        <f t="shared" si="7"/>
        <v>44.155085324232083</v>
      </c>
      <c r="P20">
        <f t="shared" si="7"/>
        <v>44.43897610921502</v>
      </c>
      <c r="Q20">
        <f t="shared" si="7"/>
        <v>43.305324232081908</v>
      </c>
      <c r="R20">
        <f t="shared" si="7"/>
        <v>45.203344709897614</v>
      </c>
      <c r="S20">
        <f t="shared" si="7"/>
        <v>45.172969283276451</v>
      </c>
      <c r="T20">
        <f t="shared" si="7"/>
        <v>45.220955631399328</v>
      </c>
      <c r="U20">
        <f t="shared" si="7"/>
        <v>41.046348122866895</v>
      </c>
      <c r="V20">
        <f t="shared" si="7"/>
        <v>38.862593856655288</v>
      </c>
      <c r="W20">
        <f t="shared" si="7"/>
        <v>39.147167235494877</v>
      </c>
      <c r="X20">
        <f t="shared" si="7"/>
        <v>36.085392491467573</v>
      </c>
      <c r="Y20">
        <f t="shared" si="7"/>
        <v>32.520341296928322</v>
      </c>
      <c r="Z20">
        <f t="shared" si="7"/>
        <v>37.155631399317407</v>
      </c>
      <c r="AA20">
        <f t="shared" si="7"/>
        <v>0</v>
      </c>
      <c r="AB20">
        <f t="shared" si="7"/>
        <v>0</v>
      </c>
      <c r="AC20">
        <f t="shared" si="7"/>
        <v>0</v>
      </c>
      <c r="AD20">
        <f t="shared" si="7"/>
        <v>0</v>
      </c>
      <c r="AE20">
        <f t="shared" si="7"/>
        <v>0</v>
      </c>
      <c r="AF20">
        <f t="shared" si="7"/>
        <v>0</v>
      </c>
      <c r="AG20">
        <f t="shared" si="7"/>
        <v>0</v>
      </c>
      <c r="AH20">
        <f t="shared" si="7"/>
        <v>0</v>
      </c>
      <c r="AI20">
        <f t="shared" si="7"/>
        <v>0</v>
      </c>
      <c r="AJ20">
        <f t="shared" si="7"/>
        <v>0</v>
      </c>
      <c r="AK20">
        <f t="shared" si="7"/>
        <v>0</v>
      </c>
      <c r="AM20" s="100" t="s">
        <v>88</v>
      </c>
      <c r="AN20" s="101">
        <v>204865039</v>
      </c>
      <c r="AO20" s="102">
        <v>72536872</v>
      </c>
      <c r="AP20" s="102">
        <v>79649870</v>
      </c>
      <c r="AQ20" s="102">
        <v>27687422</v>
      </c>
      <c r="AR20" s="102">
        <v>24920452</v>
      </c>
      <c r="AS20" s="102">
        <v>70423</v>
      </c>
    </row>
    <row r="21" spans="3:85" x14ac:dyDescent="0.25">
      <c r="C21" s="136"/>
      <c r="D21" t="s">
        <v>85</v>
      </c>
      <c r="H21">
        <f>H17/$E$17/8760</f>
        <v>65.865070729053329</v>
      </c>
      <c r="I21">
        <f t="shared" ref="I21:AK21" si="8">I17/$E$17/8760</f>
        <v>67.634058759521224</v>
      </c>
      <c r="J21">
        <f t="shared" si="8"/>
        <v>63.156147986942329</v>
      </c>
      <c r="K21">
        <f t="shared" si="8"/>
        <v>68.409357997823719</v>
      </c>
      <c r="L21">
        <f t="shared" si="8"/>
        <v>65.161153427638737</v>
      </c>
      <c r="M21">
        <f t="shared" si="8"/>
        <v>65.767899891186062</v>
      </c>
      <c r="N21">
        <f t="shared" si="8"/>
        <v>67.763873775843308</v>
      </c>
      <c r="O21">
        <f t="shared" si="8"/>
        <v>68.873014145810657</v>
      </c>
      <c r="P21">
        <f t="shared" si="8"/>
        <v>66.565179542981511</v>
      </c>
      <c r="Q21">
        <f t="shared" si="8"/>
        <v>68.714581066376496</v>
      </c>
      <c r="R21">
        <f t="shared" si="8"/>
        <v>65.976822633297061</v>
      </c>
      <c r="S21">
        <f t="shared" si="8"/>
        <v>68.231447225244835</v>
      </c>
      <c r="T21">
        <f t="shared" si="8"/>
        <v>63.758541893362349</v>
      </c>
      <c r="U21">
        <f t="shared" si="8"/>
        <v>62.626332970620233</v>
      </c>
      <c r="V21">
        <f t="shared" si="8"/>
        <v>63.237867247007628</v>
      </c>
      <c r="W21">
        <f t="shared" si="8"/>
        <v>64.191186071817185</v>
      </c>
      <c r="X21">
        <f t="shared" si="8"/>
        <v>59.661262241566924</v>
      </c>
      <c r="Y21">
        <f t="shared" si="8"/>
        <v>55.57159956474429</v>
      </c>
      <c r="Z21">
        <f t="shared" si="8"/>
        <v>51.806637649619148</v>
      </c>
      <c r="AA21">
        <f t="shared" si="8"/>
        <v>50.254733405875953</v>
      </c>
      <c r="AB21">
        <f t="shared" si="8"/>
        <v>42.727421109902068</v>
      </c>
      <c r="AC21">
        <f t="shared" si="8"/>
        <v>40.256039173014145</v>
      </c>
      <c r="AD21">
        <f t="shared" si="8"/>
        <v>42.078019586507075</v>
      </c>
      <c r="AE21">
        <f t="shared" si="8"/>
        <v>42.428726877040262</v>
      </c>
      <c r="AF21">
        <f t="shared" si="8"/>
        <v>44.96659412404788</v>
      </c>
      <c r="AG21">
        <f t="shared" si="8"/>
        <v>21.685201305767134</v>
      </c>
      <c r="AH21">
        <f t="shared" si="8"/>
        <v>21.326768226332973</v>
      </c>
      <c r="AI21">
        <f t="shared" si="8"/>
        <v>22.581284004352554</v>
      </c>
      <c r="AJ21">
        <f t="shared" si="8"/>
        <v>22.282589771490748</v>
      </c>
      <c r="AK21">
        <f t="shared" si="8"/>
        <v>22.043634385201305</v>
      </c>
      <c r="AM21" t="s">
        <v>84</v>
      </c>
    </row>
    <row r="22" spans="3:85" x14ac:dyDescent="0.25">
      <c r="C22" t="s">
        <v>111</v>
      </c>
      <c r="D22">
        <v>20</v>
      </c>
      <c r="AM22" t="s">
        <v>86</v>
      </c>
      <c r="AN22" s="99">
        <v>6528902</v>
      </c>
      <c r="AO22" s="37">
        <v>6477352</v>
      </c>
      <c r="AP22" s="37">
        <v>12313</v>
      </c>
      <c r="AQ22" s="37">
        <v>13079</v>
      </c>
      <c r="AR22" s="37">
        <v>13079</v>
      </c>
      <c r="AS22" s="37">
        <v>13079</v>
      </c>
    </row>
    <row r="23" spans="3:85" x14ac:dyDescent="0.25">
      <c r="C23" t="s">
        <v>35</v>
      </c>
      <c r="D23" s="36">
        <v>6.7500000000000004E-2</v>
      </c>
      <c r="F23" s="106"/>
      <c r="G23" s="106"/>
      <c r="AM23" t="s">
        <v>87</v>
      </c>
      <c r="AN23" s="99">
        <v>710416</v>
      </c>
      <c r="AO23" s="37">
        <v>72800</v>
      </c>
      <c r="AP23" s="37">
        <v>637616</v>
      </c>
      <c r="AQ23" t="s">
        <v>52</v>
      </c>
      <c r="AR23" t="s">
        <v>52</v>
      </c>
      <c r="AS23" t="s">
        <v>52</v>
      </c>
    </row>
    <row r="24" spans="3:85" x14ac:dyDescent="0.25">
      <c r="C24" s="136" t="s">
        <v>104</v>
      </c>
      <c r="D24" t="s">
        <v>89</v>
      </c>
      <c r="E24">
        <v>2027</v>
      </c>
      <c r="F24" s="106"/>
      <c r="G24" s="106"/>
      <c r="AM24" s="100" t="s">
        <v>90</v>
      </c>
      <c r="AN24" s="101">
        <v>7239318</v>
      </c>
      <c r="AO24" s="102">
        <v>6550152</v>
      </c>
      <c r="AP24" s="102">
        <v>649929</v>
      </c>
      <c r="AQ24" s="102">
        <v>13079</v>
      </c>
      <c r="AR24" s="102">
        <v>13079</v>
      </c>
      <c r="AS24" s="102">
        <v>13079</v>
      </c>
    </row>
    <row r="25" spans="3:85" x14ac:dyDescent="0.25">
      <c r="C25" s="136"/>
      <c r="D25" t="s">
        <v>83</v>
      </c>
      <c r="E25" s="1">
        <v>2034</v>
      </c>
      <c r="F25" s="106"/>
      <c r="G25" s="106"/>
      <c r="AM25" t="s">
        <v>85</v>
      </c>
    </row>
    <row r="26" spans="3:85" x14ac:dyDescent="0.25">
      <c r="C26" s="136"/>
      <c r="D26" t="s">
        <v>95</v>
      </c>
      <c r="E26" s="1">
        <v>2028</v>
      </c>
      <c r="F26" s="106"/>
      <c r="G26" s="106"/>
      <c r="AM26" t="s">
        <v>86</v>
      </c>
      <c r="AN26" s="99">
        <v>34456319</v>
      </c>
      <c r="AO26" s="37">
        <v>12424129</v>
      </c>
      <c r="AP26" s="37">
        <v>6958906</v>
      </c>
      <c r="AQ26" s="37">
        <v>15022484</v>
      </c>
      <c r="AR26" s="37">
        <v>25359</v>
      </c>
      <c r="AS26" s="37">
        <v>25441</v>
      </c>
    </row>
    <row r="27" spans="3:85" x14ac:dyDescent="0.25">
      <c r="C27" s="136"/>
      <c r="D27" t="s">
        <v>85</v>
      </c>
      <c r="E27" s="1">
        <v>2034</v>
      </c>
      <c r="F27" s="106"/>
      <c r="G27" s="106"/>
      <c r="AM27" t="s">
        <v>87</v>
      </c>
      <c r="AN27" s="99">
        <v>21118866</v>
      </c>
      <c r="AO27" s="37">
        <v>6746586</v>
      </c>
      <c r="AP27" s="37">
        <v>10023120</v>
      </c>
      <c r="AQ27" s="37">
        <v>4349160</v>
      </c>
      <c r="AR27" t="s">
        <v>52</v>
      </c>
      <c r="AS27" t="s">
        <v>52</v>
      </c>
    </row>
    <row r="28" spans="3:85" x14ac:dyDescent="0.25">
      <c r="C28" s="136" t="s">
        <v>110</v>
      </c>
      <c r="D28" t="s">
        <v>89</v>
      </c>
      <c r="E28" s="106">
        <f>NPV(D23,AO24:AU24)</f>
        <v>6736567.0369666154</v>
      </c>
      <c r="F28" s="106"/>
      <c r="G28" s="106"/>
      <c r="AM28" s="100" t="s">
        <v>91</v>
      </c>
      <c r="AN28" s="101">
        <v>55575185</v>
      </c>
      <c r="AO28" s="102">
        <v>19170715</v>
      </c>
      <c r="AP28" s="102">
        <v>16982026</v>
      </c>
      <c r="AQ28" s="102">
        <v>19371644</v>
      </c>
      <c r="AR28" s="102">
        <v>25359</v>
      </c>
      <c r="AS28" s="102">
        <v>25441</v>
      </c>
    </row>
    <row r="29" spans="3:85" x14ac:dyDescent="0.25">
      <c r="C29" s="136"/>
      <c r="D29" t="s">
        <v>83</v>
      </c>
      <c r="E29" s="106">
        <f>NPV(D23,AO20:BD20)</f>
        <v>179847308.95385692</v>
      </c>
      <c r="F29" s="106"/>
      <c r="G29" s="106"/>
    </row>
    <row r="30" spans="3:85" x14ac:dyDescent="0.25">
      <c r="C30" s="136"/>
      <c r="D30" t="s">
        <v>95</v>
      </c>
      <c r="E30" s="106">
        <f>NPV(D23,AO45:BF45)</f>
        <v>58159345.971966513</v>
      </c>
      <c r="F30" s="106"/>
      <c r="G30" s="106"/>
      <c r="AM30" s="98" t="s">
        <v>97</v>
      </c>
      <c r="AN30" s="98" t="s">
        <v>94</v>
      </c>
      <c r="AO30">
        <v>2021</v>
      </c>
      <c r="AP30">
        <v>2022</v>
      </c>
      <c r="AQ30">
        <v>2023</v>
      </c>
      <c r="AR30">
        <v>2024</v>
      </c>
      <c r="AS30">
        <v>2025</v>
      </c>
      <c r="AT30">
        <v>2026</v>
      </c>
      <c r="AU30">
        <v>2027</v>
      </c>
      <c r="AV30">
        <v>2028</v>
      </c>
      <c r="AW30">
        <v>2029</v>
      </c>
      <c r="AX30">
        <v>2030</v>
      </c>
      <c r="AY30">
        <v>2031</v>
      </c>
      <c r="AZ30">
        <v>2032</v>
      </c>
      <c r="BA30">
        <v>2033</v>
      </c>
      <c r="BB30">
        <v>2034</v>
      </c>
      <c r="BC30">
        <v>2035</v>
      </c>
      <c r="BD30">
        <v>2036</v>
      </c>
      <c r="BE30">
        <v>2037</v>
      </c>
      <c r="BF30">
        <v>2038</v>
      </c>
      <c r="BG30">
        <v>2039</v>
      </c>
      <c r="BH30">
        <v>2040</v>
      </c>
      <c r="BI30">
        <v>2041</v>
      </c>
      <c r="BJ30">
        <v>2042</v>
      </c>
      <c r="BK30">
        <v>2043</v>
      </c>
      <c r="BL30">
        <v>2044</v>
      </c>
      <c r="BM30">
        <v>2045</v>
      </c>
      <c r="BN30">
        <v>2046</v>
      </c>
      <c r="BO30">
        <v>2047</v>
      </c>
      <c r="BP30">
        <v>2048</v>
      </c>
      <c r="BQ30">
        <v>2049</v>
      </c>
      <c r="BR30">
        <v>2050</v>
      </c>
      <c r="BS30">
        <v>2051</v>
      </c>
      <c r="BT30">
        <v>2052</v>
      </c>
      <c r="BU30">
        <v>2053</v>
      </c>
      <c r="BV30">
        <v>2054</v>
      </c>
      <c r="BW30">
        <v>2055</v>
      </c>
      <c r="BX30">
        <v>2056</v>
      </c>
      <c r="BY30">
        <v>2057</v>
      </c>
      <c r="BZ30">
        <v>2058</v>
      </c>
      <c r="CA30">
        <v>2059</v>
      </c>
      <c r="CB30">
        <v>2060</v>
      </c>
      <c r="CC30">
        <v>2061</v>
      </c>
      <c r="CD30">
        <v>2062</v>
      </c>
      <c r="CE30">
        <v>2063</v>
      </c>
      <c r="CF30">
        <v>2064</v>
      </c>
      <c r="CG30">
        <v>2065</v>
      </c>
    </row>
    <row r="31" spans="3:85" x14ac:dyDescent="0.25">
      <c r="C31" s="136"/>
      <c r="D31" t="s">
        <v>85</v>
      </c>
      <c r="E31" s="106">
        <f>NPV(D23,AO49:CG49)</f>
        <v>52902565.839283437</v>
      </c>
      <c r="F31" s="106"/>
      <c r="G31" s="106"/>
      <c r="AM31" t="s">
        <v>95</v>
      </c>
    </row>
    <row r="32" spans="3:85" ht="14.45" customHeight="1" x14ac:dyDescent="0.25">
      <c r="C32" s="136" t="s">
        <v>106</v>
      </c>
      <c r="D32" t="s">
        <v>89</v>
      </c>
      <c r="E32" s="106">
        <f>E28/E14</f>
        <v>16470.824051263116</v>
      </c>
      <c r="F32" s="106"/>
      <c r="G32" s="106"/>
      <c r="AM32" t="s">
        <v>86</v>
      </c>
      <c r="AN32" s="99">
        <f>SUM(AO32:BF32)</f>
        <v>5584973</v>
      </c>
      <c r="AO32" s="37">
        <v>-482440</v>
      </c>
      <c r="AP32" s="37">
        <v>41300</v>
      </c>
      <c r="AQ32" s="37">
        <v>-192716</v>
      </c>
      <c r="AR32" s="37">
        <v>184541</v>
      </c>
      <c r="AS32" s="37">
        <v>475822</v>
      </c>
      <c r="AT32" s="37">
        <v>485338</v>
      </c>
      <c r="AU32" s="37">
        <v>495045</v>
      </c>
      <c r="AV32" s="37">
        <v>376217</v>
      </c>
      <c r="AW32" s="37">
        <v>383742</v>
      </c>
      <c r="AX32" s="37">
        <v>391417</v>
      </c>
      <c r="AY32" s="37">
        <v>399245</v>
      </c>
      <c r="AZ32" s="37">
        <v>407230</v>
      </c>
      <c r="BA32" s="37">
        <v>415374</v>
      </c>
      <c r="BB32" s="37">
        <v>423682</v>
      </c>
      <c r="BC32" s="37">
        <v>432155</v>
      </c>
      <c r="BD32" s="37">
        <v>440799</v>
      </c>
      <c r="BE32" s="37">
        <v>449615</v>
      </c>
      <c r="BF32" s="37">
        <v>458607</v>
      </c>
    </row>
    <row r="33" spans="3:85" x14ac:dyDescent="0.25">
      <c r="C33" s="136"/>
      <c r="D33" t="s">
        <v>83</v>
      </c>
      <c r="E33" s="106">
        <f t="shared" ref="E33:E35" si="9">E29/E15</f>
        <v>93719.285541353267</v>
      </c>
      <c r="F33" s="106"/>
      <c r="G33" s="106"/>
      <c r="AM33" t="s">
        <v>87</v>
      </c>
      <c r="AN33" s="99">
        <f t="shared" ref="AN33:AN34" si="10">SUM(AO33:BF33)</f>
        <v>45291906</v>
      </c>
      <c r="AO33" t="s">
        <v>52</v>
      </c>
      <c r="AP33" t="s">
        <v>52</v>
      </c>
      <c r="AQ33" t="s">
        <v>52</v>
      </c>
      <c r="AR33" s="37">
        <v>1644148</v>
      </c>
      <c r="AS33" s="37">
        <v>3441759</v>
      </c>
      <c r="AT33" s="37">
        <v>3510594</v>
      </c>
      <c r="AU33" s="37">
        <v>3580806</v>
      </c>
      <c r="AV33" s="37">
        <v>2721290</v>
      </c>
      <c r="AW33" s="37">
        <v>2775715</v>
      </c>
      <c r="AX33" s="37">
        <v>2831230</v>
      </c>
      <c r="AY33" s="37">
        <v>2887854</v>
      </c>
      <c r="AZ33" s="37">
        <v>2945611</v>
      </c>
      <c r="BA33" s="37">
        <v>3004524</v>
      </c>
      <c r="BB33" s="37">
        <v>3064614</v>
      </c>
      <c r="BC33" s="37">
        <v>3125906</v>
      </c>
      <c r="BD33" s="37">
        <v>3188425</v>
      </c>
      <c r="BE33" s="37">
        <v>3252193</v>
      </c>
      <c r="BF33" s="37">
        <v>3317237</v>
      </c>
    </row>
    <row r="34" spans="3:85" x14ac:dyDescent="0.25">
      <c r="C34" s="136"/>
      <c r="D34" t="s">
        <v>95</v>
      </c>
      <c r="E34" s="106">
        <f t="shared" si="9"/>
        <v>39699.212267553936</v>
      </c>
      <c r="F34" s="106"/>
      <c r="G34" s="106"/>
      <c r="AM34" s="100" t="s">
        <v>96</v>
      </c>
      <c r="AN34" s="101">
        <f t="shared" si="10"/>
        <v>50876879</v>
      </c>
      <c r="AO34" s="102">
        <v>-482440</v>
      </c>
      <c r="AP34" s="102">
        <v>41300</v>
      </c>
      <c r="AQ34" s="102">
        <v>-192716</v>
      </c>
      <c r="AR34" s="102">
        <v>1828689</v>
      </c>
      <c r="AS34" s="102">
        <v>3917581</v>
      </c>
      <c r="AT34" s="102">
        <v>3995933</v>
      </c>
      <c r="AU34" s="102">
        <v>4075851</v>
      </c>
      <c r="AV34" s="102">
        <v>3097507</v>
      </c>
      <c r="AW34" s="102">
        <v>3159457</v>
      </c>
      <c r="AX34" s="102">
        <v>3222646</v>
      </c>
      <c r="AY34" s="102">
        <v>3287099</v>
      </c>
      <c r="AZ34" s="102">
        <v>3352841</v>
      </c>
      <c r="BA34" s="102">
        <v>3419898</v>
      </c>
      <c r="BB34" s="102">
        <v>3488296</v>
      </c>
      <c r="BC34" s="102">
        <v>3558062</v>
      </c>
      <c r="BD34" s="102">
        <v>3629223</v>
      </c>
      <c r="BE34" s="102">
        <v>3701808</v>
      </c>
      <c r="BF34" s="102">
        <v>3775844</v>
      </c>
    </row>
    <row r="35" spans="3:85" x14ac:dyDescent="0.25">
      <c r="C35" s="136"/>
      <c r="D35" t="s">
        <v>85</v>
      </c>
      <c r="E35" s="106">
        <f t="shared" si="9"/>
        <v>57565.35999922028</v>
      </c>
      <c r="F35" s="106"/>
      <c r="G35" s="106"/>
      <c r="AM35" t="s">
        <v>85</v>
      </c>
    </row>
    <row r="36" spans="3:85" x14ac:dyDescent="0.25">
      <c r="C36" s="104"/>
      <c r="E36" s="106"/>
      <c r="F36" s="106"/>
      <c r="G36" s="106"/>
    </row>
    <row r="37" spans="3:85" x14ac:dyDescent="0.25">
      <c r="C37" s="136" t="s">
        <v>107</v>
      </c>
      <c r="D37" t="s">
        <v>89</v>
      </c>
      <c r="E37" s="105">
        <f>AVERAGE(H18:N18)/100</f>
        <v>0.22385714285714289</v>
      </c>
      <c r="F37" s="105"/>
      <c r="G37" s="105"/>
      <c r="AM37" t="s">
        <v>86</v>
      </c>
      <c r="AN37" s="99">
        <f>SUM(AO37:CG37)</f>
        <v>155991416</v>
      </c>
      <c r="AO37" s="37">
        <v>1773099</v>
      </c>
      <c r="AP37" s="37">
        <v>1921384</v>
      </c>
      <c r="AQ37" s="37">
        <v>2915512</v>
      </c>
      <c r="AR37" s="37">
        <v>2995479</v>
      </c>
      <c r="AS37" s="37">
        <v>3101980</v>
      </c>
      <c r="AT37" s="37">
        <v>3164019</v>
      </c>
      <c r="AU37" s="37">
        <v>3227300</v>
      </c>
      <c r="AV37" s="37">
        <v>3291846</v>
      </c>
      <c r="AW37" s="37">
        <v>3357683</v>
      </c>
      <c r="AX37" s="37">
        <v>3424836</v>
      </c>
      <c r="AY37" s="37">
        <v>3493333</v>
      </c>
      <c r="AZ37" s="37">
        <v>3563200</v>
      </c>
      <c r="BA37" s="37">
        <v>3634464</v>
      </c>
      <c r="BB37" s="37">
        <v>3707153</v>
      </c>
      <c r="BC37" s="37">
        <v>3781296</v>
      </c>
      <c r="BD37" s="37">
        <v>3856922</v>
      </c>
      <c r="BE37" s="37">
        <v>3934060</v>
      </c>
      <c r="BF37" s="37">
        <v>4012741</v>
      </c>
      <c r="BG37" s="37">
        <v>4092996</v>
      </c>
      <c r="BH37" s="37">
        <v>4174856</v>
      </c>
      <c r="BI37" s="37">
        <v>4258353</v>
      </c>
      <c r="BJ37" s="37">
        <v>4343520</v>
      </c>
      <c r="BK37" s="37">
        <v>4430391</v>
      </c>
      <c r="BL37" s="37">
        <v>4518999</v>
      </c>
      <c r="BM37" s="37">
        <v>2754339</v>
      </c>
      <c r="BN37" s="37">
        <v>2809426</v>
      </c>
      <c r="BO37" s="37">
        <v>2865614</v>
      </c>
      <c r="BP37" s="37">
        <v>2922926</v>
      </c>
      <c r="BQ37" s="37">
        <v>2981385</v>
      </c>
      <c r="BR37" s="37">
        <v>3041013</v>
      </c>
      <c r="BS37" s="37">
        <v>3101833</v>
      </c>
      <c r="BT37" s="37">
        <v>3163870</v>
      </c>
      <c r="BU37" s="37">
        <v>3227147</v>
      </c>
      <c r="BV37" s="37">
        <v>3291690</v>
      </c>
      <c r="BW37" s="37">
        <v>3357524</v>
      </c>
      <c r="BX37" s="37">
        <v>3424674</v>
      </c>
      <c r="BY37" s="37">
        <v>3493168</v>
      </c>
      <c r="BZ37" s="37">
        <v>3563031</v>
      </c>
      <c r="CA37" s="37">
        <v>3634292</v>
      </c>
      <c r="CB37" s="37">
        <v>3706977</v>
      </c>
      <c r="CC37" s="37">
        <v>3781117</v>
      </c>
      <c r="CD37" s="37">
        <v>3856739</v>
      </c>
      <c r="CE37" s="37">
        <v>3933874</v>
      </c>
      <c r="CF37" s="37">
        <v>4012552</v>
      </c>
      <c r="CG37" s="37">
        <v>4092803</v>
      </c>
    </row>
    <row r="38" spans="3:85" x14ac:dyDescent="0.25">
      <c r="C38" s="136"/>
      <c r="D38" t="s">
        <v>83</v>
      </c>
      <c r="E38" s="105">
        <f>AVERAGE(H19:X19)/100</f>
        <v>0.49805624865892156</v>
      </c>
      <c r="F38" s="105"/>
      <c r="G38" s="105"/>
      <c r="AM38" t="s">
        <v>87</v>
      </c>
      <c r="AN38" s="99">
        <f t="shared" ref="AN38:AN39" si="11">SUM(AO38:CG38)</f>
        <v>69950348</v>
      </c>
      <c r="AO38" t="s">
        <v>52</v>
      </c>
      <c r="AP38" t="s">
        <v>52</v>
      </c>
      <c r="AQ38" s="37">
        <v>669718</v>
      </c>
      <c r="AR38" s="37">
        <v>1388151</v>
      </c>
      <c r="AS38" s="37">
        <v>1438670</v>
      </c>
      <c r="AT38" s="37">
        <v>1467444</v>
      </c>
      <c r="AU38" s="37">
        <v>1496792</v>
      </c>
      <c r="AV38" s="37">
        <v>1526728</v>
      </c>
      <c r="AW38" s="37">
        <v>1557263</v>
      </c>
      <c r="AX38" s="37">
        <v>1588408</v>
      </c>
      <c r="AY38" s="37">
        <v>1620176</v>
      </c>
      <c r="AZ38" s="37">
        <v>1652580</v>
      </c>
      <c r="BA38" s="37">
        <v>1685631</v>
      </c>
      <c r="BB38" s="37">
        <v>1719344</v>
      </c>
      <c r="BC38" s="37">
        <v>1753731</v>
      </c>
      <c r="BD38" s="37">
        <v>1788806</v>
      </c>
      <c r="BE38" s="37">
        <v>1824582</v>
      </c>
      <c r="BF38" s="37">
        <v>1861073</v>
      </c>
      <c r="BG38" s="37">
        <v>1898295</v>
      </c>
      <c r="BH38" s="37">
        <v>1936261</v>
      </c>
      <c r="BI38" s="37">
        <v>1974986</v>
      </c>
      <c r="BJ38" s="37">
        <v>2014486</v>
      </c>
      <c r="BK38" s="37">
        <v>2054775</v>
      </c>
      <c r="BL38" s="37">
        <v>2095871</v>
      </c>
      <c r="BM38" s="37">
        <v>1277438</v>
      </c>
      <c r="BN38" s="37">
        <v>1302986</v>
      </c>
      <c r="BO38" s="37">
        <v>1329046</v>
      </c>
      <c r="BP38" s="37">
        <v>1355627</v>
      </c>
      <c r="BQ38" s="37">
        <v>1382739</v>
      </c>
      <c r="BR38" s="37">
        <v>1410394</v>
      </c>
      <c r="BS38" s="37">
        <v>1438602</v>
      </c>
      <c r="BT38" s="37">
        <v>1467374</v>
      </c>
      <c r="BU38" s="37">
        <v>1496722</v>
      </c>
      <c r="BV38" s="37">
        <v>1526656</v>
      </c>
      <c r="BW38" s="37">
        <v>1557189</v>
      </c>
      <c r="BX38" s="37">
        <v>1588333</v>
      </c>
      <c r="BY38" s="37">
        <v>1620100</v>
      </c>
      <c r="BZ38" s="37">
        <v>1652502</v>
      </c>
      <c r="CA38" s="37">
        <v>1685552</v>
      </c>
      <c r="CB38" s="37">
        <v>1719263</v>
      </c>
      <c r="CC38" s="37">
        <v>1753648</v>
      </c>
      <c r="CD38" s="37">
        <v>1788721</v>
      </c>
      <c r="CE38" s="37">
        <v>1824495</v>
      </c>
      <c r="CF38" s="37">
        <v>1860985</v>
      </c>
      <c r="CG38" s="37">
        <v>1898205</v>
      </c>
    </row>
    <row r="39" spans="3:85" x14ac:dyDescent="0.25">
      <c r="C39" s="136"/>
      <c r="D39" t="s">
        <v>95</v>
      </c>
      <c r="E39" s="105">
        <f>AVERAGE(H20:Z20)/100</f>
        <v>0.48803502784264402</v>
      </c>
      <c r="F39" s="105"/>
      <c r="G39" s="105"/>
      <c r="AM39" s="100" t="s">
        <v>91</v>
      </c>
      <c r="AN39" s="101">
        <f t="shared" si="11"/>
        <v>225941758</v>
      </c>
      <c r="AO39" s="102">
        <v>1773099</v>
      </c>
      <c r="AP39" s="102">
        <v>1921384</v>
      </c>
      <c r="AQ39" s="102">
        <v>3585229</v>
      </c>
      <c r="AR39" s="102">
        <v>4383630</v>
      </c>
      <c r="AS39" s="102">
        <v>4540650</v>
      </c>
      <c r="AT39" s="102">
        <v>4631463</v>
      </c>
      <c r="AU39" s="102">
        <v>4724092</v>
      </c>
      <c r="AV39" s="102">
        <v>4818574</v>
      </c>
      <c r="AW39" s="102">
        <v>4914945</v>
      </c>
      <c r="AX39" s="102">
        <v>5013244</v>
      </c>
      <c r="AY39" s="102">
        <v>5113509</v>
      </c>
      <c r="AZ39" s="102">
        <v>5215779</v>
      </c>
      <c r="BA39" s="102">
        <v>5320095</v>
      </c>
      <c r="BB39" s="102">
        <v>5426497</v>
      </c>
      <c r="BC39" s="102">
        <v>5535027</v>
      </c>
      <c r="BD39" s="102">
        <v>5645727</v>
      </c>
      <c r="BE39" s="102">
        <v>5758642</v>
      </c>
      <c r="BF39" s="102">
        <v>5873815</v>
      </c>
      <c r="BG39" s="102">
        <v>5991291</v>
      </c>
      <c r="BH39" s="102">
        <v>6111117</v>
      </c>
      <c r="BI39" s="102">
        <v>6233339</v>
      </c>
      <c r="BJ39" s="102">
        <v>6358006</v>
      </c>
      <c r="BK39" s="102">
        <v>6485166</v>
      </c>
      <c r="BL39" s="102">
        <v>6614869</v>
      </c>
      <c r="BM39" s="102">
        <v>4031776</v>
      </c>
      <c r="BN39" s="102">
        <v>4112412</v>
      </c>
      <c r="BO39" s="102">
        <v>4194660</v>
      </c>
      <c r="BP39" s="102">
        <v>4278553</v>
      </c>
      <c r="BQ39" s="102">
        <v>4364124</v>
      </c>
      <c r="BR39" s="102">
        <v>4451407</v>
      </c>
      <c r="BS39" s="102">
        <v>4540435</v>
      </c>
      <c r="BT39" s="102">
        <v>4631244</v>
      </c>
      <c r="BU39" s="102">
        <v>4723869</v>
      </c>
      <c r="BV39" s="102">
        <v>4818346</v>
      </c>
      <c r="BW39" s="102">
        <v>4914713</v>
      </c>
      <c r="BX39" s="102">
        <v>5013007</v>
      </c>
      <c r="BY39" s="102">
        <v>5113267</v>
      </c>
      <c r="BZ39" s="102">
        <v>5215533</v>
      </c>
      <c r="CA39" s="102">
        <v>5319843</v>
      </c>
      <c r="CB39" s="102">
        <v>5426240</v>
      </c>
      <c r="CC39" s="102">
        <v>5534765</v>
      </c>
      <c r="CD39" s="102">
        <v>5645460</v>
      </c>
      <c r="CE39" s="102">
        <v>5758370</v>
      </c>
      <c r="CF39" s="102">
        <v>5873537</v>
      </c>
      <c r="CG39" s="102">
        <v>5991008</v>
      </c>
    </row>
    <row r="40" spans="3:85" x14ac:dyDescent="0.25">
      <c r="C40" s="136"/>
      <c r="D40" t="s">
        <v>85</v>
      </c>
      <c r="E40" s="105">
        <f>AVERAGE(H21:AK21)/100</f>
        <v>0.53186768226332948</v>
      </c>
      <c r="F40" s="105"/>
      <c r="G40" s="105"/>
    </row>
    <row r="41" spans="3:85" x14ac:dyDescent="0.25">
      <c r="C41" s="136" t="s">
        <v>26</v>
      </c>
      <c r="E41" s="107">
        <f>(D23*(1+D23)^D22)/(((1+D23)^D22)-1)</f>
        <v>9.256669557445657E-2</v>
      </c>
      <c r="F41" s="115"/>
      <c r="G41" s="115"/>
      <c r="AM41" s="98" t="s">
        <v>98</v>
      </c>
      <c r="AN41" s="98" t="s">
        <v>94</v>
      </c>
      <c r="AO41">
        <v>2021</v>
      </c>
      <c r="AP41">
        <v>2022</v>
      </c>
      <c r="AQ41">
        <v>2023</v>
      </c>
      <c r="AR41">
        <v>2024</v>
      </c>
      <c r="AS41">
        <v>2025</v>
      </c>
    </row>
    <row r="42" spans="3:85" x14ac:dyDescent="0.25">
      <c r="C42" s="136"/>
      <c r="AM42" t="s">
        <v>95</v>
      </c>
    </row>
    <row r="43" spans="3:85" x14ac:dyDescent="0.25">
      <c r="C43" s="136"/>
      <c r="AM43" t="s">
        <v>86</v>
      </c>
      <c r="AN43" s="99">
        <v>6083502</v>
      </c>
      <c r="AO43" s="37">
        <v>5841051</v>
      </c>
      <c r="AP43" s="37">
        <v>57918</v>
      </c>
      <c r="AQ43" s="37">
        <v>61511</v>
      </c>
      <c r="AR43" s="37">
        <v>61511</v>
      </c>
      <c r="AS43" s="37">
        <v>61511</v>
      </c>
    </row>
    <row r="44" spans="3:85" x14ac:dyDescent="0.25">
      <c r="C44" s="136"/>
      <c r="AM44" t="s">
        <v>87</v>
      </c>
      <c r="AN44" s="99">
        <v>60731067</v>
      </c>
      <c r="AO44" s="37">
        <v>15770067</v>
      </c>
      <c r="AP44" s="37">
        <v>23993000</v>
      </c>
      <c r="AQ44" s="37">
        <v>10007000</v>
      </c>
      <c r="AR44" s="37">
        <v>10961000</v>
      </c>
      <c r="AS44" t="s">
        <v>52</v>
      </c>
    </row>
    <row r="45" spans="3:85" x14ac:dyDescent="0.25">
      <c r="C45" s="136" t="s">
        <v>108</v>
      </c>
      <c r="D45" t="s">
        <v>89</v>
      </c>
      <c r="E45" s="106">
        <f>E28*$E$41</f>
        <v>623581.75012780761</v>
      </c>
      <c r="F45" s="106"/>
      <c r="G45" s="106"/>
      <c r="AM45" s="100" t="s">
        <v>96</v>
      </c>
      <c r="AN45" s="101">
        <v>66814569</v>
      </c>
      <c r="AO45" s="102">
        <v>21611118</v>
      </c>
      <c r="AP45" s="102">
        <v>24050918</v>
      </c>
      <c r="AQ45" s="102">
        <v>10068511</v>
      </c>
      <c r="AR45" s="102">
        <v>11022511</v>
      </c>
      <c r="AS45" s="102">
        <v>61511</v>
      </c>
    </row>
    <row r="46" spans="3:85" x14ac:dyDescent="0.25">
      <c r="C46" s="136"/>
      <c r="D46" t="s">
        <v>83</v>
      </c>
      <c r="E46" s="106">
        <f t="shared" ref="E46:E48" si="12">E29*$E$41</f>
        <v>16647871.097816911</v>
      </c>
      <c r="F46" s="106"/>
      <c r="G46" s="106"/>
      <c r="AM46" t="s">
        <v>85</v>
      </c>
    </row>
    <row r="47" spans="3:85" x14ac:dyDescent="0.25">
      <c r="C47" s="136"/>
      <c r="D47" t="s">
        <v>95</v>
      </c>
      <c r="E47" s="106">
        <f t="shared" si="12"/>
        <v>5383618.4733965211</v>
      </c>
      <c r="F47" s="106"/>
      <c r="G47" s="106"/>
      <c r="AM47" t="s">
        <v>86</v>
      </c>
      <c r="AN47" s="99">
        <v>37339026</v>
      </c>
      <c r="AO47" s="37">
        <v>13472249</v>
      </c>
      <c r="AP47" s="37">
        <v>7538837</v>
      </c>
      <c r="AQ47" s="37">
        <v>16273904</v>
      </c>
      <c r="AR47" s="37">
        <v>27018</v>
      </c>
      <c r="AS47" s="37">
        <v>27018</v>
      </c>
    </row>
    <row r="48" spans="3:85" ht="15.75" thickBot="1" x14ac:dyDescent="0.3">
      <c r="C48" s="136"/>
      <c r="D48" t="s">
        <v>85</v>
      </c>
      <c r="E48" s="106">
        <f t="shared" si="12"/>
        <v>4897015.7071525957</v>
      </c>
      <c r="F48" s="106"/>
      <c r="G48" s="106"/>
      <c r="AM48" t="s">
        <v>87</v>
      </c>
      <c r="AN48" s="99">
        <v>22878771</v>
      </c>
      <c r="AO48" s="37">
        <v>7308801</v>
      </c>
      <c r="AP48" s="37">
        <v>10858380</v>
      </c>
      <c r="AQ48" s="37">
        <v>4711590</v>
      </c>
      <c r="AR48" t="s">
        <v>52</v>
      </c>
      <c r="AS48" t="s">
        <v>52</v>
      </c>
    </row>
    <row r="49" spans="3:85" ht="14.45" customHeight="1" x14ac:dyDescent="0.25">
      <c r="C49" s="108" t="s">
        <v>109</v>
      </c>
      <c r="D49" s="109" t="s">
        <v>16</v>
      </c>
      <c r="E49" s="110">
        <f>(SUM(E34,(E35*F13))*E41)/(1*AVERAGE(E39:E40)*8760)</f>
        <v>1.0492686678498959</v>
      </c>
      <c r="F49" s="116"/>
      <c r="G49" s="116"/>
      <c r="AM49" s="100" t="s">
        <v>91</v>
      </c>
      <c r="AN49" s="101">
        <v>60217797</v>
      </c>
      <c r="AO49" s="102">
        <v>20781050</v>
      </c>
      <c r="AP49" s="102">
        <v>18397217</v>
      </c>
      <c r="AQ49" s="102">
        <v>20985494</v>
      </c>
      <c r="AR49" s="102">
        <v>27018</v>
      </c>
      <c r="AS49" s="102">
        <v>27018</v>
      </c>
    </row>
    <row r="50" spans="3:85" ht="30.75" thickBot="1" x14ac:dyDescent="0.3">
      <c r="C50" s="111" t="s">
        <v>112</v>
      </c>
      <c r="D50" s="112" t="s">
        <v>16</v>
      </c>
      <c r="E50" s="113">
        <f>E49/1000</f>
        <v>1.0492686678498959E-3</v>
      </c>
      <c r="F50" s="117"/>
      <c r="G50" s="117"/>
    </row>
    <row r="51" spans="3:85" ht="30" x14ac:dyDescent="0.25">
      <c r="C51" s="108" t="s">
        <v>109</v>
      </c>
      <c r="D51" s="109" t="s">
        <v>15</v>
      </c>
      <c r="E51" s="110">
        <f>(SUM(E32:E33,(E35*G13))*E41)/(1*AVERAGE(E40,E37:E38)*8760)</f>
        <v>3.9650279399417623</v>
      </c>
      <c r="AM51" s="98" t="s">
        <v>99</v>
      </c>
      <c r="AN51" s="99">
        <f>SUM(AN6,AN10,AN14,AN34,AN39)</f>
        <v>725145925</v>
      </c>
      <c r="AO51" s="99">
        <f t="shared" ref="AO51:CG51" si="13">SUM(AO6,AO10,AO14,AO34,AO39)</f>
        <v>13788273</v>
      </c>
      <c r="AP51" s="99">
        <f t="shared" si="13"/>
        <v>14389760</v>
      </c>
      <c r="AQ51" s="99">
        <f t="shared" si="13"/>
        <v>18825415</v>
      </c>
      <c r="AR51" s="99">
        <f t="shared" si="13"/>
        <v>26720327</v>
      </c>
      <c r="AS51" s="99">
        <f t="shared" si="13"/>
        <v>31877027</v>
      </c>
      <c r="AT51" s="99">
        <f t="shared" si="13"/>
        <v>32514568</v>
      </c>
      <c r="AU51" s="99">
        <f t="shared" si="13"/>
        <v>33164857</v>
      </c>
      <c r="AV51" s="99">
        <f t="shared" si="13"/>
        <v>29042391</v>
      </c>
      <c r="AW51" s="99">
        <f t="shared" si="13"/>
        <v>29623238</v>
      </c>
      <c r="AX51" s="99">
        <f t="shared" si="13"/>
        <v>30215703</v>
      </c>
      <c r="AY51" s="99">
        <f t="shared" si="13"/>
        <v>30820017</v>
      </c>
      <c r="AZ51" s="99">
        <f t="shared" si="13"/>
        <v>31436417</v>
      </c>
      <c r="BA51" s="99">
        <f t="shared" si="13"/>
        <v>32065146</v>
      </c>
      <c r="BB51" s="99">
        <f t="shared" si="13"/>
        <v>23258001</v>
      </c>
      <c r="BC51" s="99">
        <f t="shared" si="13"/>
        <v>23723161</v>
      </c>
      <c r="BD51" s="99">
        <f t="shared" si="13"/>
        <v>24197623</v>
      </c>
      <c r="BE51" s="99">
        <f t="shared" si="13"/>
        <v>14665252</v>
      </c>
      <c r="BF51" s="99">
        <f>SUM(BF6,BF10,BF14,BF34,BF39)</f>
        <v>14958557</v>
      </c>
      <c r="BG51" s="99">
        <f t="shared" si="13"/>
        <v>11406367</v>
      </c>
      <c r="BH51" s="99">
        <f t="shared" si="13"/>
        <v>11634494</v>
      </c>
      <c r="BI51" s="99">
        <f t="shared" si="13"/>
        <v>11867184</v>
      </c>
      <c r="BJ51" s="99">
        <f t="shared" si="13"/>
        <v>12104528</v>
      </c>
      <c r="BK51" s="99">
        <f t="shared" si="13"/>
        <v>12346618</v>
      </c>
      <c r="BL51" s="99">
        <f t="shared" si="13"/>
        <v>12593550</v>
      </c>
      <c r="BM51" s="99">
        <f t="shared" si="13"/>
        <v>7675794</v>
      </c>
      <c r="BN51" s="99">
        <f t="shared" si="13"/>
        <v>7829311</v>
      </c>
      <c r="BO51" s="99">
        <f t="shared" si="13"/>
        <v>7985897</v>
      </c>
      <c r="BP51" s="99">
        <f t="shared" si="13"/>
        <v>8145614</v>
      </c>
      <c r="BQ51" s="99">
        <f t="shared" si="13"/>
        <v>8308527</v>
      </c>
      <c r="BR51" s="99">
        <f t="shared" si="13"/>
        <v>8474698</v>
      </c>
      <c r="BS51" s="99">
        <f t="shared" si="13"/>
        <v>8644192</v>
      </c>
      <c r="BT51" s="99">
        <f t="shared" si="13"/>
        <v>8817076</v>
      </c>
      <c r="BU51" s="99">
        <f t="shared" si="13"/>
        <v>8993417</v>
      </c>
      <c r="BV51" s="99">
        <f t="shared" si="13"/>
        <v>9173285</v>
      </c>
      <c r="BW51" s="99">
        <f t="shared" si="13"/>
        <v>9356751</v>
      </c>
      <c r="BX51" s="99">
        <f t="shared" si="13"/>
        <v>9543886</v>
      </c>
      <c r="BY51" s="99">
        <f t="shared" si="13"/>
        <v>9734763</v>
      </c>
      <c r="BZ51" s="99">
        <f t="shared" si="13"/>
        <v>9929459</v>
      </c>
      <c r="CA51" s="99">
        <f t="shared" si="13"/>
        <v>10128048</v>
      </c>
      <c r="CB51" s="99">
        <f t="shared" si="13"/>
        <v>10330609</v>
      </c>
      <c r="CC51" s="99">
        <f t="shared" si="13"/>
        <v>10537221</v>
      </c>
      <c r="CD51" s="99">
        <f t="shared" si="13"/>
        <v>10747965</v>
      </c>
      <c r="CE51" s="99">
        <f t="shared" si="13"/>
        <v>10962926</v>
      </c>
      <c r="CF51" s="99">
        <f t="shared" si="13"/>
        <v>11182184</v>
      </c>
      <c r="CG51" s="99">
        <f t="shared" si="13"/>
        <v>11405828</v>
      </c>
    </row>
    <row r="52" spans="3:85" ht="30.75" thickBot="1" x14ac:dyDescent="0.3">
      <c r="C52" s="111" t="s">
        <v>112</v>
      </c>
      <c r="D52" s="112" t="s">
        <v>15</v>
      </c>
      <c r="E52" s="113">
        <f>E51/1000</f>
        <v>3.9650279399417619E-3</v>
      </c>
      <c r="AM52" s="98" t="s">
        <v>100</v>
      </c>
      <c r="AN52" s="99">
        <f>SUM(AN20,AN24,AN28,AN45,AN49)</f>
        <v>394711908</v>
      </c>
      <c r="AO52" s="99">
        <f t="shared" ref="AO52:AS52" si="14">SUM(AO20,AO24,AO28,AO45,AO49)</f>
        <v>140649907</v>
      </c>
      <c r="AP52" s="99">
        <f t="shared" si="14"/>
        <v>139729960</v>
      </c>
      <c r="AQ52" s="99">
        <f t="shared" si="14"/>
        <v>78126150</v>
      </c>
      <c r="AR52" s="99">
        <f t="shared" si="14"/>
        <v>36008419</v>
      </c>
      <c r="AS52" s="99">
        <f t="shared" si="14"/>
        <v>197472</v>
      </c>
    </row>
    <row r="53" spans="3:85" x14ac:dyDescent="0.25">
      <c r="AM53" s="98"/>
      <c r="AN53" s="99"/>
      <c r="AO53" s="99"/>
      <c r="AP53" s="99"/>
      <c r="AQ53" s="99"/>
      <c r="AR53" s="99"/>
      <c r="AS53" s="99"/>
    </row>
    <row r="54" spans="3:85" x14ac:dyDescent="0.25">
      <c r="E54" s="119"/>
      <c r="AO54">
        <v>2021</v>
      </c>
      <c r="AP54">
        <v>2022</v>
      </c>
      <c r="AQ54">
        <v>2023</v>
      </c>
      <c r="AR54">
        <v>2024</v>
      </c>
      <c r="AS54">
        <v>2025</v>
      </c>
      <c r="AT54">
        <v>2026</v>
      </c>
      <c r="AU54">
        <v>2027</v>
      </c>
      <c r="AV54">
        <v>2028</v>
      </c>
      <c r="AW54">
        <v>2029</v>
      </c>
      <c r="AX54">
        <v>2030</v>
      </c>
      <c r="AY54">
        <v>2031</v>
      </c>
      <c r="AZ54">
        <v>2032</v>
      </c>
      <c r="BA54">
        <v>2033</v>
      </c>
      <c r="BB54">
        <v>2034</v>
      </c>
      <c r="BC54">
        <v>2035</v>
      </c>
      <c r="BD54">
        <v>2036</v>
      </c>
      <c r="BE54">
        <v>2037</v>
      </c>
      <c r="BF54">
        <v>2038</v>
      </c>
      <c r="BG54">
        <v>2039</v>
      </c>
      <c r="BH54">
        <v>2040</v>
      </c>
      <c r="BI54">
        <v>2041</v>
      </c>
      <c r="BJ54">
        <v>2042</v>
      </c>
      <c r="BK54">
        <v>2043</v>
      </c>
      <c r="BL54">
        <v>2044</v>
      </c>
      <c r="BM54">
        <v>2045</v>
      </c>
      <c r="BN54">
        <v>2046</v>
      </c>
      <c r="BO54">
        <v>2047</v>
      </c>
      <c r="BP54">
        <v>2048</v>
      </c>
      <c r="BQ54">
        <v>2049</v>
      </c>
      <c r="BR54">
        <v>2050</v>
      </c>
      <c r="BS54">
        <v>2051</v>
      </c>
      <c r="BT54">
        <v>2052</v>
      </c>
      <c r="BU54">
        <v>2053</v>
      </c>
      <c r="BV54">
        <v>2054</v>
      </c>
      <c r="BW54">
        <v>2055</v>
      </c>
      <c r="BX54">
        <v>2056</v>
      </c>
      <c r="BY54">
        <v>2057</v>
      </c>
      <c r="BZ54">
        <v>2058</v>
      </c>
      <c r="CA54">
        <v>2059</v>
      </c>
      <c r="CB54">
        <v>2060</v>
      </c>
      <c r="CC54">
        <v>2061</v>
      </c>
      <c r="CD54">
        <v>2062</v>
      </c>
      <c r="CE54">
        <v>2063</v>
      </c>
      <c r="CF54">
        <v>2064</v>
      </c>
      <c r="CG54">
        <v>2065</v>
      </c>
    </row>
    <row r="55" spans="3:85" x14ac:dyDescent="0.25">
      <c r="AM55" s="136" t="s">
        <v>105</v>
      </c>
      <c r="AN55" t="s">
        <v>89</v>
      </c>
      <c r="AO55" s="37">
        <f>SUM(AO10,AO24)</f>
        <v>9662553</v>
      </c>
      <c r="AP55" s="37">
        <f t="shared" ref="AP55:AT55" si="15">SUM(AP10,AP24)</f>
        <v>3938570</v>
      </c>
      <c r="AQ55" s="37">
        <f t="shared" si="15"/>
        <v>3245431</v>
      </c>
      <c r="AR55" s="37">
        <f t="shared" si="15"/>
        <v>3517248</v>
      </c>
      <c r="AS55" s="37">
        <f t="shared" si="15"/>
        <v>3524081</v>
      </c>
      <c r="AT55" s="37">
        <f t="shared" si="15"/>
        <v>3581222</v>
      </c>
      <c r="AU55" s="37">
        <f>SUM(AU10,AU24)</f>
        <v>3652846</v>
      </c>
    </row>
    <row r="56" spans="3:85" x14ac:dyDescent="0.25">
      <c r="AM56" s="136"/>
      <c r="AN56" t="s">
        <v>83</v>
      </c>
      <c r="AO56" s="37">
        <f>SUM(AO6,AO20)</f>
        <v>80372387</v>
      </c>
      <c r="AP56" s="37">
        <f t="shared" ref="AP56:BC56" si="16">SUM(AP6,AP20)</f>
        <v>87112806</v>
      </c>
      <c r="AQ56" s="37">
        <f t="shared" si="16"/>
        <v>36678363</v>
      </c>
      <c r="AR56" s="37">
        <f t="shared" si="16"/>
        <v>37975706</v>
      </c>
      <c r="AS56" s="37">
        <f t="shared" si="16"/>
        <v>15874266</v>
      </c>
      <c r="AT56" s="37">
        <f t="shared" si="16"/>
        <v>16119920</v>
      </c>
      <c r="AU56" s="37">
        <f t="shared" si="16"/>
        <v>16442318</v>
      </c>
      <c r="AV56" s="37">
        <f t="shared" si="16"/>
        <v>16771165</v>
      </c>
      <c r="AW56" s="37">
        <f t="shared" si="16"/>
        <v>17106588</v>
      </c>
      <c r="AX56" s="37">
        <f t="shared" si="16"/>
        <v>17448720</v>
      </c>
      <c r="AY56" s="37">
        <f t="shared" si="16"/>
        <v>17797694</v>
      </c>
      <c r="AZ56" s="37">
        <f t="shared" si="16"/>
        <v>18153648</v>
      </c>
      <c r="BA56" s="37">
        <f t="shared" si="16"/>
        <v>18516721</v>
      </c>
      <c r="BB56" s="37">
        <f t="shared" si="16"/>
        <v>9438607</v>
      </c>
      <c r="BC56" s="37">
        <f t="shared" si="16"/>
        <v>9627379</v>
      </c>
      <c r="BD56" s="37">
        <f>SUM(BD6,BD20)</f>
        <v>9819926</v>
      </c>
    </row>
    <row r="57" spans="3:85" x14ac:dyDescent="0.25">
      <c r="AM57" s="136"/>
      <c r="AN57" t="s">
        <v>95</v>
      </c>
      <c r="AO57" s="37">
        <f>SUM(AO34,AO45)</f>
        <v>21128678</v>
      </c>
      <c r="AP57" s="37">
        <f t="shared" ref="AP57:BF57" si="17">SUM(AP34,AP45)</f>
        <v>24092218</v>
      </c>
      <c r="AQ57" s="37">
        <f t="shared" si="17"/>
        <v>9875795</v>
      </c>
      <c r="AR57" s="37">
        <f t="shared" si="17"/>
        <v>12851200</v>
      </c>
      <c r="AS57" s="37">
        <f t="shared" si="17"/>
        <v>3979092</v>
      </c>
      <c r="AT57" s="37">
        <f t="shared" si="17"/>
        <v>3995933</v>
      </c>
      <c r="AU57" s="37">
        <f t="shared" si="17"/>
        <v>4075851</v>
      </c>
      <c r="AV57" s="37">
        <f t="shared" si="17"/>
        <v>3097507</v>
      </c>
      <c r="AW57" s="37">
        <f t="shared" si="17"/>
        <v>3159457</v>
      </c>
      <c r="AX57" s="37">
        <f t="shared" si="17"/>
        <v>3222646</v>
      </c>
      <c r="AY57" s="37">
        <f t="shared" si="17"/>
        <v>3287099</v>
      </c>
      <c r="AZ57" s="37">
        <f t="shared" si="17"/>
        <v>3352841</v>
      </c>
      <c r="BA57" s="37">
        <f t="shared" si="17"/>
        <v>3419898</v>
      </c>
      <c r="BB57" s="37">
        <f t="shared" si="17"/>
        <v>3488296</v>
      </c>
      <c r="BC57" s="37">
        <f t="shared" si="17"/>
        <v>3558062</v>
      </c>
      <c r="BD57" s="37">
        <f t="shared" si="17"/>
        <v>3629223</v>
      </c>
      <c r="BE57" s="37">
        <f t="shared" si="17"/>
        <v>3701808</v>
      </c>
      <c r="BF57" s="37">
        <f t="shared" si="17"/>
        <v>3775844</v>
      </c>
    </row>
    <row r="58" spans="3:85" x14ac:dyDescent="0.25">
      <c r="AM58" s="136"/>
      <c r="AN58" t="s">
        <v>85</v>
      </c>
      <c r="AO58" s="37">
        <f>SUM(AO14,AO28,AO39,AO49)</f>
        <v>43274562</v>
      </c>
      <c r="AP58" s="37">
        <f t="shared" ref="AP58:CG58" si="18">SUM(AP14,AP28,AP39,AP49)</f>
        <v>38976126</v>
      </c>
      <c r="AQ58" s="37">
        <f t="shared" si="18"/>
        <v>47151976</v>
      </c>
      <c r="AR58" s="37">
        <f t="shared" si="18"/>
        <v>8384592</v>
      </c>
      <c r="AS58" s="37">
        <f t="shared" si="18"/>
        <v>8697060</v>
      </c>
      <c r="AT58" s="37">
        <f t="shared" si="18"/>
        <v>8817493</v>
      </c>
      <c r="AU58" s="37">
        <f t="shared" si="18"/>
        <v>8993842</v>
      </c>
      <c r="AV58" s="37">
        <f t="shared" si="18"/>
        <v>9173719</v>
      </c>
      <c r="AW58" s="37">
        <f t="shared" si="18"/>
        <v>9357193</v>
      </c>
      <c r="AX58" s="37">
        <f t="shared" si="18"/>
        <v>9544337</v>
      </c>
      <c r="AY58" s="37">
        <f t="shared" si="18"/>
        <v>9735224</v>
      </c>
      <c r="AZ58" s="37">
        <f t="shared" si="18"/>
        <v>9929928</v>
      </c>
      <c r="BA58" s="37">
        <f t="shared" si="18"/>
        <v>10128527</v>
      </c>
      <c r="BB58" s="37">
        <f t="shared" si="18"/>
        <v>10331098</v>
      </c>
      <c r="BC58" s="37">
        <f t="shared" si="18"/>
        <v>10537720</v>
      </c>
      <c r="BD58" s="37">
        <f t="shared" si="18"/>
        <v>10748474</v>
      </c>
      <c r="BE58" s="37">
        <f t="shared" si="18"/>
        <v>10963444</v>
      </c>
      <c r="BF58" s="37">
        <f t="shared" si="18"/>
        <v>11182713</v>
      </c>
      <c r="BG58" s="37">
        <f t="shared" si="18"/>
        <v>11406367</v>
      </c>
      <c r="BH58" s="37">
        <f t="shared" si="18"/>
        <v>11634494</v>
      </c>
      <c r="BI58" s="37">
        <f t="shared" si="18"/>
        <v>11867184</v>
      </c>
      <c r="BJ58" s="37">
        <f t="shared" si="18"/>
        <v>12104528</v>
      </c>
      <c r="BK58" s="37">
        <f t="shared" si="18"/>
        <v>12346618</v>
      </c>
      <c r="BL58" s="37">
        <f t="shared" si="18"/>
        <v>12593550</v>
      </c>
      <c r="BM58" s="37">
        <f t="shared" si="18"/>
        <v>7675794</v>
      </c>
      <c r="BN58" s="37">
        <f t="shared" si="18"/>
        <v>7829311</v>
      </c>
      <c r="BO58" s="37">
        <f t="shared" si="18"/>
        <v>7985897</v>
      </c>
      <c r="BP58" s="37">
        <f t="shared" si="18"/>
        <v>8145614</v>
      </c>
      <c r="BQ58" s="37">
        <f t="shared" si="18"/>
        <v>8308527</v>
      </c>
      <c r="BR58" s="37">
        <f t="shared" si="18"/>
        <v>8474698</v>
      </c>
      <c r="BS58" s="37">
        <f t="shared" si="18"/>
        <v>8644192</v>
      </c>
      <c r="BT58" s="37">
        <f t="shared" si="18"/>
        <v>8817076</v>
      </c>
      <c r="BU58" s="37">
        <f t="shared" si="18"/>
        <v>8993417</v>
      </c>
      <c r="BV58" s="37">
        <f t="shared" si="18"/>
        <v>9173285</v>
      </c>
      <c r="BW58" s="37">
        <f t="shared" si="18"/>
        <v>9356751</v>
      </c>
      <c r="BX58" s="37">
        <f t="shared" si="18"/>
        <v>9543886</v>
      </c>
      <c r="BY58" s="37">
        <f t="shared" si="18"/>
        <v>9734763</v>
      </c>
      <c r="BZ58" s="37">
        <f t="shared" si="18"/>
        <v>9929459</v>
      </c>
      <c r="CA58" s="37">
        <f t="shared" si="18"/>
        <v>10128048</v>
      </c>
      <c r="CB58" s="37">
        <f t="shared" si="18"/>
        <v>10330609</v>
      </c>
      <c r="CC58" s="37">
        <f t="shared" si="18"/>
        <v>10537221</v>
      </c>
      <c r="CD58" s="37">
        <f t="shared" si="18"/>
        <v>10747965</v>
      </c>
      <c r="CE58" s="37">
        <f t="shared" si="18"/>
        <v>10962926</v>
      </c>
      <c r="CF58" s="37">
        <f t="shared" si="18"/>
        <v>11182184</v>
      </c>
      <c r="CG58" s="37">
        <f t="shared" si="18"/>
        <v>11405828</v>
      </c>
    </row>
    <row r="59" spans="3:85" x14ac:dyDescent="0.25">
      <c r="L59" t="s">
        <v>125</v>
      </c>
    </row>
  </sheetData>
  <sheetProtection algorithmName="SHA-512" hashValue="B0CAQVy2GuMBlE4Z7RO4+k/L2MchFRYSTw3a4njQVQqdtn3KHal3Yb0r/3EFy7tfaO/x9+zXfVQVa0O4ufWM6w==" saltValue="nGLhJcO02mySxVkqRHmdGg==" spinCount="100000" sheet="1" objects="1" scenarios="1"/>
  <mergeCells count="11">
    <mergeCell ref="C28:C31"/>
    <mergeCell ref="AM55:AM58"/>
    <mergeCell ref="C32:C35"/>
    <mergeCell ref="C37:C40"/>
    <mergeCell ref="C41:C44"/>
    <mergeCell ref="C45:C48"/>
    <mergeCell ref="F1:G1"/>
    <mergeCell ref="C3:C13"/>
    <mergeCell ref="C14:C17"/>
    <mergeCell ref="C18:C21"/>
    <mergeCell ref="C24:C27"/>
  </mergeCells>
  <pageMargins left="0.7" right="0.7" top="0.75" bottom="0.75" header="0.3" footer="0.3"/>
  <pageSetup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workbookViewId="0">
      <selection activeCell="B25" sqref="B25"/>
    </sheetView>
  </sheetViews>
  <sheetFormatPr defaultRowHeight="15" x14ac:dyDescent="0.25"/>
  <cols>
    <col min="1" max="1" width="26.140625" bestFit="1" customWidth="1"/>
    <col min="2" max="2" width="13.5703125" style="54" bestFit="1" customWidth="1"/>
    <col min="3" max="4" width="12.140625" style="54" customWidth="1"/>
    <col min="5" max="5" width="12.42578125" style="54" customWidth="1"/>
    <col min="13" max="13" width="14" bestFit="1" customWidth="1"/>
  </cols>
  <sheetData>
    <row r="1" spans="1:13" ht="15.75" thickBot="1" x14ac:dyDescent="0.3">
      <c r="J1" t="s">
        <v>51</v>
      </c>
      <c r="K1" t="s">
        <v>39</v>
      </c>
      <c r="L1" t="s">
        <v>21</v>
      </c>
    </row>
    <row r="2" spans="1:13" x14ac:dyDescent="0.25">
      <c r="A2" s="84" t="s">
        <v>30</v>
      </c>
      <c r="B2" s="137" t="s">
        <v>31</v>
      </c>
      <c r="C2" s="137"/>
      <c r="D2" s="85" t="s">
        <v>63</v>
      </c>
      <c r="E2" s="70"/>
      <c r="H2" s="73"/>
      <c r="I2" s="71" t="s">
        <v>56</v>
      </c>
      <c r="J2" s="79">
        <f>G5+NPV(B18,G6:G29)</f>
        <v>442.49911255440725</v>
      </c>
      <c r="K2" s="78">
        <f>PMT(B18,25,-J2)</f>
        <v>37.119883985315859</v>
      </c>
      <c r="L2" s="70">
        <f>K2/B19</f>
        <v>2.5406567260833623E-2</v>
      </c>
    </row>
    <row r="3" spans="1:13" x14ac:dyDescent="0.25">
      <c r="A3" s="86"/>
      <c r="B3" s="87" t="s">
        <v>32</v>
      </c>
      <c r="C3" s="87" t="s">
        <v>33</v>
      </c>
      <c r="D3" s="88"/>
      <c r="E3" s="70"/>
      <c r="F3" s="73" t="s">
        <v>9</v>
      </c>
      <c r="G3" s="74" t="s">
        <v>53</v>
      </c>
      <c r="H3" s="69"/>
      <c r="I3" s="70"/>
      <c r="J3" s="70"/>
      <c r="K3" s="75"/>
      <c r="L3" s="70"/>
    </row>
    <row r="4" spans="1:13" x14ac:dyDescent="0.25">
      <c r="A4" s="89">
        <v>42522</v>
      </c>
      <c r="B4" s="90">
        <v>20195</v>
      </c>
      <c r="C4" s="87"/>
      <c r="D4" s="88"/>
      <c r="E4" s="70"/>
      <c r="F4" s="71"/>
      <c r="G4" s="71" t="s">
        <v>38</v>
      </c>
      <c r="H4" s="69"/>
      <c r="I4" s="70"/>
      <c r="J4" s="70"/>
      <c r="K4" s="70"/>
      <c r="L4" s="70"/>
    </row>
    <row r="5" spans="1:13" x14ac:dyDescent="0.25">
      <c r="A5" s="89">
        <v>42887</v>
      </c>
      <c r="B5" s="90">
        <v>22278</v>
      </c>
      <c r="C5" s="87"/>
      <c r="D5" s="91">
        <f>B5/B4-1</f>
        <v>0.10314434265907413</v>
      </c>
      <c r="E5" s="70">
        <v>1</v>
      </c>
      <c r="F5" s="71">
        <v>2021</v>
      </c>
      <c r="G5" s="76">
        <f t="shared" ref="G5:G29" si="0">B$15*(1+B$16)^(F5-F$5)</f>
        <v>26.302400000000002</v>
      </c>
      <c r="H5" s="69"/>
      <c r="I5" s="70"/>
      <c r="J5" s="70"/>
      <c r="K5" s="70"/>
      <c r="L5" s="70"/>
      <c r="M5" s="69"/>
    </row>
    <row r="6" spans="1:13" x14ac:dyDescent="0.25">
      <c r="A6" s="89">
        <v>43252</v>
      </c>
      <c r="B6" s="90">
        <v>23771</v>
      </c>
      <c r="C6" s="87"/>
      <c r="D6" s="91">
        <f>B6/B5-1</f>
        <v>6.7016787862465232E-2</v>
      </c>
      <c r="E6" s="70">
        <f t="shared" ref="E6:E29" si="1">E5+1</f>
        <v>2</v>
      </c>
      <c r="F6" s="71">
        <f t="shared" ref="F6:F29" si="2">F5+1</f>
        <v>2022</v>
      </c>
      <c r="G6" s="76">
        <f t="shared" si="0"/>
        <v>27.091472000000003</v>
      </c>
      <c r="H6" s="69"/>
      <c r="I6" s="70"/>
      <c r="J6" s="70"/>
      <c r="K6" s="70"/>
      <c r="L6" s="70"/>
      <c r="M6" s="69"/>
    </row>
    <row r="7" spans="1:13" x14ac:dyDescent="0.25">
      <c r="A7" s="89">
        <v>43617</v>
      </c>
      <c r="B7" s="90">
        <v>24437</v>
      </c>
      <c r="C7" s="90">
        <v>24255</v>
      </c>
      <c r="D7" s="91">
        <f>B7/B6-1</f>
        <v>2.8017332043245968E-2</v>
      </c>
      <c r="E7" s="70">
        <f t="shared" si="1"/>
        <v>3</v>
      </c>
      <c r="F7" s="71">
        <f t="shared" si="2"/>
        <v>2023</v>
      </c>
      <c r="G7" s="76">
        <f t="shared" si="0"/>
        <v>27.904216160000001</v>
      </c>
      <c r="H7" s="69"/>
      <c r="I7" s="70"/>
      <c r="J7" s="70"/>
      <c r="K7" s="70"/>
      <c r="L7" s="70"/>
      <c r="M7" s="69"/>
    </row>
    <row r="8" spans="1:13" x14ac:dyDescent="0.25">
      <c r="A8" s="89">
        <v>43983</v>
      </c>
      <c r="B8" s="90">
        <v>27272</v>
      </c>
      <c r="C8" s="90">
        <v>27279</v>
      </c>
      <c r="D8" s="91">
        <f>B8/B7-1</f>
        <v>0.1160126038384417</v>
      </c>
      <c r="E8" s="70">
        <f t="shared" si="1"/>
        <v>4</v>
      </c>
      <c r="F8" s="71">
        <f t="shared" si="2"/>
        <v>2024</v>
      </c>
      <c r="G8" s="76">
        <f t="shared" si="0"/>
        <v>28.741342644800003</v>
      </c>
      <c r="H8" s="69"/>
      <c r="I8" s="70"/>
      <c r="J8" s="70"/>
      <c r="K8" s="70"/>
      <c r="L8" s="70"/>
      <c r="M8" s="69"/>
    </row>
    <row r="9" spans="1:13" x14ac:dyDescent="0.25">
      <c r="A9" s="89">
        <v>44348</v>
      </c>
      <c r="B9" s="90">
        <v>33929</v>
      </c>
      <c r="C9" s="87"/>
      <c r="D9" s="91">
        <f>B9/B8-1</f>
        <v>0.24409650924024651</v>
      </c>
      <c r="E9" s="70">
        <f t="shared" si="1"/>
        <v>5</v>
      </c>
      <c r="F9" s="71">
        <f t="shared" si="2"/>
        <v>2025</v>
      </c>
      <c r="G9" s="76">
        <f t="shared" si="0"/>
        <v>29.603582924144</v>
      </c>
      <c r="H9" s="69"/>
      <c r="I9" s="70"/>
      <c r="J9" s="70"/>
      <c r="K9" s="70"/>
      <c r="L9" s="70"/>
      <c r="M9" s="69"/>
    </row>
    <row r="10" spans="1:13" ht="15.75" thickBot="1" x14ac:dyDescent="0.3">
      <c r="A10" s="92" t="s">
        <v>34</v>
      </c>
      <c r="B10" s="93">
        <f>AVERAGE(B5:B6,C7:C8,B9)</f>
        <v>26302.400000000001</v>
      </c>
      <c r="C10" s="94"/>
      <c r="D10" s="95"/>
      <c r="E10" s="70">
        <f t="shared" si="1"/>
        <v>6</v>
      </c>
      <c r="F10" s="71">
        <f t="shared" si="2"/>
        <v>2026</v>
      </c>
      <c r="G10" s="76">
        <f t="shared" si="0"/>
        <v>30.491690411868319</v>
      </c>
      <c r="H10" s="69"/>
      <c r="I10" s="70"/>
      <c r="J10" s="70"/>
      <c r="K10" s="70"/>
      <c r="L10" s="70"/>
      <c r="M10" s="69"/>
    </row>
    <row r="11" spans="1:13" x14ac:dyDescent="0.25">
      <c r="A11" s="54"/>
      <c r="E11" s="70">
        <f t="shared" si="1"/>
        <v>7</v>
      </c>
      <c r="F11" s="71">
        <f t="shared" si="2"/>
        <v>2027</v>
      </c>
      <c r="G11" s="76">
        <f t="shared" si="0"/>
        <v>31.406441124224369</v>
      </c>
      <c r="H11" s="69"/>
      <c r="I11" s="70"/>
      <c r="J11" s="70"/>
      <c r="K11" s="70"/>
      <c r="L11" s="70"/>
      <c r="M11" s="69"/>
    </row>
    <row r="12" spans="1:13" x14ac:dyDescent="0.25">
      <c r="A12" s="54"/>
      <c r="E12" s="70">
        <f t="shared" si="1"/>
        <v>8</v>
      </c>
      <c r="F12" s="71">
        <f t="shared" si="2"/>
        <v>2028</v>
      </c>
      <c r="G12" s="76">
        <f t="shared" si="0"/>
        <v>32.348634357951106</v>
      </c>
      <c r="H12" s="69"/>
      <c r="I12" s="70"/>
      <c r="J12" s="70"/>
      <c r="K12" s="70"/>
      <c r="L12" s="70"/>
      <c r="M12" s="69"/>
    </row>
    <row r="13" spans="1:13" x14ac:dyDescent="0.25">
      <c r="E13" s="70">
        <f t="shared" si="1"/>
        <v>9</v>
      </c>
      <c r="F13" s="71">
        <f t="shared" si="2"/>
        <v>2029</v>
      </c>
      <c r="G13" s="76">
        <f t="shared" si="0"/>
        <v>33.31909338868963</v>
      </c>
      <c r="H13" s="69"/>
      <c r="I13" s="70"/>
      <c r="J13" s="70"/>
      <c r="K13" s="70"/>
      <c r="L13" s="70"/>
      <c r="M13" s="69"/>
    </row>
    <row r="14" spans="1:13" x14ac:dyDescent="0.25">
      <c r="A14" t="s">
        <v>43</v>
      </c>
      <c r="B14"/>
      <c r="E14" s="70">
        <f t="shared" si="1"/>
        <v>10</v>
      </c>
      <c r="F14" s="71">
        <f t="shared" si="2"/>
        <v>2030</v>
      </c>
      <c r="G14" s="76">
        <f t="shared" si="0"/>
        <v>34.318666190350321</v>
      </c>
      <c r="H14" s="69"/>
      <c r="I14" s="70"/>
      <c r="J14" s="70"/>
      <c r="K14" s="70"/>
      <c r="L14" s="70"/>
      <c r="M14" s="69"/>
    </row>
    <row r="15" spans="1:13" x14ac:dyDescent="0.25">
      <c r="A15" s="56" t="s">
        <v>54</v>
      </c>
      <c r="B15" s="68">
        <f>B10/1000</f>
        <v>26.302400000000002</v>
      </c>
      <c r="E15" s="70">
        <f t="shared" si="1"/>
        <v>11</v>
      </c>
      <c r="F15" s="71">
        <f t="shared" si="2"/>
        <v>2031</v>
      </c>
      <c r="G15" s="76">
        <f t="shared" si="0"/>
        <v>35.348226176060834</v>
      </c>
      <c r="H15" s="69"/>
      <c r="I15" s="70"/>
      <c r="J15" s="70"/>
      <c r="K15" s="70"/>
      <c r="L15" s="70"/>
      <c r="M15" s="69"/>
    </row>
    <row r="16" spans="1:13" x14ac:dyDescent="0.25">
      <c r="A16" s="56" t="s">
        <v>55</v>
      </c>
      <c r="B16" s="57">
        <v>0.03</v>
      </c>
      <c r="E16" s="70">
        <f t="shared" si="1"/>
        <v>12</v>
      </c>
      <c r="F16" s="71">
        <f t="shared" si="2"/>
        <v>2032</v>
      </c>
      <c r="G16" s="76">
        <f t="shared" si="0"/>
        <v>36.40867296134266</v>
      </c>
      <c r="H16" s="69"/>
      <c r="I16" s="70"/>
      <c r="J16" s="69"/>
      <c r="K16" s="70"/>
      <c r="L16" s="70"/>
      <c r="M16" s="69"/>
    </row>
    <row r="17" spans="1:13" x14ac:dyDescent="0.25">
      <c r="A17" s="56" t="s">
        <v>62</v>
      </c>
      <c r="B17" s="83">
        <v>0.16678481729491185</v>
      </c>
      <c r="E17" s="70">
        <f t="shared" si="1"/>
        <v>13</v>
      </c>
      <c r="F17" s="71">
        <f t="shared" si="2"/>
        <v>2033</v>
      </c>
      <c r="G17" s="76">
        <f t="shared" si="0"/>
        <v>37.500933150182931</v>
      </c>
      <c r="H17" s="69"/>
      <c r="I17" s="70"/>
      <c r="J17" s="70"/>
      <c r="K17" s="70"/>
      <c r="L17" s="70"/>
      <c r="M17" s="69"/>
    </row>
    <row r="18" spans="1:13" x14ac:dyDescent="0.25">
      <c r="A18" s="56" t="s">
        <v>35</v>
      </c>
      <c r="B18" s="58">
        <v>6.7500000000000004E-2</v>
      </c>
      <c r="E18" s="70">
        <f t="shared" si="1"/>
        <v>14</v>
      </c>
      <c r="F18" s="71">
        <f t="shared" si="2"/>
        <v>2034</v>
      </c>
      <c r="G18" s="76">
        <f t="shared" si="0"/>
        <v>38.625961144688418</v>
      </c>
      <c r="H18" s="69"/>
      <c r="I18" s="70"/>
      <c r="J18" s="70"/>
      <c r="K18" s="70"/>
      <c r="L18" s="70"/>
      <c r="M18" s="69"/>
    </row>
    <row r="19" spans="1:13" x14ac:dyDescent="0.25">
      <c r="A19" s="56" t="s">
        <v>70</v>
      </c>
      <c r="B19" s="60">
        <f>B17*8760</f>
        <v>1461.0349995034278</v>
      </c>
      <c r="E19" s="70">
        <f t="shared" si="1"/>
        <v>15</v>
      </c>
      <c r="F19" s="71">
        <f t="shared" si="2"/>
        <v>2035</v>
      </c>
      <c r="G19" s="76">
        <f t="shared" si="0"/>
        <v>39.784739979029077</v>
      </c>
      <c r="H19" s="69"/>
      <c r="I19" s="70"/>
      <c r="J19" s="70"/>
      <c r="K19" s="70"/>
      <c r="L19" s="70"/>
      <c r="M19" s="69"/>
    </row>
    <row r="20" spans="1:13" x14ac:dyDescent="0.25">
      <c r="A20" s="56" t="s">
        <v>66</v>
      </c>
      <c r="B20" s="57">
        <v>0.28800660323483235</v>
      </c>
      <c r="E20" s="70">
        <f t="shared" si="1"/>
        <v>16</v>
      </c>
      <c r="F20" s="71">
        <f t="shared" si="2"/>
        <v>2036</v>
      </c>
      <c r="G20" s="76">
        <f t="shared" si="0"/>
        <v>40.978282178399951</v>
      </c>
      <c r="H20" s="69"/>
      <c r="I20" s="70"/>
      <c r="J20" s="70"/>
      <c r="K20" s="70"/>
      <c r="L20" s="70"/>
      <c r="M20" s="69"/>
    </row>
    <row r="21" spans="1:13" x14ac:dyDescent="0.25">
      <c r="A21" t="s">
        <v>45</v>
      </c>
      <c r="B21"/>
      <c r="E21" s="70">
        <f t="shared" si="1"/>
        <v>17</v>
      </c>
      <c r="F21" s="71">
        <f t="shared" si="2"/>
        <v>2037</v>
      </c>
      <c r="G21" s="76">
        <f t="shared" si="0"/>
        <v>42.207630643751941</v>
      </c>
      <c r="H21" s="69"/>
      <c r="I21" s="70"/>
      <c r="J21" s="70"/>
      <c r="K21" s="70"/>
      <c r="L21" s="70"/>
      <c r="M21" s="69"/>
    </row>
    <row r="22" spans="1:13" x14ac:dyDescent="0.25">
      <c r="A22" s="61" t="s">
        <v>69</v>
      </c>
      <c r="B22" s="63">
        <f>J2</f>
        <v>442.49911255440725</v>
      </c>
      <c r="E22" s="70">
        <f t="shared" si="1"/>
        <v>18</v>
      </c>
      <c r="F22" s="71">
        <f t="shared" si="2"/>
        <v>2038</v>
      </c>
      <c r="G22" s="76">
        <f t="shared" si="0"/>
        <v>43.473859563064501</v>
      </c>
      <c r="H22" s="69"/>
      <c r="I22" s="70"/>
      <c r="J22" s="70"/>
      <c r="K22" s="70"/>
      <c r="L22" s="70"/>
      <c r="M22" s="69"/>
    </row>
    <row r="23" spans="1:13" x14ac:dyDescent="0.25">
      <c r="A23" s="61" t="s">
        <v>59</v>
      </c>
      <c r="B23" s="63">
        <f>K2</f>
        <v>37.119883985315859</v>
      </c>
      <c r="E23" s="70">
        <f t="shared" si="1"/>
        <v>19</v>
      </c>
      <c r="F23" s="71">
        <f t="shared" si="2"/>
        <v>2039</v>
      </c>
      <c r="G23" s="76">
        <f t="shared" si="0"/>
        <v>44.778075349956431</v>
      </c>
      <c r="H23" s="69"/>
      <c r="I23" s="70"/>
      <c r="J23" s="70"/>
      <c r="K23" s="70"/>
      <c r="L23" s="70"/>
      <c r="M23" s="69"/>
    </row>
    <row r="24" spans="1:13" x14ac:dyDescent="0.25">
      <c r="A24" s="61" t="s">
        <v>60</v>
      </c>
      <c r="B24" s="64">
        <f>L2</f>
        <v>2.5406567260833623E-2</v>
      </c>
      <c r="E24" s="70">
        <f t="shared" si="1"/>
        <v>20</v>
      </c>
      <c r="F24" s="71">
        <f t="shared" si="2"/>
        <v>2040</v>
      </c>
      <c r="G24" s="76">
        <f t="shared" si="0"/>
        <v>46.121417610455126</v>
      </c>
      <c r="H24" s="69"/>
      <c r="I24" s="70"/>
      <c r="J24" s="70"/>
      <c r="K24" s="70"/>
      <c r="L24" s="70"/>
      <c r="M24" s="69"/>
    </row>
    <row r="25" spans="1:13" x14ac:dyDescent="0.25">
      <c r="A25" s="61" t="s">
        <v>68</v>
      </c>
      <c r="B25" s="64">
        <f>B24*B20</f>
        <v>7.3172591366499904E-3</v>
      </c>
      <c r="E25" s="70">
        <f t="shared" si="1"/>
        <v>21</v>
      </c>
      <c r="F25" s="71">
        <f t="shared" si="2"/>
        <v>2041</v>
      </c>
      <c r="G25" s="76">
        <f t="shared" si="0"/>
        <v>47.505060138768776</v>
      </c>
      <c r="H25" s="69"/>
      <c r="I25" s="70"/>
      <c r="J25" s="70"/>
      <c r="K25" s="70"/>
      <c r="L25" s="70"/>
      <c r="M25" s="69"/>
    </row>
    <row r="26" spans="1:13" x14ac:dyDescent="0.25">
      <c r="E26" s="70">
        <f t="shared" si="1"/>
        <v>22</v>
      </c>
      <c r="F26" s="71">
        <f t="shared" si="2"/>
        <v>2042</v>
      </c>
      <c r="G26" s="76">
        <f t="shared" si="0"/>
        <v>48.930211942931834</v>
      </c>
      <c r="H26" s="69"/>
      <c r="I26" s="70"/>
      <c r="J26" s="70"/>
      <c r="K26" s="70"/>
      <c r="L26" s="70"/>
      <c r="M26" s="69"/>
    </row>
    <row r="27" spans="1:13" x14ac:dyDescent="0.25">
      <c r="E27" s="70">
        <f t="shared" si="1"/>
        <v>23</v>
      </c>
      <c r="F27" s="71">
        <f t="shared" si="2"/>
        <v>2043</v>
      </c>
      <c r="G27" s="76">
        <f t="shared" si="0"/>
        <v>50.398118301219796</v>
      </c>
      <c r="H27" s="69"/>
      <c r="I27" s="70"/>
      <c r="J27" s="70"/>
      <c r="K27" s="70"/>
      <c r="L27" s="70"/>
      <c r="M27" s="69"/>
    </row>
    <row r="28" spans="1:13" x14ac:dyDescent="0.25">
      <c r="E28" s="70">
        <f t="shared" si="1"/>
        <v>24</v>
      </c>
      <c r="F28" s="71">
        <f t="shared" si="2"/>
        <v>2044</v>
      </c>
      <c r="G28" s="76">
        <f t="shared" si="0"/>
        <v>51.91006185025639</v>
      </c>
      <c r="H28" s="69"/>
      <c r="I28" s="70"/>
      <c r="J28" s="70"/>
      <c r="K28" s="70"/>
      <c r="L28" s="70"/>
      <c r="M28" s="69"/>
    </row>
    <row r="29" spans="1:13" x14ac:dyDescent="0.25">
      <c r="E29" s="70">
        <f t="shared" si="1"/>
        <v>25</v>
      </c>
      <c r="F29" s="71">
        <f t="shared" si="2"/>
        <v>2045</v>
      </c>
      <c r="G29" s="76">
        <f t="shared" si="0"/>
        <v>53.467363705764079</v>
      </c>
      <c r="H29" s="69"/>
      <c r="I29" s="70"/>
      <c r="J29" s="70"/>
      <c r="K29" s="70"/>
      <c r="L29" s="70"/>
      <c r="M29" s="69"/>
    </row>
    <row r="30" spans="1:13" x14ac:dyDescent="0.25">
      <c r="E30" s="70"/>
      <c r="F30" s="71"/>
      <c r="G30" s="72"/>
      <c r="H30" s="69"/>
      <c r="I30" s="70"/>
      <c r="J30" s="69"/>
      <c r="K30" s="70"/>
      <c r="L30" s="70"/>
      <c r="M30" s="69"/>
    </row>
    <row r="31" spans="1:13" x14ac:dyDescent="0.25">
      <c r="E31" s="70"/>
      <c r="F31" s="71"/>
      <c r="G31" s="77"/>
      <c r="H31" s="69"/>
      <c r="I31" s="70"/>
      <c r="J31" s="70"/>
      <c r="K31" s="70"/>
      <c r="L31" s="70"/>
      <c r="M31" s="69"/>
    </row>
    <row r="32" spans="1:13" x14ac:dyDescent="0.25">
      <c r="E32" s="70"/>
      <c r="F32" s="70"/>
      <c r="G32" s="70"/>
      <c r="H32" s="70"/>
      <c r="I32" s="70"/>
      <c r="J32" s="70"/>
      <c r="K32" s="70"/>
      <c r="L32" s="70"/>
      <c r="M32" s="69"/>
    </row>
    <row r="33" spans="5:13" x14ac:dyDescent="0.25">
      <c r="E33" s="70"/>
      <c r="F33" s="70"/>
      <c r="G33" s="70"/>
      <c r="H33" s="70"/>
      <c r="I33" s="69"/>
      <c r="J33" s="69"/>
      <c r="K33" s="70"/>
      <c r="L33" s="70"/>
      <c r="M33" s="69"/>
    </row>
  </sheetData>
  <sheetProtection algorithmName="SHA-512" hashValue="p/5hSg29pp3P4FSp76lgk3FieOpHj1d+x5WMZNgepkGKgSLZ2xigAAEjoBD1SR/bnVJyU+GfkDUYSNSZwFXYcg==" saltValue="zQn3A2fA5621HAvj/R47jA==" spinCount="100000" sheet="1" objects="1" scenarios="1"/>
  <mergeCells count="1">
    <mergeCell ref="B2:C2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Flow_SignoffStatus xmlns="729ad107-2371-48eb-8d59-a51c86e37f5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C68EE4F3B370418B00221A8018CB3D" ma:contentTypeVersion="16" ma:contentTypeDescription="Create a new document." ma:contentTypeScope="" ma:versionID="689cb43284dd9f63c3475a3bf63a5c8a">
  <xsd:schema xmlns:xsd="http://www.w3.org/2001/XMLSchema" xmlns:xs="http://www.w3.org/2001/XMLSchema" xmlns:p="http://schemas.microsoft.com/office/2006/metadata/properties" xmlns:ns1="http://schemas.microsoft.com/sharepoint/v3" xmlns:ns2="729ad107-2371-48eb-8d59-a51c86e37f56" xmlns:ns3="7a4c1e6a-387f-47de-ae7e-907a344f53a1" targetNamespace="http://schemas.microsoft.com/office/2006/metadata/properties" ma:root="true" ma:fieldsID="837c0e3f009f8145d9310bfe9c5978a7" ns1:_="" ns2:_="" ns3:_="">
    <xsd:import namespace="http://schemas.microsoft.com/sharepoint/v3"/>
    <xsd:import namespace="729ad107-2371-48eb-8d59-a51c86e37f56"/>
    <xsd:import namespace="7a4c1e6a-387f-47de-ae7e-907a344f53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_Flow_SignoffStatu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9ad107-2371-48eb-8d59-a51c86e37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c1e6a-387f-47de-ae7e-907a344f53a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2528A2-B3EC-4A18-A6DD-D55F3CE0C520}">
  <ds:schemaRefs>
    <ds:schemaRef ds:uri="http://schemas.microsoft.com/office/2006/documentManagement/types"/>
    <ds:schemaRef ds:uri="7a4c1e6a-387f-47de-ae7e-907a344f53a1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www.w3.org/XML/1998/namespace"/>
    <ds:schemaRef ds:uri="729ad107-2371-48eb-8d59-a51c86e37f5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9D88BB6-39BA-431B-A8E9-599B983A6A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B6A9E1-51E9-4DAE-AC81-9C33F72B64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29ad107-2371-48eb-8d59-a51c86e37f56"/>
    <ds:schemaRef ds:uri="7a4c1e6a-387f-47de-ae7e-907a344f53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Excess Gen Price</vt:lpstr>
      <vt:lpstr>Avoided Energy</vt:lpstr>
      <vt:lpstr>Avoided Generation</vt:lpstr>
      <vt:lpstr>D Cost ('19-'24)</vt:lpstr>
      <vt:lpstr>Avoided Distribution combined</vt:lpstr>
      <vt:lpstr>Avoided Distribution KU</vt:lpstr>
      <vt:lpstr>Avoided Distribution LG&amp;E</vt:lpstr>
      <vt:lpstr>Avoided Enviro Compliance</vt:lpstr>
      <vt:lpstr>Avoided Transmission</vt:lpstr>
      <vt:lpstr>Avoided CO2</vt:lpstr>
      <vt:lpstr>'Avoided CO2'!Print_Area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Palmer</dc:creator>
  <cp:lastModifiedBy>Evan.Stelter</cp:lastModifiedBy>
  <dcterms:created xsi:type="dcterms:W3CDTF">2021-08-17T20:45:30Z</dcterms:created>
  <dcterms:modified xsi:type="dcterms:W3CDTF">2021-11-01T17:18:09Z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{14D2799B-E01C-42D4-802F-2B189F621997}</vt:lpwstr>
  </property>
  <property fmtid="{D5CDD505-2E9C-101B-9397-08002B2CF9AE}" pid="3" name="ContentTypeId">
    <vt:lpwstr>0x0101008CC68EE4F3B370418B00221A8018CB3D</vt:lpwstr>
  </property>
</Properties>
</file>