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9435" windowHeight="4620" tabRatio="909" activeTab="13"/>
  </bookViews>
  <sheets>
    <sheet name="5-2011" sheetId="22" r:id="rId1"/>
    <sheet name="6-2011" sheetId="23" r:id="rId2"/>
    <sheet name="7-2011" sheetId="24" r:id="rId3"/>
    <sheet name="8-2011" sheetId="25" r:id="rId4"/>
    <sheet name="9-2011" sheetId="26" r:id="rId5"/>
    <sheet name="10-2011" sheetId="27" r:id="rId6"/>
    <sheet name="11-2011" sheetId="28" r:id="rId7"/>
    <sheet name="12-2011" sheetId="29" r:id="rId8"/>
    <sheet name="1-2012" sheetId="35" r:id="rId9"/>
    <sheet name="2-2012" sheetId="36" r:id="rId10"/>
    <sheet name="3-2012" sheetId="37" r:id="rId11"/>
    <sheet name="4-2012" sheetId="38" r:id="rId12"/>
    <sheet name="12 mo adj rev - 5-11 thru 4-12" sheetId="39" r:id="rId13"/>
    <sheet name="KIUC Q1.51" sheetId="40" r:id="rId14"/>
  </sheets>
  <definedNames>
    <definedName name="_xlnm.Print_Area" localSheetId="13">'KIUC Q1.51'!$D$5:$O$27</definedName>
    <definedName name="_xlnm.Print_Titles" localSheetId="13">'KIUC Q1.51'!$A:$C,'KIUC Q1.51'!$3:$4</definedName>
  </definedNames>
  <calcPr calcId="145621"/>
</workbook>
</file>

<file path=xl/calcChain.xml><?xml version="1.0" encoding="utf-8"?>
<calcChain xmlns="http://schemas.openxmlformats.org/spreadsheetml/2006/main">
  <c r="H24" i="39" l="1"/>
  <c r="O24" i="40"/>
  <c r="N24" i="40"/>
  <c r="M24" i="40"/>
  <c r="L24" i="40"/>
  <c r="K24" i="40"/>
  <c r="J24" i="40"/>
  <c r="I24" i="40"/>
  <c r="H24" i="40"/>
  <c r="G24" i="40"/>
  <c r="F24" i="40"/>
  <c r="E24" i="40"/>
  <c r="D24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O22" i="40"/>
  <c r="O25" i="40" s="1"/>
  <c r="N22" i="40"/>
  <c r="N25" i="40" s="1"/>
  <c r="M22" i="40"/>
  <c r="M25" i="40" s="1"/>
  <c r="L22" i="40"/>
  <c r="L25" i="40" s="1"/>
  <c r="K22" i="40"/>
  <c r="K25" i="40" s="1"/>
  <c r="J22" i="40"/>
  <c r="J25" i="40" s="1"/>
  <c r="I22" i="40"/>
  <c r="I25" i="40" s="1"/>
  <c r="H22" i="40"/>
  <c r="H25" i="40" s="1"/>
  <c r="G22" i="40"/>
  <c r="G25" i="40" s="1"/>
  <c r="F22" i="40"/>
  <c r="F25" i="40" s="1"/>
  <c r="E22" i="40"/>
  <c r="E25" i="40" s="1"/>
  <c r="D22" i="40"/>
  <c r="D25" i="40" s="1"/>
  <c r="O35" i="40"/>
  <c r="O27" i="40" s="1"/>
  <c r="N35" i="40"/>
  <c r="N27" i="40" s="1"/>
  <c r="M35" i="40"/>
  <c r="M27" i="40" s="1"/>
  <c r="L35" i="40"/>
  <c r="L27" i="40" s="1"/>
  <c r="K35" i="40"/>
  <c r="K27" i="40" s="1"/>
  <c r="J35" i="40"/>
  <c r="J27" i="40" s="1"/>
  <c r="I35" i="40"/>
  <c r="I27" i="40" s="1"/>
  <c r="H35" i="40"/>
  <c r="H27" i="40" s="1"/>
  <c r="G35" i="40"/>
  <c r="G27" i="40" s="1"/>
  <c r="F35" i="40"/>
  <c r="F27" i="40" s="1"/>
  <c r="E35" i="40"/>
  <c r="E27" i="40" s="1"/>
  <c r="D35" i="40"/>
  <c r="D27" i="40" s="1"/>
  <c r="O19" i="40"/>
  <c r="N19" i="40"/>
  <c r="M19" i="40"/>
  <c r="L19" i="40"/>
  <c r="K19" i="40"/>
  <c r="J19" i="40"/>
  <c r="I19" i="40"/>
  <c r="H19" i="40"/>
  <c r="G19" i="40"/>
  <c r="F19" i="40"/>
  <c r="E19" i="40"/>
  <c r="D19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Q32" i="40"/>
  <c r="Q33" i="40" s="1"/>
  <c r="O16" i="40"/>
  <c r="N16" i="40"/>
  <c r="M16" i="40"/>
  <c r="L16" i="40"/>
  <c r="K16" i="40"/>
  <c r="J16" i="40"/>
  <c r="I16" i="40"/>
  <c r="H16" i="40"/>
  <c r="G16" i="40"/>
  <c r="F16" i="40"/>
  <c r="E16" i="40"/>
  <c r="D16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O14" i="40"/>
  <c r="O17" i="40" s="1"/>
  <c r="N14" i="40"/>
  <c r="N17" i="40" s="1"/>
  <c r="M14" i="40"/>
  <c r="M17" i="40" s="1"/>
  <c r="L14" i="40"/>
  <c r="L17" i="40" s="1"/>
  <c r="K14" i="40"/>
  <c r="K17" i="40" s="1"/>
  <c r="J14" i="40"/>
  <c r="J17" i="40" s="1"/>
  <c r="I14" i="40"/>
  <c r="I17" i="40" s="1"/>
  <c r="H14" i="40"/>
  <c r="H17" i="40" s="1"/>
  <c r="G14" i="40"/>
  <c r="G17" i="40" s="1"/>
  <c r="F14" i="40"/>
  <c r="F17" i="40" s="1"/>
  <c r="E14" i="40"/>
  <c r="E17" i="40" s="1"/>
  <c r="D14" i="40"/>
  <c r="D17" i="40" s="1"/>
  <c r="O8" i="40"/>
  <c r="N8" i="40"/>
  <c r="M8" i="40"/>
  <c r="L8" i="40"/>
  <c r="K8" i="40"/>
  <c r="J8" i="40"/>
  <c r="I8" i="40"/>
  <c r="H8" i="40"/>
  <c r="G8" i="40"/>
  <c r="F8" i="40"/>
  <c r="E8" i="40"/>
  <c r="D8" i="40"/>
  <c r="O7" i="40"/>
  <c r="N7" i="40"/>
  <c r="M7" i="40"/>
  <c r="L7" i="40"/>
  <c r="K7" i="40"/>
  <c r="J7" i="40"/>
  <c r="I7" i="40"/>
  <c r="H7" i="40"/>
  <c r="G7" i="40"/>
  <c r="F7" i="40"/>
  <c r="E7" i="40"/>
  <c r="D7" i="40"/>
  <c r="O6" i="40"/>
  <c r="N6" i="40"/>
  <c r="M6" i="40"/>
  <c r="L6" i="40"/>
  <c r="K6" i="40"/>
  <c r="J6" i="40"/>
  <c r="I6" i="40"/>
  <c r="H6" i="40"/>
  <c r="G6" i="40"/>
  <c r="F6" i="40"/>
  <c r="E6" i="40"/>
  <c r="D6" i="40"/>
  <c r="Q3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Q11" i="40" s="1"/>
  <c r="I22" i="39"/>
  <c r="I20" i="39"/>
  <c r="I21" i="39"/>
  <c r="I23" i="39"/>
  <c r="F23" i="39"/>
  <c r="E23" i="39"/>
  <c r="D23" i="39"/>
  <c r="F22" i="39"/>
  <c r="E22" i="39"/>
  <c r="D22" i="39"/>
  <c r="F21" i="39"/>
  <c r="E21" i="39"/>
  <c r="D21" i="39"/>
  <c r="F20" i="39"/>
  <c r="E20" i="39"/>
  <c r="D20" i="39"/>
  <c r="F19" i="39"/>
  <c r="E19" i="39"/>
  <c r="D19" i="39"/>
  <c r="F18" i="39"/>
  <c r="E18" i="39"/>
  <c r="D18" i="39"/>
  <c r="F17" i="39"/>
  <c r="E17" i="39"/>
  <c r="D17" i="39"/>
  <c r="F16" i="39"/>
  <c r="E16" i="39"/>
  <c r="D16" i="39"/>
  <c r="F15" i="39"/>
  <c r="E15" i="39"/>
  <c r="D15" i="39"/>
  <c r="C23" i="39"/>
  <c r="C22" i="39"/>
  <c r="C21" i="39"/>
  <c r="C20" i="39"/>
  <c r="C19" i="39"/>
  <c r="C18" i="39"/>
  <c r="C17" i="39"/>
  <c r="C16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7" i="26"/>
  <c r="E17" i="26"/>
  <c r="F16" i="26"/>
  <c r="E16" i="26"/>
  <c r="F17" i="27"/>
  <c r="E17" i="27"/>
  <c r="F16" i="27"/>
  <c r="E16" i="27"/>
  <c r="E9" i="40" l="1"/>
  <c r="E29" i="40" s="1"/>
  <c r="Q27" i="40"/>
  <c r="Q35" i="40"/>
  <c r="Q19" i="40"/>
  <c r="J9" i="40"/>
  <c r="J29" i="40" s="1"/>
  <c r="H9" i="40"/>
  <c r="H29" i="40" s="1"/>
  <c r="F9" i="40"/>
  <c r="F29" i="40" s="1"/>
  <c r="O9" i="40"/>
  <c r="O29" i="40" s="1"/>
  <c r="N9" i="40"/>
  <c r="N29" i="40" s="1"/>
  <c r="M9" i="40"/>
  <c r="M29" i="40" s="1"/>
  <c r="L9" i="40"/>
  <c r="L29" i="40" s="1"/>
  <c r="K9" i="40"/>
  <c r="K29" i="40" s="1"/>
  <c r="I9" i="40"/>
  <c r="I29" i="40" s="1"/>
  <c r="G9" i="40"/>
  <c r="G29" i="40" s="1"/>
  <c r="D9" i="40"/>
  <c r="D29" i="40" s="1"/>
  <c r="G23" i="39"/>
  <c r="H23" i="39" s="1"/>
  <c r="G13" i="39"/>
  <c r="J13" i="39" s="1"/>
  <c r="K13" i="39" s="1"/>
  <c r="G17" i="39"/>
  <c r="J17" i="39" s="1"/>
  <c r="K17" i="39" s="1"/>
  <c r="G12" i="39"/>
  <c r="J12" i="39" s="1"/>
  <c r="K12" i="39" s="1"/>
  <c r="G16" i="39"/>
  <c r="J16" i="39" s="1"/>
  <c r="K16" i="39" s="1"/>
  <c r="G20" i="39"/>
  <c r="J20" i="39" s="1"/>
  <c r="K20" i="39" s="1"/>
  <c r="G21" i="39"/>
  <c r="J21" i="39" s="1"/>
  <c r="K21" i="39" s="1"/>
  <c r="G14" i="39"/>
  <c r="G18" i="39"/>
  <c r="G15" i="39"/>
  <c r="G19" i="39"/>
  <c r="G22" i="39"/>
  <c r="G11" i="38"/>
  <c r="J18" i="38"/>
  <c r="I18" i="38"/>
  <c r="H18" i="38"/>
  <c r="D18" i="38"/>
  <c r="B18" i="38"/>
  <c r="F17" i="38"/>
  <c r="G17" i="38" s="1"/>
  <c r="K17" i="38" s="1"/>
  <c r="E17" i="38"/>
  <c r="F16" i="38"/>
  <c r="G16" i="38" s="1"/>
  <c r="E16" i="38"/>
  <c r="J11" i="38"/>
  <c r="I11" i="38"/>
  <c r="H11" i="38"/>
  <c r="D11" i="38"/>
  <c r="C11" i="38"/>
  <c r="G10" i="38"/>
  <c r="G9" i="38"/>
  <c r="K9" i="38" s="1"/>
  <c r="J18" i="37"/>
  <c r="I18" i="37"/>
  <c r="H18" i="37"/>
  <c r="D18" i="37"/>
  <c r="B18" i="37"/>
  <c r="G17" i="37"/>
  <c r="K17" i="37" s="1"/>
  <c r="F17" i="37"/>
  <c r="E17" i="37"/>
  <c r="G16" i="37"/>
  <c r="K16" i="37" s="1"/>
  <c r="F16" i="37"/>
  <c r="E16" i="37"/>
  <c r="J11" i="37"/>
  <c r="I11" i="37"/>
  <c r="H11" i="37"/>
  <c r="D11" i="37"/>
  <c r="C11" i="37"/>
  <c r="G10" i="37"/>
  <c r="K10" i="37" s="1"/>
  <c r="G9" i="37"/>
  <c r="Q29" i="40" l="1"/>
  <c r="J23" i="39"/>
  <c r="K23" i="39" s="1"/>
  <c r="H12" i="39"/>
  <c r="H20" i="39"/>
  <c r="H17" i="39"/>
  <c r="H13" i="39"/>
  <c r="H16" i="39"/>
  <c r="H21" i="39"/>
  <c r="J22" i="39"/>
  <c r="K22" i="39" s="1"/>
  <c r="H22" i="39"/>
  <c r="H18" i="39"/>
  <c r="J18" i="39"/>
  <c r="K18" i="39" s="1"/>
  <c r="H19" i="39"/>
  <c r="J19" i="39"/>
  <c r="K19" i="39" s="1"/>
  <c r="H14" i="39"/>
  <c r="J14" i="39"/>
  <c r="K14" i="39" s="1"/>
  <c r="H15" i="39"/>
  <c r="J15" i="39"/>
  <c r="K15" i="39" s="1"/>
  <c r="J21" i="38"/>
  <c r="I21" i="38"/>
  <c r="H21" i="38"/>
  <c r="G18" i="38"/>
  <c r="G21" i="38" s="1"/>
  <c r="K16" i="38"/>
  <c r="K18" i="38" s="1"/>
  <c r="K10" i="38"/>
  <c r="K11" i="38" s="1"/>
  <c r="J21" i="37"/>
  <c r="I21" i="37"/>
  <c r="H21" i="37"/>
  <c r="K18" i="37"/>
  <c r="G11" i="37"/>
  <c r="K9" i="37"/>
  <c r="K11" i="37" s="1"/>
  <c r="G18" i="37"/>
  <c r="J18" i="36"/>
  <c r="I18" i="36"/>
  <c r="H18" i="36"/>
  <c r="D18" i="36"/>
  <c r="B18" i="36"/>
  <c r="F17" i="36"/>
  <c r="G17" i="36" s="1"/>
  <c r="K17" i="36" s="1"/>
  <c r="E17" i="36"/>
  <c r="F16" i="36"/>
  <c r="G16" i="36" s="1"/>
  <c r="E16" i="36"/>
  <c r="J11" i="36"/>
  <c r="I11" i="36"/>
  <c r="H11" i="36"/>
  <c r="D11" i="36"/>
  <c r="C11" i="36"/>
  <c r="G10" i="36"/>
  <c r="K10" i="36" s="1"/>
  <c r="G9" i="36"/>
  <c r="F16" i="35"/>
  <c r="G16" i="35" s="1"/>
  <c r="F17" i="35"/>
  <c r="E17" i="35"/>
  <c r="E16" i="35"/>
  <c r="J18" i="35"/>
  <c r="I18" i="35"/>
  <c r="H18" i="35"/>
  <c r="D18" i="35"/>
  <c r="B18" i="35"/>
  <c r="G17" i="35"/>
  <c r="K17" i="35" s="1"/>
  <c r="J11" i="35"/>
  <c r="I11" i="35"/>
  <c r="H11" i="35"/>
  <c r="D11" i="35"/>
  <c r="C11" i="35"/>
  <c r="G10" i="35"/>
  <c r="K10" i="35" s="1"/>
  <c r="G9" i="35"/>
  <c r="K21" i="38" l="1"/>
  <c r="K21" i="37"/>
  <c r="G21" i="37"/>
  <c r="J21" i="36"/>
  <c r="I21" i="36"/>
  <c r="H21" i="36"/>
  <c r="G11" i="36"/>
  <c r="K16" i="36"/>
  <c r="K18" i="36" s="1"/>
  <c r="G18" i="36"/>
  <c r="K9" i="36"/>
  <c r="K11" i="36" s="1"/>
  <c r="G11" i="35"/>
  <c r="J21" i="35"/>
  <c r="I21" i="35"/>
  <c r="H21" i="35"/>
  <c r="K16" i="35"/>
  <c r="K18" i="35" s="1"/>
  <c r="G18" i="35"/>
  <c r="K9" i="35"/>
  <c r="K11" i="35" s="1"/>
  <c r="F17" i="29"/>
  <c r="E17" i="29"/>
  <c r="F16" i="29"/>
  <c r="E16" i="29"/>
  <c r="F17" i="28"/>
  <c r="F16" i="28"/>
  <c r="E17" i="28"/>
  <c r="E16" i="28"/>
  <c r="F17" i="25"/>
  <c r="E17" i="25"/>
  <c r="F16" i="25"/>
  <c r="E16" i="25"/>
  <c r="F17" i="24"/>
  <c r="E17" i="24"/>
  <c r="F16" i="24"/>
  <c r="E16" i="24"/>
  <c r="F17" i="23"/>
  <c r="F16" i="23"/>
  <c r="E17" i="23"/>
  <c r="E16" i="23"/>
  <c r="G21" i="36" l="1"/>
  <c r="K21" i="36"/>
  <c r="G21" i="35"/>
  <c r="K21" i="35"/>
  <c r="J18" i="29" l="1"/>
  <c r="I18" i="29"/>
  <c r="H18" i="29"/>
  <c r="D18" i="29"/>
  <c r="B18" i="29"/>
  <c r="G17" i="29"/>
  <c r="K17" i="29" s="1"/>
  <c r="G16" i="29"/>
  <c r="J11" i="29"/>
  <c r="I11" i="29"/>
  <c r="H11" i="29"/>
  <c r="D11" i="29"/>
  <c r="C11" i="29"/>
  <c r="G10" i="29"/>
  <c r="K10" i="29" s="1"/>
  <c r="G9" i="29"/>
  <c r="K9" i="29" s="1"/>
  <c r="J18" i="28"/>
  <c r="I18" i="28"/>
  <c r="H18" i="28"/>
  <c r="D18" i="28"/>
  <c r="B18" i="28"/>
  <c r="G17" i="28"/>
  <c r="K17" i="28" s="1"/>
  <c r="G16" i="28"/>
  <c r="J11" i="28"/>
  <c r="I11" i="28"/>
  <c r="H11" i="28"/>
  <c r="D11" i="28"/>
  <c r="C11" i="28"/>
  <c r="G10" i="28"/>
  <c r="K10" i="28" s="1"/>
  <c r="G9" i="28"/>
  <c r="K9" i="28" s="1"/>
  <c r="J18" i="27"/>
  <c r="I18" i="27"/>
  <c r="H18" i="27"/>
  <c r="D18" i="27"/>
  <c r="B18" i="27"/>
  <c r="G17" i="27"/>
  <c r="K17" i="27" s="1"/>
  <c r="G16" i="27"/>
  <c r="J11" i="27"/>
  <c r="I11" i="27"/>
  <c r="H11" i="27"/>
  <c r="D11" i="27"/>
  <c r="C11" i="27"/>
  <c r="G10" i="27"/>
  <c r="K10" i="27" s="1"/>
  <c r="G9" i="27"/>
  <c r="K9" i="27" s="1"/>
  <c r="J18" i="26"/>
  <c r="I18" i="26"/>
  <c r="H18" i="26"/>
  <c r="D18" i="26"/>
  <c r="B18" i="26"/>
  <c r="G17" i="26"/>
  <c r="K17" i="26" s="1"/>
  <c r="G16" i="26"/>
  <c r="J11" i="26"/>
  <c r="I11" i="26"/>
  <c r="H11" i="26"/>
  <c r="D11" i="26"/>
  <c r="C11" i="26"/>
  <c r="G10" i="26"/>
  <c r="K10" i="26" s="1"/>
  <c r="G9" i="26"/>
  <c r="K9" i="26" s="1"/>
  <c r="J18" i="25"/>
  <c r="I18" i="25"/>
  <c r="H18" i="25"/>
  <c r="D18" i="25"/>
  <c r="B18" i="25"/>
  <c r="G17" i="25"/>
  <c r="K17" i="25" s="1"/>
  <c r="G16" i="25"/>
  <c r="J11" i="25"/>
  <c r="J21" i="25" s="1"/>
  <c r="I11" i="25"/>
  <c r="H11" i="25"/>
  <c r="D11" i="25"/>
  <c r="C11" i="25"/>
  <c r="G10" i="25"/>
  <c r="K10" i="25" s="1"/>
  <c r="G9" i="25"/>
  <c r="J18" i="24"/>
  <c r="I18" i="24"/>
  <c r="H18" i="24"/>
  <c r="D18" i="24"/>
  <c r="B18" i="24"/>
  <c r="G17" i="24"/>
  <c r="K17" i="24" s="1"/>
  <c r="G16" i="24"/>
  <c r="K16" i="24" s="1"/>
  <c r="J11" i="24"/>
  <c r="I11" i="24"/>
  <c r="H11" i="24"/>
  <c r="D11" i="24"/>
  <c r="C11" i="24"/>
  <c r="K10" i="24"/>
  <c r="G10" i="24"/>
  <c r="K9" i="24"/>
  <c r="G9" i="24"/>
  <c r="G11" i="24" s="1"/>
  <c r="J18" i="23"/>
  <c r="I18" i="23"/>
  <c r="H18" i="23"/>
  <c r="D18" i="23"/>
  <c r="B18" i="23"/>
  <c r="G17" i="23"/>
  <c r="K17" i="23" s="1"/>
  <c r="G16" i="23"/>
  <c r="J11" i="23"/>
  <c r="I11" i="23"/>
  <c r="H11" i="23"/>
  <c r="D11" i="23"/>
  <c r="C11" i="23"/>
  <c r="G10" i="23"/>
  <c r="K10" i="23" s="1"/>
  <c r="G9" i="23"/>
  <c r="K9" i="23" s="1"/>
  <c r="J18" i="22"/>
  <c r="I18" i="22"/>
  <c r="H18" i="22"/>
  <c r="D18" i="22"/>
  <c r="B18" i="22"/>
  <c r="G17" i="22"/>
  <c r="K17" i="22" s="1"/>
  <c r="F17" i="22"/>
  <c r="E17" i="22"/>
  <c r="G16" i="22"/>
  <c r="K16" i="22" s="1"/>
  <c r="F16" i="22"/>
  <c r="E16" i="22"/>
  <c r="J11" i="22"/>
  <c r="I11" i="22"/>
  <c r="H11" i="22"/>
  <c r="D11" i="22"/>
  <c r="C11" i="22"/>
  <c r="G10" i="22"/>
  <c r="K10" i="22" s="1"/>
  <c r="G9" i="22"/>
  <c r="J21" i="29" l="1"/>
  <c r="I21" i="29"/>
  <c r="H21" i="29"/>
  <c r="K11" i="29"/>
  <c r="G18" i="29"/>
  <c r="K16" i="29"/>
  <c r="K18" i="29" s="1"/>
  <c r="G11" i="29"/>
  <c r="J21" i="28"/>
  <c r="I21" i="28"/>
  <c r="H21" i="28"/>
  <c r="K11" i="28"/>
  <c r="G18" i="28"/>
  <c r="K16" i="28"/>
  <c r="K18" i="28" s="1"/>
  <c r="G11" i="28"/>
  <c r="J21" i="27"/>
  <c r="I21" i="27"/>
  <c r="H21" i="27"/>
  <c r="K11" i="27"/>
  <c r="G18" i="27"/>
  <c r="K16" i="27"/>
  <c r="K18" i="27" s="1"/>
  <c r="G11" i="27"/>
  <c r="J21" i="26"/>
  <c r="I21" i="26"/>
  <c r="H21" i="26"/>
  <c r="K11" i="26"/>
  <c r="G18" i="26"/>
  <c r="K16" i="26"/>
  <c r="K18" i="26" s="1"/>
  <c r="G11" i="26"/>
  <c r="I21" i="25"/>
  <c r="H21" i="25"/>
  <c r="G11" i="25"/>
  <c r="K16" i="25"/>
  <c r="K18" i="25" s="1"/>
  <c r="G18" i="25"/>
  <c r="K9" i="25"/>
  <c r="K11" i="25" s="1"/>
  <c r="J21" i="24"/>
  <c r="I21" i="24"/>
  <c r="H21" i="24"/>
  <c r="K11" i="24"/>
  <c r="G21" i="24"/>
  <c r="K18" i="24"/>
  <c r="G18" i="24"/>
  <c r="J21" i="23"/>
  <c r="I21" i="23"/>
  <c r="H21" i="23"/>
  <c r="K11" i="23"/>
  <c r="G18" i="23"/>
  <c r="K16" i="23"/>
  <c r="K18" i="23" s="1"/>
  <c r="G11" i="23"/>
  <c r="J21" i="22"/>
  <c r="I21" i="22"/>
  <c r="H21" i="22"/>
  <c r="G11" i="22"/>
  <c r="G21" i="22" s="1"/>
  <c r="K9" i="22"/>
  <c r="K11" i="22" s="1"/>
  <c r="K18" i="22"/>
  <c r="G18" i="22"/>
  <c r="K21" i="29" l="1"/>
  <c r="G21" i="29"/>
  <c r="K21" i="28"/>
  <c r="G21" i="28"/>
  <c r="K21" i="27"/>
  <c r="G21" i="27"/>
  <c r="K21" i="26"/>
  <c r="G21" i="26"/>
  <c r="K21" i="25"/>
  <c r="G21" i="25"/>
  <c r="K21" i="24"/>
  <c r="K21" i="23"/>
  <c r="G21" i="23"/>
  <c r="K21" i="22"/>
</calcChain>
</file>

<file path=xl/sharedStrings.xml><?xml version="1.0" encoding="utf-8"?>
<sst xmlns="http://schemas.openxmlformats.org/spreadsheetml/2006/main" count="451" uniqueCount="73">
  <si>
    <t>Rural</t>
  </si>
  <si>
    <t>Large Industrial</t>
  </si>
  <si>
    <t>Subtotal</t>
  </si>
  <si>
    <t>Smelter</t>
  </si>
  <si>
    <t>Alcan</t>
  </si>
  <si>
    <t>Century</t>
  </si>
  <si>
    <t>Total</t>
  </si>
  <si>
    <t>BFE KWH</t>
  </si>
  <si>
    <t>Contractual Premium</t>
  </si>
  <si>
    <t>BME kWh</t>
  </si>
  <si>
    <t>Base Rate</t>
  </si>
  <si>
    <t>Less Premium</t>
  </si>
  <si>
    <t xml:space="preserve">Total BME </t>
  </si>
  <si>
    <t>FAC</t>
  </si>
  <si>
    <t>Non-FAC PPA</t>
  </si>
  <si>
    <t>ES</t>
  </si>
  <si>
    <t>Demand</t>
  </si>
  <si>
    <t>Energy</t>
  </si>
  <si>
    <t>Revenue</t>
  </si>
  <si>
    <t>Big Rivers Electric Corporation</t>
  </si>
  <si>
    <t>Environmental Surcharge Report</t>
  </si>
  <si>
    <t>Current Month Revenue Computation of R(m) - Detail</t>
  </si>
  <si>
    <t xml:space="preserve">For the Month Ended </t>
  </si>
  <si>
    <t>Monthly Average Revenue Computation of R(m)</t>
  </si>
  <si>
    <t>Revenue from Member Systems</t>
  </si>
  <si>
    <t>Month</t>
  </si>
  <si>
    <t>Fuel Clause Rev</t>
  </si>
  <si>
    <t>Base Rate Rev</t>
  </si>
  <si>
    <t>Non-Fac PPA Rev</t>
  </si>
  <si>
    <t>Envir Sur Rev</t>
  </si>
  <si>
    <t>Total 2+3+4+5</t>
  </si>
  <si>
    <t>Total Excl Envir Sur 6-5</t>
  </si>
  <si>
    <t>Off-System Sales</t>
  </si>
  <si>
    <t>Total 6+8</t>
  </si>
  <si>
    <t>Total Excl Envir Sur 9-5</t>
  </si>
  <si>
    <t>Total Company Revenues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</si>
  <si>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</si>
  <si>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</si>
  <si>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</si>
  <si>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</si>
  <si>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</si>
  <si>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</si>
  <si>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</si>
  <si>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</si>
  <si>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</si>
  <si>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</si>
  <si>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</si>
  <si>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</si>
  <si>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Totals</t>
  </si>
  <si>
    <t>Average Monthly Member System Revenues, Excluding Environmental Surcharge, for 12 Months Ending  Current Expense Month</t>
  </si>
  <si>
    <t xml:space="preserve">Member System Allocation Percentage for Current Month (Environmental Surcharge excluded from Calculations):  Column 7/Column 10 = </t>
  </si>
  <si>
    <t xml:space="preserve">For the Period Ended </t>
  </si>
  <si>
    <t>May 2011 through April 2012</t>
  </si>
  <si>
    <t>Response to KIUC Q1.51</t>
  </si>
  <si>
    <t>Total Adjusted Revenues May 2011 - April 2012</t>
  </si>
  <si>
    <t>i.</t>
  </si>
  <si>
    <t>Base Rate Revenues</t>
  </si>
  <si>
    <t>ii.</t>
  </si>
  <si>
    <t>FAC Revenues</t>
  </si>
  <si>
    <t>iii.</t>
  </si>
  <si>
    <t>Non-FAC PPA Revenues</t>
  </si>
  <si>
    <t>a.</t>
  </si>
  <si>
    <t>Total Adjusted Revenue</t>
  </si>
  <si>
    <t>iv.</t>
  </si>
  <si>
    <t>Fuel Revenues in Base Rates</t>
  </si>
  <si>
    <t>Response to KIUC 1.51</t>
  </si>
  <si>
    <t>Total Adjusted Revenue May 11-Apr 12</t>
  </si>
  <si>
    <t>Rural kWh</t>
  </si>
  <si>
    <t>LI kWh</t>
  </si>
  <si>
    <t>Smelters BME</t>
  </si>
  <si>
    <t>Total Adjusted Revenue All</t>
  </si>
  <si>
    <t>b.</t>
  </si>
  <si>
    <t>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</si>
</sst>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[$-409]mmmm\-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entury Schoolbook"/>
      <family val="1"/>
    </font>
    <font>
      <b/>
      <sz val="12"/>
      <color theme="1"/>
      <name val="Century Schoolbook"/>
      <family val="1"/>
    </font>
    <font>
      <b/>
      <u/>
      <sz val="12"/>
      <color theme="1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0" xfId="0" applyFill="1"/>
    <xf numFmtId="3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0" fontId="0" fillId="3" borderId="0" xfId="0" applyNumberFormat="1" applyFill="1" applyAlignment="1">
      <alignment horizontal="center"/>
    </xf>
    <xf numFmtId="39" fontId="0" fillId="3" borderId="0" xfId="0" applyNumberFormat="1" applyFill="1" applyAlignment="1">
      <alignment horizontal="center"/>
    </xf>
    <xf numFmtId="39" fontId="0" fillId="3" borderId="0" xfId="0" applyNumberFormat="1" applyFill="1"/>
    <xf numFmtId="39" fontId="0" fillId="3" borderId="1" xfId="0" applyNumberFormat="1" applyFill="1" applyBorder="1" applyAlignment="1">
      <alignment horizontal="center"/>
    </xf>
    <xf numFmtId="39" fontId="0" fillId="3" borderId="1" xfId="0" applyNumberFormat="1" applyFill="1" applyBorder="1"/>
    <xf numFmtId="0" fontId="0" fillId="3" borderId="0" xfId="0" applyFill="1" applyAlignment="1">
      <alignment horizontal="center" wrapText="1"/>
    </xf>
    <xf numFmtId="40" fontId="0" fillId="3" borderId="0" xfId="0" applyNumberFormat="1" applyFill="1"/>
    <xf numFmtId="3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0" fontId="0" fillId="3" borderId="1" xfId="0" applyNumberFormat="1" applyFill="1" applyBorder="1"/>
    <xf numFmtId="0" fontId="0" fillId="3" borderId="0" xfId="0" applyFill="1" applyAlignment="1">
      <alignment horizontal="center" wrapText="1"/>
    </xf>
    <xf numFmtId="39" fontId="0" fillId="3" borderId="0" xfId="0" applyNumberFormat="1" applyFill="1" applyAlignment="1">
      <alignment horizontal="center"/>
    </xf>
    <xf numFmtId="39" fontId="0" fillId="3" borderId="1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40" fontId="0" fillId="0" borderId="0" xfId="0" applyNumberFormat="1"/>
    <xf numFmtId="0" fontId="2" fillId="0" borderId="0" xfId="0" applyFont="1"/>
    <xf numFmtId="0" fontId="0" fillId="3" borderId="0" xfId="0" applyFill="1"/>
    <xf numFmtId="39" fontId="0" fillId="3" borderId="0" xfId="0" applyNumberFormat="1" applyFill="1" applyAlignment="1">
      <alignment horizontal="center"/>
    </xf>
    <xf numFmtId="3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4" fontId="1" fillId="0" borderId="0" xfId="0" quotePrefix="1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40" fontId="0" fillId="0" borderId="2" xfId="0" applyNumberFormat="1" applyBorder="1"/>
    <xf numFmtId="40" fontId="0" fillId="0" borderId="7" xfId="0" applyNumberFormat="1" applyBorder="1"/>
    <xf numFmtId="39" fontId="0" fillId="0" borderId="8" xfId="0" applyNumberFormat="1" applyBorder="1"/>
    <xf numFmtId="39" fontId="0" fillId="0" borderId="8" xfId="0" applyNumberFormat="1" applyBorder="1" applyAlignment="1">
      <alignment horizontal="right"/>
    </xf>
    <xf numFmtId="39" fontId="0" fillId="0" borderId="2" xfId="0" applyNumberFormat="1" applyBorder="1" applyAlignment="1">
      <alignment horizontal="right"/>
    </xf>
    <xf numFmtId="10" fontId="0" fillId="0" borderId="2" xfId="0" applyNumberFormat="1" applyBorder="1"/>
    <xf numFmtId="39" fontId="0" fillId="2" borderId="8" xfId="0" applyNumberFormat="1" applyFill="1" applyBorder="1" applyAlignment="1">
      <alignment horizontal="right"/>
    </xf>
    <xf numFmtId="39" fontId="0" fillId="2" borderId="2" xfId="0" applyNumberFormat="1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9" fontId="0" fillId="0" borderId="0" xfId="0" applyNumberFormat="1" applyBorder="1"/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40" fontId="0" fillId="0" borderId="6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quotePrefix="1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17" fontId="4" fillId="3" borderId="0" xfId="0" applyNumberFormat="1" applyFont="1" applyFill="1" applyAlignment="1">
      <alignment horizontal="center"/>
    </xf>
    <xf numFmtId="17" fontId="4" fillId="3" borderId="0" xfId="0" applyNumberFormat="1" applyFont="1" applyFill="1"/>
    <xf numFmtId="0" fontId="5" fillId="3" borderId="0" xfId="0" applyFont="1" applyFill="1"/>
    <xf numFmtId="37" fontId="3" fillId="3" borderId="0" xfId="0" applyNumberFormat="1" applyFont="1" applyFill="1"/>
    <xf numFmtId="37" fontId="3" fillId="3" borderId="0" xfId="0" applyNumberFormat="1" applyFont="1" applyFill="1" applyBorder="1"/>
    <xf numFmtId="37" fontId="3" fillId="3" borderId="1" xfId="0" applyNumberFormat="1" applyFont="1" applyFill="1" applyBorder="1"/>
    <xf numFmtId="3" fontId="3" fillId="3" borderId="0" xfId="0" applyNumberFormat="1" applyFont="1" applyFill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42" fontId="3" fillId="3" borderId="0" xfId="0" applyNumberFormat="1" applyFont="1" applyFill="1"/>
    <xf numFmtId="42" fontId="3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G9" sqref="G9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40664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3310058.62</v>
      </c>
      <c r="D9" s="5">
        <v>3446546.94</v>
      </c>
      <c r="E9" s="6"/>
      <c r="F9" s="6"/>
      <c r="G9" s="6">
        <f>C9+D9</f>
        <v>6756605.5600000005</v>
      </c>
      <c r="H9" s="6">
        <v>1971289.69</v>
      </c>
      <c r="I9" s="6">
        <v>0</v>
      </c>
      <c r="J9" s="6">
        <v>295321.77</v>
      </c>
      <c r="K9" s="6">
        <f>SUM(G9:J9)</f>
        <v>9023217.0199999996</v>
      </c>
    </row>
    <row r="10" spans="1:11" x14ac:dyDescent="0.25">
      <c r="A10" s="1" t="s">
        <v>1</v>
      </c>
      <c r="C10" s="7">
        <v>1490588.4</v>
      </c>
      <c r="D10" s="7">
        <v>1148498.76</v>
      </c>
      <c r="E10" s="8"/>
      <c r="F10" s="8"/>
      <c r="G10" s="8">
        <f>C10+D10</f>
        <v>2639087.16</v>
      </c>
      <c r="H10" s="8">
        <v>977082.28</v>
      </c>
      <c r="I10" s="8">
        <v>0</v>
      </c>
      <c r="J10" s="8">
        <v>146378.07999999999</v>
      </c>
      <c r="K10" s="8">
        <f>SUM(G10:J10)</f>
        <v>3762547.5200000005</v>
      </c>
    </row>
    <row r="11" spans="1:11" x14ac:dyDescent="0.25">
      <c r="A11" s="1" t="s">
        <v>2</v>
      </c>
      <c r="C11" s="5">
        <f>SUM(C9:C10)</f>
        <v>4800647.0199999996</v>
      </c>
      <c r="D11" s="5">
        <f>SUM(D9:D10)</f>
        <v>4595045.7</v>
      </c>
      <c r="E11" s="6"/>
      <c r="F11" s="6"/>
      <c r="G11" s="6">
        <f>SUM(G9:G10)</f>
        <v>9395692.7200000007</v>
      </c>
      <c r="H11" s="6">
        <f>SUM(H9:H10)</f>
        <v>2948371.9699999997</v>
      </c>
      <c r="I11" s="6">
        <f>SUM(I9:I10)</f>
        <v>0</v>
      </c>
      <c r="J11" s="6">
        <f>SUM(J9:J10)</f>
        <v>441699.85</v>
      </c>
      <c r="K11" s="6">
        <f>SUM(K9:K10)</f>
        <v>12785764.539999999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269481480</v>
      </c>
      <c r="E16" s="1">
        <f>ROUND((0.01015/((365*24*0.98)/12)*1000+0.013715+0.00025),6)</f>
        <v>2.8153000000000001E-2</v>
      </c>
      <c r="F16" s="1">
        <f>ROUND((0.01015/((365*24*0.98)/12)*1000+0.013715),6)</f>
        <v>2.7903000000000001E-2</v>
      </c>
      <c r="G16" s="10">
        <f>ROUND(D16*F16,2)</f>
        <v>7519341.7400000002</v>
      </c>
      <c r="H16" s="10">
        <v>3144309.91</v>
      </c>
      <c r="I16" s="10">
        <v>-349248</v>
      </c>
      <c r="J16" s="10">
        <v>471053.63</v>
      </c>
      <c r="K16" s="10">
        <f>SUM(G16:J16)</f>
        <v>10785457.280000001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344307042</v>
      </c>
      <c r="E17" s="13">
        <f>ROUND((0.01015/((365*24*0.98)/12)*1000+0.013715+0.00025),6)</f>
        <v>2.8153000000000001E-2</v>
      </c>
      <c r="F17" s="13">
        <f>ROUND((0.01015/((365*24*0.98)/12)*1000+0.013715),6)</f>
        <v>2.7903000000000001E-2</v>
      </c>
      <c r="G17" s="14">
        <f>ROUND(D17*F17,2)</f>
        <v>9607199.3900000006</v>
      </c>
      <c r="H17" s="14">
        <v>4017374.56</v>
      </c>
      <c r="I17" s="14">
        <v>-446221.93</v>
      </c>
      <c r="J17" s="14">
        <v>601848.71</v>
      </c>
      <c r="K17" s="14">
        <f>SUM(G17:J17)</f>
        <v>13780200.73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613788522</v>
      </c>
      <c r="G18" s="10">
        <f>SUM(G16:G17)</f>
        <v>17126541.130000003</v>
      </c>
      <c r="H18" s="10">
        <f t="shared" ref="H18:J18" si="0">SUM(H16:H17)</f>
        <v>7161684.4700000007</v>
      </c>
      <c r="I18" s="10">
        <f t="shared" si="0"/>
        <v>-795469.92999999993</v>
      </c>
      <c r="J18" s="10">
        <f t="shared" si="0"/>
        <v>1072902.3399999999</v>
      </c>
      <c r="K18" s="10">
        <f>SUM(K16:K17)</f>
        <v>24565658.010000002</v>
      </c>
    </row>
    <row r="21" spans="1:11" x14ac:dyDescent="0.25">
      <c r="A21" s="1" t="s">
        <v>6</v>
      </c>
      <c r="G21" s="10">
        <f>G11+G18</f>
        <v>26522233.850000001</v>
      </c>
      <c r="H21" s="10">
        <f>H11+H18</f>
        <v>10110056.440000001</v>
      </c>
      <c r="I21" s="10">
        <f>I11+I18</f>
        <v>-795469.92999999993</v>
      </c>
      <c r="J21" s="10">
        <f>J11+J18</f>
        <v>1514602.19</v>
      </c>
      <c r="K21" s="10">
        <f>K11+K18</f>
        <v>37351422.549999997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E16" sqref="E16:F17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40695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3546760.91</v>
      </c>
      <c r="D9" s="5">
        <v>6434419.4900000002</v>
      </c>
      <c r="E9" s="6"/>
      <c r="F9" s="6"/>
      <c r="G9" s="6">
        <f>C9+D9</f>
        <v>9981180.4000000004</v>
      </c>
      <c r="H9" s="6">
        <v>-218810.62</v>
      </c>
      <c r="I9" s="6">
        <v>0</v>
      </c>
      <c r="J9" s="6">
        <v>480080.16</v>
      </c>
      <c r="K9" s="6">
        <f>SUM(G9:J9)</f>
        <v>10242449.940000001</v>
      </c>
    </row>
    <row r="10" spans="1:11" x14ac:dyDescent="0.25">
      <c r="A10" s="1" t="s">
        <v>1</v>
      </c>
      <c r="C10" s="7">
        <v>1503509.35</v>
      </c>
      <c r="D10" s="7">
        <v>2006691.56</v>
      </c>
      <c r="E10" s="8"/>
      <c r="F10" s="8"/>
      <c r="G10" s="8">
        <f>C10+D10</f>
        <v>3510200.91</v>
      </c>
      <c r="H10" s="8">
        <v>-87305.8</v>
      </c>
      <c r="I10" s="8">
        <v>0</v>
      </c>
      <c r="J10" s="8">
        <v>191552.8</v>
      </c>
      <c r="K10" s="8">
        <f>SUM(G10:J10)</f>
        <v>3614447.91</v>
      </c>
    </row>
    <row r="11" spans="1:11" x14ac:dyDescent="0.25">
      <c r="A11" s="1" t="s">
        <v>2</v>
      </c>
      <c r="C11" s="5">
        <f>SUM(C9:C10)</f>
        <v>5050270.26</v>
      </c>
      <c r="D11" s="5">
        <f>SUM(D9:D10)</f>
        <v>8441111.0500000007</v>
      </c>
      <c r="E11" s="6"/>
      <c r="F11" s="6"/>
      <c r="G11" s="6">
        <f>SUM(G9:G10)</f>
        <v>13491381.310000001</v>
      </c>
      <c r="H11" s="6">
        <f>SUM(H9:H10)</f>
        <v>-306116.42</v>
      </c>
      <c r="I11" s="6">
        <f>SUM(I9:I10)</f>
        <v>0</v>
      </c>
      <c r="J11" s="6">
        <f>SUM(J9:J10)</f>
        <v>671632.96</v>
      </c>
      <c r="K11" s="6">
        <f>SUM(K9:K10)</f>
        <v>13856897.850000001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259660800</v>
      </c>
      <c r="C16" s="3">
        <v>2.5000000000000001E-4</v>
      </c>
      <c r="D16" s="2">
        <v>258611101</v>
      </c>
      <c r="E16" s="1">
        <f>ROUND((0.01015/((365*24*0.98)/12)*1000+0.023927+0.00025),6)</f>
        <v>3.8365000000000003E-2</v>
      </c>
      <c r="F16" s="1">
        <f>ROUND((0.01015/((365*24*0.98)/12)*1000+0.023927),6)</f>
        <v>3.8115000000000003E-2</v>
      </c>
      <c r="G16" s="10">
        <f>ROUND(D16*F16,2)</f>
        <v>9856962.1099999994</v>
      </c>
      <c r="H16" s="10">
        <v>-269214.15999999997</v>
      </c>
      <c r="I16" s="10">
        <v>-269989.99</v>
      </c>
      <c r="J16" s="10">
        <v>590667.75</v>
      </c>
      <c r="K16" s="10">
        <f>SUM(G16:J16)</f>
        <v>9908425.709999999</v>
      </c>
    </row>
    <row r="17" spans="1:11" x14ac:dyDescent="0.25">
      <c r="A17" s="1" t="s">
        <v>5</v>
      </c>
      <c r="B17" s="11">
        <v>340099200</v>
      </c>
      <c r="C17" s="12">
        <v>2.5000000000000001E-4</v>
      </c>
      <c r="D17" s="11">
        <v>328624762</v>
      </c>
      <c r="E17" s="13">
        <f>ROUND((0.01015/((365*24*0.98)/12)*1000+0.023927+0.00025),6)</f>
        <v>3.8365000000000003E-2</v>
      </c>
      <c r="F17" s="13">
        <f>ROUND((0.01015/((365*24*0.98)/12)*1000+0.023927),6)</f>
        <v>3.8115000000000003E-2</v>
      </c>
      <c r="G17" s="14">
        <f>ROUND(D17*F17,2)</f>
        <v>12525532.800000001</v>
      </c>
      <c r="H17" s="14">
        <v>-342098.38</v>
      </c>
      <c r="I17" s="14">
        <v>-343084.25</v>
      </c>
      <c r="J17" s="14">
        <v>750578.96</v>
      </c>
      <c r="K17" s="14">
        <f>SUM(G17:J17)</f>
        <v>12590929.129999999</v>
      </c>
    </row>
    <row r="18" spans="1:11" x14ac:dyDescent="0.25">
      <c r="A18" s="1" t="s">
        <v>2</v>
      </c>
      <c r="B18" s="2">
        <f>SUM(B16:B17)</f>
        <v>599760000</v>
      </c>
      <c r="D18" s="2">
        <f>SUM(D16:D17)</f>
        <v>587235863</v>
      </c>
      <c r="G18" s="10">
        <f>SUM(G16:G17)</f>
        <v>22382494.91</v>
      </c>
      <c r="H18" s="10">
        <f t="shared" ref="H18:J18" si="0">SUM(H16:H17)</f>
        <v>-611312.54</v>
      </c>
      <c r="I18" s="10">
        <f t="shared" si="0"/>
        <v>-613074.24</v>
      </c>
      <c r="J18" s="10">
        <f t="shared" si="0"/>
        <v>1341246.71</v>
      </c>
      <c r="K18" s="10">
        <f>SUM(K16:K17)</f>
        <v>22499354.839999996</v>
      </c>
    </row>
    <row r="21" spans="1:11" x14ac:dyDescent="0.25">
      <c r="A21" s="1" t="s">
        <v>6</v>
      </c>
      <c r="G21" s="10">
        <f>G11+G18</f>
        <v>35873876.219999999</v>
      </c>
      <c r="H21" s="10">
        <f>H11+H18</f>
        <v>-917428.96</v>
      </c>
      <c r="I21" s="10">
        <f>I11+I18</f>
        <v>-613074.24</v>
      </c>
      <c r="J21" s="10">
        <f>J11+J18</f>
        <v>2012879.67</v>
      </c>
      <c r="K21" s="10">
        <f>K11+K18</f>
        <v>36356252.689999998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E16" sqref="E16:F17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3.5703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40725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3934924.07</v>
      </c>
      <c r="D9" s="5">
        <v>8018132.2800000003</v>
      </c>
      <c r="E9" s="6"/>
      <c r="F9" s="6"/>
      <c r="G9" s="6">
        <f>C9+D9</f>
        <v>11953056.35</v>
      </c>
      <c r="H9" s="6">
        <v>107390.38</v>
      </c>
      <c r="I9" s="6">
        <v>0</v>
      </c>
      <c r="J9" s="6">
        <v>552405.63</v>
      </c>
      <c r="K9" s="6">
        <f>SUM(G9:J9)</f>
        <v>12612852.360000001</v>
      </c>
    </row>
    <row r="10" spans="1:11" x14ac:dyDescent="0.25">
      <c r="A10" s="1" t="s">
        <v>1</v>
      </c>
      <c r="C10" s="7">
        <v>1502128.95</v>
      </c>
      <c r="D10" s="7">
        <v>2060331.43</v>
      </c>
      <c r="E10" s="8"/>
      <c r="F10" s="8"/>
      <c r="G10" s="8">
        <f>C10+D10</f>
        <v>3562460.38</v>
      </c>
      <c r="H10" s="8">
        <v>35304.71</v>
      </c>
      <c r="I10" s="8">
        <v>0</v>
      </c>
      <c r="J10" s="8">
        <v>181604.01</v>
      </c>
      <c r="K10" s="8">
        <f>SUM(G10:J10)</f>
        <v>3779369.0999999996</v>
      </c>
    </row>
    <row r="11" spans="1:11" x14ac:dyDescent="0.25">
      <c r="A11" s="1" t="s">
        <v>2</v>
      </c>
      <c r="C11" s="5">
        <f>SUM(C9:C10)</f>
        <v>5437053.0199999996</v>
      </c>
      <c r="D11" s="5">
        <f>SUM(D9:D10)</f>
        <v>10078463.710000001</v>
      </c>
      <c r="E11" s="6"/>
      <c r="F11" s="6"/>
      <c r="G11" s="6">
        <f>SUM(G9:G10)</f>
        <v>15515516.73</v>
      </c>
      <c r="H11" s="6">
        <f>SUM(H9:H10)</f>
        <v>142695.09</v>
      </c>
      <c r="I11" s="6">
        <f>SUM(I9:I10)</f>
        <v>0</v>
      </c>
      <c r="J11" s="6">
        <f>SUM(J9:J10)</f>
        <v>734009.64</v>
      </c>
      <c r="K11" s="6">
        <f>SUM(K9:K10)</f>
        <v>16392221.460000001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267008427</v>
      </c>
      <c r="E16" s="1">
        <f>ROUND((0.01015/((365*24*0.98)/12)*1000+0.023927+0.00025),6)</f>
        <v>3.8365000000000003E-2</v>
      </c>
      <c r="F16" s="1">
        <f>ROUND((0.01015/((365*24*0.98)/12)*1000+0.023927),6)</f>
        <v>3.8115000000000003E-2</v>
      </c>
      <c r="G16" s="10">
        <f>ROUND(D16*F16,2)</f>
        <v>10177026.199999999</v>
      </c>
      <c r="H16" s="10">
        <v>109473.46</v>
      </c>
      <c r="I16" s="10">
        <v>-12282.39</v>
      </c>
      <c r="J16" s="10">
        <v>563120.77</v>
      </c>
      <c r="K16" s="10">
        <f>SUM(G16:J16)</f>
        <v>10837338.039999999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341324029</v>
      </c>
      <c r="E17" s="13">
        <f>ROUND((0.01015/((365*24*0.98)/12)*1000+0.023927+0.00025),6)</f>
        <v>3.8365000000000003E-2</v>
      </c>
      <c r="F17" s="13">
        <f>ROUND((0.01015/((365*24*0.98)/12)*1000+0.023927),6)</f>
        <v>3.8115000000000003E-2</v>
      </c>
      <c r="G17" s="14">
        <f>ROUND(D17*F17,2)</f>
        <v>13009565.369999999</v>
      </c>
      <c r="H17" s="14">
        <v>139942.85</v>
      </c>
      <c r="I17" s="14">
        <v>-15700.91</v>
      </c>
      <c r="J17" s="14">
        <v>719852.38</v>
      </c>
      <c r="K17" s="14">
        <f>SUM(G17:J17)</f>
        <v>13853659.689999999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608332456</v>
      </c>
      <c r="G18" s="10">
        <f>SUM(G16:G17)</f>
        <v>23186591.57</v>
      </c>
      <c r="H18" s="10">
        <f t="shared" ref="H18:J18" si="0">SUM(H16:H17)</f>
        <v>249416.31</v>
      </c>
      <c r="I18" s="10">
        <f t="shared" si="0"/>
        <v>-27983.3</v>
      </c>
      <c r="J18" s="10">
        <f t="shared" si="0"/>
        <v>1282973.1499999999</v>
      </c>
      <c r="K18" s="10">
        <f>SUM(K16:K17)</f>
        <v>24690997.729999997</v>
      </c>
    </row>
    <row r="21" spans="1:11" x14ac:dyDescent="0.25">
      <c r="A21" s="1" t="s">
        <v>6</v>
      </c>
      <c r="G21" s="10">
        <f>G11+G18</f>
        <v>38702108.299999997</v>
      </c>
      <c r="H21" s="10">
        <f>H11+H18</f>
        <v>392111.4</v>
      </c>
      <c r="I21" s="10">
        <f>I11+I18</f>
        <v>-27983.3</v>
      </c>
      <c r="J21" s="10">
        <f>J11+J18</f>
        <v>2016982.79</v>
      </c>
      <c r="K21" s="10">
        <f>K11+K18</f>
        <v>41083219.189999998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C9" sqref="C9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40756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3895833.59</v>
      </c>
      <c r="D9" s="5">
        <v>7126388.8099999996</v>
      </c>
      <c r="E9" s="6"/>
      <c r="F9" s="6"/>
      <c r="G9" s="6">
        <f>C9+D9</f>
        <v>11022222.399999999</v>
      </c>
      <c r="H9" s="6">
        <v>282150.25</v>
      </c>
      <c r="I9" s="6">
        <v>0</v>
      </c>
      <c r="J9" s="6">
        <v>512386.7</v>
      </c>
      <c r="K9" s="6">
        <f>SUM(G9:J9)</f>
        <v>11816759.349999998</v>
      </c>
    </row>
    <row r="10" spans="1:11" x14ac:dyDescent="0.25">
      <c r="A10" s="1" t="s">
        <v>1</v>
      </c>
      <c r="C10" s="7">
        <v>1513324.4</v>
      </c>
      <c r="D10" s="7">
        <v>2057535.9</v>
      </c>
      <c r="E10" s="8"/>
      <c r="F10" s="8"/>
      <c r="G10" s="8">
        <f>C10+D10</f>
        <v>3570860.3</v>
      </c>
      <c r="H10" s="8">
        <v>104222.57</v>
      </c>
      <c r="I10" s="8">
        <v>0</v>
      </c>
      <c r="J10" s="8">
        <v>189268.9</v>
      </c>
      <c r="K10" s="8">
        <f>SUM(G10:J10)</f>
        <v>3864351.7699999996</v>
      </c>
    </row>
    <row r="11" spans="1:11" x14ac:dyDescent="0.25">
      <c r="A11" s="1" t="s">
        <v>2</v>
      </c>
      <c r="C11" s="5">
        <f>SUM(C9:C10)</f>
        <v>5409157.9900000002</v>
      </c>
      <c r="D11" s="5">
        <f>SUM(D9:D10)</f>
        <v>9183924.709999999</v>
      </c>
      <c r="E11" s="6"/>
      <c r="F11" s="6"/>
      <c r="G11" s="6">
        <f>SUM(G9:G10)</f>
        <v>14593082.699999999</v>
      </c>
      <c r="H11" s="6">
        <f>SUM(H9:H10)</f>
        <v>386372.82</v>
      </c>
      <c r="I11" s="6">
        <f>SUM(I9:I10)</f>
        <v>0</v>
      </c>
      <c r="J11" s="6">
        <f>SUM(J9:J10)</f>
        <v>701655.6</v>
      </c>
      <c r="K11" s="6">
        <f>SUM(K9:K10)</f>
        <v>15681111.119999997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267672980</v>
      </c>
      <c r="E16" s="1">
        <f>ROUND((0.01015/((365*24*0.98)/12)*1000+0.023927+0.00025),6)</f>
        <v>3.8365000000000003E-2</v>
      </c>
      <c r="F16" s="1">
        <f>ROUND((0.01015/((365*24*0.98)/12)*1000+0.023927),6)</f>
        <v>3.8115000000000003E-2</v>
      </c>
      <c r="G16" s="10">
        <f>ROUND(D16*F16,2)</f>
        <v>10202355.630000001</v>
      </c>
      <c r="H16" s="10">
        <v>324419.65000000002</v>
      </c>
      <c r="I16" s="10">
        <v>-368585.69</v>
      </c>
      <c r="J16" s="10">
        <v>589148.23</v>
      </c>
      <c r="K16" s="10">
        <f>SUM(G16:J16)</f>
        <v>10747337.820000002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339369790</v>
      </c>
      <c r="E17" s="13">
        <f>ROUND((0.01015/((365*24*0.98)/12)*1000+0.023927+0.00025),6)</f>
        <v>3.8365000000000003E-2</v>
      </c>
      <c r="F17" s="13">
        <f>ROUND((0.01015/((365*24*0.98)/12)*1000+0.023927),6)</f>
        <v>3.8115000000000003E-2</v>
      </c>
      <c r="G17" s="14">
        <f>ROUND(D17*F17,2)</f>
        <v>12935079.550000001</v>
      </c>
      <c r="H17" s="14">
        <v>411316.19</v>
      </c>
      <c r="I17" s="14">
        <v>-467312.2</v>
      </c>
      <c r="J17" s="14">
        <v>746952.91</v>
      </c>
      <c r="K17" s="14">
        <f>SUM(G17:J17)</f>
        <v>13626036.450000001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607042770</v>
      </c>
      <c r="G18" s="10">
        <f>SUM(G16:G17)</f>
        <v>23137435.18</v>
      </c>
      <c r="H18" s="10">
        <f t="shared" ref="H18:J18" si="0">SUM(H16:H17)</f>
        <v>735735.84000000008</v>
      </c>
      <c r="I18" s="10">
        <f t="shared" si="0"/>
        <v>-835897.89</v>
      </c>
      <c r="J18" s="10">
        <f t="shared" si="0"/>
        <v>1336101.1400000001</v>
      </c>
      <c r="K18" s="10">
        <f>SUM(K16:K17)</f>
        <v>24373374.270000003</v>
      </c>
    </row>
    <row r="21" spans="1:11" x14ac:dyDescent="0.25">
      <c r="A21" s="1" t="s">
        <v>6</v>
      </c>
      <c r="G21" s="10">
        <f>G11+G18</f>
        <v>37730517.879999995</v>
      </c>
      <c r="H21" s="10">
        <f>H11+H18</f>
        <v>1122108.6600000001</v>
      </c>
      <c r="I21" s="10">
        <f>I11+I18</f>
        <v>-835897.89</v>
      </c>
      <c r="J21" s="10">
        <f>J11+J18</f>
        <v>2037756.7400000002</v>
      </c>
      <c r="K21" s="10">
        <f>K11+K18</f>
        <v>40054485.390000001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E16" sqref="E16:F17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5703125" style="1" bestFit="1" customWidth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40787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16">
        <v>4806952.5</v>
      </c>
      <c r="D9" s="16">
        <v>4873805.1900000004</v>
      </c>
      <c r="E9" s="6"/>
      <c r="F9" s="6"/>
      <c r="G9" s="6">
        <f>C9+D9</f>
        <v>9680757.6900000013</v>
      </c>
      <c r="H9" s="6">
        <v>258146.46</v>
      </c>
      <c r="I9" s="6">
        <v>-170622.52</v>
      </c>
      <c r="J9" s="6">
        <v>315348.43</v>
      </c>
      <c r="K9" s="6">
        <f>SUM(G9:J9)</f>
        <v>10083630.060000002</v>
      </c>
    </row>
    <row r="10" spans="1:11" x14ac:dyDescent="0.25">
      <c r="A10" s="1" t="s">
        <v>1</v>
      </c>
      <c r="C10" s="17">
        <v>1572718.4200000002</v>
      </c>
      <c r="D10" s="17">
        <v>2077927.0699999998</v>
      </c>
      <c r="E10" s="8"/>
      <c r="F10" s="8"/>
      <c r="G10" s="8">
        <f>C10+D10</f>
        <v>3650645.49</v>
      </c>
      <c r="H10" s="8">
        <v>133553.78</v>
      </c>
      <c r="I10" s="8">
        <v>-88272.69</v>
      </c>
      <c r="J10" s="8">
        <v>163147.6</v>
      </c>
      <c r="K10" s="8">
        <f>SUM(G10:J10)</f>
        <v>3859074.18</v>
      </c>
    </row>
    <row r="11" spans="1:11" x14ac:dyDescent="0.25">
      <c r="A11" s="1" t="s">
        <v>2</v>
      </c>
      <c r="C11" s="5">
        <f>SUM(C9:C10)</f>
        <v>6379670.9199999999</v>
      </c>
      <c r="D11" s="5">
        <f>SUM(D9:D10)</f>
        <v>6951732.2599999998</v>
      </c>
      <c r="E11" s="6"/>
      <c r="F11" s="6"/>
      <c r="G11" s="6">
        <f>SUM(G9:G10)</f>
        <v>13331403.180000002</v>
      </c>
      <c r="H11" s="6">
        <f>SUM(H9:H10)</f>
        <v>391700.24</v>
      </c>
      <c r="I11" s="6">
        <f>SUM(I9:I10)</f>
        <v>-258895.21</v>
      </c>
      <c r="J11" s="6">
        <f>SUM(J9:J10)</f>
        <v>478496.03</v>
      </c>
      <c r="K11" s="6">
        <f>SUM(K9:K10)</f>
        <v>13942704.240000002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259660800</v>
      </c>
      <c r="C16" s="3">
        <v>2.5000000000000001E-4</v>
      </c>
      <c r="D16" s="2">
        <v>259283857</v>
      </c>
      <c r="E16" s="23">
        <f>ROUND((0.0105/((365*24*0.98)/12)*1000+0.024505+0.00025),6)</f>
        <v>3.9432000000000002E-2</v>
      </c>
      <c r="F16" s="23">
        <f>ROUND((0.0105/((365*24*0.98)/12)*1000+0.024505),6)</f>
        <v>3.9182000000000002E-2</v>
      </c>
      <c r="G16" s="10">
        <f>ROUND(D16*F16,2)</f>
        <v>10159260.08</v>
      </c>
      <c r="H16" s="10">
        <v>408372.07</v>
      </c>
      <c r="I16" s="6">
        <v>-118233.44</v>
      </c>
      <c r="J16" s="10">
        <v>498862.14</v>
      </c>
      <c r="K16" s="10">
        <f>SUM(G16:J16)</f>
        <v>10948260.850000001</v>
      </c>
    </row>
    <row r="17" spans="1:11" x14ac:dyDescent="0.25">
      <c r="A17" s="1" t="s">
        <v>5</v>
      </c>
      <c r="B17" s="11">
        <v>340099200</v>
      </c>
      <c r="C17" s="12">
        <v>2.5000000000000001E-4</v>
      </c>
      <c r="D17" s="11">
        <v>329105264</v>
      </c>
      <c r="E17" s="26">
        <f>ROUND((0.0105/((365*24*0.98)/12)*1000+0.024505+0.00025),6)</f>
        <v>3.9432000000000002E-2</v>
      </c>
      <c r="F17" s="26">
        <f>ROUND((0.0105/((365*24*0.98)/12)*1000+0.024505),6)</f>
        <v>3.9182000000000002E-2</v>
      </c>
      <c r="G17" s="14">
        <f>ROUND(D17*F17,2)</f>
        <v>12895002.449999999</v>
      </c>
      <c r="H17" s="14">
        <v>518340.79</v>
      </c>
      <c r="I17" s="8">
        <v>-150072</v>
      </c>
      <c r="J17" s="14">
        <v>633198.53</v>
      </c>
      <c r="K17" s="14">
        <f>SUM(G17:J17)</f>
        <v>13896469.769999998</v>
      </c>
    </row>
    <row r="18" spans="1:11" x14ac:dyDescent="0.25">
      <c r="A18" s="1" t="s">
        <v>2</v>
      </c>
      <c r="B18" s="2">
        <f>SUM(B16:B17)</f>
        <v>599760000</v>
      </c>
      <c r="D18" s="2">
        <f>SUM(D16:D17)</f>
        <v>588389121</v>
      </c>
      <c r="G18" s="10">
        <f>SUM(G16:G17)</f>
        <v>23054262.530000001</v>
      </c>
      <c r="H18" s="10">
        <f t="shared" ref="H18:J18" si="0">SUM(H16:H17)</f>
        <v>926712.86</v>
      </c>
      <c r="I18" s="6">
        <f t="shared" si="0"/>
        <v>-268305.44</v>
      </c>
      <c r="J18" s="10">
        <f t="shared" si="0"/>
        <v>1132060.67</v>
      </c>
      <c r="K18" s="10">
        <f>SUM(K16:K17)</f>
        <v>24844730.619999997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36385665.710000001</v>
      </c>
      <c r="H21" s="10">
        <f>H11+H18</f>
        <v>1318413.1000000001</v>
      </c>
      <c r="I21" s="6">
        <f>I11+I18</f>
        <v>-527200.65</v>
      </c>
      <c r="J21" s="10">
        <f>J11+J18</f>
        <v>1610556.7</v>
      </c>
      <c r="K21" s="10">
        <f>K11+K18</f>
        <v>38787434.859999999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E16" sqref="E16:F17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5703125" style="1" bestFit="1" customWidth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40817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24">
        <v>2888456</v>
      </c>
      <c r="D9" s="24">
        <v>4708492.2</v>
      </c>
      <c r="E9" s="6"/>
      <c r="F9" s="6"/>
      <c r="G9" s="6">
        <f>C9+D9</f>
        <v>7596948.2000000002</v>
      </c>
      <c r="H9" s="6">
        <v>132691.57</v>
      </c>
      <c r="I9" s="6">
        <v>-164835.23000000001</v>
      </c>
      <c r="J9" s="6">
        <v>383665.48</v>
      </c>
      <c r="K9" s="6">
        <f>SUM(G9:J9)</f>
        <v>7948470.0199999996</v>
      </c>
    </row>
    <row r="10" spans="1:11" x14ac:dyDescent="0.25">
      <c r="A10" s="1" t="s">
        <v>1</v>
      </c>
      <c r="C10" s="25">
        <v>1567981.71</v>
      </c>
      <c r="D10" s="25">
        <v>2102817.1700000004</v>
      </c>
      <c r="E10" s="8"/>
      <c r="F10" s="8"/>
      <c r="G10" s="8">
        <f>C10+D10</f>
        <v>3670798.8800000004</v>
      </c>
      <c r="H10" s="8">
        <v>71910.240000000005</v>
      </c>
      <c r="I10" s="8">
        <v>-89330.07</v>
      </c>
      <c r="J10" s="8">
        <v>207921.88</v>
      </c>
      <c r="K10" s="8">
        <f>SUM(G10:J10)</f>
        <v>3861300.9300000006</v>
      </c>
    </row>
    <row r="11" spans="1:11" x14ac:dyDescent="0.25">
      <c r="A11" s="1" t="s">
        <v>2</v>
      </c>
      <c r="C11" s="5">
        <f>SUM(C9:C10)</f>
        <v>4456437.71</v>
      </c>
      <c r="D11" s="5">
        <f>SUM(D9:D10)</f>
        <v>6811309.370000001</v>
      </c>
      <c r="E11" s="6"/>
      <c r="F11" s="6"/>
      <c r="G11" s="6">
        <f>SUM(G9:G10)</f>
        <v>11267747.08</v>
      </c>
      <c r="H11" s="6">
        <f>SUM(H9:H10)</f>
        <v>204601.81</v>
      </c>
      <c r="I11" s="6">
        <f>SUM(I9:I10)</f>
        <v>-254165.30000000002</v>
      </c>
      <c r="J11" s="6">
        <f>SUM(J9:J10)</f>
        <v>591587.36</v>
      </c>
      <c r="K11" s="6">
        <f>SUM(K9:K10)</f>
        <v>11809770.949999999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269552790</v>
      </c>
      <c r="E16" s="23">
        <f>ROUND((0.0105/((365*24*0.98)/12)*1000+0.024505+0.00025),6)</f>
        <v>3.9432000000000002E-2</v>
      </c>
      <c r="F16" s="23">
        <f>ROUND((0.0105/((365*24*0.98)/12)*1000+0.024505),6)</f>
        <v>3.9182000000000002E-2</v>
      </c>
      <c r="G16" s="10">
        <f>ROUND(D16*F16,2)</f>
        <v>10561617.42</v>
      </c>
      <c r="H16" s="10">
        <v>225885.24</v>
      </c>
      <c r="I16" s="10">
        <v>-149062.69</v>
      </c>
      <c r="J16" s="10">
        <v>653126.41</v>
      </c>
      <c r="K16" s="10">
        <f>SUM(G16:J16)</f>
        <v>11291566.380000001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343909393</v>
      </c>
      <c r="E17" s="26">
        <f>ROUND((0.0105/((365*24*0.98)/12)*1000+0.024505+0.00025),6)</f>
        <v>3.9432000000000002E-2</v>
      </c>
      <c r="F17" s="26">
        <f>ROUND((0.0105/((365*24*0.98)/12)*1000+0.024505),6)</f>
        <v>3.9182000000000002E-2</v>
      </c>
      <c r="G17" s="14">
        <f>ROUND(D17*F17,2)</f>
        <v>13475057.84</v>
      </c>
      <c r="H17" s="14">
        <v>288196.07</v>
      </c>
      <c r="I17" s="14">
        <v>-190181.89</v>
      </c>
      <c r="J17" s="14">
        <v>833292.46</v>
      </c>
      <c r="K17" s="14">
        <f>SUM(G17:J17)</f>
        <v>14406364.48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613462183</v>
      </c>
      <c r="G18" s="10">
        <f>SUM(G16:G17)</f>
        <v>24036675.259999998</v>
      </c>
      <c r="H18" s="10">
        <f t="shared" ref="H18:J18" si="0">SUM(H16:H17)</f>
        <v>514081.31</v>
      </c>
      <c r="I18" s="10">
        <f t="shared" si="0"/>
        <v>-339244.58</v>
      </c>
      <c r="J18" s="10">
        <f t="shared" si="0"/>
        <v>1486418.87</v>
      </c>
      <c r="K18" s="10">
        <f>SUM(K16:K17)</f>
        <v>25697930.859999999</v>
      </c>
    </row>
    <row r="21" spans="1:11" x14ac:dyDescent="0.25">
      <c r="A21" s="1" t="s">
        <v>6</v>
      </c>
      <c r="G21" s="10">
        <f>G11+G18</f>
        <v>35304422.339999996</v>
      </c>
      <c r="H21" s="10">
        <f>H11+H18</f>
        <v>718683.12</v>
      </c>
      <c r="I21" s="10">
        <f>I11+I18</f>
        <v>-593409.88</v>
      </c>
      <c r="J21" s="10">
        <f>J11+J18</f>
        <v>2078006.23</v>
      </c>
      <c r="K21" s="10">
        <f>K11+K18</f>
        <v>37507701.810000002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E16" sqref="E16:F17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40848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3456461</v>
      </c>
      <c r="D9" s="5">
        <v>5042499.75</v>
      </c>
      <c r="E9" s="6"/>
      <c r="F9" s="6"/>
      <c r="G9" s="6">
        <f>C9+D9</f>
        <v>8498960.75</v>
      </c>
      <c r="H9" s="6">
        <v>-96488.51</v>
      </c>
      <c r="I9" s="6">
        <v>-176528.19</v>
      </c>
      <c r="J9" s="6">
        <v>469893.96</v>
      </c>
      <c r="K9" s="6">
        <f>SUM(G9:J9)</f>
        <v>8695838.0099999998</v>
      </c>
    </row>
    <row r="10" spans="1:11" x14ac:dyDescent="0.25">
      <c r="A10" s="1" t="s">
        <v>1</v>
      </c>
      <c r="C10" s="7">
        <v>1505542.5</v>
      </c>
      <c r="D10" s="7">
        <v>1841863.4</v>
      </c>
      <c r="E10" s="8"/>
      <c r="F10" s="8"/>
      <c r="G10" s="8">
        <f>C10+D10</f>
        <v>3347405.9</v>
      </c>
      <c r="H10" s="8">
        <v>-42767.6</v>
      </c>
      <c r="I10" s="8">
        <v>-78244.429999999993</v>
      </c>
      <c r="J10" s="8">
        <v>208276.01</v>
      </c>
      <c r="K10" s="8">
        <f>SUM(G10:J10)</f>
        <v>3434669.88</v>
      </c>
    </row>
    <row r="11" spans="1:11" x14ac:dyDescent="0.25">
      <c r="A11" s="1" t="s">
        <v>2</v>
      </c>
      <c r="C11" s="5">
        <f>SUM(C9:C10)</f>
        <v>4962003.5</v>
      </c>
      <c r="D11" s="5">
        <f>SUM(D9:D10)</f>
        <v>6884363.1500000004</v>
      </c>
      <c r="E11" s="6"/>
      <c r="F11" s="6"/>
      <c r="G11" s="6">
        <f>SUM(G9:G10)</f>
        <v>11846366.65</v>
      </c>
      <c r="H11" s="6">
        <f>SUM(H9:H10)</f>
        <v>-139256.10999999999</v>
      </c>
      <c r="I11" s="6">
        <f>SUM(I9:I10)</f>
        <v>-254772.62</v>
      </c>
      <c r="J11" s="6">
        <f>SUM(J9:J10)</f>
        <v>678169.97</v>
      </c>
      <c r="K11" s="6">
        <f>SUM(K9:K10)</f>
        <v>12130507.890000001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260021440</v>
      </c>
      <c r="C16" s="3">
        <v>2.5000000000000001E-4</v>
      </c>
      <c r="D16" s="2">
        <v>261282574</v>
      </c>
      <c r="E16" s="1">
        <f>ROUND((0.0105/((365*24*0.98)/12)*1000+0.024505+0.00025),6)</f>
        <v>3.9432000000000002E-2</v>
      </c>
      <c r="F16" s="1">
        <f>ROUND((0.0105/((365*24*0.98)/12)*1000+0.024505),6)</f>
        <v>3.9182000000000002E-2</v>
      </c>
      <c r="G16" s="10">
        <f>ROUND(D16*F16,2)</f>
        <v>10237573.810000001</v>
      </c>
      <c r="H16" s="6">
        <v>-148669.78</v>
      </c>
      <c r="I16" s="6">
        <v>-19596.189999999999</v>
      </c>
      <c r="J16" s="10">
        <v>724014.01</v>
      </c>
      <c r="K16" s="10">
        <f>SUM(G16:J16)</f>
        <v>10793321.850000001</v>
      </c>
    </row>
    <row r="17" spans="1:11" x14ac:dyDescent="0.25">
      <c r="A17" s="1" t="s">
        <v>5</v>
      </c>
      <c r="B17" s="11">
        <v>340571560</v>
      </c>
      <c r="C17" s="12">
        <v>2.5000000000000001E-4</v>
      </c>
      <c r="D17" s="11">
        <v>340571952</v>
      </c>
      <c r="E17" s="13">
        <f>ROUND((0.0105/((365*24*0.98)/12)*1000+0.024505+0.00025),6)</f>
        <v>3.9432000000000002E-2</v>
      </c>
      <c r="F17" s="13">
        <f>ROUND((0.0105/((365*24*0.98)/12)*1000+0.024505),6)</f>
        <v>3.9182000000000002E-2</v>
      </c>
      <c r="G17" s="14">
        <f>ROUND(D17*F17,2)</f>
        <v>13344290.220000001</v>
      </c>
      <c r="H17" s="8">
        <v>-193785.44</v>
      </c>
      <c r="I17" s="8">
        <v>-25542.9</v>
      </c>
      <c r="J17" s="14">
        <v>943724.88</v>
      </c>
      <c r="K17" s="14">
        <f>SUM(G17:J17)</f>
        <v>14068686.760000002</v>
      </c>
    </row>
    <row r="18" spans="1:11" x14ac:dyDescent="0.25">
      <c r="A18" s="1" t="s">
        <v>2</v>
      </c>
      <c r="B18" s="2">
        <f>SUM(B16:B17)</f>
        <v>600593000</v>
      </c>
      <c r="D18" s="2">
        <f>SUM(D16:D17)</f>
        <v>601854526</v>
      </c>
      <c r="G18" s="10">
        <f>SUM(G16:G17)</f>
        <v>23581864.030000001</v>
      </c>
      <c r="H18" s="6">
        <f t="shared" ref="H18:J18" si="0">SUM(H16:H17)</f>
        <v>-342455.22</v>
      </c>
      <c r="I18" s="6">
        <f t="shared" si="0"/>
        <v>-45139.09</v>
      </c>
      <c r="J18" s="10">
        <f t="shared" si="0"/>
        <v>1667738.8900000001</v>
      </c>
      <c r="K18" s="10">
        <f>SUM(K16:K17)</f>
        <v>24862008.610000003</v>
      </c>
    </row>
    <row r="19" spans="1:11" x14ac:dyDescent="0.25">
      <c r="H19" s="6"/>
      <c r="I19" s="6"/>
    </row>
    <row r="20" spans="1:11" x14ac:dyDescent="0.25">
      <c r="H20" s="6"/>
      <c r="I20" s="6"/>
    </row>
    <row r="21" spans="1:11" x14ac:dyDescent="0.25">
      <c r="A21" s="1" t="s">
        <v>6</v>
      </c>
      <c r="G21" s="10">
        <f>G11+G18</f>
        <v>35428230.68</v>
      </c>
      <c r="H21" s="6">
        <f>H11+H18</f>
        <v>-481711.32999999996</v>
      </c>
      <c r="I21" s="6">
        <f>I11+I18</f>
        <v>-299911.70999999996</v>
      </c>
      <c r="J21" s="10">
        <f>J11+J18</f>
        <v>2345908.8600000003</v>
      </c>
      <c r="K21" s="10">
        <f>K11+K18</f>
        <v>36992516.5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E19" sqref="E19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2.42578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40878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3741423</v>
      </c>
      <c r="D9" s="5">
        <v>6327207.0499999998</v>
      </c>
      <c r="E9" s="6"/>
      <c r="F9" s="6"/>
      <c r="G9" s="6">
        <f>C9+D9</f>
        <v>10068630.050000001</v>
      </c>
      <c r="H9" s="6">
        <v>217034.94</v>
      </c>
      <c r="I9" s="6">
        <v>-221503.22</v>
      </c>
      <c r="J9" s="6">
        <v>485562.5</v>
      </c>
      <c r="K9" s="6">
        <f>SUM(G9:J9)</f>
        <v>10549724.27</v>
      </c>
    </row>
    <row r="10" spans="1:11" x14ac:dyDescent="0.25">
      <c r="A10" s="1" t="s">
        <v>1</v>
      </c>
      <c r="C10" s="7">
        <v>1492018.5</v>
      </c>
      <c r="D10" s="7">
        <v>1876695.46</v>
      </c>
      <c r="E10" s="8"/>
      <c r="F10" s="8"/>
      <c r="G10" s="8">
        <f>C10+D10</f>
        <v>3368713.96</v>
      </c>
      <c r="H10" s="8">
        <v>78115.89</v>
      </c>
      <c r="I10" s="8">
        <v>-79724.12</v>
      </c>
      <c r="J10" s="8">
        <v>174765.1</v>
      </c>
      <c r="K10" s="8">
        <f>SUM(G10:J10)</f>
        <v>3541870.83</v>
      </c>
    </row>
    <row r="11" spans="1:11" x14ac:dyDescent="0.25">
      <c r="A11" s="1" t="s">
        <v>2</v>
      </c>
      <c r="C11" s="5">
        <f>SUM(C9:C10)</f>
        <v>5233441.5</v>
      </c>
      <c r="D11" s="5">
        <f>SUM(D9:D10)</f>
        <v>8203902.5099999998</v>
      </c>
      <c r="E11" s="6"/>
      <c r="F11" s="6"/>
      <c r="G11" s="6">
        <f>SUM(G9:G10)</f>
        <v>13437344.010000002</v>
      </c>
      <c r="H11" s="6">
        <f>SUM(H9:H10)</f>
        <v>295150.83</v>
      </c>
      <c r="I11" s="6">
        <f>SUM(I9:I10)</f>
        <v>-301227.33999999997</v>
      </c>
      <c r="J11" s="6">
        <f>SUM(J9:J10)</f>
        <v>660327.6</v>
      </c>
      <c r="K11" s="6">
        <f>SUM(K9:K10)</f>
        <v>14091595.1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9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269318302</v>
      </c>
      <c r="E16" s="1">
        <f>ROUND((0.0105/((365*24*0.98)/12)*1000+0.024505+0.00025),6)</f>
        <v>3.9432000000000002E-2</v>
      </c>
      <c r="F16" s="1">
        <f>ROUND((0.0105/((365*24*0.98)/12)*1000+0.024505),6)</f>
        <v>3.9182000000000002E-2</v>
      </c>
      <c r="G16" s="10">
        <f>ROUND(D16*F16,2)</f>
        <v>10552429.710000001</v>
      </c>
      <c r="H16" s="10">
        <v>274704.67</v>
      </c>
      <c r="I16" s="6">
        <v>86451.18</v>
      </c>
      <c r="J16" s="10">
        <v>614584.37</v>
      </c>
      <c r="K16" s="10">
        <f>SUM(G16:J16)</f>
        <v>11528169.93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356329162</v>
      </c>
      <c r="E17" s="13">
        <f>ROUND((0.0105/((365*24*0.98)/12)*1000+0.024505+0.00025),6)</f>
        <v>3.9432000000000002E-2</v>
      </c>
      <c r="F17" s="13">
        <f>ROUND((0.0105/((365*24*0.98)/12)*1000+0.024505),6)</f>
        <v>3.9182000000000002E-2</v>
      </c>
      <c r="G17" s="14">
        <f>ROUND(D17*F17,2)</f>
        <v>13961689.23</v>
      </c>
      <c r="H17" s="14">
        <v>363455.74</v>
      </c>
      <c r="I17" s="8">
        <v>114381.66</v>
      </c>
      <c r="J17" s="14">
        <v>813143.15</v>
      </c>
      <c r="K17" s="14">
        <f>SUM(G17:J17)</f>
        <v>15252669.780000001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625647464</v>
      </c>
      <c r="G18" s="10">
        <f>SUM(G16:G17)</f>
        <v>24514118.940000001</v>
      </c>
      <c r="H18" s="10">
        <f t="shared" ref="H18:J18" si="0">SUM(H16:H17)</f>
        <v>638160.40999999992</v>
      </c>
      <c r="I18" s="6">
        <f t="shared" si="0"/>
        <v>200832.84</v>
      </c>
      <c r="J18" s="10">
        <f t="shared" si="0"/>
        <v>1427727.52</v>
      </c>
      <c r="K18" s="10">
        <f>SUM(K16:K17)</f>
        <v>26780839.710000001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37951462.950000003</v>
      </c>
      <c r="H21" s="10">
        <f>H11+H18</f>
        <v>933311.24</v>
      </c>
      <c r="I21" s="6">
        <f>I11+I18</f>
        <v>-100394.49999999997</v>
      </c>
      <c r="J21" s="10">
        <f>J11+J18</f>
        <v>2088055.12</v>
      </c>
      <c r="K21" s="10">
        <f>K11+K18</f>
        <v>40872434.810000002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workbookViewId="0">
      <selection activeCell="J11" sqref="J11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3.5703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40909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4317522</v>
      </c>
      <c r="D9" s="5">
        <v>6670167.0300000003</v>
      </c>
      <c r="E9" s="6"/>
      <c r="F9" s="6"/>
      <c r="G9" s="6">
        <f>C9+D9</f>
        <v>10987689.030000001</v>
      </c>
      <c r="H9" s="6">
        <v>379313.04</v>
      </c>
      <c r="I9" s="6">
        <v>-233509.69</v>
      </c>
      <c r="J9" s="6">
        <v>523321.89</v>
      </c>
      <c r="K9" s="6">
        <f>SUM(G9:J9)</f>
        <v>11656814.270000001</v>
      </c>
    </row>
    <row r="10" spans="1:11" x14ac:dyDescent="0.25">
      <c r="A10" s="1" t="s">
        <v>1</v>
      </c>
      <c r="C10" s="7">
        <v>1517134.5</v>
      </c>
      <c r="D10" s="7">
        <v>1954957.26</v>
      </c>
      <c r="E10" s="8"/>
      <c r="F10" s="8"/>
      <c r="G10" s="8">
        <f>C10+D10</f>
        <v>3472091.76</v>
      </c>
      <c r="H10" s="8">
        <v>134904.41</v>
      </c>
      <c r="I10" s="8">
        <v>-83048.800000000003</v>
      </c>
      <c r="J10" s="8">
        <v>186121.85</v>
      </c>
      <c r="K10" s="8">
        <f>SUM(G10:J10)</f>
        <v>3710069.22</v>
      </c>
    </row>
    <row r="11" spans="1:11" x14ac:dyDescent="0.25">
      <c r="A11" s="1" t="s">
        <v>2</v>
      </c>
      <c r="C11" s="5">
        <f>SUM(C9:C10)</f>
        <v>5834656.5</v>
      </c>
      <c r="D11" s="5">
        <f>SUM(D9:D10)</f>
        <v>8625124.290000001</v>
      </c>
      <c r="E11" s="6"/>
      <c r="F11" s="6"/>
      <c r="G11" s="6">
        <f>SUM(G9:G10)</f>
        <v>14459780.790000001</v>
      </c>
      <c r="H11" s="6">
        <f>SUM(H9:H10)</f>
        <v>514217.44999999995</v>
      </c>
      <c r="I11" s="6">
        <f>SUM(I9:I10)</f>
        <v>-316558.49</v>
      </c>
      <c r="J11" s="6">
        <f>SUM(J9:J10)</f>
        <v>709443.74</v>
      </c>
      <c r="K11" s="6">
        <f>SUM(K9:K10)</f>
        <v>15366883.490000002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15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268316160</v>
      </c>
      <c r="C16" s="3">
        <v>2.5000000000000001E-4</v>
      </c>
      <c r="D16" s="2">
        <v>269215141</v>
      </c>
      <c r="E16" s="1">
        <f>ROUND((0.0105/((366*24*0.98)/12)*1000+0.024505+0.00025),6)</f>
        <v>3.9392000000000003E-2</v>
      </c>
      <c r="F16" s="1">
        <f>ROUND((0.0105/((366*24*0.98)/12)*1000+0.024505),6)</f>
        <v>3.9142000000000003E-2</v>
      </c>
      <c r="G16" s="10">
        <f>ROUND(D16*F16,2)</f>
        <v>10537619.050000001</v>
      </c>
      <c r="H16" s="10">
        <v>455242.8</v>
      </c>
      <c r="I16" s="6">
        <v>-57073.61</v>
      </c>
      <c r="J16" s="10">
        <v>628078.92000000004</v>
      </c>
      <c r="K16" s="10">
        <f>SUM(G16:J16)</f>
        <v>11563867.160000002</v>
      </c>
    </row>
    <row r="17" spans="1:11" x14ac:dyDescent="0.25">
      <c r="A17" s="1" t="s">
        <v>5</v>
      </c>
      <c r="B17" s="11">
        <v>351435840</v>
      </c>
      <c r="C17" s="12">
        <v>2.5000000000000001E-4</v>
      </c>
      <c r="D17" s="11">
        <v>356804872</v>
      </c>
      <c r="E17" s="13">
        <f>ROUND((0.0105/((366*24*0.98)/12)*1000+0.024505+0.00025),6)</f>
        <v>3.9392000000000003E-2</v>
      </c>
      <c r="F17" s="13">
        <f>ROUND((0.0105/((366*24*0.98)/12)*1000+0.024505+0.00025),6)</f>
        <v>3.9392000000000003E-2</v>
      </c>
      <c r="G17" s="14">
        <f>ROUND(D17*F17,2)</f>
        <v>14055257.52</v>
      </c>
      <c r="H17" s="14">
        <v>603357.04</v>
      </c>
      <c r="I17" s="8">
        <v>-75642.63</v>
      </c>
      <c r="J17" s="14">
        <v>832425.77</v>
      </c>
      <c r="K17" s="14">
        <f>SUM(G17:J17)</f>
        <v>15415397.699999997</v>
      </c>
    </row>
    <row r="18" spans="1:11" x14ac:dyDescent="0.25">
      <c r="A18" s="1" t="s">
        <v>2</v>
      </c>
      <c r="B18" s="2">
        <f>SUM(B16:B17)</f>
        <v>619752000</v>
      </c>
      <c r="D18" s="2">
        <f>SUM(D16:D17)</f>
        <v>626020013</v>
      </c>
      <c r="G18" s="10">
        <f>SUM(G16:G17)</f>
        <v>24592876.57</v>
      </c>
      <c r="H18" s="10">
        <f t="shared" ref="H18:J18" si="0">SUM(H16:H17)</f>
        <v>1058599.8400000001</v>
      </c>
      <c r="I18" s="6">
        <f t="shared" si="0"/>
        <v>-132716.24</v>
      </c>
      <c r="J18" s="10">
        <f t="shared" si="0"/>
        <v>1460504.69</v>
      </c>
      <c r="K18" s="10">
        <f>SUM(K16:K17)</f>
        <v>26979264.859999999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39052657.359999999</v>
      </c>
      <c r="H21" s="10">
        <f>H11+H18</f>
        <v>1572817.29</v>
      </c>
      <c r="I21" s="6">
        <f>I11+I18</f>
        <v>-449274.73</v>
      </c>
      <c r="J21" s="10">
        <f>J11+J18</f>
        <v>2169948.4299999997</v>
      </c>
      <c r="K21" s="10">
        <f>K11+K18</f>
        <v>42346148.350000001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D18" sqref="D18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3.5703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40967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4042639.5</v>
      </c>
      <c r="D9" s="5">
        <v>5709369.0999999996</v>
      </c>
      <c r="E9" s="6"/>
      <c r="F9" s="6"/>
      <c r="G9" s="6">
        <f>C9+D9</f>
        <v>9752008.5999999996</v>
      </c>
      <c r="H9" s="6">
        <v>412228.12</v>
      </c>
      <c r="I9" s="6">
        <v>-199874.01</v>
      </c>
      <c r="J9" s="6">
        <v>369987.7</v>
      </c>
      <c r="K9" s="6">
        <f>SUM(G9:J9)</f>
        <v>10334350.409999998</v>
      </c>
    </row>
    <row r="10" spans="1:11" x14ac:dyDescent="0.25">
      <c r="A10" s="1" t="s">
        <v>1</v>
      </c>
      <c r="C10" s="7">
        <v>1526343</v>
      </c>
      <c r="D10" s="7">
        <v>1954053.51</v>
      </c>
      <c r="E10" s="8"/>
      <c r="F10" s="8"/>
      <c r="G10" s="8">
        <f>C10+D10</f>
        <v>3480396.51</v>
      </c>
      <c r="H10" s="8">
        <v>171203.96</v>
      </c>
      <c r="I10" s="8">
        <v>-83010.399999999994</v>
      </c>
      <c r="J10" s="8">
        <v>153660.92000000001</v>
      </c>
      <c r="K10" s="8">
        <f>SUM(G10:J10)</f>
        <v>3722250.9899999998</v>
      </c>
    </row>
    <row r="11" spans="1:11" x14ac:dyDescent="0.25">
      <c r="A11" s="1" t="s">
        <v>2</v>
      </c>
      <c r="C11" s="5">
        <f>SUM(C9:C10)</f>
        <v>5568982.5</v>
      </c>
      <c r="D11" s="5">
        <f>SUM(D9:D10)</f>
        <v>7663422.6099999994</v>
      </c>
      <c r="E11" s="6"/>
      <c r="F11" s="6"/>
      <c r="G11" s="6">
        <f>SUM(G9:G10)</f>
        <v>13232405.109999999</v>
      </c>
      <c r="H11" s="6">
        <f>SUM(H9:H10)</f>
        <v>583432.07999999996</v>
      </c>
      <c r="I11" s="6">
        <f>SUM(I9:I10)</f>
        <v>-282884.41000000003</v>
      </c>
      <c r="J11" s="6">
        <f>SUM(J9:J10)</f>
        <v>523648.62</v>
      </c>
      <c r="K11" s="6">
        <f>SUM(K9:K10)</f>
        <v>14056601.399999999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15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251005440</v>
      </c>
      <c r="C16" s="3">
        <v>2.5000000000000001E-4</v>
      </c>
      <c r="D16" s="2">
        <v>252100790</v>
      </c>
      <c r="E16" s="1">
        <f>ROUND((0.0105/((366*24*0.98)/12)*1000+0.024505+0.00025),6)</f>
        <v>3.9392000000000003E-2</v>
      </c>
      <c r="F16" s="1">
        <f>ROUND((0.0105/((366*24*0.98)/12)*1000+0.024505),6)</f>
        <v>3.9142000000000003E-2</v>
      </c>
      <c r="G16" s="10">
        <f>ROUND(D16*F16,2)</f>
        <v>9867729.1199999992</v>
      </c>
      <c r="H16" s="10">
        <v>541260.4</v>
      </c>
      <c r="I16" s="6">
        <v>-128319.3</v>
      </c>
      <c r="J16" s="10">
        <v>485798.22</v>
      </c>
      <c r="K16" s="10">
        <f>SUM(G16:J16)</f>
        <v>10766468.439999999</v>
      </c>
    </row>
    <row r="17" spans="1:11" x14ac:dyDescent="0.25">
      <c r="A17" s="1" t="s">
        <v>5</v>
      </c>
      <c r="B17" s="11">
        <v>328762560</v>
      </c>
      <c r="C17" s="12">
        <v>2.5000000000000001E-4</v>
      </c>
      <c r="D17" s="11">
        <v>332525558</v>
      </c>
      <c r="E17" s="13">
        <f>ROUND((0.0105/((366*24*0.98)/12)*1000+0.024505+0.00025),6)</f>
        <v>3.9392000000000003E-2</v>
      </c>
      <c r="F17" s="13">
        <f>ROUND((0.0105/((366*24*0.98)/12)*1000+0.024505+0.00025),6)</f>
        <v>3.9392000000000003E-2</v>
      </c>
      <c r="G17" s="14">
        <f>ROUND(D17*F17,2)</f>
        <v>13098846.779999999</v>
      </c>
      <c r="H17" s="14">
        <v>713932.37</v>
      </c>
      <c r="I17" s="8">
        <v>-169255.51</v>
      </c>
      <c r="J17" s="14">
        <v>640776.75</v>
      </c>
      <c r="K17" s="14">
        <f>SUM(G17:J17)</f>
        <v>14284300.389999999</v>
      </c>
    </row>
    <row r="18" spans="1:11" x14ac:dyDescent="0.25">
      <c r="A18" s="1" t="s">
        <v>2</v>
      </c>
      <c r="B18" s="2">
        <f>SUM(B16:B17)</f>
        <v>579768000</v>
      </c>
      <c r="D18" s="2">
        <f>SUM(D16:D17)</f>
        <v>584626348</v>
      </c>
      <c r="G18" s="10">
        <f>SUM(G16:G17)</f>
        <v>22966575.899999999</v>
      </c>
      <c r="H18" s="10">
        <f t="shared" ref="H18:J18" si="0">SUM(H16:H17)</f>
        <v>1255192.77</v>
      </c>
      <c r="I18" s="6">
        <f t="shared" si="0"/>
        <v>-297574.81</v>
      </c>
      <c r="J18" s="10">
        <f t="shared" si="0"/>
        <v>1126574.97</v>
      </c>
      <c r="K18" s="10">
        <f>SUM(K16:K17)</f>
        <v>25050768.829999998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36198981.009999998</v>
      </c>
      <c r="H21" s="10">
        <f>H11+H18</f>
        <v>1838624.85</v>
      </c>
      <c r="I21" s="6">
        <f>I11+I18</f>
        <v>-580459.22</v>
      </c>
      <c r="J21" s="10">
        <f>J11+J18</f>
        <v>1650223.5899999999</v>
      </c>
      <c r="K21" s="10">
        <f>K11+K18</f>
        <v>39107370.229999997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N26" sqref="N26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3.5703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40969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3323138</v>
      </c>
      <c r="D9" s="5">
        <v>4700492.63</v>
      </c>
      <c r="E9" s="6"/>
      <c r="F9" s="6"/>
      <c r="G9" s="6">
        <f>C9+D9</f>
        <v>8023630.6299999999</v>
      </c>
      <c r="H9" s="6">
        <v>492559.02</v>
      </c>
      <c r="I9" s="6">
        <v>-164555.18</v>
      </c>
      <c r="J9" s="6">
        <v>311564.13</v>
      </c>
      <c r="K9" s="6">
        <f>SUM(G9:J9)</f>
        <v>8663198.6000000015</v>
      </c>
    </row>
    <row r="10" spans="1:11" x14ac:dyDescent="0.25">
      <c r="A10" s="1" t="s">
        <v>1</v>
      </c>
      <c r="C10" s="7">
        <v>1509879</v>
      </c>
      <c r="D10" s="7">
        <v>2066316.38</v>
      </c>
      <c r="E10" s="8"/>
      <c r="F10" s="8"/>
      <c r="G10" s="8">
        <f>C10+D10</f>
        <v>3576195.38</v>
      </c>
      <c r="H10" s="8">
        <v>262748.09000000003</v>
      </c>
      <c r="I10" s="8">
        <v>-87779.46</v>
      </c>
      <c r="J10" s="8">
        <v>166199.12</v>
      </c>
      <c r="K10" s="8">
        <f>SUM(G10:J10)</f>
        <v>3917363.13</v>
      </c>
    </row>
    <row r="11" spans="1:11" x14ac:dyDescent="0.25">
      <c r="A11" s="1" t="s">
        <v>2</v>
      </c>
      <c r="C11" s="5">
        <f>SUM(C9:C10)</f>
        <v>4833017</v>
      </c>
      <c r="D11" s="5">
        <f>SUM(D9:D10)</f>
        <v>6766809.0099999998</v>
      </c>
      <c r="E11" s="6"/>
      <c r="F11" s="6"/>
      <c r="G11" s="6">
        <f>SUM(G9:G10)</f>
        <v>11599826.01</v>
      </c>
      <c r="H11" s="6">
        <f>SUM(H9:H10)</f>
        <v>755307.1100000001</v>
      </c>
      <c r="I11" s="6">
        <f>SUM(I9:I10)</f>
        <v>-252334.64</v>
      </c>
      <c r="J11" s="6">
        <f>SUM(J9:J10)</f>
        <v>477763.25</v>
      </c>
      <c r="K11" s="6">
        <f>SUM(K9:K10)</f>
        <v>12580561.73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15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267955520</v>
      </c>
      <c r="C16" s="3">
        <v>2.5000000000000001E-4</v>
      </c>
      <c r="D16" s="2">
        <v>272051400</v>
      </c>
      <c r="E16" s="1">
        <f>ROUND((0.0105/((366*24*0.98)/12)*1000+0.024505+0.00025),6)</f>
        <v>3.9392000000000003E-2</v>
      </c>
      <c r="F16" s="1">
        <f>ROUND((0.0105/((366*24*0.98)/12)*1000+0.024505),6)</f>
        <v>3.9142000000000003E-2</v>
      </c>
      <c r="G16" s="10">
        <f>ROUND(D16*F16,2)</f>
        <v>10648635.9</v>
      </c>
      <c r="H16" s="10">
        <v>847712.16</v>
      </c>
      <c r="I16" s="6">
        <v>-120790.82</v>
      </c>
      <c r="J16" s="10">
        <v>536213.31000000006</v>
      </c>
      <c r="K16" s="10">
        <f>SUM(G16:J16)</f>
        <v>11911770.550000001</v>
      </c>
    </row>
    <row r="17" spans="1:11" x14ac:dyDescent="0.25">
      <c r="A17" s="1" t="s">
        <v>5</v>
      </c>
      <c r="B17" s="11">
        <v>350963480</v>
      </c>
      <c r="C17" s="12">
        <v>2.5000000000000001E-4</v>
      </c>
      <c r="D17" s="11">
        <v>357406803</v>
      </c>
      <c r="E17" s="13">
        <f>ROUND((0.0105/((366*24*0.98)/12)*1000+0.024505+0.00025),6)</f>
        <v>3.9392000000000003E-2</v>
      </c>
      <c r="F17" s="13">
        <f>ROUND((0.0105/((366*24*0.98)/12)*1000+0.024505+0.00025),6)</f>
        <v>3.9392000000000003E-2</v>
      </c>
      <c r="G17" s="14">
        <f>ROUND(D17*F17,2)</f>
        <v>14078968.779999999</v>
      </c>
      <c r="H17" s="14">
        <v>1113679.6000000001</v>
      </c>
      <c r="I17" s="8">
        <v>-158688.62</v>
      </c>
      <c r="J17" s="14">
        <v>704448.81</v>
      </c>
      <c r="K17" s="14">
        <f>SUM(G17:J17)</f>
        <v>15738408.57</v>
      </c>
    </row>
    <row r="18" spans="1:11" x14ac:dyDescent="0.25">
      <c r="A18" s="1" t="s">
        <v>2</v>
      </c>
      <c r="B18" s="2">
        <f>SUM(B16:B17)</f>
        <v>618919000</v>
      </c>
      <c r="D18" s="2">
        <f>SUM(D16:D17)</f>
        <v>629458203</v>
      </c>
      <c r="G18" s="10">
        <f>SUM(G16:G17)</f>
        <v>24727604.68</v>
      </c>
      <c r="H18" s="10">
        <f t="shared" ref="H18:J18" si="0">SUM(H16:H17)</f>
        <v>1961391.7600000002</v>
      </c>
      <c r="I18" s="6">
        <f t="shared" si="0"/>
        <v>-279479.44</v>
      </c>
      <c r="J18" s="10">
        <f t="shared" si="0"/>
        <v>1240662.1200000001</v>
      </c>
      <c r="K18" s="10">
        <f>SUM(K16:K17)</f>
        <v>27650179.120000001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36327430.689999998</v>
      </c>
      <c r="H21" s="10">
        <f>H11+H18</f>
        <v>2716698.87</v>
      </c>
      <c r="I21" s="6">
        <f>I11+I18</f>
        <v>-531814.08000000007</v>
      </c>
      <c r="J21" s="10">
        <f>J11+J18</f>
        <v>1718425.37</v>
      </c>
      <c r="K21" s="10">
        <f>K11+K18</f>
        <v>40230740.850000001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G18" sqref="G18"/>
    </sheetView>
  </sheetViews>
  <sheetFormatPr defaultRowHeight="15" x14ac:dyDescent="0.25"/>
  <cols>
    <col min="1" max="1" width="14.7109375" style="1" bestFit="1" customWidth="1"/>
    <col min="2" max="2" width="11.85546875" style="2" bestFit="1" customWidth="1"/>
    <col min="3" max="3" width="13.5703125" style="3" bestFit="1" customWidth="1"/>
    <col min="4" max="4" width="13.5703125" style="2" bestFit="1" customWidth="1"/>
    <col min="5" max="5" width="9.140625" style="1"/>
    <col min="6" max="6" width="13.42578125" style="1" bestFit="1" customWidth="1"/>
    <col min="7" max="7" width="13.7109375" style="10" bestFit="1" customWidth="1"/>
    <col min="8" max="8" width="13.5703125" style="10" bestFit="1" customWidth="1"/>
    <col min="9" max="10" width="13.42578125" style="10" bestFit="1" customWidth="1"/>
    <col min="11" max="11" width="13.7109375" style="1" bestFit="1" customWidth="1"/>
    <col min="12" max="16384" width="9.140625" style="1"/>
  </cols>
  <sheetData>
    <row r="1" spans="1:11" ht="18.75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x14ac:dyDescent="0.3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.75" x14ac:dyDescent="0.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.75" x14ac:dyDescent="0.3">
      <c r="A5" s="48">
        <v>41000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x14ac:dyDescent="0.25">
      <c r="C7" s="46" t="s">
        <v>18</v>
      </c>
      <c r="D7" s="46"/>
      <c r="E7" s="46"/>
      <c r="F7" s="46"/>
      <c r="G7" s="46"/>
      <c r="H7" s="46"/>
      <c r="I7" s="46"/>
      <c r="J7" s="46"/>
      <c r="K7" s="46"/>
    </row>
    <row r="8" spans="1:11" s="3" customFormat="1" x14ac:dyDescent="0.25">
      <c r="B8" s="2"/>
      <c r="C8" s="3" t="s">
        <v>16</v>
      </c>
      <c r="D8" s="2" t="s">
        <v>17</v>
      </c>
      <c r="G8" s="4" t="s">
        <v>6</v>
      </c>
      <c r="H8" s="4" t="s">
        <v>13</v>
      </c>
      <c r="I8" s="4" t="s">
        <v>14</v>
      </c>
      <c r="J8" s="4" t="s">
        <v>15</v>
      </c>
      <c r="K8" s="3" t="s">
        <v>6</v>
      </c>
    </row>
    <row r="9" spans="1:11" x14ac:dyDescent="0.25">
      <c r="A9" s="1" t="s">
        <v>0</v>
      </c>
      <c r="C9" s="5">
        <v>3135522.5</v>
      </c>
      <c r="D9" s="5">
        <v>4410703.72</v>
      </c>
      <c r="E9" s="6"/>
      <c r="F9" s="6"/>
      <c r="G9" s="6">
        <f>C9+D9</f>
        <v>7546226.2199999997</v>
      </c>
      <c r="H9" s="6">
        <v>436531.51</v>
      </c>
      <c r="I9" s="6">
        <v>-154410.23000000001</v>
      </c>
      <c r="J9" s="6">
        <v>341452.79</v>
      </c>
      <c r="K9" s="6">
        <f>SUM(G9:J9)</f>
        <v>8169800.2899999991</v>
      </c>
    </row>
    <row r="10" spans="1:11" x14ac:dyDescent="0.25">
      <c r="A10" s="1" t="s">
        <v>1</v>
      </c>
      <c r="C10" s="7">
        <v>1479765</v>
      </c>
      <c r="D10" s="7">
        <v>1948689.37</v>
      </c>
      <c r="E10" s="8"/>
      <c r="F10" s="8"/>
      <c r="G10" s="8">
        <f>C10+D10</f>
        <v>3428454.37</v>
      </c>
      <c r="H10" s="8">
        <v>234033.59</v>
      </c>
      <c r="I10" s="8">
        <v>-82782.539999999994</v>
      </c>
      <c r="J10" s="8">
        <v>183059.91</v>
      </c>
      <c r="K10" s="8">
        <f>SUM(G10:J10)</f>
        <v>3762765.33</v>
      </c>
    </row>
    <row r="11" spans="1:11" x14ac:dyDescent="0.25">
      <c r="A11" s="1" t="s">
        <v>2</v>
      </c>
      <c r="C11" s="5">
        <f>SUM(C9:C10)</f>
        <v>4615287.5</v>
      </c>
      <c r="D11" s="5">
        <f>SUM(D9:D10)</f>
        <v>6359393.0899999999</v>
      </c>
      <c r="E11" s="6"/>
      <c r="F11" s="6"/>
      <c r="G11" s="6">
        <f>SUM(G9:G10)</f>
        <v>10974680.59</v>
      </c>
      <c r="H11" s="6">
        <f>SUM(H9:H10)</f>
        <v>670565.1</v>
      </c>
      <c r="I11" s="6">
        <f>SUM(I9:I10)</f>
        <v>-237192.77000000002</v>
      </c>
      <c r="J11" s="6">
        <f>SUM(J9:J10)</f>
        <v>524512.69999999995</v>
      </c>
      <c r="K11" s="6">
        <f>SUM(K9:K10)</f>
        <v>11932565.619999999</v>
      </c>
    </row>
    <row r="12" spans="1:11" x14ac:dyDescent="0.25">
      <c r="C12" s="5"/>
      <c r="D12" s="5"/>
      <c r="E12" s="6"/>
      <c r="F12" s="6"/>
      <c r="G12" s="6"/>
      <c r="H12" s="6"/>
      <c r="I12" s="6"/>
      <c r="J12" s="6"/>
      <c r="K12" s="6"/>
    </row>
    <row r="13" spans="1:11" x14ac:dyDescent="0.25">
      <c r="C13" s="5"/>
      <c r="D13" s="5"/>
      <c r="E13" s="6"/>
      <c r="F13" s="6"/>
      <c r="G13" s="6"/>
      <c r="H13" s="6"/>
      <c r="I13" s="6"/>
      <c r="J13" s="6"/>
      <c r="K13" s="6"/>
    </row>
    <row r="14" spans="1:11" x14ac:dyDescent="0.25">
      <c r="C14" s="46" t="s">
        <v>18</v>
      </c>
      <c r="D14" s="46"/>
      <c r="E14" s="46"/>
      <c r="F14" s="46"/>
      <c r="G14" s="46"/>
      <c r="H14" s="46"/>
      <c r="I14" s="46"/>
      <c r="J14" s="46"/>
      <c r="K14" s="46"/>
    </row>
    <row r="15" spans="1:11" s="3" customFormat="1" ht="30" x14ac:dyDescent="0.25">
      <c r="A15" s="3" t="s">
        <v>3</v>
      </c>
      <c r="B15" s="2" t="s">
        <v>7</v>
      </c>
      <c r="C15" s="15" t="s">
        <v>8</v>
      </c>
      <c r="D15" s="2" t="s">
        <v>9</v>
      </c>
      <c r="E15" s="3" t="s">
        <v>10</v>
      </c>
      <c r="F15" s="3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3" t="s">
        <v>6</v>
      </c>
    </row>
    <row r="16" spans="1:11" x14ac:dyDescent="0.25">
      <c r="A16" s="1" t="s">
        <v>4</v>
      </c>
      <c r="B16" s="2">
        <v>259660800</v>
      </c>
      <c r="C16" s="3">
        <v>2.5000000000000001E-4</v>
      </c>
      <c r="D16" s="2">
        <v>264135325</v>
      </c>
      <c r="E16" s="1">
        <f>ROUND((0.0105/((366*24*0.98)/12)*1000+0.024505+0.00025),6)</f>
        <v>3.9392000000000003E-2</v>
      </c>
      <c r="F16" s="1">
        <f>ROUND((0.0105/((366*24*0.98)/12)*1000+0.024505),6)</f>
        <v>3.9142000000000003E-2</v>
      </c>
      <c r="G16" s="10">
        <f>ROUND(D16*F16,2)</f>
        <v>10338784.890000001</v>
      </c>
      <c r="H16" s="10">
        <v>777350.26</v>
      </c>
      <c r="I16" s="6">
        <v>152670.22</v>
      </c>
      <c r="J16" s="10">
        <v>608039.52</v>
      </c>
      <c r="K16" s="10">
        <f>SUM(G16:J16)</f>
        <v>11876844.890000001</v>
      </c>
    </row>
    <row r="17" spans="1:11" x14ac:dyDescent="0.25">
      <c r="A17" s="1" t="s">
        <v>5</v>
      </c>
      <c r="B17" s="11">
        <v>340099200</v>
      </c>
      <c r="C17" s="12">
        <v>2.5000000000000001E-4</v>
      </c>
      <c r="D17" s="11">
        <v>346156125</v>
      </c>
      <c r="E17" s="13">
        <f>ROUND((0.0105/((366*24*0.98)/12)*1000+0.024505+0.00025),6)</f>
        <v>3.9392000000000003E-2</v>
      </c>
      <c r="F17" s="13">
        <f>ROUND((0.0105/((366*24*0.98)/12)*1000+0.024505+0.00025),6)</f>
        <v>3.9392000000000003E-2</v>
      </c>
      <c r="G17" s="14">
        <f>ROUND(D17*F17,2)</f>
        <v>13635782.08</v>
      </c>
      <c r="H17" s="14">
        <v>1018737.48</v>
      </c>
      <c r="I17" s="8">
        <v>200078.24</v>
      </c>
      <c r="J17" s="14">
        <v>796851.4</v>
      </c>
      <c r="K17" s="14">
        <f>SUM(G17:J17)</f>
        <v>15651449.200000001</v>
      </c>
    </row>
    <row r="18" spans="1:11" x14ac:dyDescent="0.25">
      <c r="A18" s="1" t="s">
        <v>2</v>
      </c>
      <c r="B18" s="2">
        <f>SUM(B16:B17)</f>
        <v>599760000</v>
      </c>
      <c r="D18" s="2">
        <f>SUM(D16:D17)</f>
        <v>610291450</v>
      </c>
      <c r="G18" s="10">
        <f>SUM(G16:G17)</f>
        <v>23974566.969999999</v>
      </c>
      <c r="H18" s="10">
        <f t="shared" ref="H18:J18" si="0">SUM(H16:H17)</f>
        <v>1796087.74</v>
      </c>
      <c r="I18" s="6">
        <f t="shared" si="0"/>
        <v>352748.45999999996</v>
      </c>
      <c r="J18" s="10">
        <f t="shared" si="0"/>
        <v>1404890.92</v>
      </c>
      <c r="K18" s="10">
        <f>SUM(K16:K17)</f>
        <v>27528294.090000004</v>
      </c>
    </row>
    <row r="19" spans="1:11" x14ac:dyDescent="0.25">
      <c r="I19" s="6"/>
    </row>
    <row r="20" spans="1:11" x14ac:dyDescent="0.25">
      <c r="I20" s="6"/>
    </row>
    <row r="21" spans="1:11" x14ac:dyDescent="0.25">
      <c r="A21" s="1" t="s">
        <v>6</v>
      </c>
      <c r="G21" s="10">
        <f>G11+G18</f>
        <v>34949247.560000002</v>
      </c>
      <c r="H21" s="10">
        <f>H11+H18</f>
        <v>2466652.84</v>
      </c>
      <c r="I21" s="6">
        <f>I11+I18</f>
        <v>115555.68999999994</v>
      </c>
      <c r="J21" s="10">
        <f>J11+J18</f>
        <v>1929403.6199999999</v>
      </c>
      <c r="K21" s="10">
        <f>K11+K18</f>
        <v>39460859.710000001</v>
      </c>
    </row>
  </sheetData>
  <mergeCells count="7">
    <mergeCell ref="C14:K14"/>
    <mergeCell ref="A1:K1"/>
    <mergeCell ref="A2:K2"/>
    <mergeCell ref="A3:K3"/>
    <mergeCell ref="A4:K4"/>
    <mergeCell ref="A5:K5"/>
    <mergeCell ref="C7:K7"/>
  </mergeCells>
  <pageMargins left="0.7" right="0.7" top="0.75" bottom="0.75" header="0.3" footer="0.3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6"/>
  <sheetViews>
    <sheetView topLeftCell="A4" workbookViewId="0">
      <selection activeCell="J29" sqref="J29"/>
    </sheetView>
  </sheetViews>
  <sheetFormatPr defaultRowHeight="15" x14ac:dyDescent="0.25"/>
  <cols>
    <col min="1" max="1" width="9.140625" style="18"/>
    <col min="2" max="2" width="14.7109375" style="19" bestFit="1" customWidth="1"/>
    <col min="3" max="3" width="14.5703125" style="20" bestFit="1" customWidth="1"/>
    <col min="4" max="4" width="14.5703125" style="19" bestFit="1" customWidth="1"/>
    <col min="5" max="5" width="15.28515625" style="20" bestFit="1" customWidth="1"/>
    <col min="6" max="6" width="13.5703125" style="18" bestFit="1" customWidth="1"/>
    <col min="7" max="7" width="14.5703125" style="18" bestFit="1" customWidth="1"/>
    <col min="8" max="8" width="14.7109375" style="21" customWidth="1"/>
    <col min="9" max="9" width="15.28515625" style="21" bestFit="1" customWidth="1"/>
    <col min="10" max="11" width="14.5703125" style="21" bestFit="1" customWidth="1"/>
    <col min="12" max="12" width="14.5703125" style="18" bestFit="1" customWidth="1"/>
    <col min="13" max="16384" width="9.140625" style="18"/>
  </cols>
  <sheetData>
    <row r="1" spans="1:12" ht="18.75" x14ac:dyDescent="0.3">
      <c r="B1" s="56" t="s">
        <v>19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3">
      <c r="B2" s="56" t="s">
        <v>20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8.75" x14ac:dyDescent="0.3">
      <c r="B3" s="56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8.75" x14ac:dyDescent="0.3">
      <c r="B4" s="56" t="s">
        <v>51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8.75" x14ac:dyDescent="0.3">
      <c r="B5" s="57" t="s">
        <v>52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8.75" x14ac:dyDescent="0.3">
      <c r="A6" s="18" t="s">
        <v>53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x14ac:dyDescent="0.25">
      <c r="A7" s="18" t="s">
        <v>54</v>
      </c>
    </row>
    <row r="8" spans="1:12" x14ac:dyDescent="0.25">
      <c r="L8" s="41"/>
    </row>
    <row r="9" spans="1:12" ht="15" customHeight="1" x14ac:dyDescent="0.25">
      <c r="B9" s="59" t="s">
        <v>24</v>
      </c>
      <c r="C9" s="60"/>
      <c r="D9" s="60"/>
      <c r="E9" s="60"/>
      <c r="F9" s="60"/>
      <c r="G9" s="60"/>
      <c r="H9" s="61"/>
      <c r="I9" s="29"/>
      <c r="J9" s="62" t="s">
        <v>35</v>
      </c>
      <c r="K9" s="61"/>
      <c r="L9" s="42"/>
    </row>
    <row r="10" spans="1:12" s="19" customFormat="1" x14ac:dyDescent="0.25">
      <c r="B10" s="30">
        <v>1</v>
      </c>
      <c r="C10" s="31">
        <v>2</v>
      </c>
      <c r="D10" s="30">
        <v>3</v>
      </c>
      <c r="E10" s="31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43"/>
    </row>
    <row r="11" spans="1:12" ht="30" x14ac:dyDescent="0.25">
      <c r="B11" s="32" t="s">
        <v>25</v>
      </c>
      <c r="C11" s="32" t="s">
        <v>27</v>
      </c>
      <c r="D11" s="32" t="s">
        <v>26</v>
      </c>
      <c r="E11" s="32" t="s">
        <v>28</v>
      </c>
      <c r="F11" s="32" t="s">
        <v>29</v>
      </c>
      <c r="G11" s="32" t="s">
        <v>30</v>
      </c>
      <c r="H11" s="32" t="s">
        <v>31</v>
      </c>
      <c r="I11" s="32" t="s">
        <v>32</v>
      </c>
      <c r="J11" s="32" t="s">
        <v>33</v>
      </c>
      <c r="K11" s="32" t="s">
        <v>34</v>
      </c>
      <c r="L11" s="44"/>
    </row>
    <row r="12" spans="1:12" x14ac:dyDescent="0.25">
      <c r="A12" s="18">
        <v>2011</v>
      </c>
      <c r="B12" s="30" t="s">
        <v>40</v>
      </c>
      <c r="C12" s="39">
        <f>'5-2011'!G21</f>
        <v>26522233.850000001</v>
      </c>
      <c r="D12" s="39">
        <f>'5-2011'!H21</f>
        <v>10110056.440000001</v>
      </c>
      <c r="E12" s="39">
        <f>'5-2011'!I21</f>
        <v>-795469.92999999993</v>
      </c>
      <c r="F12" s="39">
        <f>'5-2011'!J21</f>
        <v>1514602.19</v>
      </c>
      <c r="G12" s="36">
        <f t="shared" ref="G12:G19" si="0">SUM(C12:F12)</f>
        <v>37351422.550000004</v>
      </c>
      <c r="H12" s="36">
        <f t="shared" ref="H12:H19" si="1">G12-F12</f>
        <v>35836820.360000007</v>
      </c>
      <c r="I12" s="40">
        <v>12396668.109999999</v>
      </c>
      <c r="J12" s="35">
        <f t="shared" ref="J12:J19" si="2">G12+I12</f>
        <v>49748090.660000004</v>
      </c>
      <c r="K12" s="35">
        <f t="shared" ref="K12:K19" si="3">J12-F12</f>
        <v>48233488.470000006</v>
      </c>
      <c r="L12" s="41"/>
    </row>
    <row r="13" spans="1:12" x14ac:dyDescent="0.25">
      <c r="A13" s="18">
        <v>2011</v>
      </c>
      <c r="B13" s="30" t="s">
        <v>41</v>
      </c>
      <c r="C13" s="39">
        <f>'6-2011'!G21</f>
        <v>35873876.219999999</v>
      </c>
      <c r="D13" s="39">
        <f>'6-2011'!H21</f>
        <v>-917428.96</v>
      </c>
      <c r="E13" s="39">
        <f>'6-2011'!I21</f>
        <v>-613074.24</v>
      </c>
      <c r="F13" s="39">
        <f>'6-2011'!J21</f>
        <v>2012879.67</v>
      </c>
      <c r="G13" s="36">
        <f t="shared" si="0"/>
        <v>36356252.689999998</v>
      </c>
      <c r="H13" s="36">
        <f t="shared" si="1"/>
        <v>34343373.019999996</v>
      </c>
      <c r="I13" s="40">
        <v>8863730.9800000004</v>
      </c>
      <c r="J13" s="35">
        <f t="shared" si="2"/>
        <v>45219983.670000002</v>
      </c>
      <c r="K13" s="35">
        <f t="shared" si="3"/>
        <v>43207104</v>
      </c>
      <c r="L13" s="41"/>
    </row>
    <row r="14" spans="1:12" x14ac:dyDescent="0.25">
      <c r="A14" s="18">
        <v>2011</v>
      </c>
      <c r="B14" s="30" t="s">
        <v>42</v>
      </c>
      <c r="C14" s="39">
        <f>'7-2011'!G21</f>
        <v>38702108.299999997</v>
      </c>
      <c r="D14" s="39">
        <f>'7-2011'!H21</f>
        <v>392111.4</v>
      </c>
      <c r="E14" s="39">
        <f>'7-2011'!I21</f>
        <v>-27983.3</v>
      </c>
      <c r="F14" s="39">
        <f>'7-2011'!J21</f>
        <v>2016982.79</v>
      </c>
      <c r="G14" s="36">
        <f t="shared" si="0"/>
        <v>41083219.189999998</v>
      </c>
      <c r="H14" s="36">
        <f t="shared" si="1"/>
        <v>39066236.399999999</v>
      </c>
      <c r="I14" s="40">
        <v>10169219.310000001</v>
      </c>
      <c r="J14" s="35">
        <f t="shared" si="2"/>
        <v>51252438.5</v>
      </c>
      <c r="K14" s="35">
        <f t="shared" si="3"/>
        <v>49235455.710000001</v>
      </c>
      <c r="L14" s="41"/>
    </row>
    <row r="15" spans="1:12" x14ac:dyDescent="0.25">
      <c r="A15" s="18">
        <v>2011</v>
      </c>
      <c r="B15" s="30" t="s">
        <v>43</v>
      </c>
      <c r="C15" s="39">
        <f>'8-2011'!G21</f>
        <v>37730517.879999995</v>
      </c>
      <c r="D15" s="39">
        <f>'8-2011'!H21</f>
        <v>1122108.6600000001</v>
      </c>
      <c r="E15" s="39">
        <f>'8-2011'!I21</f>
        <v>-835897.89</v>
      </c>
      <c r="F15" s="39">
        <f>'8-2011'!J21</f>
        <v>2037756.7400000002</v>
      </c>
      <c r="G15" s="36">
        <f t="shared" si="0"/>
        <v>40054485.389999993</v>
      </c>
      <c r="H15" s="36">
        <f t="shared" si="1"/>
        <v>38016728.649999991</v>
      </c>
      <c r="I15" s="40">
        <v>8860470.7599999998</v>
      </c>
      <c r="J15" s="35">
        <f t="shared" si="2"/>
        <v>48914956.149999991</v>
      </c>
      <c r="K15" s="35">
        <f t="shared" si="3"/>
        <v>46877199.409999989</v>
      </c>
      <c r="L15" s="41"/>
    </row>
    <row r="16" spans="1:12" x14ac:dyDescent="0.25">
      <c r="A16" s="18">
        <v>2011</v>
      </c>
      <c r="B16" s="30" t="s">
        <v>44</v>
      </c>
      <c r="C16" s="39">
        <f>'9-2011'!G21</f>
        <v>36385665.710000001</v>
      </c>
      <c r="D16" s="39">
        <f>'9-2011'!H21</f>
        <v>1318413.1000000001</v>
      </c>
      <c r="E16" s="39">
        <f>'9-2011'!I21</f>
        <v>-527200.65</v>
      </c>
      <c r="F16" s="39">
        <f>'9-2011'!J21</f>
        <v>1610556.7</v>
      </c>
      <c r="G16" s="36">
        <f t="shared" si="0"/>
        <v>38787434.860000007</v>
      </c>
      <c r="H16" s="36">
        <f t="shared" si="1"/>
        <v>37176878.160000004</v>
      </c>
      <c r="I16" s="40">
        <v>8228520.5099999998</v>
      </c>
      <c r="J16" s="35">
        <f t="shared" si="2"/>
        <v>47015955.370000005</v>
      </c>
      <c r="K16" s="35">
        <f t="shared" si="3"/>
        <v>45405398.670000002</v>
      </c>
      <c r="L16" s="41"/>
    </row>
    <row r="17" spans="1:12" x14ac:dyDescent="0.25">
      <c r="A17" s="18">
        <v>2011</v>
      </c>
      <c r="B17" s="30" t="s">
        <v>45</v>
      </c>
      <c r="C17" s="39">
        <f>'10-2011'!G21</f>
        <v>35304422.339999996</v>
      </c>
      <c r="D17" s="39">
        <f>'10-2011'!H21</f>
        <v>718683.12</v>
      </c>
      <c r="E17" s="39">
        <f>'10-2011'!I21</f>
        <v>-593409.88</v>
      </c>
      <c r="F17" s="39">
        <f>'10-2011'!J21</f>
        <v>2078006.23</v>
      </c>
      <c r="G17" s="36">
        <f t="shared" si="0"/>
        <v>37507701.809999987</v>
      </c>
      <c r="H17" s="36">
        <f t="shared" si="1"/>
        <v>35429695.579999991</v>
      </c>
      <c r="I17" s="40">
        <v>7275165.6600000001</v>
      </c>
      <c r="J17" s="35">
        <f t="shared" si="2"/>
        <v>44782867.469999984</v>
      </c>
      <c r="K17" s="35">
        <f t="shared" si="3"/>
        <v>42704861.239999987</v>
      </c>
      <c r="L17" s="41"/>
    </row>
    <row r="18" spans="1:12" x14ac:dyDescent="0.25">
      <c r="A18" s="18">
        <v>2011</v>
      </c>
      <c r="B18" s="30" t="s">
        <v>46</v>
      </c>
      <c r="C18" s="39">
        <f>'11-2011'!G21</f>
        <v>35428230.68</v>
      </c>
      <c r="D18" s="39">
        <f>'11-2011'!H21</f>
        <v>-481711.32999999996</v>
      </c>
      <c r="E18" s="39">
        <f>'11-2011'!I21</f>
        <v>-299911.70999999996</v>
      </c>
      <c r="F18" s="39">
        <f>'11-2011'!J21</f>
        <v>2345908.8600000003</v>
      </c>
      <c r="G18" s="36">
        <f t="shared" si="0"/>
        <v>36992516.5</v>
      </c>
      <c r="H18" s="36">
        <f t="shared" si="1"/>
        <v>34646607.640000001</v>
      </c>
      <c r="I18" s="40">
        <v>5802703.6399999997</v>
      </c>
      <c r="J18" s="35">
        <f t="shared" si="2"/>
        <v>42795220.140000001</v>
      </c>
      <c r="K18" s="35">
        <f t="shared" si="3"/>
        <v>40449311.280000001</v>
      </c>
      <c r="L18" s="41"/>
    </row>
    <row r="19" spans="1:12" x14ac:dyDescent="0.25">
      <c r="A19" s="18">
        <v>2011</v>
      </c>
      <c r="B19" s="30" t="s">
        <v>47</v>
      </c>
      <c r="C19" s="39">
        <f>'12-2011'!G21</f>
        <v>37951462.950000003</v>
      </c>
      <c r="D19" s="39">
        <f>'12-2011'!H21</f>
        <v>933311.24</v>
      </c>
      <c r="E19" s="39">
        <f>'12-2011'!I21</f>
        <v>-100394.49999999997</v>
      </c>
      <c r="F19" s="39">
        <f>'12-2011'!J21</f>
        <v>2088055.12</v>
      </c>
      <c r="G19" s="36">
        <f t="shared" si="0"/>
        <v>40872434.810000002</v>
      </c>
      <c r="H19" s="36">
        <f t="shared" si="1"/>
        <v>38784379.690000005</v>
      </c>
      <c r="I19" s="40">
        <v>5388426.8100000005</v>
      </c>
      <c r="J19" s="35">
        <f t="shared" si="2"/>
        <v>46260861.620000005</v>
      </c>
      <c r="K19" s="35">
        <f t="shared" si="3"/>
        <v>44172806.500000007</v>
      </c>
      <c r="L19" s="41"/>
    </row>
    <row r="20" spans="1:12" x14ac:dyDescent="0.25">
      <c r="A20" s="22">
        <v>2012</v>
      </c>
      <c r="B20" s="30" t="s">
        <v>36</v>
      </c>
      <c r="C20" s="39">
        <f>'1-2012'!G21</f>
        <v>39052657.359999999</v>
      </c>
      <c r="D20" s="39">
        <f>'1-2012'!H21</f>
        <v>1572817.29</v>
      </c>
      <c r="E20" s="39">
        <f>'1-2012'!I21</f>
        <v>-449274.73</v>
      </c>
      <c r="F20" s="39">
        <f>'1-2012'!J21</f>
        <v>2169948.4299999997</v>
      </c>
      <c r="G20" s="36">
        <f>SUM(C20:F20)</f>
        <v>42346148.350000001</v>
      </c>
      <c r="H20" s="36">
        <f>G20-F20</f>
        <v>40176199.920000002</v>
      </c>
      <c r="I20" s="40">
        <f>2474094.5+34795.33</f>
        <v>2508889.83</v>
      </c>
      <c r="J20" s="35">
        <f>G20+I20</f>
        <v>44855038.18</v>
      </c>
      <c r="K20" s="35">
        <f>J20-F20</f>
        <v>42685089.75</v>
      </c>
      <c r="L20" s="45"/>
    </row>
    <row r="21" spans="1:12" x14ac:dyDescent="0.25">
      <c r="A21" s="22">
        <v>2012</v>
      </c>
      <c r="B21" s="30" t="s">
        <v>37</v>
      </c>
      <c r="C21" s="39">
        <f>'2-2012'!G21</f>
        <v>36198981.009999998</v>
      </c>
      <c r="D21" s="39">
        <f>'2-2012'!H21</f>
        <v>1838624.85</v>
      </c>
      <c r="E21" s="39">
        <f>'2-2012'!I21</f>
        <v>-580459.22</v>
      </c>
      <c r="F21" s="39">
        <f>'2-2012'!J21</f>
        <v>1650223.5899999999</v>
      </c>
      <c r="G21" s="36">
        <f t="shared" ref="G21:G23" si="4">SUM(C21:F21)</f>
        <v>39107370.230000004</v>
      </c>
      <c r="H21" s="36">
        <f t="shared" ref="H21:H23" si="5">G21-F21</f>
        <v>37457146.640000001</v>
      </c>
      <c r="I21" s="40">
        <f>1331848.41+248728.3+17325.4</f>
        <v>1597902.1099999999</v>
      </c>
      <c r="J21" s="35">
        <f t="shared" ref="J21:J23" si="6">G21+I21</f>
        <v>40705272.340000004</v>
      </c>
      <c r="K21" s="35">
        <f t="shared" ref="K21:K23" si="7">J21-F21</f>
        <v>39055048.75</v>
      </c>
      <c r="L21" s="45"/>
    </row>
    <row r="22" spans="1:12" x14ac:dyDescent="0.25">
      <c r="A22" s="22">
        <v>2012</v>
      </c>
      <c r="B22" s="30" t="s">
        <v>38</v>
      </c>
      <c r="C22" s="39">
        <f>'3-2012'!G21</f>
        <v>36327430.689999998</v>
      </c>
      <c r="D22" s="39">
        <f>'3-2012'!H21</f>
        <v>2716698.87</v>
      </c>
      <c r="E22" s="39">
        <f>'3-2012'!I21</f>
        <v>-531814.08000000007</v>
      </c>
      <c r="F22" s="39">
        <f>'3-2012'!J21</f>
        <v>1718425.37</v>
      </c>
      <c r="G22" s="36">
        <f t="shared" si="4"/>
        <v>40230740.849999994</v>
      </c>
      <c r="H22" s="36">
        <f t="shared" si="5"/>
        <v>38512315.479999997</v>
      </c>
      <c r="I22" s="40">
        <f>1919229.41+1052083.36</f>
        <v>2971312.77</v>
      </c>
      <c r="J22" s="35">
        <f t="shared" si="6"/>
        <v>43202053.619999997</v>
      </c>
      <c r="K22" s="35">
        <f t="shared" si="7"/>
        <v>41483628.25</v>
      </c>
      <c r="L22" s="45"/>
    </row>
    <row r="23" spans="1:12" x14ac:dyDescent="0.25">
      <c r="A23" s="22">
        <v>2012</v>
      </c>
      <c r="B23" s="30" t="s">
        <v>39</v>
      </c>
      <c r="C23" s="39">
        <f>'4-2012'!G21</f>
        <v>34949247.560000002</v>
      </c>
      <c r="D23" s="39">
        <f>'4-2012'!H21</f>
        <v>2466652.84</v>
      </c>
      <c r="E23" s="39">
        <f>'4-2012'!I21</f>
        <v>115555.68999999994</v>
      </c>
      <c r="F23" s="39">
        <f>'4-2012'!J21</f>
        <v>1929403.6199999999</v>
      </c>
      <c r="G23" s="36">
        <f t="shared" si="4"/>
        <v>39460859.710000001</v>
      </c>
      <c r="H23" s="36">
        <f t="shared" si="5"/>
        <v>37531456.090000004</v>
      </c>
      <c r="I23" s="40">
        <f>1987254.22+1002220.51</f>
        <v>2989474.73</v>
      </c>
      <c r="J23" s="35">
        <f t="shared" si="6"/>
        <v>42450334.439999998</v>
      </c>
      <c r="K23" s="35">
        <f t="shared" si="7"/>
        <v>40520930.82</v>
      </c>
      <c r="L23" s="45"/>
    </row>
    <row r="24" spans="1:12" x14ac:dyDescent="0.25">
      <c r="B24" s="30" t="s">
        <v>48</v>
      </c>
      <c r="C24" s="37"/>
      <c r="D24" s="37"/>
      <c r="E24" s="37"/>
      <c r="F24" s="37"/>
      <c r="G24" s="37"/>
      <c r="H24" s="37">
        <f>SUM(H12:H23)</f>
        <v>446977837.63</v>
      </c>
      <c r="I24" s="33"/>
      <c r="J24" s="33"/>
      <c r="K24" s="33"/>
    </row>
    <row r="25" spans="1:12" ht="33.75" customHeight="1" x14ac:dyDescent="0.25">
      <c r="B25" s="49" t="s">
        <v>49</v>
      </c>
      <c r="C25" s="50"/>
      <c r="D25" s="50"/>
      <c r="E25" s="50"/>
      <c r="F25" s="50"/>
      <c r="G25" s="50"/>
      <c r="H25" s="34"/>
      <c r="I25" s="51"/>
      <c r="J25" s="52"/>
      <c r="K25" s="53"/>
    </row>
    <row r="26" spans="1:12" ht="44.25" customHeight="1" x14ac:dyDescent="0.25">
      <c r="B26" s="54" t="s">
        <v>50</v>
      </c>
      <c r="C26" s="55"/>
      <c r="D26" s="55"/>
      <c r="E26" s="55"/>
      <c r="F26" s="55"/>
      <c r="G26" s="55"/>
      <c r="H26" s="55"/>
      <c r="I26" s="55"/>
      <c r="J26" s="55"/>
      <c r="K26" s="38"/>
    </row>
  </sheetData>
  <mergeCells count="10">
    <mergeCell ref="B25:G25"/>
    <mergeCell ref="I25:K25"/>
    <mergeCell ref="B26:J26"/>
    <mergeCell ref="B1:L1"/>
    <mergeCell ref="B2:L2"/>
    <mergeCell ref="B3:L3"/>
    <mergeCell ref="B4:L4"/>
    <mergeCell ref="B5:L5"/>
    <mergeCell ref="B9:H9"/>
    <mergeCell ref="J9:K9"/>
  </mergeCells>
  <pageMargins left="0.7" right="0.7" top="0.75" bottom="0.75" header="0.3" footer="0.3"/>
  <pageSetup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3"/>
  <sheetViews>
    <sheetView tabSelected="1" workbookViewId="0"/>
  </sheetViews>
  <sheetFormatPr defaultRowHeight="15.75" x14ac:dyDescent="0.25"/>
  <cols>
    <col min="1" max="2" width="5.7109375" style="64" customWidth="1"/>
    <col min="3" max="3" width="38.28515625" style="64" customWidth="1"/>
    <col min="4" max="15" width="15.7109375" style="64" customWidth="1"/>
    <col min="16" max="16" width="9.140625" style="64"/>
    <col min="17" max="17" width="16.7109375" style="64" bestFit="1" customWidth="1"/>
    <col min="18" max="16384" width="9.140625" style="64"/>
  </cols>
  <sheetData>
    <row r="1" spans="1:17" x14ac:dyDescent="0.25">
      <c r="B1" s="65" t="s">
        <v>65</v>
      </c>
    </row>
    <row r="2" spans="1:17" x14ac:dyDescent="0.25">
      <c r="B2" s="65" t="s">
        <v>66</v>
      </c>
    </row>
    <row r="3" spans="1:17" x14ac:dyDescent="0.25">
      <c r="A3" s="63"/>
      <c r="B3" s="63"/>
      <c r="C3" s="63"/>
    </row>
    <row r="4" spans="1:17" s="65" customFormat="1" ht="15" x14ac:dyDescent="0.2">
      <c r="D4" s="66">
        <v>40664</v>
      </c>
      <c r="E4" s="66">
        <v>40695</v>
      </c>
      <c r="F4" s="66">
        <v>40725</v>
      </c>
      <c r="G4" s="66">
        <v>40756</v>
      </c>
      <c r="H4" s="66">
        <v>40787</v>
      </c>
      <c r="I4" s="67">
        <v>40817</v>
      </c>
      <c r="J4" s="67">
        <v>40848</v>
      </c>
      <c r="K4" s="67">
        <v>40878</v>
      </c>
      <c r="L4" s="67">
        <v>40909</v>
      </c>
      <c r="M4" s="67">
        <v>40940</v>
      </c>
      <c r="N4" s="67">
        <v>40969</v>
      </c>
      <c r="O4" s="67">
        <v>41000</v>
      </c>
    </row>
    <row r="5" spans="1:17" x14ac:dyDescent="0.25">
      <c r="C5" s="68" t="s">
        <v>0</v>
      </c>
    </row>
    <row r="6" spans="1:17" x14ac:dyDescent="0.25">
      <c r="A6" s="73" t="s">
        <v>71</v>
      </c>
      <c r="B6" s="74" t="s">
        <v>55</v>
      </c>
      <c r="C6" s="65" t="s">
        <v>56</v>
      </c>
      <c r="D6" s="78">
        <f>'5-2011'!$G$9</f>
        <v>6756605.5600000005</v>
      </c>
      <c r="E6" s="78">
        <f>'6-2011'!$G$9</f>
        <v>9981180.4000000004</v>
      </c>
      <c r="F6" s="78">
        <f>'7-2011'!$G$9</f>
        <v>11953056.35</v>
      </c>
      <c r="G6" s="78">
        <f>'8-2011'!$G$9</f>
        <v>11022222.399999999</v>
      </c>
      <c r="H6" s="78">
        <f>'9-2011'!$G$9</f>
        <v>9680757.6900000013</v>
      </c>
      <c r="I6" s="78">
        <f>'10-2011'!$G$9</f>
        <v>7596948.2000000002</v>
      </c>
      <c r="J6" s="78">
        <f>'11-2011'!$G$9</f>
        <v>8498960.75</v>
      </c>
      <c r="K6" s="78">
        <f>'12-2011'!$G$9</f>
        <v>10068630.050000001</v>
      </c>
      <c r="L6" s="78">
        <f>'1-2012'!$G$9</f>
        <v>10987689.030000001</v>
      </c>
      <c r="M6" s="78">
        <f>'2-2012'!$G$9</f>
        <v>9752008.5999999996</v>
      </c>
      <c r="N6" s="78">
        <f>'3-2012'!$G$9</f>
        <v>8023630.6299999999</v>
      </c>
      <c r="O6" s="78">
        <f>'4-2012'!$G$9</f>
        <v>7546226.2199999997</v>
      </c>
    </row>
    <row r="7" spans="1:17" x14ac:dyDescent="0.25">
      <c r="A7" s="73"/>
      <c r="B7" s="74" t="s">
        <v>57</v>
      </c>
      <c r="C7" s="65" t="s">
        <v>58</v>
      </c>
      <c r="D7" s="69">
        <f>'5-2011'!$H$9</f>
        <v>1971289.69</v>
      </c>
      <c r="E7" s="69">
        <f>'6-2011'!$H$9</f>
        <v>-218810.62</v>
      </c>
      <c r="F7" s="69">
        <f>'7-2011'!$H$9</f>
        <v>107390.38</v>
      </c>
      <c r="G7" s="69">
        <f>'8-2011'!$H$9</f>
        <v>282150.25</v>
      </c>
      <c r="H7" s="69">
        <f>'9-2011'!$H$9</f>
        <v>258146.46</v>
      </c>
      <c r="I7" s="69">
        <f>'10-2011'!$H$9</f>
        <v>132691.57</v>
      </c>
      <c r="J7" s="69">
        <f>'11-2011'!$H$9</f>
        <v>-96488.51</v>
      </c>
      <c r="K7" s="69">
        <f>'12-2011'!$H$9</f>
        <v>217034.94</v>
      </c>
      <c r="L7" s="69">
        <f>'1-2012'!$H$9</f>
        <v>379313.04</v>
      </c>
      <c r="M7" s="69">
        <f>'2-2012'!$H$9</f>
        <v>412228.12</v>
      </c>
      <c r="N7" s="69">
        <f>'3-2012'!$H$9</f>
        <v>492559.02</v>
      </c>
      <c r="O7" s="69">
        <f>'4-2012'!$H$9</f>
        <v>436531.51</v>
      </c>
    </row>
    <row r="8" spans="1:17" x14ac:dyDescent="0.25">
      <c r="A8" s="73"/>
      <c r="B8" s="74" t="s">
        <v>59</v>
      </c>
      <c r="C8" s="65" t="s">
        <v>60</v>
      </c>
      <c r="D8" s="69">
        <f>'5-2011'!$I$9</f>
        <v>0</v>
      </c>
      <c r="E8" s="69">
        <f>'6-2011'!$I$9</f>
        <v>0</v>
      </c>
      <c r="F8" s="69">
        <f>'7-2011'!$I$9</f>
        <v>0</v>
      </c>
      <c r="G8" s="69">
        <f>'8-2011'!$I$9</f>
        <v>0</v>
      </c>
      <c r="H8" s="69">
        <f>'9-2011'!$I$9</f>
        <v>-170622.52</v>
      </c>
      <c r="I8" s="69">
        <f>'10-2011'!$I$9</f>
        <v>-164835.23000000001</v>
      </c>
      <c r="J8" s="69">
        <f>'11-2011'!$I$9</f>
        <v>-176528.19</v>
      </c>
      <c r="K8" s="69">
        <f>'12-2011'!$I$9</f>
        <v>-221503.22</v>
      </c>
      <c r="L8" s="69">
        <f>'1-2012'!$I$9</f>
        <v>-233509.69</v>
      </c>
      <c r="M8" s="69">
        <f>'2-2012'!$I$9</f>
        <v>-199874.01</v>
      </c>
      <c r="N8" s="69">
        <f>'3-2012'!$I$9</f>
        <v>-164555.18</v>
      </c>
      <c r="O8" s="69">
        <f>'4-2012'!$I$9</f>
        <v>-154410.23000000001</v>
      </c>
    </row>
    <row r="9" spans="1:17" ht="16.5" thickBot="1" x14ac:dyDescent="0.3">
      <c r="A9" s="75" t="s">
        <v>61</v>
      </c>
      <c r="B9" s="75"/>
      <c r="C9" s="65" t="s">
        <v>62</v>
      </c>
      <c r="D9" s="79">
        <f>SUM(D6:D8)</f>
        <v>8727895.25</v>
      </c>
      <c r="E9" s="79">
        <f t="shared" ref="E9:O9" si="0">SUM(E6:E8)</f>
        <v>9762369.7800000012</v>
      </c>
      <c r="F9" s="79">
        <f t="shared" si="0"/>
        <v>12060446.73</v>
      </c>
      <c r="G9" s="79">
        <f t="shared" si="0"/>
        <v>11304372.649999999</v>
      </c>
      <c r="H9" s="79">
        <f t="shared" si="0"/>
        <v>9768281.6300000027</v>
      </c>
      <c r="I9" s="79">
        <f t="shared" si="0"/>
        <v>7564804.54</v>
      </c>
      <c r="J9" s="79">
        <f t="shared" si="0"/>
        <v>8225944.0499999998</v>
      </c>
      <c r="K9" s="79">
        <f t="shared" si="0"/>
        <v>10064161.77</v>
      </c>
      <c r="L9" s="79">
        <f t="shared" si="0"/>
        <v>11133492.380000001</v>
      </c>
      <c r="M9" s="79">
        <f t="shared" si="0"/>
        <v>9964362.709999999</v>
      </c>
      <c r="N9" s="79">
        <f t="shared" si="0"/>
        <v>8351634.4700000007</v>
      </c>
      <c r="O9" s="79">
        <f t="shared" si="0"/>
        <v>7828347.4999999991</v>
      </c>
    </row>
    <row r="10" spans="1:17" ht="16.5" thickTop="1" x14ac:dyDescent="0.25">
      <c r="A10" s="76"/>
      <c r="B10" s="76"/>
      <c r="C10" s="65"/>
      <c r="D10" s="69"/>
      <c r="E10" s="69"/>
      <c r="F10" s="69"/>
      <c r="G10" s="69"/>
      <c r="H10" s="69"/>
    </row>
    <row r="11" spans="1:17" x14ac:dyDescent="0.25">
      <c r="A11" s="74" t="s">
        <v>71</v>
      </c>
      <c r="B11" s="77" t="s">
        <v>63</v>
      </c>
      <c r="C11" s="65" t="s">
        <v>64</v>
      </c>
      <c r="D11" s="69">
        <f>D31*0.01072</f>
        <v>1811126.6336000001</v>
      </c>
      <c r="E11" s="69">
        <f>E31*0.020932</f>
        <v>4399753.9731759997</v>
      </c>
      <c r="F11" s="69">
        <f t="shared" ref="F11:O11" si="1">F31*0.020932</f>
        <v>5482671.6629999997</v>
      </c>
      <c r="G11" s="69">
        <f t="shared" si="1"/>
        <v>4872911.6183599997</v>
      </c>
      <c r="H11" s="69">
        <f t="shared" si="1"/>
        <v>5205758.2369879996</v>
      </c>
      <c r="I11" s="69">
        <f t="shared" si="1"/>
        <v>3314439.0251199999</v>
      </c>
      <c r="J11" s="69">
        <f t="shared" si="1"/>
        <v>3549556.24988</v>
      </c>
      <c r="K11" s="69">
        <f t="shared" si="1"/>
        <v>4453897.5635199994</v>
      </c>
      <c r="L11" s="69">
        <f t="shared" si="1"/>
        <v>4695316.6599279996</v>
      </c>
      <c r="M11" s="69">
        <f t="shared" si="1"/>
        <v>4018984.1894399999</v>
      </c>
      <c r="N11" s="69">
        <f t="shared" si="1"/>
        <v>3308807.89848</v>
      </c>
      <c r="O11" s="69">
        <f t="shared" si="1"/>
        <v>3104817.395</v>
      </c>
      <c r="Q11" s="69">
        <f>SUM(D11:P11)</f>
        <v>48218041.106491998</v>
      </c>
    </row>
    <row r="12" spans="1:17" x14ac:dyDescent="0.25">
      <c r="A12" s="76"/>
      <c r="B12" s="76"/>
      <c r="C12" s="65"/>
      <c r="D12" s="69"/>
      <c r="E12" s="69"/>
      <c r="F12" s="69"/>
      <c r="G12" s="69"/>
      <c r="H12" s="69"/>
    </row>
    <row r="13" spans="1:17" x14ac:dyDescent="0.25">
      <c r="A13" s="76"/>
      <c r="B13" s="76"/>
      <c r="C13" s="68" t="s">
        <v>1</v>
      </c>
      <c r="D13" s="69"/>
      <c r="E13" s="69"/>
      <c r="F13" s="69"/>
      <c r="G13" s="69"/>
      <c r="H13" s="69"/>
    </row>
    <row r="14" spans="1:17" x14ac:dyDescent="0.25">
      <c r="A14" s="73" t="s">
        <v>71</v>
      </c>
      <c r="B14" s="74" t="s">
        <v>55</v>
      </c>
      <c r="C14" s="65" t="s">
        <v>56</v>
      </c>
      <c r="D14" s="78">
        <f>'5-2011'!$G$10</f>
        <v>2639087.16</v>
      </c>
      <c r="E14" s="78">
        <f>'6-2011'!$G$10</f>
        <v>3510200.91</v>
      </c>
      <c r="F14" s="78">
        <f>'7-2011'!$G$10</f>
        <v>3562460.38</v>
      </c>
      <c r="G14" s="78">
        <f>'8-2011'!$G$10</f>
        <v>3570860.3</v>
      </c>
      <c r="H14" s="78">
        <f>'9-2011'!$G$10</f>
        <v>3650645.49</v>
      </c>
      <c r="I14" s="78">
        <f>'10-2011'!$G$10</f>
        <v>3670798.8800000004</v>
      </c>
      <c r="J14" s="78">
        <f>'11-2011'!$G$10</f>
        <v>3347405.9</v>
      </c>
      <c r="K14" s="78">
        <f>'12-2011'!$G$10</f>
        <v>3368713.96</v>
      </c>
      <c r="L14" s="78">
        <f>'1-2012'!$G$10</f>
        <v>3472091.76</v>
      </c>
      <c r="M14" s="78">
        <f>'2-2012'!$G$10</f>
        <v>3480396.51</v>
      </c>
      <c r="N14" s="78">
        <f>'3-2012'!$G$10</f>
        <v>3576195.38</v>
      </c>
      <c r="O14" s="78">
        <f>'4-2012'!$G$10</f>
        <v>3428454.37</v>
      </c>
    </row>
    <row r="15" spans="1:17" x14ac:dyDescent="0.25">
      <c r="A15" s="73"/>
      <c r="B15" s="74" t="s">
        <v>57</v>
      </c>
      <c r="C15" s="65" t="s">
        <v>58</v>
      </c>
      <c r="D15" s="69">
        <f>'5-2011'!$H$10</f>
        <v>977082.28</v>
      </c>
      <c r="E15" s="69">
        <f>'6-2011'!$H$10</f>
        <v>-87305.8</v>
      </c>
      <c r="F15" s="69">
        <f>'7-2011'!$H$10</f>
        <v>35304.71</v>
      </c>
      <c r="G15" s="69">
        <f>'8-2011'!$H$10</f>
        <v>104222.57</v>
      </c>
      <c r="H15" s="69">
        <f>'9-2011'!$H$10</f>
        <v>133553.78</v>
      </c>
      <c r="I15" s="69">
        <f>'10-2011'!$H$10</f>
        <v>71910.240000000005</v>
      </c>
      <c r="J15" s="69">
        <f>'11-2011'!$H$10</f>
        <v>-42767.6</v>
      </c>
      <c r="K15" s="69">
        <f>'12-2011'!$H$10</f>
        <v>78115.89</v>
      </c>
      <c r="L15" s="69">
        <f>'1-2012'!$H$10</f>
        <v>134904.41</v>
      </c>
      <c r="M15" s="69">
        <f>'2-2012'!$H$10</f>
        <v>171203.96</v>
      </c>
      <c r="N15" s="69">
        <f>'3-2012'!$H$10</f>
        <v>262748.09000000003</v>
      </c>
      <c r="O15" s="69">
        <f>'4-2012'!$H$10</f>
        <v>234033.59</v>
      </c>
    </row>
    <row r="16" spans="1:17" x14ac:dyDescent="0.25">
      <c r="A16" s="73"/>
      <c r="B16" s="74" t="s">
        <v>59</v>
      </c>
      <c r="C16" s="65" t="s">
        <v>60</v>
      </c>
      <c r="D16" s="69">
        <f>'5-2011'!$I$10</f>
        <v>0</v>
      </c>
      <c r="E16" s="69">
        <f>'6-2011'!$I$10</f>
        <v>0</v>
      </c>
      <c r="F16" s="69">
        <f>'7-2011'!$I$10</f>
        <v>0</v>
      </c>
      <c r="G16" s="69">
        <f>'8-2011'!$I$10</f>
        <v>0</v>
      </c>
      <c r="H16" s="69">
        <f>'9-2011'!$I$10</f>
        <v>-88272.69</v>
      </c>
      <c r="I16" s="69">
        <f>'10-2011'!$I$10</f>
        <v>-89330.07</v>
      </c>
      <c r="J16" s="69">
        <f>'11-2011'!$I$10</f>
        <v>-78244.429999999993</v>
      </c>
      <c r="K16" s="69">
        <f>'12-2011'!$I$10</f>
        <v>-79724.12</v>
      </c>
      <c r="L16" s="69">
        <f>'1-2012'!$I$10</f>
        <v>-83048.800000000003</v>
      </c>
      <c r="M16" s="69">
        <f>'2-2012'!$I$10</f>
        <v>-83010.399999999994</v>
      </c>
      <c r="N16" s="69">
        <f>'3-2012'!$I$10</f>
        <v>-87779.46</v>
      </c>
      <c r="O16" s="69">
        <f>'4-2012'!$I$10</f>
        <v>-82782.539999999994</v>
      </c>
    </row>
    <row r="17" spans="1:17" ht="16.5" thickBot="1" x14ac:dyDescent="0.3">
      <c r="A17" s="75" t="s">
        <v>61</v>
      </c>
      <c r="B17" s="75"/>
      <c r="C17" s="65" t="s">
        <v>62</v>
      </c>
      <c r="D17" s="79">
        <f>SUM(D14:D16)</f>
        <v>3616169.4400000004</v>
      </c>
      <c r="E17" s="79">
        <f t="shared" ref="E17:O17" si="2">SUM(E14:E16)</f>
        <v>3422895.1100000003</v>
      </c>
      <c r="F17" s="79">
        <f t="shared" si="2"/>
        <v>3597765.09</v>
      </c>
      <c r="G17" s="79">
        <f t="shared" si="2"/>
        <v>3675082.8699999996</v>
      </c>
      <c r="H17" s="79">
        <f t="shared" si="2"/>
        <v>3695926.58</v>
      </c>
      <c r="I17" s="79">
        <f t="shared" si="2"/>
        <v>3653379.0500000007</v>
      </c>
      <c r="J17" s="79">
        <f t="shared" si="2"/>
        <v>3226393.8699999996</v>
      </c>
      <c r="K17" s="79">
        <f t="shared" si="2"/>
        <v>3367105.73</v>
      </c>
      <c r="L17" s="79">
        <f t="shared" si="2"/>
        <v>3523947.37</v>
      </c>
      <c r="M17" s="79">
        <f t="shared" si="2"/>
        <v>3568590.07</v>
      </c>
      <c r="N17" s="79">
        <f t="shared" si="2"/>
        <v>3751164.01</v>
      </c>
      <c r="O17" s="79">
        <f t="shared" si="2"/>
        <v>3579705.42</v>
      </c>
    </row>
    <row r="18" spans="1:17" ht="16.5" thickTop="1" x14ac:dyDescent="0.25">
      <c r="A18" s="76"/>
      <c r="B18" s="76"/>
      <c r="C18" s="65"/>
      <c r="D18" s="69"/>
      <c r="E18" s="69"/>
      <c r="F18" s="69"/>
      <c r="G18" s="69"/>
      <c r="H18" s="69"/>
    </row>
    <row r="19" spans="1:17" x14ac:dyDescent="0.25">
      <c r="A19" s="74" t="s">
        <v>71</v>
      </c>
      <c r="B19" s="74" t="s">
        <v>63</v>
      </c>
      <c r="C19" s="65" t="s">
        <v>64</v>
      </c>
      <c r="D19" s="69">
        <f>D32*0.01072</f>
        <v>897696.44480000006</v>
      </c>
      <c r="E19" s="69">
        <f>E32*0.020932</f>
        <v>1755509.17234</v>
      </c>
      <c r="F19" s="69">
        <f t="shared" ref="F19:O19" si="3">F32*0.020932</f>
        <v>1802434.8020559999</v>
      </c>
      <c r="G19" s="69">
        <f t="shared" si="3"/>
        <v>1799989.1909039998</v>
      </c>
      <c r="H19" s="69">
        <f t="shared" si="3"/>
        <v>1774950.7930079999</v>
      </c>
      <c r="I19" s="69">
        <f t="shared" si="3"/>
        <v>1796211.739388</v>
      </c>
      <c r="J19" s="69">
        <f t="shared" si="3"/>
        <v>1573306.871388</v>
      </c>
      <c r="K19" s="69">
        <f t="shared" si="3"/>
        <v>1603060.1604199999</v>
      </c>
      <c r="L19" s="69">
        <f t="shared" si="3"/>
        <v>1669910.8562759999</v>
      </c>
      <c r="M19" s="69">
        <f t="shared" si="3"/>
        <v>1669138.8631839999</v>
      </c>
      <c r="N19" s="69">
        <f t="shared" si="3"/>
        <v>1765033.02302</v>
      </c>
      <c r="O19" s="69">
        <f t="shared" si="3"/>
        <v>1664556.8483839999</v>
      </c>
      <c r="Q19" s="69">
        <f>SUM(D19:P19)</f>
        <v>19771798.765168</v>
      </c>
    </row>
    <row r="20" spans="1:17" x14ac:dyDescent="0.25">
      <c r="A20" s="76"/>
      <c r="B20" s="76"/>
      <c r="C20" s="65"/>
      <c r="D20" s="69"/>
      <c r="E20" s="69"/>
      <c r="F20" s="69"/>
      <c r="G20" s="69"/>
      <c r="H20" s="69"/>
    </row>
    <row r="21" spans="1:17" x14ac:dyDescent="0.25">
      <c r="A21" s="76"/>
      <c r="B21" s="76"/>
      <c r="C21" s="68" t="s">
        <v>3</v>
      </c>
      <c r="D21" s="69"/>
      <c r="E21" s="69"/>
      <c r="F21" s="69"/>
      <c r="G21" s="69"/>
      <c r="H21" s="69"/>
    </row>
    <row r="22" spans="1:17" x14ac:dyDescent="0.25">
      <c r="A22" s="73" t="s">
        <v>72</v>
      </c>
      <c r="B22" s="74" t="s">
        <v>55</v>
      </c>
      <c r="C22" s="65" t="s">
        <v>56</v>
      </c>
      <c r="D22" s="78">
        <f>'5-2011'!$G$18</f>
        <v>17126541.130000003</v>
      </c>
      <c r="E22" s="78">
        <f>'6-2011'!$G$18</f>
        <v>22382494.91</v>
      </c>
      <c r="F22" s="78">
        <f>'7-2011'!$G$18</f>
        <v>23186591.57</v>
      </c>
      <c r="G22" s="78">
        <f>'8-2011'!$G$18</f>
        <v>23137435.18</v>
      </c>
      <c r="H22" s="78">
        <f>'9-2011'!$G$18</f>
        <v>23054262.530000001</v>
      </c>
      <c r="I22" s="78">
        <f>'10-2011'!$G$18</f>
        <v>24036675.259999998</v>
      </c>
      <c r="J22" s="78">
        <f>'11-2011'!$G$18</f>
        <v>23581864.030000001</v>
      </c>
      <c r="K22" s="78">
        <f>'12-2011'!$G$18</f>
        <v>24514118.940000001</v>
      </c>
      <c r="L22" s="78">
        <f>'1-2012'!$G$18</f>
        <v>24592876.57</v>
      </c>
      <c r="M22" s="78">
        <f>'2-2012'!$G$18</f>
        <v>22966575.899999999</v>
      </c>
      <c r="N22" s="78">
        <f>'3-2012'!$G$18</f>
        <v>24727604.68</v>
      </c>
      <c r="O22" s="78">
        <f>'4-2012'!$G$18</f>
        <v>23974566.969999999</v>
      </c>
    </row>
    <row r="23" spans="1:17" x14ac:dyDescent="0.25">
      <c r="A23" s="73"/>
      <c r="B23" s="74" t="s">
        <v>57</v>
      </c>
      <c r="C23" s="65" t="s">
        <v>58</v>
      </c>
      <c r="D23" s="69">
        <f>'5-2011'!$H$18</f>
        <v>7161684.4700000007</v>
      </c>
      <c r="E23" s="69">
        <f>'6-2011'!$H$18</f>
        <v>-611312.54</v>
      </c>
      <c r="F23" s="69">
        <f>'7-2011'!$H$18</f>
        <v>249416.31</v>
      </c>
      <c r="G23" s="69">
        <f>'8-2011'!$H$18</f>
        <v>735735.84000000008</v>
      </c>
      <c r="H23" s="69">
        <f>'9-2011'!$H$18</f>
        <v>926712.86</v>
      </c>
      <c r="I23" s="69">
        <f>'10-2011'!$H$18</f>
        <v>514081.31</v>
      </c>
      <c r="J23" s="69">
        <f>'11-2011'!$H$18</f>
        <v>-342455.22</v>
      </c>
      <c r="K23" s="69">
        <f>'12-2011'!$H$18</f>
        <v>638160.40999999992</v>
      </c>
      <c r="L23" s="69">
        <f>'1-2012'!$H$18</f>
        <v>1058599.8400000001</v>
      </c>
      <c r="M23" s="69">
        <f>'2-2012'!$H$18</f>
        <v>1255192.77</v>
      </c>
      <c r="N23" s="69">
        <f>'3-2012'!$H$18</f>
        <v>1961391.7600000002</v>
      </c>
      <c r="O23" s="69">
        <f>'4-2012'!$H$18</f>
        <v>1796087.74</v>
      </c>
    </row>
    <row r="24" spans="1:17" x14ac:dyDescent="0.25">
      <c r="A24" s="73"/>
      <c r="B24" s="74" t="s">
        <v>59</v>
      </c>
      <c r="C24" s="65" t="s">
        <v>60</v>
      </c>
      <c r="D24" s="69">
        <f>'5-2011'!$I$18</f>
        <v>-795469.92999999993</v>
      </c>
      <c r="E24" s="69">
        <f>'6-2011'!$I$18</f>
        <v>-613074.24</v>
      </c>
      <c r="F24" s="69">
        <f>'7-2011'!$I$18</f>
        <v>-27983.3</v>
      </c>
      <c r="G24" s="69">
        <f>'8-2011'!$I$18</f>
        <v>-835897.89</v>
      </c>
      <c r="H24" s="69">
        <f>'9-2011'!$I$18</f>
        <v>-268305.44</v>
      </c>
      <c r="I24" s="69">
        <f>'10-2011'!$I$18</f>
        <v>-339244.58</v>
      </c>
      <c r="J24" s="69">
        <f>'11-2011'!$I$18</f>
        <v>-45139.09</v>
      </c>
      <c r="K24" s="69">
        <f>'12-2011'!$I$18</f>
        <v>200832.84</v>
      </c>
      <c r="L24" s="69">
        <f>'1-2012'!$I$18</f>
        <v>-132716.24</v>
      </c>
      <c r="M24" s="69">
        <f>'2-2012'!$I$18</f>
        <v>-297574.81</v>
      </c>
      <c r="N24" s="69">
        <f>'3-2012'!$I$18</f>
        <v>-279479.44</v>
      </c>
      <c r="O24" s="69">
        <f>'4-2012'!$I$18</f>
        <v>352748.45999999996</v>
      </c>
    </row>
    <row r="25" spans="1:17" ht="16.5" thickBot="1" x14ac:dyDescent="0.3">
      <c r="A25" s="75" t="s">
        <v>61</v>
      </c>
      <c r="B25" s="75"/>
      <c r="C25" s="65" t="s">
        <v>62</v>
      </c>
      <c r="D25" s="79">
        <f>SUM(D22:D24)</f>
        <v>23492755.670000002</v>
      </c>
      <c r="E25" s="79">
        <f t="shared" ref="E25:O25" si="4">SUM(E22:E24)</f>
        <v>21158108.130000003</v>
      </c>
      <c r="F25" s="79">
        <f t="shared" si="4"/>
        <v>23408024.579999998</v>
      </c>
      <c r="G25" s="79">
        <f t="shared" si="4"/>
        <v>23037273.129999999</v>
      </c>
      <c r="H25" s="79">
        <f t="shared" si="4"/>
        <v>23712669.949999999</v>
      </c>
      <c r="I25" s="79">
        <f t="shared" si="4"/>
        <v>24211511.989999998</v>
      </c>
      <c r="J25" s="79">
        <f t="shared" si="4"/>
        <v>23194269.720000003</v>
      </c>
      <c r="K25" s="79">
        <f t="shared" si="4"/>
        <v>25353112.190000001</v>
      </c>
      <c r="L25" s="79">
        <f t="shared" si="4"/>
        <v>25518760.170000002</v>
      </c>
      <c r="M25" s="79">
        <f t="shared" si="4"/>
        <v>23924193.859999999</v>
      </c>
      <c r="N25" s="79">
        <f t="shared" si="4"/>
        <v>26409517</v>
      </c>
      <c r="O25" s="79">
        <f t="shared" si="4"/>
        <v>26123403.169999998</v>
      </c>
      <c r="Q25" s="69"/>
    </row>
    <row r="26" spans="1:17" ht="16.5" thickTop="1" x14ac:dyDescent="0.25">
      <c r="A26" s="76"/>
      <c r="B26" s="76"/>
      <c r="C26" s="65"/>
    </row>
    <row r="27" spans="1:17" x14ac:dyDescent="0.25">
      <c r="A27" s="74" t="s">
        <v>72</v>
      </c>
      <c r="B27" s="74" t="s">
        <v>63</v>
      </c>
      <c r="C27" s="65" t="s">
        <v>64</v>
      </c>
      <c r="D27" s="78">
        <f>D35*0.01072</f>
        <v>6579812.95584</v>
      </c>
      <c r="E27" s="78">
        <f>E35*0.020932</f>
        <v>12292021.084316</v>
      </c>
      <c r="F27" s="78">
        <f t="shared" ref="F27:O27" si="5">F35*0.020932</f>
        <v>12733614.968992</v>
      </c>
      <c r="G27" s="78">
        <f t="shared" si="5"/>
        <v>12706619.261639999</v>
      </c>
      <c r="H27" s="78">
        <f t="shared" si="5"/>
        <v>12316161.080771999</v>
      </c>
      <c r="I27" s="78">
        <f t="shared" si="5"/>
        <v>12840990.414556</v>
      </c>
      <c r="J27" s="78">
        <f t="shared" si="5"/>
        <v>12598018.938231999</v>
      </c>
      <c r="K27" s="78">
        <f t="shared" si="5"/>
        <v>13096052.716448</v>
      </c>
      <c r="L27" s="78">
        <f t="shared" si="5"/>
        <v>13103850.912116</v>
      </c>
      <c r="M27" s="78">
        <f t="shared" si="5"/>
        <v>12237398.716335999</v>
      </c>
      <c r="N27" s="78">
        <f t="shared" si="5"/>
        <v>13175819.105195999</v>
      </c>
      <c r="O27" s="78">
        <f t="shared" si="5"/>
        <v>12774620.6314</v>
      </c>
      <c r="Q27" s="69">
        <f>SUM(D27:P27)</f>
        <v>146454980.785844</v>
      </c>
    </row>
    <row r="29" spans="1:17" x14ac:dyDescent="0.25">
      <c r="C29" s="64" t="s">
        <v>70</v>
      </c>
      <c r="D29" s="69">
        <f>D9+D17+D25</f>
        <v>35836820.359999999</v>
      </c>
      <c r="E29" s="69">
        <f t="shared" ref="E29:O29" si="6">E9+E17+E25</f>
        <v>34343373.020000003</v>
      </c>
      <c r="F29" s="69">
        <f t="shared" si="6"/>
        <v>39066236.399999999</v>
      </c>
      <c r="G29" s="69">
        <f t="shared" si="6"/>
        <v>38016728.649999999</v>
      </c>
      <c r="H29" s="69">
        <f t="shared" si="6"/>
        <v>37176878.160000004</v>
      </c>
      <c r="I29" s="69">
        <f t="shared" si="6"/>
        <v>35429695.579999998</v>
      </c>
      <c r="J29" s="69">
        <f t="shared" si="6"/>
        <v>34646607.640000001</v>
      </c>
      <c r="K29" s="69">
        <f t="shared" si="6"/>
        <v>38784379.689999998</v>
      </c>
      <c r="L29" s="69">
        <f t="shared" si="6"/>
        <v>40176199.920000002</v>
      </c>
      <c r="M29" s="69">
        <f t="shared" si="6"/>
        <v>37457146.640000001</v>
      </c>
      <c r="N29" s="69">
        <f t="shared" si="6"/>
        <v>38512315.480000004</v>
      </c>
      <c r="O29" s="69">
        <f t="shared" si="6"/>
        <v>37531456.089999996</v>
      </c>
      <c r="Q29" s="69">
        <f>SUM(D29:P29)</f>
        <v>446977837.63</v>
      </c>
    </row>
    <row r="31" spans="1:17" x14ac:dyDescent="0.25">
      <c r="C31" s="64" t="s">
        <v>67</v>
      </c>
      <c r="D31" s="70">
        <v>168948380</v>
      </c>
      <c r="E31" s="70">
        <v>210192718</v>
      </c>
      <c r="F31" s="70">
        <v>261927750</v>
      </c>
      <c r="G31" s="70">
        <v>232797230</v>
      </c>
      <c r="H31" s="70">
        <v>248698559</v>
      </c>
      <c r="I31" s="70">
        <v>158343160</v>
      </c>
      <c r="J31" s="70">
        <v>169575590</v>
      </c>
      <c r="K31" s="70">
        <v>212779360</v>
      </c>
      <c r="L31" s="70">
        <v>224312854</v>
      </c>
      <c r="M31" s="70">
        <v>192001920</v>
      </c>
      <c r="N31" s="70">
        <v>158074140</v>
      </c>
      <c r="O31" s="70">
        <v>148328750</v>
      </c>
      <c r="P31" s="69"/>
      <c r="Q31" s="69">
        <f>SUM(D31:P31)</f>
        <v>2385980411</v>
      </c>
    </row>
    <row r="32" spans="1:17" x14ac:dyDescent="0.25">
      <c r="C32" s="64" t="s">
        <v>68</v>
      </c>
      <c r="D32" s="71">
        <v>83740340</v>
      </c>
      <c r="E32" s="71">
        <v>83867245</v>
      </c>
      <c r="F32" s="71">
        <v>86109058</v>
      </c>
      <c r="G32" s="71">
        <v>85992222</v>
      </c>
      <c r="H32" s="71">
        <v>84796044</v>
      </c>
      <c r="I32" s="71">
        <v>85811759</v>
      </c>
      <c r="J32" s="71">
        <v>75162759</v>
      </c>
      <c r="K32" s="71">
        <v>76584185</v>
      </c>
      <c r="L32" s="71">
        <v>79777893</v>
      </c>
      <c r="M32" s="71">
        <v>79741012</v>
      </c>
      <c r="N32" s="71">
        <v>84322235</v>
      </c>
      <c r="O32" s="71">
        <v>79522112</v>
      </c>
      <c r="P32" s="69"/>
      <c r="Q32" s="71">
        <f>SUM(D32:P32)</f>
        <v>985426864</v>
      </c>
    </row>
    <row r="33" spans="3:17" x14ac:dyDescent="0.25">
      <c r="D33" s="69">
        <f t="shared" ref="D33:O33" si="7">SUM(D31:D32)</f>
        <v>252688720</v>
      </c>
      <c r="E33" s="69">
        <f t="shared" si="7"/>
        <v>294059963</v>
      </c>
      <c r="F33" s="69">
        <f t="shared" si="7"/>
        <v>348036808</v>
      </c>
      <c r="G33" s="69">
        <f t="shared" si="7"/>
        <v>318789452</v>
      </c>
      <c r="H33" s="69">
        <f t="shared" si="7"/>
        <v>333494603</v>
      </c>
      <c r="I33" s="69">
        <f t="shared" si="7"/>
        <v>244154919</v>
      </c>
      <c r="J33" s="69">
        <f t="shared" si="7"/>
        <v>244738349</v>
      </c>
      <c r="K33" s="69">
        <f t="shared" si="7"/>
        <v>289363545</v>
      </c>
      <c r="L33" s="69">
        <f t="shared" si="7"/>
        <v>304090747</v>
      </c>
      <c r="M33" s="69">
        <f t="shared" si="7"/>
        <v>271742932</v>
      </c>
      <c r="N33" s="69">
        <f t="shared" si="7"/>
        <v>242396375</v>
      </c>
      <c r="O33" s="69">
        <f t="shared" si="7"/>
        <v>227850862</v>
      </c>
      <c r="P33" s="69"/>
      <c r="Q33" s="69">
        <f>SUM(Q31:Q32)</f>
        <v>3371407275</v>
      </c>
    </row>
    <row r="34" spans="3:17" x14ac:dyDescent="0.25">
      <c r="D34" s="72"/>
    </row>
    <row r="35" spans="3:17" x14ac:dyDescent="0.25">
      <c r="C35" s="64" t="s">
        <v>69</v>
      </c>
      <c r="D35" s="72">
        <f>'5-2011'!$D$18</f>
        <v>613788522</v>
      </c>
      <c r="E35" s="72">
        <f>'6-2011'!$D$18</f>
        <v>587235863</v>
      </c>
      <c r="F35" s="72">
        <f>'7-2011'!$D$18</f>
        <v>608332456</v>
      </c>
      <c r="G35" s="72">
        <f>'8-2011'!$D$18</f>
        <v>607042770</v>
      </c>
      <c r="H35" s="72">
        <f>'9-2011'!$D$18</f>
        <v>588389121</v>
      </c>
      <c r="I35" s="72">
        <f>'10-2011'!$D$18</f>
        <v>613462183</v>
      </c>
      <c r="J35" s="72">
        <f>'11-2011'!$D$18</f>
        <v>601854526</v>
      </c>
      <c r="K35" s="72">
        <f>'12-2011'!$D$18</f>
        <v>625647464</v>
      </c>
      <c r="L35" s="72">
        <f>'1-2012'!$D$18</f>
        <v>626020013</v>
      </c>
      <c r="M35" s="72">
        <f>'2-2012'!$D$18</f>
        <v>584626348</v>
      </c>
      <c r="N35" s="72">
        <f>'3-2012'!$D$18</f>
        <v>629458203</v>
      </c>
      <c r="O35" s="72">
        <f>'4-2012'!$D$18</f>
        <v>610291450</v>
      </c>
      <c r="Q35" s="70">
        <f>SUM(D35:P35)</f>
        <v>7296148919</v>
      </c>
    </row>
    <row r="36" spans="3:17" x14ac:dyDescent="0.25">
      <c r="D36" s="72"/>
    </row>
    <row r="37" spans="3:17" x14ac:dyDescent="0.25">
      <c r="D37" s="72"/>
    </row>
    <row r="38" spans="3:17" x14ac:dyDescent="0.25">
      <c r="D38" s="72"/>
    </row>
    <row r="39" spans="3:17" x14ac:dyDescent="0.25">
      <c r="D39" s="72"/>
    </row>
    <row r="40" spans="3:17" x14ac:dyDescent="0.25">
      <c r="D40" s="72"/>
    </row>
    <row r="41" spans="3:17" x14ac:dyDescent="0.25">
      <c r="D41" s="72"/>
    </row>
    <row r="42" spans="3:17" x14ac:dyDescent="0.25">
      <c r="D42" s="72"/>
    </row>
    <row r="43" spans="3:17" x14ac:dyDescent="0.25">
      <c r="D43" s="72"/>
    </row>
  </sheetData>
  <mergeCells count="6">
    <mergeCell ref="A6:A8"/>
    <mergeCell ref="A9:B9"/>
    <mergeCell ref="A14:A16"/>
    <mergeCell ref="A17:B17"/>
    <mergeCell ref="A22:A24"/>
    <mergeCell ref="A25:B25"/>
  </mergeCells>
  <pageMargins left="0.25" right="0.25" top="1.625" bottom="0.75" header="0.875" footer="0.25"/>
  <pageSetup scale="90" orientation="landscape" r:id="rId1"/>
  <headerFooter>
    <oddHeader xml:space="preserve">&amp;C&amp;"Century Schoolbook,Bold"&amp;16Big Rivers Electric Corporation
Case No. 2012-00063
Total Adjusted Monthly Revenues
</oddHeader>
    <oddFooter>&amp;L&amp;"Century Schoolbook,Bold"&amp;12Case No. 2012-00063
Attachment for Response to Item KIUC 1-51
Witness: Mark A. Hite
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5-2011</vt:lpstr>
      <vt:lpstr>6-2011</vt:lpstr>
      <vt:lpstr>7-2011</vt:lpstr>
      <vt:lpstr>8-2011</vt:lpstr>
      <vt:lpstr>9-2011</vt:lpstr>
      <vt:lpstr>10-2011</vt:lpstr>
      <vt:lpstr>11-2011</vt:lpstr>
      <vt:lpstr>12-2011</vt:lpstr>
      <vt:lpstr>1-2012</vt:lpstr>
      <vt:lpstr>2-2012</vt:lpstr>
      <vt:lpstr>3-2012</vt:lpstr>
      <vt:lpstr>4-2012</vt:lpstr>
      <vt:lpstr>12 mo adj rev - 5-11 thru 4-12</vt:lpstr>
      <vt:lpstr>KIUC Q1.51</vt:lpstr>
      <vt:lpstr>'KIUC Q1.51'!Print_Area</vt:lpstr>
      <vt:lpstr>'KIUC Q1.51'!Print_Titles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Roger Hickman</cp:lastModifiedBy>
  <cp:lastPrinted>2012-05-28T19:33:01Z</cp:lastPrinted>
  <dcterms:created xsi:type="dcterms:W3CDTF">2012-05-24T18:52:31Z</dcterms:created>
  <dcterms:modified xsi:type="dcterms:W3CDTF">2012-05-28T19:33:31Z</dcterms:modified>
</cp:coreProperties>
</file>