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7"/>
  </bookViews>
  <sheets>
    <sheet name="15 b Revised pro-forma IS" sheetId="1" r:id="rId1"/>
    <sheet name="15 c Revised Allocations" sheetId="2" r:id="rId2"/>
    <sheet name="18 c" sheetId="3" r:id="rId3"/>
    <sheet name="18 a Employee Schedule" sheetId="4" r:id="rId4"/>
    <sheet name="17(b)" sheetId="5" r:id="rId5"/>
    <sheet name="17 c Employee Schedule" sheetId="6" r:id="rId6"/>
    <sheet name="25 a" sheetId="7" r:id="rId7"/>
    <sheet name="17 a Employee Schedule" sheetId="8" r:id="rId8"/>
  </sheets>
  <externalReferences>
    <externalReference r:id="rId11"/>
    <externalReference r:id="rId12"/>
    <externalReference r:id="rId13"/>
  </externalReferences>
  <definedNames>
    <definedName name="_xlnm.Print_Area" localSheetId="2">'18 c'!$A$1:$J$41</definedName>
  </definedNames>
  <calcPr fullCalcOnLoad="1"/>
</workbook>
</file>

<file path=xl/sharedStrings.xml><?xml version="1.0" encoding="utf-8"?>
<sst xmlns="http://schemas.openxmlformats.org/spreadsheetml/2006/main" count="838" uniqueCount="390">
  <si>
    <t>Per</t>
  </si>
  <si>
    <t>Adjustments</t>
  </si>
  <si>
    <t>Operating Revenues</t>
  </si>
  <si>
    <t>Service Revenues - Water</t>
  </si>
  <si>
    <t>Service Revenues - Sewer</t>
  </si>
  <si>
    <t>Miscellaneous Revenues</t>
  </si>
  <si>
    <t>Uncollectible Accounts</t>
  </si>
  <si>
    <t>Total Operating Revenues</t>
  </si>
  <si>
    <t>Maintenance Expenses</t>
  </si>
  <si>
    <t>Salaries and Wages</t>
  </si>
  <si>
    <t>Purchased Power</t>
  </si>
  <si>
    <t>Maintenance and Repair</t>
  </si>
  <si>
    <t>Maintenance Testing</t>
  </si>
  <si>
    <t>Meter Reading</t>
  </si>
  <si>
    <t>Chemicals</t>
  </si>
  <si>
    <t>Transportation</t>
  </si>
  <si>
    <t>Operating Exp. Charged to Plant</t>
  </si>
  <si>
    <t>Outside Services - Other</t>
  </si>
  <si>
    <t xml:space="preserve">Total </t>
  </si>
  <si>
    <t>General Expenses</t>
  </si>
  <si>
    <t>Office Supplies &amp; Other Office Exp.</t>
  </si>
  <si>
    <t>Regulatory Commission Exp.</t>
  </si>
  <si>
    <t>Pension &amp; Other Benefits</t>
  </si>
  <si>
    <t>Rent</t>
  </si>
  <si>
    <t>Insurance</t>
  </si>
  <si>
    <t>Office Utilities</t>
  </si>
  <si>
    <t>Miscellaneous</t>
  </si>
  <si>
    <t>Depreciation</t>
  </si>
  <si>
    <t>Taxes Other Than Income</t>
  </si>
  <si>
    <t>Income Taxes - Federal</t>
  </si>
  <si>
    <t>Income Taxes - State</t>
  </si>
  <si>
    <t>Amortization of PAA</t>
  </si>
  <si>
    <t>Total</t>
  </si>
  <si>
    <t>Total Operating Expenses</t>
  </si>
  <si>
    <t>Net Operating Income</t>
  </si>
  <si>
    <t>Interest During Construction</t>
  </si>
  <si>
    <t>Interest on Debt</t>
  </si>
  <si>
    <t>Net Income</t>
  </si>
  <si>
    <t>Water Service Corporation of Kentucky</t>
  </si>
  <si>
    <t>Income Statement</t>
  </si>
  <si>
    <t>Restatement</t>
  </si>
  <si>
    <t>Actual</t>
  </si>
  <si>
    <t>Test-Period</t>
  </si>
  <si>
    <t>Purchased Water</t>
  </si>
  <si>
    <t>Amortization of CIAC and AIAC</t>
  </si>
  <si>
    <t>Expense Reduction Related to Clinton Sewer Operations</t>
  </si>
  <si>
    <t>Case No. 2005-00325</t>
  </si>
  <si>
    <t>Employee Schedule</t>
  </si>
  <si>
    <t>Employee Reference</t>
  </si>
  <si>
    <t>Title</t>
  </si>
  <si>
    <t>Date of Hire</t>
  </si>
  <si>
    <t>Length of Employment</t>
  </si>
  <si>
    <t>Wage Rate Effective 01-01-05</t>
  </si>
  <si>
    <t>Wage Rate Implemented 10/15/05</t>
  </si>
  <si>
    <t>Test-Period Regular Hours</t>
  </si>
  <si>
    <t>Test Period Overtime Hours</t>
  </si>
  <si>
    <t>Schedule 17</t>
  </si>
  <si>
    <t>Page 1 of 1</t>
  </si>
  <si>
    <t>Witness Responsible:</t>
  </si>
  <si>
    <t>Bolt, Gregory C</t>
  </si>
  <si>
    <t>Heck, Travis N</t>
  </si>
  <si>
    <t>Johnson, Harvey H</t>
  </si>
  <si>
    <t>Leonard, James R</t>
  </si>
  <si>
    <t>Mills, Wendell G</t>
  </si>
  <si>
    <t>Onkst, James H</t>
  </si>
  <si>
    <t>Partin, Michael W</t>
  </si>
  <si>
    <t>Pickard, Michael A</t>
  </si>
  <si>
    <t>Russell, R D</t>
  </si>
  <si>
    <t>Spurlock, Charles F</t>
  </si>
  <si>
    <t>Turner, John R</t>
  </si>
  <si>
    <t>Yates Jr., Bobby E</t>
  </si>
  <si>
    <t>Cox, David T</t>
  </si>
  <si>
    <t>Daniel, Carl</t>
  </si>
  <si>
    <t>Petrey, Vivian A</t>
  </si>
  <si>
    <t>Standifer, Reba F</t>
  </si>
  <si>
    <t>Thomas, Pamela</t>
  </si>
  <si>
    <t>Camaren, Jim</t>
  </si>
  <si>
    <t>Schumacher, Lawrence</t>
  </si>
  <si>
    <t>Crossett, Lisa</t>
  </si>
  <si>
    <t>Lubertozzi, Steven</t>
  </si>
  <si>
    <t>Arnoux, Diane</t>
  </si>
  <si>
    <t>Cohn, Michelle</t>
  </si>
  <si>
    <t>Delgado, Daniel</t>
  </si>
  <si>
    <t>Friedman, Avelina</t>
  </si>
  <si>
    <t>Luppino, Nancy</t>
  </si>
  <si>
    <t>Haynes, John</t>
  </si>
  <si>
    <t>Silvey, Justine</t>
  </si>
  <si>
    <t>Aylin, Sue</t>
  </si>
  <si>
    <t>McGrain, Pamela</t>
  </si>
  <si>
    <t>Kocan, Chris</t>
  </si>
  <si>
    <t>Guidice, Joyce</t>
  </si>
  <si>
    <t>Weeks, Kirsten</t>
  </si>
  <si>
    <t>Turov, Igor</t>
  </si>
  <si>
    <t>Bernardi, Brad</t>
  </si>
  <si>
    <t>Dihel, Steven</t>
  </si>
  <si>
    <t>Luppino, Phyllis</t>
  </si>
  <si>
    <t>Baratz, Daniel</t>
  </si>
  <si>
    <t>Cabugason, Art</t>
  </si>
  <si>
    <t>Gingery, Todd</t>
  </si>
  <si>
    <t>Lawrence, Brent</t>
  </si>
  <si>
    <t>Matthews, Mary Ellen</t>
  </si>
  <si>
    <t>Schiopu, Mircea</t>
  </si>
  <si>
    <t>Parrish, Marge</t>
  </si>
  <si>
    <t>Paulie, Nancy</t>
  </si>
  <si>
    <t>Lowman, Adrienne</t>
  </si>
  <si>
    <t>Owens, Patricia</t>
  </si>
  <si>
    <t>Casados, Jim</t>
  </si>
  <si>
    <t>Gingery, Karen</t>
  </si>
  <si>
    <t>Berlet, Erica</t>
  </si>
  <si>
    <t>Gomez, Sam</t>
  </si>
  <si>
    <t>Friedlander, Larry</t>
  </si>
  <si>
    <t>Operator</t>
  </si>
  <si>
    <t>Meter Reader</t>
  </si>
  <si>
    <t>Regional Manager</t>
  </si>
  <si>
    <t>Area Manger</t>
  </si>
  <si>
    <t>Laborer</t>
  </si>
  <si>
    <t>Vice President &amp; Regional Director</t>
  </si>
  <si>
    <t>Customer Service Representative</t>
  </si>
  <si>
    <t>Office Manager</t>
  </si>
  <si>
    <t>w/p [c]</t>
  </si>
  <si>
    <t>Revised Allocations</t>
  </si>
  <si>
    <t>SE.51</t>
  </si>
  <si>
    <t>Account</t>
  </si>
  <si>
    <t>Original Allocation</t>
  </si>
  <si>
    <t>Revised Allocation</t>
  </si>
  <si>
    <t>Number</t>
  </si>
  <si>
    <t>Name</t>
  </si>
  <si>
    <t>to WSCK</t>
  </si>
  <si>
    <t>Difference</t>
  </si>
  <si>
    <t>Comments</t>
  </si>
  <si>
    <t>Computer Salaries</t>
  </si>
  <si>
    <t>allocation based on code 4</t>
  </si>
  <si>
    <t>Computer Maint</t>
  </si>
  <si>
    <t>Computer-Amort &amp; Prog. Cost</t>
  </si>
  <si>
    <t>Internet Supplier</t>
  </si>
  <si>
    <t>Computer Supplies</t>
  </si>
  <si>
    <t>Microfilming</t>
  </si>
  <si>
    <t>Computer Supplies - Billing</t>
  </si>
  <si>
    <t>Office Comp Phone Line</t>
  </si>
  <si>
    <t>Depreciation - Computer</t>
  </si>
  <si>
    <t>in w/p [f]</t>
  </si>
  <si>
    <t>Other Insurance</t>
  </si>
  <si>
    <t>in TB - insurance</t>
  </si>
  <si>
    <t>SE.60</t>
  </si>
  <si>
    <t>Non-Utility Salaries</t>
  </si>
  <si>
    <t>N/A</t>
  </si>
  <si>
    <t>Cap Sal - Admin</t>
  </si>
  <si>
    <t>Sal-Computer</t>
  </si>
  <si>
    <t>Sal-IL Office</t>
  </si>
  <si>
    <t>Salaries - Office</t>
  </si>
  <si>
    <t>in w/p [b]</t>
  </si>
  <si>
    <t>Sal-IL Customer Service</t>
  </si>
  <si>
    <t>Sal-IL Office Exempt</t>
  </si>
  <si>
    <t>Agency Expense</t>
  </si>
  <si>
    <t>Legal Fees</t>
  </si>
  <si>
    <t>in TB - outside services</t>
  </si>
  <si>
    <t>Audit Fees</t>
  </si>
  <si>
    <t>Temp Empl.</t>
  </si>
  <si>
    <t>Payroll Services</t>
  </si>
  <si>
    <t>Employ Finder Fees</t>
  </si>
  <si>
    <t>Director Fees</t>
  </si>
  <si>
    <t>Engineering Fees</t>
  </si>
  <si>
    <t>Accounting Studies</t>
  </si>
  <si>
    <t>Tax Return Review</t>
  </si>
  <si>
    <t>Other Outside Services</t>
  </si>
  <si>
    <t>Health Ins. Reimb</t>
  </si>
  <si>
    <t>Employee Ins. Deductions</t>
  </si>
  <si>
    <t>Health Costs &amp; Other</t>
  </si>
  <si>
    <t>Dental Ins. Reimbursements</t>
  </si>
  <si>
    <t>Pension Contributions</t>
  </si>
  <si>
    <t>Health Ins. Premiums</t>
  </si>
  <si>
    <t>Dental Premiums</t>
  </si>
  <si>
    <t>Term Life Ins.</t>
  </si>
  <si>
    <t>Term Life Ins. - OPT</t>
  </si>
  <si>
    <t>Depend Life Ins.- OPT &amp; AFLAC</t>
  </si>
  <si>
    <t>AFLAC</t>
  </si>
  <si>
    <t>ESOP Contributions</t>
  </si>
  <si>
    <t>Disability Insurance</t>
  </si>
  <si>
    <t>Other Emp Pens &amp; Benefits</t>
  </si>
  <si>
    <t xml:space="preserve">Other Insurance </t>
  </si>
  <si>
    <t>Publ Subscriptions &amp; Tapes</t>
  </si>
  <si>
    <t>in TB - office supplies</t>
  </si>
  <si>
    <t>Answering Serv</t>
  </si>
  <si>
    <t>Printing &amp; Blueprints</t>
  </si>
  <si>
    <t>Postage</t>
  </si>
  <si>
    <t>UPS &amp; Air Freight</t>
  </si>
  <si>
    <t>Xerox</t>
  </si>
  <si>
    <t>Off Supply Stores</t>
  </si>
  <si>
    <t>Reim of Off Emp Exp.</t>
  </si>
  <si>
    <t>Envelopes</t>
  </si>
  <si>
    <t>Cleaning Supplies</t>
  </si>
  <si>
    <t>Memberships</t>
  </si>
  <si>
    <t>Printing Customer Service</t>
  </si>
  <si>
    <t>Bill Stock</t>
  </si>
  <si>
    <t>Other Office Expense</t>
  </si>
  <si>
    <t>Office Telephone</t>
  </si>
  <si>
    <t>in TB - office utilities</t>
  </si>
  <si>
    <t>Office Telephone - Long Dist</t>
  </si>
  <si>
    <t>Office Electric</t>
  </si>
  <si>
    <t>Office Water</t>
  </si>
  <si>
    <t>Office Gas</t>
  </si>
  <si>
    <t>Office Fax Phone Line</t>
  </si>
  <si>
    <t>Office Utilities - Other</t>
  </si>
  <si>
    <t>Operators Telephones</t>
  </si>
  <si>
    <t>Office Cleaning Serv</t>
  </si>
  <si>
    <t>Landscaping, Mowing,Snow</t>
  </si>
  <si>
    <t>Office Garbage Removal</t>
  </si>
  <si>
    <t>Decor &amp; Repaint Structures</t>
  </si>
  <si>
    <t>Repair Off Mach &amp; Heating</t>
  </si>
  <si>
    <t>Other Office Maint</t>
  </si>
  <si>
    <t>Memberships - Company</t>
  </si>
  <si>
    <t>in TB - miscellaneous</t>
  </si>
  <si>
    <t>Employees ED Expenses</t>
  </si>
  <si>
    <t>Office Education/Train Exp</t>
  </si>
  <si>
    <t>Meals &amp; Related Exp</t>
  </si>
  <si>
    <t>Bank Serv Charges</t>
  </si>
  <si>
    <t>Other Misc General</t>
  </si>
  <si>
    <t>Operators - Other Office Exp</t>
  </si>
  <si>
    <t>in TB - maintenance and repair</t>
  </si>
  <si>
    <t>Sales/Use Tax Exp.</t>
  </si>
  <si>
    <t>Other Trans. Exp.</t>
  </si>
  <si>
    <t>Depreciation - Office Struct.</t>
  </si>
  <si>
    <t>Depreciation - Office Furn.</t>
  </si>
  <si>
    <t>Depreciation - Telephones</t>
  </si>
  <si>
    <t>Franchise Tax</t>
  </si>
  <si>
    <t>Real Estate Tax</t>
  </si>
  <si>
    <t>in TB - taxes other than income</t>
  </si>
  <si>
    <t>FICA Expense</t>
  </si>
  <si>
    <t>SUTA-IL</t>
  </si>
  <si>
    <t>SUTA-NC</t>
  </si>
  <si>
    <t>FUTA</t>
  </si>
  <si>
    <t>Deferred Inc. Taxes - Federal</t>
  </si>
  <si>
    <t>Interest Income</t>
  </si>
  <si>
    <t>Rental Income</t>
  </si>
  <si>
    <t>Sale of Trans Equipment</t>
  </si>
  <si>
    <t>Interest - Interco.</t>
  </si>
  <si>
    <t>in TB - interest</t>
  </si>
  <si>
    <t>Interest During Const</t>
  </si>
  <si>
    <t>Misc. Income</t>
  </si>
  <si>
    <t>S/T Int Exp Other</t>
  </si>
  <si>
    <t>(3)</t>
  </si>
  <si>
    <t>(1)</t>
  </si>
  <si>
    <t>(2)</t>
  </si>
  <si>
    <t>*</t>
  </si>
  <si>
    <t>(7)</t>
  </si>
  <si>
    <t>(5)</t>
  </si>
  <si>
    <t>(4)</t>
  </si>
  <si>
    <t>(8)</t>
  </si>
  <si>
    <t>(6)</t>
  </si>
  <si>
    <t>Grouping of Allocation Adjustments</t>
  </si>
  <si>
    <t>**</t>
  </si>
  <si>
    <t>(9)</t>
  </si>
  <si>
    <t xml:space="preserve">* </t>
  </si>
  <si>
    <t>These allocations are located in the indicated work papers.</t>
  </si>
  <si>
    <t>** The amortization of Plant Acquisition Adjustment was not included in the Income Statement because it does not represent</t>
  </si>
  <si>
    <t>a rate base item.</t>
  </si>
  <si>
    <t>CEO</t>
  </si>
  <si>
    <t>President &amp; CFO</t>
  </si>
  <si>
    <t>Director of Operations</t>
  </si>
  <si>
    <t>Director of Regulatory Accounting</t>
  </si>
  <si>
    <t>Payroll</t>
  </si>
  <si>
    <t>Senior Accountant</t>
  </si>
  <si>
    <t>Account Manager</t>
  </si>
  <si>
    <t>Director of Corporate Accounting</t>
  </si>
  <si>
    <t>Human Resource Generalist</t>
  </si>
  <si>
    <t>Executive Assistant</t>
  </si>
  <si>
    <t>Benefits Coordinator</t>
  </si>
  <si>
    <t>Senior Regulatory Accountant</t>
  </si>
  <si>
    <t>Accountant</t>
  </si>
  <si>
    <t>Senior Analyst, Planning &amp; Analysis</t>
  </si>
  <si>
    <t>Regulatory Accountant</t>
  </si>
  <si>
    <t>Operations Analyst</t>
  </si>
  <si>
    <t>Administrative Clerk</t>
  </si>
  <si>
    <t>Administrative Services</t>
  </si>
  <si>
    <t>Billing Manger</t>
  </si>
  <si>
    <t>Mail Room Services</t>
  </si>
  <si>
    <t>Receptionist</t>
  </si>
  <si>
    <t>Director of Customer Relations &amp; Administrative Services</t>
  </si>
  <si>
    <t>MIS Manger</t>
  </si>
  <si>
    <t>Data Processing Coordinator</t>
  </si>
  <si>
    <t>Data Entry</t>
  </si>
  <si>
    <t>Assistant MIS Manager</t>
  </si>
  <si>
    <t>Corporate Customer Services Manager</t>
  </si>
  <si>
    <t>Network Administrator</t>
  </si>
  <si>
    <t>Manager, Planning &amp; Analysis</t>
  </si>
  <si>
    <t>Calculation of Salary and Benefits</t>
  </si>
  <si>
    <t>Annualized</t>
  </si>
  <si>
    <t>Pay Period</t>
  </si>
  <si>
    <t>Salary</t>
  </si>
  <si>
    <t>Other</t>
  </si>
  <si>
    <t>per Year</t>
  </si>
  <si>
    <t>Maintenance</t>
  </si>
  <si>
    <t>Bolt, Gregory</t>
  </si>
  <si>
    <t>Heck, Travis</t>
  </si>
  <si>
    <t>Johnson, Harvey</t>
  </si>
  <si>
    <t>Leonard, James</t>
  </si>
  <si>
    <t>Mills, Wendell</t>
  </si>
  <si>
    <t>Onkst, James</t>
  </si>
  <si>
    <t>Partin, Michael</t>
  </si>
  <si>
    <t>Pickard, Michael</t>
  </si>
  <si>
    <t>Russell, R</t>
  </si>
  <si>
    <t>Spurlock Charles</t>
  </si>
  <si>
    <t>Turner, John</t>
  </si>
  <si>
    <t>Yates Jr., Bobby</t>
  </si>
  <si>
    <t>Cox, David (PT)</t>
  </si>
  <si>
    <t>Supervisory</t>
  </si>
  <si>
    <t>Total Operator Salary</t>
  </si>
  <si>
    <t>Office</t>
  </si>
  <si>
    <t>Berry, Sandra</t>
  </si>
  <si>
    <t>Petrey, Vivian</t>
  </si>
  <si>
    <t>Standifer, Reba</t>
  </si>
  <si>
    <t>Stanis, Veronica</t>
  </si>
  <si>
    <t>Total Kentucky Office Salary</t>
  </si>
  <si>
    <t>still employed</t>
  </si>
  <si>
    <t>1 month</t>
  </si>
  <si>
    <t>9 years 5.5 months</t>
  </si>
  <si>
    <t>Increase</t>
  </si>
  <si>
    <t>%</t>
  </si>
  <si>
    <t>Percentage</t>
  </si>
  <si>
    <t>Allocated</t>
  </si>
  <si>
    <t>USSC</t>
  </si>
  <si>
    <t xml:space="preserve">Salary </t>
  </si>
  <si>
    <t>Allocation</t>
  </si>
  <si>
    <t>2002 Wage Rates</t>
  </si>
  <si>
    <t>2003 Wage Rates</t>
  </si>
  <si>
    <t>% Increase</t>
  </si>
  <si>
    <t>exempt</t>
  </si>
  <si>
    <t>Area Manger  - started 6/3/04</t>
  </si>
  <si>
    <t>Laborer - started and terminated 04</t>
  </si>
  <si>
    <t>Item 15a</t>
  </si>
  <si>
    <t>Item 15c and d</t>
  </si>
  <si>
    <t>Allocation Factor</t>
  </si>
  <si>
    <t>Distribution code 5  - distribution of computer costs</t>
  </si>
  <si>
    <t>Distribution code 11 - distribution of insurance</t>
  </si>
  <si>
    <t>Distribution code 1 - distribution based on customer equivalent %</t>
  </si>
  <si>
    <t>Distribution code 5 - indirect expense allocation percentage</t>
  </si>
  <si>
    <t>Distribution code 6 - indirect expense allocation percentage</t>
  </si>
  <si>
    <t>Distribution code WSC RB - WSC rate base allocation</t>
  </si>
  <si>
    <t>in TB - uncollectible</t>
  </si>
  <si>
    <t>Item 17 a</t>
  </si>
  <si>
    <t>WATER SERVICE CORPORATION OF KENTUCKY</t>
  </si>
  <si>
    <t>Payroll Taxes</t>
  </si>
  <si>
    <t>Office Salaries</t>
  </si>
  <si>
    <t>Operator Salaries</t>
  </si>
  <si>
    <t>Item 17 c</t>
  </si>
  <si>
    <t>(1) (2)</t>
  </si>
  <si>
    <t>instead of 6.22% to the total Kentucky Office Salary.</t>
  </si>
  <si>
    <t>(2) Note: in the original filing these two employees' salary was allocated 100%</t>
  </si>
  <si>
    <t>(1) Note: in the original filing the total Kentucky Office Salary is $135,301 which mistakenly did not include Sandra Berry's salary of $66,724.</t>
  </si>
  <si>
    <t>Item 18 c</t>
  </si>
  <si>
    <t xml:space="preserve">Health Insurance </t>
  </si>
  <si>
    <t>Premiums</t>
  </si>
  <si>
    <t>Total Operator Health Insurance Premiums</t>
  </si>
  <si>
    <t>Total Office Health Insurance Premiums</t>
  </si>
  <si>
    <t>Note: 2006 insurance premiums are based on a 3.5% increase in total medical costs from 2005, based on a renewal analysis recently available for 2006.</t>
  </si>
  <si>
    <t>Item 18 a</t>
  </si>
  <si>
    <t>CASE NO. 2005-00325</t>
  </si>
  <si>
    <t>COMMISSION STAFF'S SECOND INFORMATION REQUEST</t>
  </si>
  <si>
    <t>RESPONSE TO 25(a)</t>
  </si>
  <si>
    <t>Per Books</t>
  </si>
  <si>
    <t>Per Restatement</t>
  </si>
  <si>
    <t>Change</t>
  </si>
  <si>
    <t>Gross Plant In Service</t>
  </si>
  <si>
    <t>Accumulated Depreciation</t>
  </si>
  <si>
    <t>Net Plant In Service</t>
  </si>
  <si>
    <t>Cash Working Capital</t>
  </si>
  <si>
    <t>Contributions In Aid of Construction</t>
  </si>
  <si>
    <t>Advances in Aid of Construction</t>
  </si>
  <si>
    <t>Accumulated Deferred Income Taxes</t>
  </si>
  <si>
    <t>Customer Deposits</t>
  </si>
  <si>
    <t>Capitalized Time</t>
  </si>
  <si>
    <t>Reduction for Transportation Equipment</t>
  </si>
  <si>
    <t>Water Service Corporation</t>
  </si>
  <si>
    <t>Pro Forma Plant</t>
  </si>
  <si>
    <t>Pro Forma Plant Retirements</t>
  </si>
  <si>
    <t>Total Rate Base</t>
  </si>
  <si>
    <t>Total Salaries</t>
  </si>
  <si>
    <t>Payroll Taxes:</t>
  </si>
  <si>
    <t>Operator Portion</t>
  </si>
  <si>
    <t>Office Portion</t>
  </si>
  <si>
    <t>Insurance, Pension &amp; Other Benefits:</t>
  </si>
  <si>
    <t>Percentage of Operator Salaries Charged to Plant:</t>
  </si>
  <si>
    <t>Salaries Charged to Plant</t>
  </si>
  <si>
    <t>Operator Portion of Payroll Taxes</t>
  </si>
  <si>
    <t>Operator Portion of Insurance, Pension, &amp; Other Benefits</t>
  </si>
  <si>
    <t>Percentage Charged to Plant</t>
  </si>
  <si>
    <t>Breakdown of Components:</t>
  </si>
  <si>
    <t>Salaries</t>
  </si>
  <si>
    <t>Insurance, Pension, &amp; Other Benefits</t>
  </si>
  <si>
    <t>Total Operating Expense Charged to Plant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</si>
</sst>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[$-409]mmmm\ d\,\ yyyy;@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_);_(@_)"/>
    <numFmt numFmtId="169" formatCode="[$-409]h:mm:ss\ AM/PM"/>
    <numFmt numFmtId="170" formatCode="#,##0.0"/>
    <numFmt numFmtId="171" formatCode="_(&quot;$&quot;* #,##0.0_);_(&quot;$&quot;* \(#,##0.0\);_(&quot;$&quot;* &quot;-&quot;??_);_(@_)"/>
    <numFmt numFmtId="172" formatCode="0.0"/>
    <numFmt numFmtId="173" formatCode="0.00_);\(0.00\)"/>
    <numFmt numFmtId="174" formatCode="0.0_);\(0.0\)"/>
    <numFmt numFmtId="175" formatCode="0_);\(0\)"/>
    <numFmt numFmtId="176" formatCode="_(* #,##0.0_);_(* \(#,##0.0\);_(* &quot;-&quot;??_);_(@_)"/>
    <numFmt numFmtId="177" formatCode="&quot;$&quot;#,##0"/>
    <numFmt numFmtId="178" formatCode="[$-409]dddd\,\ mmmm\ dd\,\ yyyy"/>
    <numFmt numFmtId="179" formatCode="00000"/>
    <numFmt numFmtId="180" formatCode="0.0%"/>
    <numFmt numFmtId="181" formatCode="#,##0.0000_);\(#,##0.0000\)"/>
    <numFmt numFmtId="182" formatCode="mm/dd/yy;@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u val="single"/>
      <sz val="11"/>
      <color indexed="8"/>
      <name val="Times New Roman"/>
      <family val="0"/>
    </font>
    <font>
      <u val="single"/>
      <sz val="11"/>
      <name val="Times New Roman"/>
      <family val="0"/>
    </font>
    <font>
      <sz val="11"/>
      <color indexed="2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42" fontId="2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166" fontId="2" fillId="0" borderId="0" xfId="15" applyNumberFormat="1" applyFont="1" applyAlignment="1">
      <alignment horizontal="right"/>
    </xf>
    <xf numFmtId="166" fontId="2" fillId="0" borderId="0" xfId="15" applyNumberFormat="1" applyFont="1" applyFill="1" applyAlignment="1">
      <alignment/>
    </xf>
    <xf numFmtId="166" fontId="2" fillId="0" borderId="2" xfId="15" applyNumberFormat="1" applyFont="1" applyBorder="1" applyAlignment="1">
      <alignment/>
    </xf>
    <xf numFmtId="166" fontId="2" fillId="0" borderId="2" xfId="15" applyNumberFormat="1" applyFont="1" applyFill="1" applyBorder="1" applyAlignment="1">
      <alignment/>
    </xf>
    <xf numFmtId="167" fontId="2" fillId="0" borderId="1" xfId="18" applyNumberFormat="1" applyFont="1" applyBorder="1" applyAlignment="1">
      <alignment/>
    </xf>
    <xf numFmtId="167" fontId="2" fillId="0" borderId="0" xfId="18" applyNumberFormat="1" applyFont="1" applyAlignment="1">
      <alignment horizontal="right"/>
    </xf>
    <xf numFmtId="167" fontId="2" fillId="0" borderId="1" xfId="18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7" fontId="2" fillId="0" borderId="0" xfId="18" applyNumberFormat="1" applyFont="1" applyFill="1" applyAlignment="1">
      <alignment/>
    </xf>
    <xf numFmtId="167" fontId="2" fillId="0" borderId="0" xfId="18" applyNumberFormat="1" applyFont="1" applyAlignment="1">
      <alignment/>
    </xf>
    <xf numFmtId="164" fontId="2" fillId="0" borderId="0" xfId="0" applyNumberFormat="1" applyFont="1" applyFill="1" applyAlignment="1">
      <alignment horizontal="right"/>
    </xf>
    <xf numFmtId="166" fontId="2" fillId="0" borderId="0" xfId="15" applyNumberFormat="1" applyFont="1" applyFill="1" applyAlignment="1">
      <alignment horizontal="fill"/>
    </xf>
    <xf numFmtId="166" fontId="2" fillId="0" borderId="0" xfId="15" applyNumberFormat="1" applyFont="1" applyAlignment="1">
      <alignment horizontal="fill"/>
    </xf>
    <xf numFmtId="167" fontId="2" fillId="0" borderId="0" xfId="18" applyNumberFormat="1" applyFont="1" applyAlignment="1">
      <alignment horizontal="fill"/>
    </xf>
    <xf numFmtId="44" fontId="2" fillId="0" borderId="0" xfId="18" applyFont="1" applyFill="1" applyAlignment="1">
      <alignment horizontal="fill"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2" fontId="2" fillId="0" borderId="3" xfId="0" applyNumberFormat="1" applyFont="1" applyBorder="1" applyAlignment="1">
      <alignment/>
    </xf>
    <xf numFmtId="167" fontId="2" fillId="0" borderId="3" xfId="18" applyNumberFormat="1" applyFont="1" applyFill="1" applyBorder="1" applyAlignment="1">
      <alignment/>
    </xf>
    <xf numFmtId="42" fontId="2" fillId="0" borderId="0" xfId="0" applyNumberFormat="1" applyFont="1" applyBorder="1" applyAlignment="1">
      <alignment/>
    </xf>
    <xf numFmtId="42" fontId="2" fillId="0" borderId="0" xfId="0" applyNumberFormat="1" applyFont="1" applyFill="1" applyBorder="1" applyAlignment="1">
      <alignment/>
    </xf>
    <xf numFmtId="42" fontId="2" fillId="0" borderId="1" xfId="18" applyNumberFormat="1" applyFont="1" applyFill="1" applyBorder="1" applyAlignment="1">
      <alignment/>
    </xf>
    <xf numFmtId="167" fontId="0" fillId="0" borderId="0" xfId="0" applyNumberFormat="1" applyAlignment="1">
      <alignment/>
    </xf>
    <xf numFmtId="41" fontId="2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 horizontal="right"/>
    </xf>
    <xf numFmtId="1" fontId="2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/>
    </xf>
    <xf numFmtId="1" fontId="2" fillId="0" borderId="0" xfId="15" applyNumberFormat="1" applyFont="1" applyAlignment="1">
      <alignment/>
    </xf>
    <xf numFmtId="42" fontId="2" fillId="0" borderId="0" xfId="18" applyNumberFormat="1" applyFont="1" applyFill="1" applyAlignment="1">
      <alignment horizontal="right"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42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8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2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166" fontId="4" fillId="0" borderId="2" xfId="15" applyNumberFormat="1" applyFont="1" applyBorder="1" applyAlignment="1">
      <alignment/>
    </xf>
    <xf numFmtId="167" fontId="4" fillId="0" borderId="1" xfId="18" applyNumberFormat="1" applyFont="1" applyBorder="1" applyAlignment="1">
      <alignment/>
    </xf>
    <xf numFmtId="166" fontId="4" fillId="0" borderId="0" xfId="15" applyNumberFormat="1" applyFont="1" applyAlignment="1">
      <alignment/>
    </xf>
    <xf numFmtId="167" fontId="4" fillId="0" borderId="0" xfId="18" applyNumberFormat="1" applyFont="1" applyAlignment="1">
      <alignment/>
    </xf>
    <xf numFmtId="41" fontId="4" fillId="0" borderId="0" xfId="18" applyNumberFormat="1" applyFont="1" applyAlignment="1">
      <alignment/>
    </xf>
    <xf numFmtId="37" fontId="4" fillId="0" borderId="0" xfId="18" applyNumberFormat="1" applyFont="1" applyAlignment="1">
      <alignment/>
    </xf>
    <xf numFmtId="166" fontId="4" fillId="0" borderId="0" xfId="15" applyNumberFormat="1" applyFont="1" applyAlignment="1">
      <alignment horizontal="fill"/>
    </xf>
    <xf numFmtId="166" fontId="4" fillId="0" borderId="0" xfId="15" applyNumberFormat="1" applyFont="1" applyFill="1" applyAlignment="1">
      <alignment horizontal="fill"/>
    </xf>
    <xf numFmtId="166" fontId="4" fillId="0" borderId="2" xfId="15" applyNumberFormat="1" applyFont="1" applyFill="1" applyBorder="1" applyAlignment="1">
      <alignment/>
    </xf>
    <xf numFmtId="42" fontId="4" fillId="0" borderId="1" xfId="18" applyNumberFormat="1" applyFont="1" applyBorder="1" applyAlignment="1">
      <alignment/>
    </xf>
    <xf numFmtId="42" fontId="4" fillId="0" borderId="1" xfId="18" applyNumberFormat="1" applyFont="1" applyFill="1" applyBorder="1" applyAlignment="1">
      <alignment/>
    </xf>
    <xf numFmtId="44" fontId="4" fillId="0" borderId="2" xfId="18" applyFont="1" applyBorder="1" applyAlignment="1">
      <alignment horizontal="fill"/>
    </xf>
    <xf numFmtId="164" fontId="4" fillId="0" borderId="2" xfId="0" applyNumberFormat="1" applyFont="1" applyBorder="1" applyAlignment="1">
      <alignment/>
    </xf>
    <xf numFmtId="167" fontId="4" fillId="0" borderId="3" xfId="18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0" xfId="18" applyNumberFormat="1" applyFont="1" applyFill="1" applyAlignment="1">
      <alignment/>
    </xf>
    <xf numFmtId="1" fontId="4" fillId="0" borderId="0" xfId="18" applyNumberFormat="1" applyFont="1" applyAlignment="1">
      <alignment/>
    </xf>
    <xf numFmtId="165" fontId="1" fillId="0" borderId="0" xfId="0" applyNumberFormat="1" applyFont="1" applyFill="1" applyAlignment="1">
      <alignment horizontal="left"/>
    </xf>
    <xf numFmtId="37" fontId="2" fillId="0" borderId="0" xfId="18" applyNumberFormat="1" applyFont="1" applyFill="1" applyAlignment="1">
      <alignment/>
    </xf>
    <xf numFmtId="37" fontId="2" fillId="0" borderId="0" xfId="15" applyNumberFormat="1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37" fontId="4" fillId="0" borderId="0" xfId="17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7" fontId="8" fillId="0" borderId="0" xfId="17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9" fontId="2" fillId="0" borderId="0" xfId="23" applyNumberFormat="1" applyFont="1" applyFill="1" applyBorder="1" applyAlignment="1">
      <alignment horizontal="left"/>
      <protection/>
    </xf>
    <xf numFmtId="37" fontId="2" fillId="0" borderId="0" xfId="23" applyNumberFormat="1" applyFont="1" applyFill="1" applyBorder="1">
      <alignment/>
      <protection/>
    </xf>
    <xf numFmtId="166" fontId="2" fillId="0" borderId="0" xfId="15" applyNumberFormat="1" applyFont="1" applyAlignment="1">
      <alignment/>
    </xf>
    <xf numFmtId="166" fontId="2" fillId="0" borderId="5" xfId="15" applyNumberFormat="1" applyFont="1" applyBorder="1" applyAlignment="1">
      <alignment/>
    </xf>
    <xf numFmtId="37" fontId="4" fillId="0" borderId="0" xfId="17" applyNumberFormat="1" applyFont="1" applyFill="1" applyAlignment="1">
      <alignment/>
    </xf>
    <xf numFmtId="1" fontId="4" fillId="0" borderId="0" xfId="17" applyNumberFormat="1" applyFont="1" applyFill="1" applyBorder="1" applyAlignment="1">
      <alignment/>
    </xf>
    <xf numFmtId="37" fontId="4" fillId="0" borderId="0" xfId="17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15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0" xfId="17" applyNumberFormat="1" applyFont="1" applyFill="1" applyAlignment="1">
      <alignment horizontal="center"/>
    </xf>
    <xf numFmtId="49" fontId="4" fillId="0" borderId="0" xfId="17" applyNumberFormat="1" applyFont="1" applyFill="1" applyBorder="1" applyAlignment="1">
      <alignment horizontal="center"/>
    </xf>
    <xf numFmtId="49" fontId="4" fillId="0" borderId="0" xfId="17" applyNumberFormat="1" applyFont="1" applyFill="1" applyAlignment="1">
      <alignment/>
    </xf>
    <xf numFmtId="49" fontId="4" fillId="0" borderId="0" xfId="17" applyNumberFormat="1" applyFont="1" applyFill="1" applyBorder="1" applyAlignment="1">
      <alignment/>
    </xf>
    <xf numFmtId="42" fontId="2" fillId="0" borderId="0" xfId="18" applyNumberFormat="1" applyFont="1" applyAlignment="1">
      <alignment/>
    </xf>
    <xf numFmtId="41" fontId="2" fillId="0" borderId="0" xfId="18" applyNumberFormat="1" applyFont="1" applyAlignment="1">
      <alignment/>
    </xf>
    <xf numFmtId="167" fontId="2" fillId="0" borderId="3" xfId="18" applyNumberFormat="1" applyFont="1" applyBorder="1" applyAlignment="1">
      <alignment/>
    </xf>
    <xf numFmtId="41" fontId="2" fillId="0" borderId="0" xfId="18" applyNumberFormat="1" applyFont="1" applyBorder="1" applyAlignment="1">
      <alignment/>
    </xf>
    <xf numFmtId="167" fontId="2" fillId="0" borderId="1" xfId="18" applyNumberFormat="1" applyFont="1" applyBorder="1" applyAlignment="1">
      <alignment/>
    </xf>
    <xf numFmtId="164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167" fontId="1" fillId="0" borderId="0" xfId="18" applyNumberFormat="1" applyFont="1" applyAlignment="1">
      <alignment/>
    </xf>
    <xf numFmtId="1" fontId="1" fillId="0" borderId="0" xfId="15" applyNumberFormat="1" applyFont="1" applyAlignment="1">
      <alignment/>
    </xf>
    <xf numFmtId="167" fontId="1" fillId="0" borderId="0" xfId="18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44" fontId="1" fillId="0" borderId="0" xfId="18" applyFont="1" applyAlignment="1">
      <alignment/>
    </xf>
    <xf numFmtId="0" fontId="6" fillId="0" borderId="0" xfId="0" applyFont="1" applyAlignment="1">
      <alignment/>
    </xf>
    <xf numFmtId="0" fontId="0" fillId="0" borderId="4" xfId="0" applyFill="1" applyBorder="1" applyAlignment="1">
      <alignment/>
    </xf>
    <xf numFmtId="37" fontId="1" fillId="0" borderId="0" xfId="24" applyNumberFormat="1" applyFont="1" applyAlignment="1">
      <alignment horizontal="left"/>
      <protection/>
    </xf>
    <xf numFmtId="37" fontId="2" fillId="0" borderId="0" xfId="24" applyNumberFormat="1" applyFont="1">
      <alignment/>
      <protection/>
    </xf>
    <xf numFmtId="37" fontId="1" fillId="0" borderId="0" xfId="24" applyNumberFormat="1" applyFont="1" applyFill="1">
      <alignment/>
      <protection/>
    </xf>
    <xf numFmtId="37" fontId="2" fillId="0" borderId="0" xfId="24" applyNumberFormat="1" applyFont="1" applyFill="1">
      <alignment/>
      <protection/>
    </xf>
    <xf numFmtId="37" fontId="2" fillId="2" borderId="0" xfId="24" applyNumberFormat="1" applyFont="1" applyFill="1">
      <alignment/>
      <protection/>
    </xf>
    <xf numFmtId="37" fontId="1" fillId="2" borderId="0" xfId="24" applyNumberFormat="1" applyFont="1" applyFill="1" applyAlignment="1">
      <alignment horizontal="left"/>
      <protection/>
    </xf>
    <xf numFmtId="37" fontId="1" fillId="0" borderId="0" xfId="24" applyNumberFormat="1" applyFont="1">
      <alignment/>
      <protection/>
    </xf>
    <xf numFmtId="37" fontId="2" fillId="0" borderId="0" xfId="24" applyNumberFormat="1" applyFont="1" applyBorder="1">
      <alignment/>
      <protection/>
    </xf>
    <xf numFmtId="37" fontId="2" fillId="2" borderId="0" xfId="24" applyNumberFormat="1" applyFont="1" applyFill="1" applyAlignment="1">
      <alignment horizontal="center"/>
      <protection/>
    </xf>
    <xf numFmtId="37" fontId="2" fillId="2" borderId="0" xfId="22" applyNumberFormat="1" applyFont="1" applyFill="1" applyAlignment="1">
      <alignment horizontal="center"/>
      <protection/>
    </xf>
    <xf numFmtId="37" fontId="2" fillId="2" borderId="0" xfId="22" applyNumberFormat="1" applyFont="1" applyFill="1" applyBorder="1" applyAlignment="1">
      <alignment horizontal="center"/>
      <protection/>
    </xf>
    <xf numFmtId="37" fontId="2" fillId="2" borderId="0" xfId="24" applyNumberFormat="1" applyFont="1" applyFill="1" applyBorder="1" applyAlignment="1">
      <alignment horizontal="center"/>
      <protection/>
    </xf>
    <xf numFmtId="37" fontId="2" fillId="2" borderId="0" xfId="24" applyNumberFormat="1" applyFont="1" applyFill="1" applyBorder="1">
      <alignment/>
      <protection/>
    </xf>
    <xf numFmtId="37" fontId="2" fillId="0" borderId="0" xfId="24" applyNumberFormat="1" applyFont="1" applyAlignment="1">
      <alignment horizontal="center"/>
      <protection/>
    </xf>
    <xf numFmtId="37" fontId="1" fillId="0" borderId="0" xfId="24" applyNumberFormat="1" applyFont="1" applyBorder="1">
      <alignment/>
      <protection/>
    </xf>
    <xf numFmtId="37" fontId="2" fillId="0" borderId="0" xfId="22" applyNumberFormat="1" applyFont="1" applyFill="1" applyBorder="1">
      <alignment/>
      <protection/>
    </xf>
    <xf numFmtId="37" fontId="2" fillId="2" borderId="0" xfId="22" applyNumberFormat="1" applyFont="1" applyFill="1">
      <alignment/>
      <protection/>
    </xf>
    <xf numFmtId="37" fontId="2" fillId="2" borderId="0" xfId="22" applyNumberFormat="1" applyFont="1" applyFill="1" applyBorder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166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37" fontId="2" fillId="0" borderId="0" xfId="24" applyNumberFormat="1" applyFont="1" applyFill="1" applyBorder="1">
      <alignment/>
      <protection/>
    </xf>
    <xf numFmtId="37" fontId="1" fillId="0" borderId="0" xfId="24" applyNumberFormat="1" applyFont="1" applyFill="1" applyBorder="1">
      <alignment/>
      <protection/>
    </xf>
    <xf numFmtId="166" fontId="2" fillId="0" borderId="1" xfId="15" applyNumberFormat="1" applyFont="1" applyFill="1" applyBorder="1" applyAlignment="1">
      <alignment/>
    </xf>
    <xf numFmtId="166" fontId="4" fillId="0" borderId="0" xfId="15" applyNumberFormat="1" applyFont="1" applyFill="1" applyAlignment="1">
      <alignment/>
    </xf>
    <xf numFmtId="37" fontId="2" fillId="0" borderId="0" xfId="24" applyNumberFormat="1" applyFont="1" applyFill="1">
      <alignment/>
      <protection/>
    </xf>
    <xf numFmtId="182" fontId="2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4" xfId="0" applyNumberFormat="1" applyFont="1" applyBorder="1" applyAlignment="1">
      <alignment horizontal="center" wrapText="1"/>
    </xf>
    <xf numFmtId="182" fontId="0" fillId="0" borderId="4" xfId="0" applyNumberFormat="1" applyBorder="1" applyAlignment="1">
      <alignment/>
    </xf>
    <xf numFmtId="37" fontId="1" fillId="0" borderId="0" xfId="22" applyNumberFormat="1" applyFont="1" applyFill="1" applyBorder="1" applyAlignment="1">
      <alignment horizontal="center"/>
      <protection/>
    </xf>
    <xf numFmtId="37" fontId="1" fillId="2" borderId="0" xfId="22" applyNumberFormat="1" applyFont="1" applyFill="1" applyAlignment="1">
      <alignment horizontal="center"/>
      <protection/>
    </xf>
    <xf numFmtId="37" fontId="1" fillId="0" borderId="0" xfId="24" applyNumberFormat="1" applyFont="1" applyAlignment="1">
      <alignment horizontal="center"/>
      <protection/>
    </xf>
    <xf numFmtId="37" fontId="1" fillId="2" borderId="0" xfId="24" applyNumberFormat="1" applyFont="1" applyFill="1" applyAlignment="1">
      <alignment horizontal="center"/>
      <protection/>
    </xf>
    <xf numFmtId="37" fontId="1" fillId="0" borderId="1" xfId="22" applyNumberFormat="1" applyFont="1" applyFill="1" applyBorder="1" applyAlignment="1">
      <alignment horizontal="center"/>
      <protection/>
    </xf>
    <xf numFmtId="37" fontId="1" fillId="2" borderId="1" xfId="22" applyNumberFormat="1" applyFont="1" applyFill="1" applyBorder="1" applyAlignment="1">
      <alignment horizontal="center"/>
      <protection/>
    </xf>
    <xf numFmtId="37" fontId="1" fillId="0" borderId="1" xfId="24" applyNumberFormat="1" applyFont="1" applyBorder="1" applyAlignment="1">
      <alignment horizontal="center"/>
      <protection/>
    </xf>
    <xf numFmtId="37" fontId="2" fillId="0" borderId="1" xfId="24" applyNumberFormat="1" applyFont="1" applyFill="1" applyBorder="1">
      <alignment/>
      <protection/>
    </xf>
    <xf numFmtId="37" fontId="2" fillId="0" borderId="3" xfId="24" applyNumberFormat="1" applyFont="1" applyFill="1" applyBorder="1">
      <alignment/>
      <protection/>
    </xf>
    <xf numFmtId="37" fontId="1" fillId="0" borderId="0" xfId="24" applyNumberFormat="1" applyFont="1" applyBorder="1" applyAlignment="1">
      <alignment horizontal="center"/>
      <protection/>
    </xf>
    <xf numFmtId="9" fontId="2" fillId="0" borderId="0" xfId="25" applyFont="1" applyFill="1" applyAlignment="1">
      <alignment/>
    </xf>
    <xf numFmtId="9" fontId="2" fillId="0" borderId="0" xfId="25" applyFont="1" applyAlignment="1">
      <alignment/>
    </xf>
    <xf numFmtId="10" fontId="2" fillId="0" borderId="0" xfId="25" applyNumberFormat="1" applyFont="1" applyFill="1" applyAlignment="1">
      <alignment/>
    </xf>
    <xf numFmtId="167" fontId="2" fillId="0" borderId="0" xfId="18" applyNumberFormat="1" applyFont="1" applyFill="1" applyBorder="1" applyAlignment="1">
      <alignment/>
    </xf>
    <xf numFmtId="167" fontId="2" fillId="2" borderId="0" xfId="18" applyNumberFormat="1" applyFont="1" applyFill="1" applyBorder="1" applyAlignment="1">
      <alignment/>
    </xf>
    <xf numFmtId="167" fontId="2" fillId="2" borderId="0" xfId="18" applyNumberFormat="1" applyFont="1" applyFill="1" applyBorder="1" applyAlignment="1">
      <alignment horizontal="center"/>
    </xf>
    <xf numFmtId="167" fontId="2" fillId="2" borderId="0" xfId="18" applyNumberFormat="1" applyFont="1" applyFill="1" applyAlignment="1">
      <alignment/>
    </xf>
    <xf numFmtId="167" fontId="2" fillId="0" borderId="0" xfId="18" applyNumberFormat="1" applyFont="1" applyFill="1" applyAlignment="1">
      <alignment/>
    </xf>
    <xf numFmtId="167" fontId="2" fillId="0" borderId="3" xfId="18" applyNumberFormat="1" applyFont="1" applyFill="1" applyBorder="1" applyAlignment="1">
      <alignment/>
    </xf>
    <xf numFmtId="10" fontId="2" fillId="0" borderId="0" xfId="25" applyNumberFormat="1" applyFont="1" applyFill="1" applyBorder="1" applyAlignment="1">
      <alignment/>
    </xf>
    <xf numFmtId="10" fontId="2" fillId="0" borderId="1" xfId="25" applyNumberFormat="1" applyFont="1" applyFill="1" applyBorder="1" applyAlignment="1">
      <alignment/>
    </xf>
    <xf numFmtId="167" fontId="2" fillId="0" borderId="1" xfId="18" applyNumberFormat="1" applyFont="1" applyFill="1" applyBorder="1" applyAlignment="1">
      <alignment/>
    </xf>
    <xf numFmtId="167" fontId="2" fillId="2" borderId="3" xfId="18" applyNumberFormat="1" applyFont="1" applyFill="1" applyBorder="1" applyAlignment="1">
      <alignment/>
    </xf>
    <xf numFmtId="37" fontId="2" fillId="0" borderId="1" xfId="24" applyNumberFormat="1" applyFont="1" applyBorder="1">
      <alignment/>
      <protection/>
    </xf>
    <xf numFmtId="37" fontId="2" fillId="2" borderId="1" xfId="24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right" wrapText="1"/>
    </xf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4" fontId="0" fillId="0" borderId="0" xfId="0" applyNumberFormat="1" applyAlignment="1">
      <alignment horizontal="right"/>
    </xf>
    <xf numFmtId="44" fontId="6" fillId="0" borderId="4" xfId="0" applyNumberFormat="1" applyFont="1" applyBorder="1" applyAlignment="1">
      <alignment horizontal="right" wrapText="1"/>
    </xf>
    <xf numFmtId="44" fontId="0" fillId="0" borderId="4" xfId="0" applyNumberFormat="1" applyBorder="1" applyAlignment="1">
      <alignment horizontal="right"/>
    </xf>
    <xf numFmtId="167" fontId="6" fillId="0" borderId="4" xfId="18" applyNumberFormat="1" applyFont="1" applyBorder="1" applyAlignment="1">
      <alignment horizontal="right" wrapText="1"/>
    </xf>
    <xf numFmtId="167" fontId="0" fillId="0" borderId="4" xfId="18" applyNumberFormat="1" applyBorder="1" applyAlignment="1">
      <alignment horizontal="right"/>
    </xf>
    <xf numFmtId="167" fontId="0" fillId="0" borderId="0" xfId="18" applyNumberFormat="1" applyAlignment="1">
      <alignment horizontal="right"/>
    </xf>
    <xf numFmtId="167" fontId="0" fillId="0" borderId="4" xfId="18" applyNumberFormat="1" applyFont="1" applyBorder="1" applyAlignment="1">
      <alignment horizontal="right"/>
    </xf>
    <xf numFmtId="9" fontId="2" fillId="0" borderId="0" xfId="25" applyFont="1" applyAlignment="1">
      <alignment horizontal="right"/>
    </xf>
    <xf numFmtId="9" fontId="6" fillId="0" borderId="4" xfId="25" applyFont="1" applyBorder="1" applyAlignment="1">
      <alignment horizontal="right" wrapText="1"/>
    </xf>
    <xf numFmtId="9" fontId="0" fillId="0" borderId="4" xfId="25" applyBorder="1" applyAlignment="1">
      <alignment horizontal="right"/>
    </xf>
    <xf numFmtId="9" fontId="0" fillId="0" borderId="0" xfId="25" applyAlignment="1">
      <alignment horizontal="right"/>
    </xf>
    <xf numFmtId="9" fontId="0" fillId="0" borderId="4" xfId="25" applyFont="1" applyBorder="1" applyAlignment="1">
      <alignment horizontal="right"/>
    </xf>
    <xf numFmtId="165" fontId="1" fillId="0" borderId="0" xfId="0" applyNumberFormat="1" applyFont="1" applyFill="1" applyAlignment="1">
      <alignment/>
    </xf>
    <xf numFmtId="166" fontId="1" fillId="0" borderId="0" xfId="15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7" fontId="10" fillId="0" borderId="0" xfId="24" applyNumberFormat="1" applyFont="1" applyFill="1" applyAlignment="1">
      <alignment wrapText="1"/>
      <protection/>
    </xf>
    <xf numFmtId="37" fontId="10" fillId="2" borderId="0" xfId="24" applyNumberFormat="1" applyFont="1" applyFill="1" applyBorder="1" applyAlignment="1">
      <alignment wrapText="1"/>
      <protection/>
    </xf>
    <xf numFmtId="37" fontId="10" fillId="0" borderId="0" xfId="24" applyNumberFormat="1" applyFont="1" applyFill="1" applyBorder="1" applyAlignment="1">
      <alignment wrapText="1"/>
      <protection/>
    </xf>
    <xf numFmtId="0" fontId="2" fillId="0" borderId="0" xfId="0" applyNumberFormat="1" applyFont="1" applyAlignment="1">
      <alignment horizontal="left" wrapText="1"/>
    </xf>
    <xf numFmtId="49" fontId="2" fillId="0" borderId="0" xfId="24" applyNumberFormat="1" applyFont="1" applyFill="1" applyAlignment="1">
      <alignment horizontal="left"/>
      <protection/>
    </xf>
    <xf numFmtId="49" fontId="2" fillId="0" borderId="0" xfId="24" applyNumberFormat="1" applyFont="1" applyFill="1" applyBorder="1">
      <alignment/>
      <protection/>
    </xf>
    <xf numFmtId="49" fontId="2" fillId="0" borderId="0" xfId="24" applyNumberFormat="1" applyFont="1" applyFill="1">
      <alignment/>
      <protection/>
    </xf>
    <xf numFmtId="37" fontId="2" fillId="0" borderId="0" xfId="24" applyNumberFormat="1" applyFont="1" applyFill="1" applyBorder="1" applyAlignment="1">
      <alignment wrapText="1"/>
      <protection/>
    </xf>
    <xf numFmtId="37" fontId="2" fillId="0" borderId="0" xfId="24" applyNumberFormat="1" applyFont="1" applyAlignment="1">
      <alignment wrapText="1"/>
      <protection/>
    </xf>
    <xf numFmtId="37" fontId="2" fillId="0" borderId="0" xfId="24" applyNumberFormat="1" applyFont="1" applyFill="1" applyAlignment="1">
      <alignment wrapText="1"/>
      <protection/>
    </xf>
    <xf numFmtId="49" fontId="1" fillId="0" borderId="0" xfId="15" applyNumberFormat="1" applyFont="1" applyFill="1" applyBorder="1" applyAlignment="1">
      <alignment horizontal="center"/>
    </xf>
    <xf numFmtId="166" fontId="2" fillId="0" borderId="0" xfId="18" applyNumberFormat="1" applyFont="1" applyFill="1" applyAlignment="1">
      <alignment/>
    </xf>
    <xf numFmtId="44" fontId="2" fillId="0" borderId="0" xfId="18" applyFont="1" applyFill="1" applyBorder="1" applyAlignment="1">
      <alignment/>
    </xf>
    <xf numFmtId="41" fontId="2" fillId="0" borderId="0" xfId="18" applyNumberFormat="1" applyFont="1" applyFill="1" applyBorder="1" applyAlignment="1">
      <alignment/>
    </xf>
    <xf numFmtId="41" fontId="2" fillId="0" borderId="0" xfId="18" applyNumberFormat="1" applyFont="1" applyFill="1" applyAlignment="1">
      <alignment/>
    </xf>
    <xf numFmtId="41" fontId="2" fillId="0" borderId="0" xfId="24" applyNumberFormat="1" applyFont="1">
      <alignment/>
      <protection/>
    </xf>
    <xf numFmtId="41" fontId="2" fillId="0" borderId="1" xfId="24" applyNumberFormat="1" applyFont="1" applyBorder="1">
      <alignment/>
      <protection/>
    </xf>
    <xf numFmtId="41" fontId="1" fillId="0" borderId="0" xfId="15" applyNumberFormat="1" applyFont="1" applyFill="1" applyBorder="1" applyAlignment="1">
      <alignment horizontal="center"/>
    </xf>
    <xf numFmtId="41" fontId="1" fillId="0" borderId="0" xfId="22" applyNumberFormat="1" applyFont="1" applyFill="1" applyBorder="1" applyAlignment="1">
      <alignment horizontal="center"/>
      <protection/>
    </xf>
    <xf numFmtId="41" fontId="1" fillId="0" borderId="1" xfId="22" applyNumberFormat="1" applyFont="1" applyFill="1" applyBorder="1" applyAlignment="1">
      <alignment horizontal="center"/>
      <protection/>
    </xf>
    <xf numFmtId="41" fontId="2" fillId="0" borderId="0" xfId="25" applyNumberFormat="1" applyFont="1" applyFill="1" applyAlignment="1">
      <alignment/>
    </xf>
    <xf numFmtId="41" fontId="2" fillId="0" borderId="0" xfId="25" applyNumberFormat="1" applyFont="1" applyAlignment="1">
      <alignment/>
    </xf>
    <xf numFmtId="41" fontId="2" fillId="0" borderId="0" xfId="24" applyNumberFormat="1" applyFont="1" applyFill="1" applyBorder="1">
      <alignment/>
      <protection/>
    </xf>
    <xf numFmtId="41" fontId="2" fillId="0" borderId="1" xfId="24" applyNumberFormat="1" applyFont="1" applyFill="1" applyBorder="1">
      <alignment/>
      <protection/>
    </xf>
    <xf numFmtId="41" fontId="2" fillId="0" borderId="0" xfId="24" applyNumberFormat="1" applyFont="1" applyFill="1">
      <alignment/>
      <protection/>
    </xf>
    <xf numFmtId="41" fontId="2" fillId="0" borderId="0" xfId="25" applyNumberFormat="1" applyFont="1" applyFill="1" applyBorder="1" applyAlignment="1">
      <alignment/>
    </xf>
    <xf numFmtId="41" fontId="2" fillId="0" borderId="1" xfId="25" applyNumberFormat="1" applyFont="1" applyFill="1" applyBorder="1" applyAlignment="1">
      <alignment/>
    </xf>
    <xf numFmtId="4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38" fontId="2" fillId="0" borderId="0" xfId="0" applyNumberFormat="1" applyFont="1" applyAlignment="1">
      <alignment/>
    </xf>
    <xf numFmtId="167" fontId="2" fillId="0" borderId="5" xfId="18" applyNumberFormat="1" applyFont="1" applyBorder="1" applyAlignment="1">
      <alignment/>
    </xf>
    <xf numFmtId="10" fontId="0" fillId="0" borderId="0" xfId="25" applyNumberFormat="1" applyAlignment="1">
      <alignment/>
    </xf>
    <xf numFmtId="43" fontId="0" fillId="0" borderId="2" xfId="0" applyNumberFormat="1" applyBorder="1" applyAlignment="1">
      <alignment/>
    </xf>
    <xf numFmtId="10" fontId="0" fillId="0" borderId="2" xfId="2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Alignment="1">
      <alignment horizontal="left" indent="1"/>
    </xf>
    <xf numFmtId="43" fontId="0" fillId="0" borderId="2" xfId="15" applyNumberFormat="1" applyBorder="1" applyAlignment="1">
      <alignment/>
    </xf>
    <xf numFmtId="0" fontId="0" fillId="0" borderId="0" xfId="0" applyAlignment="1">
      <alignment horizontal="left"/>
    </xf>
    <xf numFmtId="43" fontId="0" fillId="0" borderId="3" xfId="15" applyNumberFormat="1" applyBorder="1" applyAlignment="1">
      <alignment/>
    </xf>
  </cellXfs>
  <cellStyles count="12">
    <cellStyle name="Normal" xfId="0"/>
    <cellStyle name="Comma" xfId="15"/>
    <cellStyle name="Comma [0]" xfId="16"/>
    <cellStyle name="Comma_SE.60 WSC G/L" xfId="17"/>
    <cellStyle name="Currency" xfId="18"/>
    <cellStyle name="Currency [0]" xfId="19"/>
    <cellStyle name="Followed Hyperlink" xfId="20"/>
    <cellStyle name="Hyperlink" xfId="21"/>
    <cellStyle name="Normal_salary.wp" xfId="22"/>
    <cellStyle name="Normal_SE.60 WSC G/L (2)" xfId="23"/>
    <cellStyle name="Normal_TRANS.RC.94.W/P.SA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.0.1.157\rate%20case%20dept\%20%20%20Transfer-Rate%20Case\KEW~_I\WSC%20of%20Kentucky\Case%20No.%202005-00325\Filing\160%20-%202005%20fil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.0.1.157\rate%20case%20dept\%20%20%20Transfer-Rate%20Case\KEW~_I\WSC%20of%20Kentucky\Case%20No.%202005-00325\Filing\Filing%20information\160%20-%202004%20WSC%20alloc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60%20-%202005%20fi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plnt category"/>
      <sheetName val="Control Panel"/>
      <sheetName val="COPY ELECTRONIC TB HERE"/>
      <sheetName val="TB - '04"/>
      <sheetName val="Sch.A-B.S"/>
      <sheetName val="Sch.B-I.S"/>
      <sheetName val="Sch.C-R.B"/>
      <sheetName val="Sch.D&amp;E-REV"/>
      <sheetName val="wp.a-uncoll"/>
      <sheetName val="wp-b-salary"/>
      <sheetName val="w.p-b1"/>
      <sheetName val="w.p-b2"/>
      <sheetName val="wp-c-allocations"/>
      <sheetName val="wp-d-rc.exp"/>
      <sheetName val="wp-e-toi"/>
      <sheetName val="wp-f-depr"/>
      <sheetName val="wp(g)-inc.tx"/>
      <sheetName val="wp.h-cap.struc"/>
      <sheetName val="wp-i-wc"/>
      <sheetName val="wp-j-pf.plant"/>
      <sheetName val="wp-k-retirements"/>
      <sheetName val="wp-l-gl plant additions"/>
      <sheetName val="wp-m-gl captime additions"/>
      <sheetName val="wp-o-restate-acq"/>
      <sheetName val="wp-p-restate(audit)"/>
      <sheetName val="wp-q City of Clinton"/>
      <sheetName val="wp-q(1) Clinton allocation"/>
      <sheetName val="wp-q(2) salary allocation"/>
      <sheetName val="wp-q(3) Clinton salary revised"/>
      <sheetName val="wp-q(4) Clinton trans exp"/>
      <sheetName val="xxxRate-Rev Comp"/>
    </sheetNames>
    <sheetDataSet>
      <sheetData sheetId="0">
        <row r="6">
          <cell r="G6" t="str">
            <v>WATER SERVICE CORPORATION OF KENTUCKY</v>
          </cell>
        </row>
      </sheetData>
      <sheetData sheetId="4">
        <row r="298">
          <cell r="F298">
            <v>-121266</v>
          </cell>
        </row>
        <row r="299">
          <cell r="F299">
            <v>391795.82</v>
          </cell>
        </row>
        <row r="300">
          <cell r="F300">
            <v>9730</v>
          </cell>
        </row>
        <row r="301">
          <cell r="F301">
            <v>117948.13</v>
          </cell>
        </row>
        <row r="339">
          <cell r="F339">
            <v>103251</v>
          </cell>
        </row>
        <row r="485">
          <cell r="F485">
            <v>47658.560000000005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 "/>
      <sheetName val="WSC Gen Ledger"/>
      <sheetName val="SUMM.COMPARE"/>
      <sheetName val="SE.51Computer"/>
      <sheetName val="SE.52 Gen Prop Ins."/>
      <sheetName val="SE.52 Excess Liab"/>
      <sheetName val="SE.52 Work Comp"/>
      <sheetName val="SE.52 Auto"/>
      <sheetName val="SE.52 Summ"/>
      <sheetName val="SE.60"/>
      <sheetName val="WSC RB Allocation"/>
      <sheetName val="Health Ins Dist"/>
      <sheetName val="CUST.EQUIV"/>
      <sheetName val="Codes 1-3"/>
      <sheetName val="Code 4"/>
      <sheetName val="Code 5"/>
      <sheetName val="Code 6"/>
      <sheetName val="Code 11"/>
      <sheetName val="WSC Salary breakout"/>
      <sheetName val="JE.51"/>
      <sheetName val="JE52"/>
      <sheetName val="JE.60"/>
      <sheetName val="JE for SE60"/>
      <sheetName val="se60.upload.1"/>
      <sheetName val="se60.upload.2"/>
      <sheetName val="se60.upload.3"/>
      <sheetName val="se60.upload.4"/>
      <sheetName val="se60.upload.5"/>
    </sheetNames>
    <sheetDataSet>
      <sheetData sheetId="3">
        <row r="10">
          <cell r="CQ10">
            <v>9730</v>
          </cell>
        </row>
        <row r="11">
          <cell r="CQ11">
            <v>2727</v>
          </cell>
        </row>
        <row r="12">
          <cell r="CQ12">
            <v>1021</v>
          </cell>
        </row>
        <row r="13">
          <cell r="CQ13">
            <v>385</v>
          </cell>
        </row>
        <row r="14">
          <cell r="CQ14">
            <v>949</v>
          </cell>
        </row>
        <row r="15">
          <cell r="CQ15">
            <v>734</v>
          </cell>
        </row>
        <row r="16">
          <cell r="CQ16">
            <v>1141</v>
          </cell>
        </row>
        <row r="17">
          <cell r="CQ17">
            <v>0</v>
          </cell>
        </row>
        <row r="18">
          <cell r="CQ18">
            <v>2435</v>
          </cell>
        </row>
      </sheetData>
      <sheetData sheetId="8">
        <row r="103">
          <cell r="D103">
            <v>67228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plnt category"/>
      <sheetName val="Control Panel"/>
      <sheetName val="COPY ELECTRONIC TB HERE"/>
      <sheetName val="TB - '04"/>
      <sheetName val="Sch.A-B.S"/>
      <sheetName val="Sch.B-I.S"/>
      <sheetName val="Sch.C-R.B"/>
      <sheetName val="Sch.D&amp;E-REV"/>
      <sheetName val="wp.a-uncoll"/>
      <sheetName val="wp-b-salary"/>
      <sheetName val="w.p-b1"/>
      <sheetName val="w.p-b2"/>
      <sheetName val="wp-c-allocations"/>
      <sheetName val="wp-d-rc.exp"/>
      <sheetName val="wp-e-toi"/>
      <sheetName val="wp-f-depr"/>
      <sheetName val="wp(g)-inc.tx"/>
      <sheetName val="wp.h-cap.struc"/>
      <sheetName val="wp-i-wc"/>
      <sheetName val="wp-j-pf.plant"/>
      <sheetName val="wp-k-retirements"/>
      <sheetName val="wp-l-gl plant additions"/>
      <sheetName val="wp-m-gl captime additions"/>
      <sheetName val="wp-o-restate-acq"/>
      <sheetName val="wp-p-restate(audit)"/>
      <sheetName val="wp-q City of Clinton"/>
      <sheetName val="wp-q(1) Clinton allocation"/>
      <sheetName val="wp-q(2) salary allocation"/>
      <sheetName val="wp-q(3) Clinton salary revised"/>
      <sheetName val="wp-q(4) Clinton trans exp"/>
      <sheetName val="xxxRate-Rev Comp"/>
    </sheetNames>
    <sheetDataSet>
      <sheetData sheetId="4">
        <row r="69">
          <cell r="K69">
            <v>6955806.8100000005</v>
          </cell>
        </row>
        <row r="101">
          <cell r="K101">
            <v>-3084261.0300000003</v>
          </cell>
        </row>
        <row r="183">
          <cell r="I183">
            <v>-340920</v>
          </cell>
        </row>
        <row r="190">
          <cell r="I190">
            <v>-17226</v>
          </cell>
        </row>
        <row r="216">
          <cell r="I216">
            <v>-114589.1</v>
          </cell>
        </row>
        <row r="230">
          <cell r="K230">
            <v>-113080.53</v>
          </cell>
        </row>
        <row r="241">
          <cell r="K241">
            <v>-77879.59000000001</v>
          </cell>
        </row>
        <row r="278">
          <cell r="F278">
            <v>85614.24</v>
          </cell>
        </row>
        <row r="288">
          <cell r="F288">
            <v>42516.5</v>
          </cell>
        </row>
        <row r="293">
          <cell r="F293">
            <v>79314.56</v>
          </cell>
        </row>
        <row r="303">
          <cell r="F303">
            <v>398207.95</v>
          </cell>
        </row>
        <row r="322">
          <cell r="F322">
            <v>18869.63</v>
          </cell>
        </row>
        <row r="339">
          <cell r="F339">
            <v>103251</v>
          </cell>
        </row>
        <row r="341">
          <cell r="F341">
            <v>68321</v>
          </cell>
        </row>
        <row r="348">
          <cell r="F348">
            <v>18492.48</v>
          </cell>
        </row>
        <row r="368">
          <cell r="F368">
            <v>38023.42</v>
          </cell>
        </row>
        <row r="381">
          <cell r="F381">
            <v>32058.9</v>
          </cell>
        </row>
        <row r="389">
          <cell r="F389">
            <v>7290.97</v>
          </cell>
        </row>
        <row r="397">
          <cell r="F397">
            <v>2985.1900000000005</v>
          </cell>
        </row>
        <row r="405">
          <cell r="F405">
            <v>51437.630000000005</v>
          </cell>
        </row>
        <row r="432">
          <cell r="F432">
            <v>68593.46</v>
          </cell>
        </row>
        <row r="438">
          <cell r="F438">
            <v>16319.69</v>
          </cell>
        </row>
        <row r="445">
          <cell r="F445">
            <v>26615.21</v>
          </cell>
        </row>
        <row r="485">
          <cell r="F485">
            <v>47658.560000000005</v>
          </cell>
        </row>
        <row r="493">
          <cell r="F493">
            <v>88729.25</v>
          </cell>
        </row>
      </sheetData>
      <sheetData sheetId="7">
        <row r="13">
          <cell r="F13">
            <v>6994408.130000001</v>
          </cell>
        </row>
        <row r="14">
          <cell r="F14">
            <v>-2581408.09605</v>
          </cell>
        </row>
        <row r="16">
          <cell r="F16">
            <v>148617</v>
          </cell>
        </row>
        <row r="17">
          <cell r="F17">
            <v>-58028.94790000001</v>
          </cell>
        </row>
        <row r="18">
          <cell r="F18">
            <v>-92599.44210000001</v>
          </cell>
        </row>
        <row r="19">
          <cell r="F19">
            <v>-358146</v>
          </cell>
        </row>
        <row r="20">
          <cell r="F20">
            <v>-114589.1</v>
          </cell>
        </row>
        <row r="23">
          <cell r="F23">
            <v>43029.19240199999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48">
      <selection activeCell="H75" sqref="H75"/>
    </sheetView>
  </sheetViews>
  <sheetFormatPr defaultColWidth="9.140625" defaultRowHeight="12.75"/>
  <cols>
    <col min="1" max="1" width="19.57421875" style="0" bestFit="1" customWidth="1"/>
    <col min="6" max="6" width="13.140625" style="0" customWidth="1"/>
    <col min="7" max="7" width="4.8515625" style="0" customWidth="1"/>
    <col min="8" max="8" width="13.7109375" style="0" customWidth="1"/>
    <col min="9" max="9" width="4.8515625" style="118" customWidth="1"/>
    <col min="10" max="10" width="13.8515625" style="72" customWidth="1"/>
    <col min="11" max="11" width="12.8515625" style="0" bestFit="1" customWidth="1"/>
    <col min="12" max="12" width="11.28125" style="0" bestFit="1" customWidth="1"/>
  </cols>
  <sheetData>
    <row r="1" spans="1:10" ht="15">
      <c r="A1" s="1" t="s">
        <v>38</v>
      </c>
      <c r="B1" s="2"/>
      <c r="C1" s="3"/>
      <c r="D1" s="3"/>
      <c r="E1" s="3"/>
      <c r="F1" s="3"/>
      <c r="G1" s="3"/>
      <c r="H1" s="4"/>
      <c r="I1" s="111"/>
      <c r="J1" s="49"/>
    </row>
    <row r="2" spans="1:10" ht="15">
      <c r="A2" s="1" t="s">
        <v>39</v>
      </c>
      <c r="B2" s="3"/>
      <c r="C2" s="3"/>
      <c r="D2" s="3"/>
      <c r="E2" s="3"/>
      <c r="F2" s="3"/>
      <c r="G2" s="3"/>
      <c r="H2" s="4"/>
      <c r="I2" s="111"/>
      <c r="J2" s="50"/>
    </row>
    <row r="3" spans="1:10" ht="15">
      <c r="A3" s="75">
        <v>38352</v>
      </c>
      <c r="B3" s="3"/>
      <c r="C3" s="3"/>
      <c r="D3" s="3"/>
      <c r="E3" s="3"/>
      <c r="F3" s="3"/>
      <c r="G3" s="3"/>
      <c r="H3" s="4"/>
      <c r="I3" s="111"/>
      <c r="J3" s="51"/>
    </row>
    <row r="4" spans="1:10" ht="15">
      <c r="A4" s="193" t="s">
        <v>329</v>
      </c>
      <c r="B4" s="3"/>
      <c r="C4" s="3"/>
      <c r="D4" s="3"/>
      <c r="E4" s="3"/>
      <c r="F4" s="3"/>
      <c r="G4" s="3"/>
      <c r="H4" s="4"/>
      <c r="I4" s="111"/>
      <c r="J4" s="51"/>
    </row>
    <row r="5" spans="1:10" ht="15">
      <c r="A5" s="6"/>
      <c r="B5" s="3"/>
      <c r="C5" s="3"/>
      <c r="D5" s="3"/>
      <c r="E5" s="3"/>
      <c r="F5" s="3"/>
      <c r="G5" s="3"/>
      <c r="H5" s="4"/>
      <c r="I5" s="111"/>
      <c r="J5" s="51"/>
    </row>
    <row r="6" spans="1:10" ht="15">
      <c r="A6" s="6"/>
      <c r="B6" s="3"/>
      <c r="C6" s="3"/>
      <c r="D6" s="3"/>
      <c r="E6" s="3"/>
      <c r="F6" s="3"/>
      <c r="G6" s="3"/>
      <c r="H6" s="4"/>
      <c r="I6" s="111"/>
      <c r="J6" s="51"/>
    </row>
    <row r="7" spans="1:10" ht="15">
      <c r="A7" s="7"/>
      <c r="B7" s="5"/>
      <c r="C7" s="5"/>
      <c r="D7" s="5"/>
      <c r="E7" s="5"/>
      <c r="F7" s="5" t="s">
        <v>0</v>
      </c>
      <c r="G7" s="5"/>
      <c r="H7" s="7" t="s">
        <v>40</v>
      </c>
      <c r="I7" s="111"/>
      <c r="J7" s="52" t="s">
        <v>41</v>
      </c>
    </row>
    <row r="8" spans="1:10" ht="15">
      <c r="A8" s="7"/>
      <c r="B8" s="5"/>
      <c r="C8" s="5"/>
      <c r="D8" s="5"/>
      <c r="E8" s="5"/>
      <c r="F8" s="8" t="s">
        <v>40</v>
      </c>
      <c r="G8" s="5"/>
      <c r="H8" s="9" t="s">
        <v>1</v>
      </c>
      <c r="I8" s="111"/>
      <c r="J8" s="53" t="s">
        <v>42</v>
      </c>
    </row>
    <row r="9" spans="1:10" ht="15">
      <c r="A9" s="10" t="s">
        <v>2</v>
      </c>
      <c r="B9" s="11"/>
      <c r="C9" s="11"/>
      <c r="D9" s="3"/>
      <c r="E9" s="3"/>
      <c r="F9" s="3"/>
      <c r="G9" s="3"/>
      <c r="H9" s="4"/>
      <c r="I9" s="111"/>
      <c r="J9" s="51"/>
    </row>
    <row r="10" spans="1:10" ht="15">
      <c r="A10" s="12"/>
      <c r="B10" s="3" t="s">
        <v>3</v>
      </c>
      <c r="C10" s="3"/>
      <c r="D10" s="3"/>
      <c r="E10" s="13"/>
      <c r="F10" s="14">
        <v>1378946.55</v>
      </c>
      <c r="G10" s="13"/>
      <c r="H10" s="45">
        <f>+J10-F10</f>
        <v>0.11999999987892807</v>
      </c>
      <c r="I10" s="111"/>
      <c r="J10" s="54">
        <v>1378946.67</v>
      </c>
    </row>
    <row r="11" spans="1:10" ht="15">
      <c r="A11" s="12"/>
      <c r="B11" s="3" t="s">
        <v>4</v>
      </c>
      <c r="C11" s="3"/>
      <c r="D11" s="3"/>
      <c r="E11" s="13"/>
      <c r="F11" s="44">
        <v>0</v>
      </c>
      <c r="G11" s="16"/>
      <c r="H11" s="77">
        <v>0</v>
      </c>
      <c r="I11" s="112"/>
      <c r="J11" s="55">
        <f>SUM(F11:H11)</f>
        <v>0</v>
      </c>
    </row>
    <row r="12" spans="1:10" ht="15">
      <c r="A12" s="12"/>
      <c r="B12" s="3" t="s">
        <v>5</v>
      </c>
      <c r="C12" s="3"/>
      <c r="D12" s="3"/>
      <c r="E12" s="3"/>
      <c r="F12" s="15">
        <v>36737.66</v>
      </c>
      <c r="G12" s="15"/>
      <c r="H12" s="40">
        <f>+J12-F12</f>
        <v>0.3600000000005821</v>
      </c>
      <c r="I12" s="112"/>
      <c r="J12" s="56">
        <f>32918.68+3819.34</f>
        <v>36738.020000000004</v>
      </c>
    </row>
    <row r="13" spans="1:10" ht="15">
      <c r="A13" s="12"/>
      <c r="B13" s="3" t="s">
        <v>6</v>
      </c>
      <c r="C13" s="3"/>
      <c r="D13" s="3"/>
      <c r="E13" s="3"/>
      <c r="F13" s="15">
        <v>-16783</v>
      </c>
      <c r="G13" s="15"/>
      <c r="H13" s="17">
        <f>+J13-F13</f>
        <v>-17.229999999999563</v>
      </c>
      <c r="I13" s="112">
        <v>-1</v>
      </c>
      <c r="J13" s="56">
        <v>-16800.23</v>
      </c>
    </row>
    <row r="14" spans="1:10" ht="15">
      <c r="A14" s="4"/>
      <c r="B14" s="3"/>
      <c r="C14" s="3"/>
      <c r="D14" s="3"/>
      <c r="E14" s="3"/>
      <c r="F14" s="18"/>
      <c r="G14" s="15"/>
      <c r="H14" s="19"/>
      <c r="I14" s="112"/>
      <c r="J14" s="57"/>
    </row>
    <row r="15" spans="1:12" ht="15">
      <c r="A15" s="4" t="s">
        <v>7</v>
      </c>
      <c r="B15" s="3"/>
      <c r="C15" s="3"/>
      <c r="D15" s="3"/>
      <c r="E15" s="13"/>
      <c r="F15" s="20">
        <f>SUM(F9:F13)</f>
        <v>1398901.21</v>
      </c>
      <c r="G15" s="21"/>
      <c r="H15" s="38">
        <f>+J15-F15</f>
        <v>-16.75</v>
      </c>
      <c r="I15" s="113"/>
      <c r="J15" s="58">
        <f>SUM(J9:J13)</f>
        <v>1398884.46</v>
      </c>
      <c r="L15" s="39"/>
    </row>
    <row r="16" spans="1:10" ht="15">
      <c r="A16" s="4"/>
      <c r="B16" s="3"/>
      <c r="C16" s="3"/>
      <c r="D16" s="3"/>
      <c r="E16" s="3"/>
      <c r="F16" s="15"/>
      <c r="G16" s="15"/>
      <c r="H16" s="17"/>
      <c r="I16" s="112"/>
      <c r="J16" s="59"/>
    </row>
    <row r="17" spans="1:10" ht="15">
      <c r="A17" s="10" t="s">
        <v>8</v>
      </c>
      <c r="B17" s="11"/>
      <c r="C17" s="11"/>
      <c r="D17" s="23"/>
      <c r="E17" s="3"/>
      <c r="F17" s="15"/>
      <c r="G17" s="15"/>
      <c r="H17" s="17"/>
      <c r="I17" s="112"/>
      <c r="J17" s="59"/>
    </row>
    <row r="18" spans="1:12" ht="15">
      <c r="A18" s="4"/>
      <c r="B18" s="3" t="s">
        <v>9</v>
      </c>
      <c r="C18" s="3"/>
      <c r="D18" s="3"/>
      <c r="E18" s="4"/>
      <c r="F18" s="24">
        <v>391796</v>
      </c>
      <c r="G18" s="25"/>
      <c r="H18" s="43">
        <f aca="true" t="shared" si="0" ref="H18:H27">+J18-F18</f>
        <v>0</v>
      </c>
      <c r="I18" s="113"/>
      <c r="J18" s="60">
        <v>391796</v>
      </c>
      <c r="L18" s="39"/>
    </row>
    <row r="19" spans="1:12" ht="15">
      <c r="A19" s="4"/>
      <c r="B19" s="3" t="s">
        <v>10</v>
      </c>
      <c r="C19" s="3"/>
      <c r="D19" s="3"/>
      <c r="E19" s="4"/>
      <c r="F19" s="17">
        <v>42517</v>
      </c>
      <c r="G19" s="15"/>
      <c r="H19" s="41">
        <f>+J19-F19+0.5</f>
        <v>0</v>
      </c>
      <c r="I19" s="112"/>
      <c r="J19" s="61">
        <v>42516.5</v>
      </c>
      <c r="L19" s="39"/>
    </row>
    <row r="20" spans="1:12" ht="15">
      <c r="A20" s="4"/>
      <c r="B20" s="3" t="s">
        <v>43</v>
      </c>
      <c r="C20" s="3"/>
      <c r="D20" s="3"/>
      <c r="E20" s="4"/>
      <c r="F20" s="17">
        <v>85614</v>
      </c>
      <c r="G20" s="15"/>
      <c r="H20" s="42">
        <f t="shared" si="0"/>
        <v>0.2400000000052387</v>
      </c>
      <c r="I20" s="112"/>
      <c r="J20" s="61">
        <v>85614.24</v>
      </c>
      <c r="L20" s="39"/>
    </row>
    <row r="21" spans="1:10" ht="15">
      <c r="A21" s="4"/>
      <c r="B21" s="3" t="s">
        <v>11</v>
      </c>
      <c r="C21" s="3"/>
      <c r="D21" s="3"/>
      <c r="E21" s="4"/>
      <c r="F21" s="17">
        <v>120028</v>
      </c>
      <c r="G21" s="15"/>
      <c r="H21" s="17">
        <f t="shared" si="0"/>
        <v>43.089999999981956</v>
      </c>
      <c r="I21" s="112">
        <v>-4</v>
      </c>
      <c r="J21" s="61">
        <f>40945.7+51437.63+27687.76</f>
        <v>120071.08999999998</v>
      </c>
    </row>
    <row r="22" spans="1:10" ht="15">
      <c r="A22" s="4"/>
      <c r="B22" s="3" t="s">
        <v>12</v>
      </c>
      <c r="C22" s="3"/>
      <c r="D22" s="3"/>
      <c r="E22" s="4"/>
      <c r="F22" s="17">
        <v>16319.5</v>
      </c>
      <c r="G22" s="15"/>
      <c r="H22" s="43">
        <f t="shared" si="0"/>
        <v>0.19000000000050932</v>
      </c>
      <c r="I22" s="112"/>
      <c r="J22" s="61">
        <v>16319.69</v>
      </c>
    </row>
    <row r="23" spans="1:10" ht="15">
      <c r="A23" s="4"/>
      <c r="B23" s="3" t="s">
        <v>13</v>
      </c>
      <c r="C23" s="3"/>
      <c r="D23" s="3"/>
      <c r="E23" s="4"/>
      <c r="F23" s="43">
        <f>F87+F150</f>
        <v>0</v>
      </c>
      <c r="G23" s="15"/>
      <c r="H23" s="43">
        <v>0</v>
      </c>
      <c r="I23" s="112"/>
      <c r="J23" s="62">
        <f>F23+H23</f>
        <v>0</v>
      </c>
    </row>
    <row r="24" spans="1:10" ht="15">
      <c r="A24" s="4"/>
      <c r="B24" s="3" t="s">
        <v>14</v>
      </c>
      <c r="C24" s="3"/>
      <c r="D24" s="3"/>
      <c r="E24" s="4"/>
      <c r="F24" s="17">
        <v>79314.5</v>
      </c>
      <c r="G24" s="15"/>
      <c r="H24" s="43">
        <f t="shared" si="0"/>
        <v>0.059999999997671694</v>
      </c>
      <c r="I24" s="112"/>
      <c r="J24" s="61">
        <v>79314.56</v>
      </c>
    </row>
    <row r="25" spans="1:10" ht="15">
      <c r="A25" s="4"/>
      <c r="B25" s="3" t="s">
        <v>15</v>
      </c>
      <c r="C25" s="3"/>
      <c r="D25" s="3"/>
      <c r="E25" s="4"/>
      <c r="F25" s="17">
        <v>26615</v>
      </c>
      <c r="G25" s="15"/>
      <c r="H25" s="43">
        <f t="shared" si="0"/>
        <v>0.20999999999912689</v>
      </c>
      <c r="I25" s="112"/>
      <c r="J25" s="61">
        <v>26615.21</v>
      </c>
    </row>
    <row r="26" spans="1:10" ht="15">
      <c r="A26" s="4"/>
      <c r="B26" s="3" t="s">
        <v>16</v>
      </c>
      <c r="C26" s="3"/>
      <c r="D26" s="3"/>
      <c r="E26" s="4"/>
      <c r="F26" s="17">
        <v>-121265.5</v>
      </c>
      <c r="G26" s="15"/>
      <c r="H26" s="43">
        <f>+J26-F26+0.5</f>
        <v>0</v>
      </c>
      <c r="I26" s="112"/>
      <c r="J26" s="62">
        <v>-121266</v>
      </c>
    </row>
    <row r="27" spans="1:10" ht="15">
      <c r="A27" s="4"/>
      <c r="B27" s="3" t="s">
        <v>17</v>
      </c>
      <c r="C27" s="3"/>
      <c r="D27" s="3"/>
      <c r="E27" s="4"/>
      <c r="F27" s="17">
        <v>18260.5</v>
      </c>
      <c r="G27" s="15"/>
      <c r="H27" s="17">
        <f t="shared" si="0"/>
        <v>609.130000000001</v>
      </c>
      <c r="I27" s="112">
        <v>-2</v>
      </c>
      <c r="J27" s="61">
        <f>13827+2727+1930.63+385</f>
        <v>18869.63</v>
      </c>
    </row>
    <row r="28" spans="1:10" ht="15">
      <c r="A28" s="4"/>
      <c r="B28" s="3"/>
      <c r="C28" s="3"/>
      <c r="D28" s="3"/>
      <c r="E28" s="4"/>
      <c r="F28" s="19"/>
      <c r="G28" s="15"/>
      <c r="H28" s="19"/>
      <c r="I28" s="112"/>
      <c r="J28" s="57"/>
    </row>
    <row r="29" spans="1:12" ht="15">
      <c r="A29" s="4"/>
      <c r="B29" s="3" t="s">
        <v>18</v>
      </c>
      <c r="C29" s="3"/>
      <c r="D29" s="3"/>
      <c r="E29" s="26"/>
      <c r="F29" s="22">
        <f>SUM(F18:F27)</f>
        <v>659199</v>
      </c>
      <c r="G29" s="21"/>
      <c r="H29" s="22">
        <f>+H21+H27</f>
        <v>652.219999999983</v>
      </c>
      <c r="I29" s="113"/>
      <c r="J29" s="58">
        <f>+J18+J19+J20+J21+J22+J24+J25+J26+J27</f>
        <v>659850.9199999998</v>
      </c>
      <c r="L29" s="39"/>
    </row>
    <row r="30" spans="1:11" ht="15">
      <c r="A30" s="4"/>
      <c r="B30" s="3"/>
      <c r="C30" s="3"/>
      <c r="D30" s="3"/>
      <c r="E30" s="4"/>
      <c r="F30" s="27"/>
      <c r="G30" s="15"/>
      <c r="H30" s="27"/>
      <c r="I30" s="112"/>
      <c r="J30" s="63"/>
      <c r="K30" s="46"/>
    </row>
    <row r="31" spans="1:10" ht="15">
      <c r="A31" s="10" t="s">
        <v>19</v>
      </c>
      <c r="B31" s="11"/>
      <c r="C31" s="11"/>
      <c r="D31" s="23"/>
      <c r="E31" s="4"/>
      <c r="F31" s="17"/>
      <c r="G31" s="15"/>
      <c r="H31" s="17"/>
      <c r="I31" s="112"/>
      <c r="J31" s="59"/>
    </row>
    <row r="32" spans="1:10" ht="15">
      <c r="A32" s="4"/>
      <c r="B32" s="3" t="s">
        <v>9</v>
      </c>
      <c r="C32" s="3"/>
      <c r="D32" s="3"/>
      <c r="E32" s="26"/>
      <c r="F32" s="24">
        <v>127678.35</v>
      </c>
      <c r="G32" s="21"/>
      <c r="H32" s="73">
        <f>+J32-F32</f>
        <v>-0.35000000000582077</v>
      </c>
      <c r="I32" s="113"/>
      <c r="J32" s="60">
        <v>127678</v>
      </c>
    </row>
    <row r="33" spans="1:10" ht="15">
      <c r="A33" s="4"/>
      <c r="B33" s="3" t="s">
        <v>20</v>
      </c>
      <c r="C33" s="3"/>
      <c r="D33" s="3"/>
      <c r="E33" s="3"/>
      <c r="F33" s="17">
        <v>44800</v>
      </c>
      <c r="G33" s="15"/>
      <c r="H33" s="17">
        <f>+J33-F33</f>
        <v>474.3899999999994</v>
      </c>
      <c r="I33" s="112">
        <v>-7</v>
      </c>
      <c r="J33" s="61">
        <f>1059.6+734+3393.54+32836.28+7250.97</f>
        <v>45274.39</v>
      </c>
    </row>
    <row r="34" spans="1:10" ht="15">
      <c r="A34" s="4"/>
      <c r="B34" s="3" t="s">
        <v>21</v>
      </c>
      <c r="C34" s="3"/>
      <c r="D34" s="3"/>
      <c r="E34" s="3"/>
      <c r="F34" s="43">
        <f>F98+F161</f>
        <v>0</v>
      </c>
      <c r="G34" s="44"/>
      <c r="H34" s="43">
        <f aca="true" t="shared" si="1" ref="H34:H39">+J34-F34</f>
        <v>0</v>
      </c>
      <c r="I34" s="114"/>
      <c r="J34" s="74">
        <v>0</v>
      </c>
    </row>
    <row r="35" spans="1:10" ht="15">
      <c r="A35" s="4"/>
      <c r="B35" s="3" t="s">
        <v>22</v>
      </c>
      <c r="C35" s="3"/>
      <c r="D35" s="3"/>
      <c r="E35" s="3"/>
      <c r="F35" s="17">
        <v>103251.35</v>
      </c>
      <c r="G35" s="15"/>
      <c r="H35" s="43">
        <f t="shared" si="1"/>
        <v>-0.35000000000582077</v>
      </c>
      <c r="I35" s="112"/>
      <c r="J35" s="61">
        <v>103251</v>
      </c>
    </row>
    <row r="36" spans="1:10" ht="15">
      <c r="A36" s="4"/>
      <c r="B36" s="3" t="s">
        <v>23</v>
      </c>
      <c r="C36" s="3"/>
      <c r="D36" s="3"/>
      <c r="E36" s="3"/>
      <c r="F36" s="17">
        <v>18492</v>
      </c>
      <c r="G36" s="15"/>
      <c r="H36" s="43">
        <f t="shared" si="1"/>
        <v>0.47999999999956344</v>
      </c>
      <c r="I36" s="112"/>
      <c r="J36" s="61">
        <v>18492.48</v>
      </c>
    </row>
    <row r="37" spans="1:10" ht="15">
      <c r="A37" s="4"/>
      <c r="B37" s="3" t="s">
        <v>24</v>
      </c>
      <c r="C37" s="3"/>
      <c r="D37" s="3"/>
      <c r="E37" s="3"/>
      <c r="F37" s="17">
        <v>67228</v>
      </c>
      <c r="G37" s="15"/>
      <c r="H37" s="17">
        <f t="shared" si="1"/>
        <v>1093</v>
      </c>
      <c r="I37" s="112">
        <v>-3</v>
      </c>
      <c r="J37" s="61">
        <v>68321</v>
      </c>
    </row>
    <row r="38" spans="1:10" ht="15">
      <c r="A38" s="4"/>
      <c r="B38" s="3" t="s">
        <v>25</v>
      </c>
      <c r="C38" s="3"/>
      <c r="D38" s="3"/>
      <c r="E38" s="3"/>
      <c r="F38" s="17">
        <v>32001</v>
      </c>
      <c r="G38" s="15"/>
      <c r="H38" s="17">
        <f t="shared" si="1"/>
        <v>57.900000000001455</v>
      </c>
      <c r="I38" s="112">
        <v>-5</v>
      </c>
      <c r="J38" s="61">
        <v>32058.9</v>
      </c>
    </row>
    <row r="39" spans="1:10" ht="15">
      <c r="A39" s="4"/>
      <c r="B39" s="3" t="s">
        <v>26</v>
      </c>
      <c r="C39" s="3"/>
      <c r="D39" s="3"/>
      <c r="E39" s="3"/>
      <c r="F39" s="17">
        <v>-18</v>
      </c>
      <c r="G39" s="15"/>
      <c r="H39" s="17">
        <f t="shared" si="1"/>
        <v>452.19000000000005</v>
      </c>
      <c r="I39" s="112">
        <v>-8</v>
      </c>
      <c r="J39" s="61">
        <f>2985.19-346-2205</f>
        <v>434.19000000000005</v>
      </c>
    </row>
    <row r="40" spans="1:10" ht="15">
      <c r="A40" s="4"/>
      <c r="B40" s="3"/>
      <c r="C40" s="3"/>
      <c r="D40" s="3"/>
      <c r="E40" s="3"/>
      <c r="F40" s="18"/>
      <c r="G40" s="15"/>
      <c r="H40" s="19"/>
      <c r="I40" s="112"/>
      <c r="J40" s="57"/>
    </row>
    <row r="41" spans="1:10" ht="15">
      <c r="A41" s="4"/>
      <c r="B41" s="3" t="s">
        <v>18</v>
      </c>
      <c r="C41" s="3"/>
      <c r="D41" s="3"/>
      <c r="E41" s="13"/>
      <c r="F41" s="20">
        <f>SUM(F32:F40)</f>
        <v>393432.7</v>
      </c>
      <c r="G41" s="21"/>
      <c r="H41" s="22">
        <f>SUM(H32:H40)</f>
        <v>2077.259999999989</v>
      </c>
      <c r="I41" s="113"/>
      <c r="J41" s="58">
        <f>SUM(J32:J40)</f>
        <v>395509.96</v>
      </c>
    </row>
    <row r="42" spans="1:10" ht="15">
      <c r="A42" s="4"/>
      <c r="B42" s="4"/>
      <c r="C42" s="4"/>
      <c r="D42" s="4"/>
      <c r="E42" s="4"/>
      <c r="F42" s="27"/>
      <c r="G42" s="17"/>
      <c r="H42" s="27"/>
      <c r="I42" s="112"/>
      <c r="J42" s="64"/>
    </row>
    <row r="43" spans="1:10" ht="15">
      <c r="A43" s="4" t="s">
        <v>27</v>
      </c>
      <c r="B43" s="4"/>
      <c r="C43" s="4"/>
      <c r="D43" s="4"/>
      <c r="E43" s="4"/>
      <c r="F43" s="24">
        <v>183353.5</v>
      </c>
      <c r="G43" s="24"/>
      <c r="H43" s="73">
        <f aca="true" t="shared" si="2" ref="H43:H49">+J43-F43</f>
        <v>0.4299999999930151</v>
      </c>
      <c r="I43" s="115"/>
      <c r="J43" s="60">
        <v>183353.93</v>
      </c>
    </row>
    <row r="44" spans="1:10" ht="15">
      <c r="A44" s="4" t="s">
        <v>28</v>
      </c>
      <c r="B44" s="4"/>
      <c r="C44" s="4"/>
      <c r="D44" s="4"/>
      <c r="E44" s="4"/>
      <c r="F44" s="17">
        <v>136301.5</v>
      </c>
      <c r="G44" s="17"/>
      <c r="H44" s="17">
        <f t="shared" si="2"/>
        <v>86.30999999999767</v>
      </c>
      <c r="I44" s="116">
        <v>-6</v>
      </c>
      <c r="J44" s="61">
        <f>47658.56+88729.25</f>
        <v>136387.81</v>
      </c>
    </row>
    <row r="45" spans="1:10" ht="15">
      <c r="A45" s="4" t="s">
        <v>29</v>
      </c>
      <c r="B45" s="3"/>
      <c r="C45" s="3"/>
      <c r="D45" s="3"/>
      <c r="E45" s="3"/>
      <c r="F45" s="17">
        <v>-5795</v>
      </c>
      <c r="G45" s="15"/>
      <c r="H45" s="43">
        <f t="shared" si="2"/>
        <v>0</v>
      </c>
      <c r="I45" s="112"/>
      <c r="J45" s="61">
        <f>-173228+167433</f>
        <v>-5795</v>
      </c>
    </row>
    <row r="46" spans="1:10" ht="15">
      <c r="A46" s="4" t="s">
        <v>30</v>
      </c>
      <c r="B46" s="3"/>
      <c r="C46" s="3"/>
      <c r="D46" s="3"/>
      <c r="E46" s="3"/>
      <c r="F46" s="17">
        <v>12270</v>
      </c>
      <c r="G46" s="15"/>
      <c r="H46" s="43">
        <f t="shared" si="2"/>
        <v>0.1000000000003638</v>
      </c>
      <c r="I46" s="112"/>
      <c r="J46" s="61">
        <f>11395+875.1</f>
        <v>12270.1</v>
      </c>
    </row>
    <row r="47" spans="1:10" ht="15">
      <c r="A47" s="4" t="s">
        <v>45</v>
      </c>
      <c r="B47" s="3"/>
      <c r="C47" s="3"/>
      <c r="D47" s="3"/>
      <c r="E47" s="3"/>
      <c r="F47" s="17">
        <v>-102670</v>
      </c>
      <c r="G47" s="15"/>
      <c r="H47" s="40">
        <f t="shared" si="2"/>
        <v>0</v>
      </c>
      <c r="I47" s="112"/>
      <c r="J47" s="61">
        <v>-102670</v>
      </c>
    </row>
    <row r="48" spans="1:10" ht="15">
      <c r="A48" s="4" t="s">
        <v>31</v>
      </c>
      <c r="B48" s="3"/>
      <c r="C48" s="3"/>
      <c r="D48" s="3"/>
      <c r="E48" s="3"/>
      <c r="F48" s="43">
        <v>0</v>
      </c>
      <c r="G48" s="15"/>
      <c r="H48" s="17">
        <f t="shared" si="2"/>
        <v>-3660.48</v>
      </c>
      <c r="I48" s="112" t="s">
        <v>250</v>
      </c>
      <c r="J48" s="61">
        <v>-3660.48</v>
      </c>
    </row>
    <row r="49" spans="1:10" ht="15">
      <c r="A49" s="4" t="s">
        <v>44</v>
      </c>
      <c r="B49" s="3"/>
      <c r="C49" s="3"/>
      <c r="D49" s="3"/>
      <c r="E49" s="3"/>
      <c r="F49" s="17">
        <v>-1628</v>
      </c>
      <c r="G49" s="15"/>
      <c r="H49" s="43">
        <f t="shared" si="2"/>
        <v>-0.16000000000008185</v>
      </c>
      <c r="I49" s="116"/>
      <c r="J49" s="61">
        <v>-1628.16</v>
      </c>
    </row>
    <row r="50" spans="1:10" ht="15">
      <c r="A50" s="4"/>
      <c r="B50" s="3"/>
      <c r="C50" s="3"/>
      <c r="D50" s="3"/>
      <c r="E50" s="3"/>
      <c r="F50" s="18"/>
      <c r="G50" s="15"/>
      <c r="H50" s="19"/>
      <c r="I50" s="112"/>
      <c r="J50" s="65"/>
    </row>
    <row r="51" spans="1:11" ht="15">
      <c r="A51" s="4"/>
      <c r="B51" s="3" t="s">
        <v>32</v>
      </c>
      <c r="C51" s="3"/>
      <c r="D51" s="3"/>
      <c r="E51" s="13"/>
      <c r="F51" s="20">
        <f>SUM(F43:F50)</f>
        <v>221832</v>
      </c>
      <c r="G51" s="21"/>
      <c r="H51" s="22">
        <f>SUM(H43:H50)</f>
        <v>-3573.8000000000093</v>
      </c>
      <c r="I51" s="117"/>
      <c r="J51" s="66">
        <f>SUM(J43:J50)</f>
        <v>218258.19999999995</v>
      </c>
      <c r="K51" s="39"/>
    </row>
    <row r="52" spans="1:10" ht="15">
      <c r="A52" s="4"/>
      <c r="B52" s="3"/>
      <c r="C52" s="3"/>
      <c r="D52" s="3"/>
      <c r="E52" s="3"/>
      <c r="F52" s="28"/>
      <c r="G52" s="15"/>
      <c r="H52" s="27"/>
      <c r="I52" s="112"/>
      <c r="J52" s="63"/>
    </row>
    <row r="53" spans="1:11" ht="15">
      <c r="A53" s="4" t="s">
        <v>33</v>
      </c>
      <c r="B53" s="3"/>
      <c r="C53" s="3"/>
      <c r="D53" s="3"/>
      <c r="E53" s="13"/>
      <c r="F53" s="20">
        <f>F51+F41+F29+0.25</f>
        <v>1274463.95</v>
      </c>
      <c r="G53" s="21"/>
      <c r="H53" s="22">
        <f>H51+H41+H29</f>
        <v>-844.3200000000375</v>
      </c>
      <c r="I53" s="117"/>
      <c r="J53" s="67">
        <f>J51+J41+J29</f>
        <v>1273619.0799999996</v>
      </c>
      <c r="K53" s="47"/>
    </row>
    <row r="54" spans="1:10" ht="15">
      <c r="A54" s="4"/>
      <c r="B54" s="3"/>
      <c r="C54" s="3"/>
      <c r="D54" s="3"/>
      <c r="E54" s="3"/>
      <c r="F54" s="29"/>
      <c r="G54" s="25"/>
      <c r="H54" s="30"/>
      <c r="I54" s="117"/>
      <c r="J54" s="68"/>
    </row>
    <row r="55" spans="1:11" ht="15">
      <c r="A55" s="10" t="s">
        <v>34</v>
      </c>
      <c r="B55" s="11"/>
      <c r="C55" s="11"/>
      <c r="D55" s="3"/>
      <c r="E55" s="13"/>
      <c r="F55" s="20">
        <f>F15-F53</f>
        <v>124437.26000000001</v>
      </c>
      <c r="G55" s="21"/>
      <c r="H55" s="22">
        <f>+J55-F55</f>
        <v>827.7399999999907</v>
      </c>
      <c r="I55" s="117"/>
      <c r="J55" s="58">
        <f>1398884-1273619</f>
        <v>125265</v>
      </c>
      <c r="K55" s="48"/>
    </row>
    <row r="56" spans="1:10" ht="15">
      <c r="A56" s="4"/>
      <c r="B56" s="3"/>
      <c r="C56" s="3"/>
      <c r="D56" s="3"/>
      <c r="E56" s="3"/>
      <c r="F56" s="28"/>
      <c r="G56" s="15"/>
      <c r="H56" s="27"/>
      <c r="I56" s="112"/>
      <c r="J56" s="63"/>
    </row>
    <row r="57" spans="1:10" ht="15">
      <c r="A57" s="4" t="s">
        <v>35</v>
      </c>
      <c r="B57" s="3"/>
      <c r="C57" s="3"/>
      <c r="D57" s="3"/>
      <c r="E57" s="3"/>
      <c r="F57" s="24">
        <v>-5618</v>
      </c>
      <c r="G57" s="25"/>
      <c r="H57" s="76">
        <f>+J57-F57</f>
        <v>0</v>
      </c>
      <c r="I57" s="113"/>
      <c r="J57" s="60">
        <v>-5618</v>
      </c>
    </row>
    <row r="58" spans="1:10" ht="15">
      <c r="A58" s="4" t="s">
        <v>36</v>
      </c>
      <c r="B58" s="3"/>
      <c r="C58" s="3"/>
      <c r="D58" s="3"/>
      <c r="E58" s="3"/>
      <c r="F58" s="17">
        <v>136089</v>
      </c>
      <c r="G58" s="15"/>
      <c r="H58" s="17">
        <f>+J58-F58</f>
        <v>426</v>
      </c>
      <c r="I58" s="112">
        <v>-9</v>
      </c>
      <c r="J58" s="59">
        <v>136515</v>
      </c>
    </row>
    <row r="59" spans="1:10" ht="15">
      <c r="A59" s="4"/>
      <c r="B59" s="3"/>
      <c r="C59" s="3"/>
      <c r="D59" s="3"/>
      <c r="E59" s="3"/>
      <c r="F59" s="31"/>
      <c r="G59" s="3"/>
      <c r="H59" s="32"/>
      <c r="I59" s="111"/>
      <c r="J59" s="69"/>
    </row>
    <row r="60" spans="1:12" ht="15.75" thickBot="1">
      <c r="A60" s="33" t="s">
        <v>37</v>
      </c>
      <c r="B60" s="23"/>
      <c r="C60" s="3"/>
      <c r="D60" s="3"/>
      <c r="E60" s="13"/>
      <c r="F60" s="34">
        <f>F55-SUM(F57:F59)</f>
        <v>-6033.739999999991</v>
      </c>
      <c r="G60" s="13"/>
      <c r="H60" s="35">
        <f>+J60-F60</f>
        <v>401.7399999999907</v>
      </c>
      <c r="I60" s="113"/>
      <c r="J60" s="70">
        <f>J55-SUM(J57:J59)</f>
        <v>-5632</v>
      </c>
      <c r="K60" s="48"/>
      <c r="L60" s="39"/>
    </row>
    <row r="61" spans="1:10" ht="15.75" thickTop="1">
      <c r="A61" s="33"/>
      <c r="B61" s="23"/>
      <c r="C61" s="3"/>
      <c r="D61" s="3"/>
      <c r="E61" s="13"/>
      <c r="F61" s="36"/>
      <c r="G61" s="13"/>
      <c r="H61" s="37"/>
      <c r="I61" s="111"/>
      <c r="J61" s="71"/>
    </row>
    <row r="63" ht="12.75">
      <c r="A63" t="s">
        <v>254</v>
      </c>
    </row>
    <row r="64" ht="12.75">
      <c r="A64" t="s">
        <v>255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workbookViewId="0" topLeftCell="A1">
      <pane xSplit="3" ySplit="3" topLeftCell="J1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29" sqref="M129"/>
    </sheetView>
  </sheetViews>
  <sheetFormatPr defaultColWidth="9.140625" defaultRowHeight="12.75"/>
  <cols>
    <col min="1" max="1" width="12.421875" style="83" customWidth="1"/>
    <col min="2" max="2" width="5.57421875" style="97" customWidth="1"/>
    <col min="3" max="3" width="31.421875" style="83" bestFit="1" customWidth="1"/>
    <col min="4" max="4" width="5.57421875" style="83" customWidth="1"/>
    <col min="5" max="5" width="17.8515625" style="83" bestFit="1" customWidth="1"/>
    <col min="6" max="6" width="5.57421875" style="83" customWidth="1"/>
    <col min="7" max="7" width="17.8515625" style="83" bestFit="1" customWidth="1"/>
    <col min="8" max="8" width="5.57421875" style="83" customWidth="1"/>
    <col min="9" max="9" width="12.421875" style="83" customWidth="1"/>
    <col min="10" max="10" width="5.57421875" style="98" customWidth="1"/>
    <col min="11" max="11" width="12.421875" style="83" customWidth="1"/>
    <col min="12" max="12" width="14.8515625" style="83" customWidth="1"/>
    <col min="13" max="16384" width="12.421875" style="83" customWidth="1"/>
  </cols>
  <sheetData>
    <row r="1" spans="1:11" ht="15">
      <c r="A1" s="82" t="str">
        <f>'[1]Input Schedule'!G6</f>
        <v>WATER SERVICE CORPORATION OF KENTUCKY</v>
      </c>
      <c r="B1" s="101"/>
      <c r="K1" s="84" t="s">
        <v>119</v>
      </c>
    </row>
    <row r="2" spans="1:2" ht="15">
      <c r="A2" s="82" t="s">
        <v>120</v>
      </c>
      <c r="B2" s="101"/>
    </row>
    <row r="3" ht="15">
      <c r="A3" s="100" t="s">
        <v>330</v>
      </c>
    </row>
    <row r="6" ht="15">
      <c r="A6" s="85" t="s">
        <v>121</v>
      </c>
    </row>
    <row r="8" spans="1:7" ht="15">
      <c r="A8" s="86" t="s">
        <v>122</v>
      </c>
      <c r="B8" s="102"/>
      <c r="C8" s="86" t="s">
        <v>122</v>
      </c>
      <c r="E8" s="87" t="s">
        <v>123</v>
      </c>
      <c r="G8" s="87" t="s">
        <v>124</v>
      </c>
    </row>
    <row r="9" spans="1:13" ht="15">
      <c r="A9" s="88" t="s">
        <v>125</v>
      </c>
      <c r="B9" s="103"/>
      <c r="C9" s="88" t="s">
        <v>126</v>
      </c>
      <c r="E9" s="89" t="s">
        <v>127</v>
      </c>
      <c r="G9" s="89" t="s">
        <v>127</v>
      </c>
      <c r="I9" s="89" t="s">
        <v>128</v>
      </c>
      <c r="K9" s="89" t="s">
        <v>129</v>
      </c>
      <c r="M9" s="195" t="s">
        <v>331</v>
      </c>
    </row>
    <row r="11" spans="1:11" ht="15">
      <c r="A11" s="90">
        <v>6019045</v>
      </c>
      <c r="C11" s="91" t="s">
        <v>130</v>
      </c>
      <c r="E11" s="92">
        <v>9730</v>
      </c>
      <c r="F11" s="92"/>
      <c r="G11" s="92">
        <f>'[2]SE.51Computer'!CQ10</f>
        <v>9730</v>
      </c>
      <c r="H11" s="92"/>
      <c r="I11" s="92">
        <f aca="true" t="shared" si="0" ref="I11:I19">E11-G11</f>
        <v>0</v>
      </c>
      <c r="J11" s="99"/>
      <c r="K11" s="83" t="s">
        <v>131</v>
      </c>
    </row>
    <row r="12" spans="1:11" ht="15">
      <c r="A12" s="90">
        <v>6369007</v>
      </c>
      <c r="C12" s="91" t="s">
        <v>132</v>
      </c>
      <c r="E12" s="92">
        <v>2727</v>
      </c>
      <c r="F12" s="92"/>
      <c r="G12" s="92">
        <f>'[2]SE.51Computer'!CQ11</f>
        <v>2727</v>
      </c>
      <c r="H12" s="92"/>
      <c r="I12" s="92">
        <f t="shared" si="0"/>
        <v>0</v>
      </c>
      <c r="J12" s="99"/>
      <c r="K12" s="83" t="s">
        <v>131</v>
      </c>
    </row>
    <row r="13" spans="1:11" ht="15">
      <c r="A13" s="90">
        <v>6369009</v>
      </c>
      <c r="C13" s="91" t="s">
        <v>133</v>
      </c>
      <c r="E13" s="92">
        <v>1021</v>
      </c>
      <c r="F13" s="92"/>
      <c r="G13" s="92">
        <f>'[2]SE.51Computer'!CQ12</f>
        <v>1021</v>
      </c>
      <c r="H13" s="92"/>
      <c r="I13" s="92">
        <f t="shared" si="0"/>
        <v>0</v>
      </c>
      <c r="J13" s="99"/>
      <c r="K13" s="83" t="s">
        <v>131</v>
      </c>
    </row>
    <row r="14" spans="1:11" ht="15">
      <c r="A14" s="90">
        <v>6369012</v>
      </c>
      <c r="C14" s="91" t="s">
        <v>134</v>
      </c>
      <c r="E14" s="92">
        <v>385</v>
      </c>
      <c r="F14" s="92"/>
      <c r="G14" s="92">
        <f>'[2]SE.51Computer'!CQ13</f>
        <v>385</v>
      </c>
      <c r="H14" s="92"/>
      <c r="I14" s="92">
        <f t="shared" si="0"/>
        <v>0</v>
      </c>
      <c r="J14" s="99"/>
      <c r="K14" s="83" t="s">
        <v>131</v>
      </c>
    </row>
    <row r="15" spans="1:11" ht="15">
      <c r="A15" s="90">
        <v>6759003</v>
      </c>
      <c r="C15" s="91" t="s">
        <v>135</v>
      </c>
      <c r="E15" s="92">
        <v>949</v>
      </c>
      <c r="F15" s="92"/>
      <c r="G15" s="92">
        <f>'[2]SE.51Computer'!CQ14</f>
        <v>949</v>
      </c>
      <c r="H15" s="92"/>
      <c r="I15" s="92">
        <f t="shared" si="0"/>
        <v>0</v>
      </c>
      <c r="J15" s="99"/>
      <c r="K15" s="83" t="s">
        <v>131</v>
      </c>
    </row>
    <row r="16" spans="1:11" ht="15">
      <c r="A16" s="90">
        <v>6759016</v>
      </c>
      <c r="C16" s="91" t="s">
        <v>136</v>
      </c>
      <c r="E16" s="92">
        <v>734</v>
      </c>
      <c r="F16" s="92"/>
      <c r="G16" s="92">
        <f>'[2]SE.51Computer'!CQ15</f>
        <v>734</v>
      </c>
      <c r="H16" s="92"/>
      <c r="I16" s="92">
        <f t="shared" si="0"/>
        <v>0</v>
      </c>
      <c r="J16" s="99"/>
      <c r="K16" s="83" t="s">
        <v>131</v>
      </c>
    </row>
    <row r="17" spans="1:11" ht="15">
      <c r="A17" s="90">
        <v>6759051</v>
      </c>
      <c r="C17" s="91" t="s">
        <v>137</v>
      </c>
      <c r="E17" s="92">
        <v>1141</v>
      </c>
      <c r="F17" s="92"/>
      <c r="G17" s="92">
        <f>'[2]SE.51Computer'!CQ16</f>
        <v>1141</v>
      </c>
      <c r="H17" s="92"/>
      <c r="I17" s="92">
        <f t="shared" si="0"/>
        <v>0</v>
      </c>
      <c r="J17" s="99"/>
      <c r="K17" s="83" t="s">
        <v>131</v>
      </c>
    </row>
    <row r="18" spans="1:11" ht="15">
      <c r="A18" s="90">
        <v>6759115</v>
      </c>
      <c r="C18" s="91" t="s">
        <v>138</v>
      </c>
      <c r="E18" s="92">
        <v>0</v>
      </c>
      <c r="F18" s="92"/>
      <c r="G18" s="92">
        <f>'[2]SE.51Computer'!CQ17</f>
        <v>0</v>
      </c>
      <c r="H18" s="92"/>
      <c r="I18" s="92">
        <f t="shared" si="0"/>
        <v>0</v>
      </c>
      <c r="J18" s="99"/>
      <c r="K18" s="83" t="s">
        <v>131</v>
      </c>
    </row>
    <row r="19" spans="1:13" ht="15">
      <c r="A19" s="90">
        <v>4032098</v>
      </c>
      <c r="C19" s="91" t="s">
        <v>139</v>
      </c>
      <c r="E19" s="92">
        <v>2602</v>
      </c>
      <c r="F19" s="92"/>
      <c r="G19" s="92">
        <f>'[2]SE.51Computer'!CQ18</f>
        <v>2435</v>
      </c>
      <c r="H19" s="92"/>
      <c r="I19" s="92">
        <f t="shared" si="0"/>
        <v>167</v>
      </c>
      <c r="J19" s="99" t="s">
        <v>243</v>
      </c>
      <c r="K19" s="83" t="s">
        <v>140</v>
      </c>
      <c r="M19" s="83" t="s">
        <v>332</v>
      </c>
    </row>
    <row r="20" spans="5:10" ht="15.75" thickBot="1">
      <c r="E20" s="93">
        <f>SUM(E11:E19)</f>
        <v>19289</v>
      </c>
      <c r="F20" s="92"/>
      <c r="G20" s="93">
        <f>SUM(G11:G19)</f>
        <v>19122</v>
      </c>
      <c r="H20" s="92"/>
      <c r="I20" s="93">
        <f>SUM(I11:I19)</f>
        <v>167</v>
      </c>
      <c r="J20" s="99"/>
    </row>
    <row r="21" spans="5:10" ht="15.75" thickTop="1">
      <c r="E21" s="92"/>
      <c r="F21" s="92"/>
      <c r="G21" s="92"/>
      <c r="H21" s="92"/>
      <c r="I21" s="92"/>
      <c r="J21" s="99"/>
    </row>
    <row r="22" spans="5:10" ht="15">
      <c r="E22" s="92"/>
      <c r="F22" s="92"/>
      <c r="G22" s="92"/>
      <c r="H22" s="92"/>
      <c r="I22" s="92"/>
      <c r="J22" s="99"/>
    </row>
    <row r="23" ht="15">
      <c r="A23" s="85" t="s">
        <v>121</v>
      </c>
    </row>
    <row r="25" spans="1:7" ht="15">
      <c r="A25" s="86" t="s">
        <v>122</v>
      </c>
      <c r="B25" s="102"/>
      <c r="C25" s="86" t="s">
        <v>122</v>
      </c>
      <c r="E25" s="87" t="s">
        <v>123</v>
      </c>
      <c r="G25" s="87" t="s">
        <v>124</v>
      </c>
    </row>
    <row r="26" spans="1:11" ht="15">
      <c r="A26" s="88" t="s">
        <v>125</v>
      </c>
      <c r="B26" s="103"/>
      <c r="C26" s="88" t="s">
        <v>126</v>
      </c>
      <c r="E26" s="89" t="s">
        <v>127</v>
      </c>
      <c r="G26" s="89" t="s">
        <v>127</v>
      </c>
      <c r="I26" s="89" t="s">
        <v>128</v>
      </c>
      <c r="K26" s="89" t="s">
        <v>129</v>
      </c>
    </row>
    <row r="27" spans="5:10" ht="15">
      <c r="E27" s="92"/>
      <c r="F27" s="92"/>
      <c r="G27" s="92"/>
      <c r="H27" s="92"/>
      <c r="I27" s="92"/>
      <c r="J27" s="99"/>
    </row>
    <row r="28" spans="5:10" ht="15">
      <c r="E28" s="92"/>
      <c r="F28" s="92"/>
      <c r="G28" s="92"/>
      <c r="H28" s="92"/>
      <c r="I28" s="92"/>
      <c r="J28" s="99"/>
    </row>
    <row r="29" spans="1:13" ht="15.75" thickBot="1">
      <c r="A29" s="83">
        <v>6599090</v>
      </c>
      <c r="C29" s="83" t="s">
        <v>141</v>
      </c>
      <c r="E29" s="93">
        <v>68321</v>
      </c>
      <c r="F29" s="92"/>
      <c r="G29" s="93">
        <f>'[2]SE.52 Summ'!$D$103</f>
        <v>67228</v>
      </c>
      <c r="H29" s="92"/>
      <c r="I29" s="93">
        <f>E29-G29</f>
        <v>1093</v>
      </c>
      <c r="J29" s="99" t="s">
        <v>240</v>
      </c>
      <c r="K29" s="83" t="s">
        <v>142</v>
      </c>
      <c r="M29" s="83" t="s">
        <v>333</v>
      </c>
    </row>
    <row r="30" spans="5:10" ht="15.75" thickTop="1">
      <c r="E30" s="92"/>
      <c r="F30" s="92"/>
      <c r="G30" s="92"/>
      <c r="H30" s="92"/>
      <c r="I30" s="92"/>
      <c r="J30" s="99"/>
    </row>
    <row r="31" spans="5:10" ht="15">
      <c r="E31" s="92"/>
      <c r="F31" s="92"/>
      <c r="G31" s="92"/>
      <c r="H31" s="92"/>
      <c r="I31" s="92"/>
      <c r="J31" s="99"/>
    </row>
    <row r="32" ht="15">
      <c r="A32" s="85" t="s">
        <v>143</v>
      </c>
    </row>
    <row r="34" spans="1:7" ht="15">
      <c r="A34" s="86" t="s">
        <v>122</v>
      </c>
      <c r="B34" s="102"/>
      <c r="C34" s="86" t="s">
        <v>122</v>
      </c>
      <c r="E34" s="87" t="s">
        <v>123</v>
      </c>
      <c r="G34" s="87" t="s">
        <v>124</v>
      </c>
    </row>
    <row r="35" spans="1:11" ht="15">
      <c r="A35" s="88" t="s">
        <v>125</v>
      </c>
      <c r="B35" s="103"/>
      <c r="C35" s="88" t="s">
        <v>126</v>
      </c>
      <c r="E35" s="89" t="s">
        <v>127</v>
      </c>
      <c r="G35" s="89" t="s">
        <v>127</v>
      </c>
      <c r="I35" s="89" t="s">
        <v>128</v>
      </c>
      <c r="K35" s="89" t="s">
        <v>129</v>
      </c>
    </row>
    <row r="36" spans="1:3" ht="15">
      <c r="A36" s="94"/>
      <c r="B36" s="104"/>
      <c r="C36" s="94"/>
    </row>
    <row r="37" spans="1:11" ht="15">
      <c r="A37" s="95">
        <v>6019000</v>
      </c>
      <c r="B37" s="105"/>
      <c r="C37" s="96" t="s">
        <v>144</v>
      </c>
      <c r="E37" s="92">
        <v>0</v>
      </c>
      <c r="F37" s="92"/>
      <c r="G37" s="92">
        <v>0</v>
      </c>
      <c r="H37" s="92"/>
      <c r="I37" s="92">
        <f>E37-G37</f>
        <v>0</v>
      </c>
      <c r="K37" s="83" t="s">
        <v>145</v>
      </c>
    </row>
    <row r="38" spans="1:11" ht="15">
      <c r="A38" s="95">
        <v>6019030</v>
      </c>
      <c r="B38" s="105"/>
      <c r="C38" s="96" t="s">
        <v>146</v>
      </c>
      <c r="E38" s="92">
        <v>0</v>
      </c>
      <c r="F38" s="92"/>
      <c r="G38" s="92">
        <v>0</v>
      </c>
      <c r="H38" s="92"/>
      <c r="I38" s="92">
        <f aca="true" t="shared" si="1" ref="I38:I101">E38-G38</f>
        <v>0</v>
      </c>
      <c r="K38" s="83" t="s">
        <v>145</v>
      </c>
    </row>
    <row r="39" spans="1:11" ht="15">
      <c r="A39" s="95">
        <v>6019045</v>
      </c>
      <c r="B39" s="105"/>
      <c r="C39" s="96" t="s">
        <v>147</v>
      </c>
      <c r="E39" s="92">
        <v>0</v>
      </c>
      <c r="F39" s="92"/>
      <c r="G39" s="92">
        <v>0</v>
      </c>
      <c r="H39" s="92"/>
      <c r="I39" s="92">
        <f t="shared" si="1"/>
        <v>0</v>
      </c>
      <c r="K39" s="83" t="s">
        <v>145</v>
      </c>
    </row>
    <row r="40" spans="1:11" ht="15">
      <c r="A40" s="95">
        <v>6019053</v>
      </c>
      <c r="B40" s="105"/>
      <c r="C40" s="96" t="s">
        <v>148</v>
      </c>
      <c r="E40" s="92">
        <v>0</v>
      </c>
      <c r="F40" s="92"/>
      <c r="G40" s="92">
        <v>0</v>
      </c>
      <c r="H40" s="92"/>
      <c r="I40" s="92">
        <f t="shared" si="1"/>
        <v>0</v>
      </c>
      <c r="K40" s="83" t="s">
        <v>145</v>
      </c>
    </row>
    <row r="41" spans="1:13" ht="15">
      <c r="A41" s="95">
        <v>6019050</v>
      </c>
      <c r="B41" s="105"/>
      <c r="C41" s="96" t="s">
        <v>149</v>
      </c>
      <c r="E41" s="92">
        <v>32097</v>
      </c>
      <c r="F41" s="92"/>
      <c r="G41" s="92">
        <v>29306</v>
      </c>
      <c r="H41" s="92"/>
      <c r="I41" s="92">
        <f t="shared" si="1"/>
        <v>2791</v>
      </c>
      <c r="J41" s="98" t="s">
        <v>243</v>
      </c>
      <c r="K41" s="83" t="s">
        <v>150</v>
      </c>
      <c r="M41" s="83" t="s">
        <v>334</v>
      </c>
    </row>
    <row r="42" spans="1:11" ht="15">
      <c r="A42" s="95">
        <v>6019070</v>
      </c>
      <c r="B42" s="105"/>
      <c r="C42" s="96" t="s">
        <v>151</v>
      </c>
      <c r="E42" s="92">
        <v>0</v>
      </c>
      <c r="F42" s="92"/>
      <c r="G42" s="92">
        <v>0</v>
      </c>
      <c r="H42" s="92"/>
      <c r="I42" s="92">
        <f t="shared" si="1"/>
        <v>0</v>
      </c>
      <c r="K42" s="83" t="s">
        <v>145</v>
      </c>
    </row>
    <row r="43" spans="1:11" ht="15">
      <c r="A43" s="95">
        <v>6019071</v>
      </c>
      <c r="B43" s="105"/>
      <c r="C43" s="96" t="s">
        <v>152</v>
      </c>
      <c r="E43" s="92">
        <v>0</v>
      </c>
      <c r="F43" s="92"/>
      <c r="G43" s="92">
        <v>0</v>
      </c>
      <c r="H43" s="92"/>
      <c r="I43" s="92">
        <f t="shared" si="1"/>
        <v>0</v>
      </c>
      <c r="K43" s="83" t="s">
        <v>145</v>
      </c>
    </row>
    <row r="44" spans="1:13" ht="15">
      <c r="A44" s="95">
        <v>6708001</v>
      </c>
      <c r="B44" s="105"/>
      <c r="C44" s="96" t="s">
        <v>153</v>
      </c>
      <c r="E44" s="92">
        <v>202</v>
      </c>
      <c r="F44" s="92"/>
      <c r="G44" s="92">
        <v>185</v>
      </c>
      <c r="H44" s="92"/>
      <c r="I44" s="92">
        <f t="shared" si="1"/>
        <v>17</v>
      </c>
      <c r="J44" s="98" t="s">
        <v>241</v>
      </c>
      <c r="K44" s="83" t="s">
        <v>338</v>
      </c>
      <c r="M44" s="83" t="s">
        <v>334</v>
      </c>
    </row>
    <row r="45" spans="1:13" ht="15">
      <c r="A45" s="95">
        <v>6338001</v>
      </c>
      <c r="B45" s="105"/>
      <c r="C45" s="96" t="s">
        <v>154</v>
      </c>
      <c r="E45" s="92">
        <v>77</v>
      </c>
      <c r="F45" s="92"/>
      <c r="G45" s="92">
        <v>70</v>
      </c>
      <c r="H45" s="92"/>
      <c r="I45" s="92">
        <f t="shared" si="1"/>
        <v>7</v>
      </c>
      <c r="J45" s="98" t="s">
        <v>242</v>
      </c>
      <c r="K45" s="83" t="s">
        <v>155</v>
      </c>
      <c r="M45" s="83" t="s">
        <v>334</v>
      </c>
    </row>
    <row r="46" spans="1:13" ht="15">
      <c r="A46" s="95">
        <v>6329002</v>
      </c>
      <c r="B46" s="105"/>
      <c r="C46" s="96" t="s">
        <v>156</v>
      </c>
      <c r="E46" s="92">
        <v>3985</v>
      </c>
      <c r="F46" s="92"/>
      <c r="G46" s="92">
        <v>3638</v>
      </c>
      <c r="H46" s="92"/>
      <c r="I46" s="92">
        <f t="shared" si="1"/>
        <v>347</v>
      </c>
      <c r="J46" s="98" t="s">
        <v>242</v>
      </c>
      <c r="K46" s="83" t="s">
        <v>155</v>
      </c>
      <c r="M46" s="83" t="s">
        <v>334</v>
      </c>
    </row>
    <row r="47" spans="1:13" ht="15">
      <c r="A47" s="95">
        <v>6369003</v>
      </c>
      <c r="B47" s="105"/>
      <c r="C47" s="96" t="s">
        <v>157</v>
      </c>
      <c r="E47" s="92">
        <v>34</v>
      </c>
      <c r="F47" s="92"/>
      <c r="G47" s="92">
        <v>31</v>
      </c>
      <c r="H47" s="92"/>
      <c r="I47" s="92">
        <f t="shared" si="1"/>
        <v>3</v>
      </c>
      <c r="J47" s="98" t="s">
        <v>242</v>
      </c>
      <c r="K47" s="83" t="s">
        <v>155</v>
      </c>
      <c r="M47" s="83" t="s">
        <v>334</v>
      </c>
    </row>
    <row r="48" spans="1:13" ht="15">
      <c r="A48" s="95">
        <v>6369005</v>
      </c>
      <c r="B48" s="105"/>
      <c r="C48" s="96" t="s">
        <v>158</v>
      </c>
      <c r="E48" s="92">
        <v>880</v>
      </c>
      <c r="F48" s="92"/>
      <c r="G48" s="92">
        <v>804</v>
      </c>
      <c r="H48" s="92"/>
      <c r="I48" s="92">
        <f t="shared" si="1"/>
        <v>76</v>
      </c>
      <c r="J48" s="98" t="s">
        <v>242</v>
      </c>
      <c r="K48" s="83" t="s">
        <v>155</v>
      </c>
      <c r="M48" s="83" t="s">
        <v>334</v>
      </c>
    </row>
    <row r="49" spans="1:13" ht="15">
      <c r="A49" s="95">
        <v>6369006</v>
      </c>
      <c r="B49" s="105"/>
      <c r="C49" s="96" t="s">
        <v>159</v>
      </c>
      <c r="E49" s="92">
        <v>1066</v>
      </c>
      <c r="F49" s="92"/>
      <c r="G49" s="92">
        <v>973</v>
      </c>
      <c r="H49" s="92"/>
      <c r="I49" s="92">
        <f t="shared" si="1"/>
        <v>93</v>
      </c>
      <c r="J49" s="98" t="s">
        <v>242</v>
      </c>
      <c r="K49" s="83" t="s">
        <v>155</v>
      </c>
      <c r="M49" s="83" t="s">
        <v>334</v>
      </c>
    </row>
    <row r="50" spans="1:11" ht="15">
      <c r="A50" s="95">
        <v>6369007</v>
      </c>
      <c r="B50" s="105"/>
      <c r="C50" s="96" t="s">
        <v>132</v>
      </c>
      <c r="E50" s="92">
        <v>0</v>
      </c>
      <c r="F50" s="92"/>
      <c r="G50" s="92">
        <v>0</v>
      </c>
      <c r="H50" s="92"/>
      <c r="I50" s="92">
        <f t="shared" si="1"/>
        <v>0</v>
      </c>
      <c r="K50" s="83" t="s">
        <v>145</v>
      </c>
    </row>
    <row r="51" spans="1:11" ht="15">
      <c r="A51" s="95">
        <v>6369008</v>
      </c>
      <c r="B51" s="105"/>
      <c r="C51" s="96" t="s">
        <v>160</v>
      </c>
      <c r="E51" s="92">
        <v>0</v>
      </c>
      <c r="F51" s="92"/>
      <c r="G51" s="92">
        <v>0</v>
      </c>
      <c r="H51" s="92"/>
      <c r="I51" s="92">
        <f t="shared" si="1"/>
        <v>0</v>
      </c>
      <c r="K51" s="83" t="s">
        <v>145</v>
      </c>
    </row>
    <row r="52" spans="1:11" ht="15">
      <c r="A52" s="95">
        <v>6369009</v>
      </c>
      <c r="B52" s="105"/>
      <c r="C52" s="96" t="s">
        <v>133</v>
      </c>
      <c r="E52" s="92">
        <v>0</v>
      </c>
      <c r="F52" s="92"/>
      <c r="G52" s="92">
        <v>0</v>
      </c>
      <c r="H52" s="92"/>
      <c r="I52" s="92">
        <f t="shared" si="1"/>
        <v>0</v>
      </c>
      <c r="K52" s="83" t="s">
        <v>145</v>
      </c>
    </row>
    <row r="53" spans="1:11" ht="15">
      <c r="A53" s="95">
        <v>6319011</v>
      </c>
      <c r="B53" s="105"/>
      <c r="C53" s="96" t="s">
        <v>161</v>
      </c>
      <c r="E53" s="92">
        <v>3</v>
      </c>
      <c r="F53" s="92"/>
      <c r="G53" s="92">
        <v>3</v>
      </c>
      <c r="H53" s="92"/>
      <c r="I53" s="92">
        <f t="shared" si="1"/>
        <v>0</v>
      </c>
      <c r="K53" s="83" t="s">
        <v>145</v>
      </c>
    </row>
    <row r="54" spans="1:11" ht="15">
      <c r="A54" s="95">
        <v>6329013</v>
      </c>
      <c r="B54" s="105"/>
      <c r="C54" s="96" t="s">
        <v>162</v>
      </c>
      <c r="E54" s="92">
        <v>0</v>
      </c>
      <c r="F54" s="92"/>
      <c r="G54" s="92">
        <v>0</v>
      </c>
      <c r="H54" s="92"/>
      <c r="I54" s="92">
        <f t="shared" si="1"/>
        <v>0</v>
      </c>
      <c r="K54" s="83" t="s">
        <v>145</v>
      </c>
    </row>
    <row r="55" spans="1:13" ht="15">
      <c r="A55" s="95">
        <v>6329014</v>
      </c>
      <c r="B55" s="105"/>
      <c r="C55" s="96" t="s">
        <v>163</v>
      </c>
      <c r="E55" s="92">
        <v>952</v>
      </c>
      <c r="F55" s="92"/>
      <c r="G55" s="92">
        <v>869</v>
      </c>
      <c r="H55" s="92"/>
      <c r="I55" s="92">
        <f t="shared" si="1"/>
        <v>83</v>
      </c>
      <c r="J55" s="98" t="s">
        <v>242</v>
      </c>
      <c r="K55" s="83" t="s">
        <v>155</v>
      </c>
      <c r="M55" s="83" t="s">
        <v>334</v>
      </c>
    </row>
    <row r="56" spans="1:11" ht="15">
      <c r="A56" s="95">
        <v>6369012</v>
      </c>
      <c r="B56" s="105"/>
      <c r="C56" s="96" t="s">
        <v>134</v>
      </c>
      <c r="E56" s="92">
        <v>0</v>
      </c>
      <c r="F56" s="92"/>
      <c r="G56" s="92">
        <v>0</v>
      </c>
      <c r="H56" s="92"/>
      <c r="I56" s="92">
        <f t="shared" si="1"/>
        <v>0</v>
      </c>
      <c r="K56" s="83" t="s">
        <v>145</v>
      </c>
    </row>
    <row r="57" spans="1:11" ht="15">
      <c r="A57" s="95">
        <v>6369090</v>
      </c>
      <c r="B57" s="105"/>
      <c r="C57" s="96" t="s">
        <v>164</v>
      </c>
      <c r="E57" s="92">
        <v>0</v>
      </c>
      <c r="F57" s="92"/>
      <c r="G57" s="92">
        <v>0</v>
      </c>
      <c r="H57" s="92"/>
      <c r="I57" s="92">
        <f t="shared" si="1"/>
        <v>0</v>
      </c>
      <c r="K57" s="83" t="s">
        <v>145</v>
      </c>
    </row>
    <row r="58" spans="1:13" ht="15">
      <c r="A58" s="95">
        <v>6049010</v>
      </c>
      <c r="B58" s="105"/>
      <c r="C58" s="96" t="s">
        <v>165</v>
      </c>
      <c r="E58" s="92">
        <v>3216</v>
      </c>
      <c r="F58" s="92"/>
      <c r="G58" s="92">
        <v>3009</v>
      </c>
      <c r="H58" s="92"/>
      <c r="I58" s="92">
        <f t="shared" si="1"/>
        <v>207</v>
      </c>
      <c r="J58" s="98" t="s">
        <v>243</v>
      </c>
      <c r="K58" s="83" t="s">
        <v>150</v>
      </c>
      <c r="M58" s="83" t="s">
        <v>335</v>
      </c>
    </row>
    <row r="59" spans="1:13" ht="15">
      <c r="A59" s="95">
        <v>6049011</v>
      </c>
      <c r="B59" s="105"/>
      <c r="C59" s="96" t="s">
        <v>166</v>
      </c>
      <c r="E59" s="92">
        <v>-951</v>
      </c>
      <c r="F59" s="92"/>
      <c r="G59" s="92">
        <v>-890</v>
      </c>
      <c r="H59" s="92"/>
      <c r="I59" s="92">
        <f t="shared" si="1"/>
        <v>-61</v>
      </c>
      <c r="J59" s="98" t="s">
        <v>243</v>
      </c>
      <c r="K59" s="83" t="s">
        <v>150</v>
      </c>
      <c r="M59" s="83" t="s">
        <v>335</v>
      </c>
    </row>
    <row r="60" spans="1:13" ht="15">
      <c r="A60" s="95">
        <v>6049012</v>
      </c>
      <c r="B60" s="105"/>
      <c r="C60" s="96" t="s">
        <v>167</v>
      </c>
      <c r="E60" s="92">
        <v>78</v>
      </c>
      <c r="F60" s="92"/>
      <c r="G60" s="92">
        <v>73</v>
      </c>
      <c r="H60" s="92"/>
      <c r="I60" s="92">
        <f t="shared" si="1"/>
        <v>5</v>
      </c>
      <c r="J60" s="98" t="s">
        <v>243</v>
      </c>
      <c r="K60" s="83" t="s">
        <v>150</v>
      </c>
      <c r="M60" s="83" t="s">
        <v>335</v>
      </c>
    </row>
    <row r="61" spans="1:13" ht="15">
      <c r="A61" s="95">
        <v>6049015</v>
      </c>
      <c r="B61" s="105"/>
      <c r="C61" s="96" t="s">
        <v>168</v>
      </c>
      <c r="E61" s="92">
        <v>272</v>
      </c>
      <c r="F61" s="92"/>
      <c r="G61" s="92">
        <v>254</v>
      </c>
      <c r="H61" s="92"/>
      <c r="I61" s="92">
        <f t="shared" si="1"/>
        <v>18</v>
      </c>
      <c r="J61" s="98" t="s">
        <v>243</v>
      </c>
      <c r="K61" s="83" t="s">
        <v>150</v>
      </c>
      <c r="M61" s="83" t="s">
        <v>335</v>
      </c>
    </row>
    <row r="62" spans="1:13" ht="15">
      <c r="A62" s="95">
        <v>6049020</v>
      </c>
      <c r="B62" s="105"/>
      <c r="C62" s="96" t="s">
        <v>169</v>
      </c>
      <c r="E62" s="92">
        <v>1462</v>
      </c>
      <c r="F62" s="92"/>
      <c r="G62" s="92">
        <v>1364</v>
      </c>
      <c r="H62" s="92"/>
      <c r="I62" s="92">
        <f t="shared" si="1"/>
        <v>98</v>
      </c>
      <c r="J62" s="98" t="s">
        <v>243</v>
      </c>
      <c r="K62" s="83" t="s">
        <v>150</v>
      </c>
      <c r="M62" s="83" t="s">
        <v>336</v>
      </c>
    </row>
    <row r="63" spans="1:13" ht="15">
      <c r="A63" s="95">
        <v>6049050</v>
      </c>
      <c r="B63" s="105"/>
      <c r="C63" s="96" t="s">
        <v>170</v>
      </c>
      <c r="E63" s="92">
        <v>672</v>
      </c>
      <c r="F63" s="92"/>
      <c r="G63" s="92">
        <v>629</v>
      </c>
      <c r="H63" s="92"/>
      <c r="I63" s="92">
        <f t="shared" si="1"/>
        <v>43</v>
      </c>
      <c r="J63" s="98" t="s">
        <v>243</v>
      </c>
      <c r="K63" s="83" t="s">
        <v>150</v>
      </c>
      <c r="M63" s="83" t="s">
        <v>335</v>
      </c>
    </row>
    <row r="64" spans="1:13" ht="15">
      <c r="A64" s="95">
        <v>6049055</v>
      </c>
      <c r="B64" s="105"/>
      <c r="C64" s="96" t="s">
        <v>171</v>
      </c>
      <c r="E64" s="92">
        <v>19</v>
      </c>
      <c r="F64" s="92"/>
      <c r="G64" s="92">
        <v>18</v>
      </c>
      <c r="H64" s="92"/>
      <c r="I64" s="92">
        <f t="shared" si="1"/>
        <v>1</v>
      </c>
      <c r="J64" s="98" t="s">
        <v>243</v>
      </c>
      <c r="K64" s="83" t="s">
        <v>150</v>
      </c>
      <c r="M64" s="83" t="s">
        <v>335</v>
      </c>
    </row>
    <row r="65" spans="1:13" ht="15">
      <c r="A65" s="95">
        <v>6049060</v>
      </c>
      <c r="B65" s="105"/>
      <c r="C65" s="96" t="s">
        <v>172</v>
      </c>
      <c r="E65" s="92">
        <v>135</v>
      </c>
      <c r="F65" s="92"/>
      <c r="G65" s="92">
        <v>127</v>
      </c>
      <c r="H65" s="92"/>
      <c r="I65" s="92">
        <f t="shared" si="1"/>
        <v>8</v>
      </c>
      <c r="J65" s="98" t="s">
        <v>243</v>
      </c>
      <c r="K65" s="83" t="s">
        <v>150</v>
      </c>
      <c r="M65" s="83" t="s">
        <v>335</v>
      </c>
    </row>
    <row r="66" spans="1:11" ht="15">
      <c r="A66" s="95">
        <v>6049065</v>
      </c>
      <c r="B66" s="105"/>
      <c r="C66" s="96" t="s">
        <v>173</v>
      </c>
      <c r="E66" s="92">
        <v>3</v>
      </c>
      <c r="F66" s="92"/>
      <c r="G66" s="92">
        <v>3</v>
      </c>
      <c r="H66" s="92"/>
      <c r="I66" s="92">
        <f t="shared" si="1"/>
        <v>0</v>
      </c>
      <c r="K66" s="83" t="s">
        <v>145</v>
      </c>
    </row>
    <row r="67" spans="1:11" ht="15">
      <c r="A67" s="95">
        <v>6049066</v>
      </c>
      <c r="B67" s="105"/>
      <c r="C67" s="96" t="s">
        <v>174</v>
      </c>
      <c r="E67" s="92">
        <v>0</v>
      </c>
      <c r="F67" s="92"/>
      <c r="G67" s="92">
        <v>0</v>
      </c>
      <c r="H67" s="92"/>
      <c r="I67" s="92">
        <f t="shared" si="1"/>
        <v>0</v>
      </c>
      <c r="K67" s="83" t="s">
        <v>145</v>
      </c>
    </row>
    <row r="68" spans="1:11" ht="15">
      <c r="A68" s="95">
        <v>6049067</v>
      </c>
      <c r="B68" s="105"/>
      <c r="C68" s="96" t="s">
        <v>175</v>
      </c>
      <c r="E68" s="92">
        <v>1</v>
      </c>
      <c r="F68" s="92"/>
      <c r="G68" s="92">
        <v>1</v>
      </c>
      <c r="H68" s="92"/>
      <c r="I68" s="92">
        <f t="shared" si="1"/>
        <v>0</v>
      </c>
      <c r="K68" s="83" t="s">
        <v>145</v>
      </c>
    </row>
    <row r="69" spans="1:13" ht="15">
      <c r="A69" s="95">
        <v>6049070</v>
      </c>
      <c r="B69" s="105"/>
      <c r="C69" s="96" t="s">
        <v>176</v>
      </c>
      <c r="E69" s="92">
        <v>1925</v>
      </c>
      <c r="F69" s="92"/>
      <c r="G69" s="92">
        <v>1796</v>
      </c>
      <c r="H69" s="92"/>
      <c r="I69" s="92">
        <f t="shared" si="1"/>
        <v>129</v>
      </c>
      <c r="J69" s="98" t="s">
        <v>243</v>
      </c>
      <c r="K69" s="83" t="s">
        <v>150</v>
      </c>
      <c r="M69" s="83" t="s">
        <v>336</v>
      </c>
    </row>
    <row r="70" spans="1:13" ht="15">
      <c r="A70" s="95">
        <v>6049080</v>
      </c>
      <c r="B70" s="105"/>
      <c r="C70" s="96" t="s">
        <v>177</v>
      </c>
      <c r="E70" s="92">
        <v>56</v>
      </c>
      <c r="F70" s="92"/>
      <c r="G70" s="92">
        <v>53</v>
      </c>
      <c r="H70" s="92"/>
      <c r="I70" s="92">
        <f t="shared" si="1"/>
        <v>3</v>
      </c>
      <c r="J70" s="98" t="s">
        <v>243</v>
      </c>
      <c r="K70" s="83" t="s">
        <v>150</v>
      </c>
      <c r="M70" s="83" t="s">
        <v>335</v>
      </c>
    </row>
    <row r="71" spans="1:13" ht="15">
      <c r="A71" s="95">
        <v>6049090</v>
      </c>
      <c r="B71" s="105"/>
      <c r="C71" s="96" t="s">
        <v>178</v>
      </c>
      <c r="E71" s="92">
        <v>105</v>
      </c>
      <c r="F71" s="92"/>
      <c r="G71" s="92">
        <v>98</v>
      </c>
      <c r="H71" s="92"/>
      <c r="I71" s="92">
        <f t="shared" si="1"/>
        <v>7</v>
      </c>
      <c r="J71" s="98" t="s">
        <v>243</v>
      </c>
      <c r="K71" s="83" t="s">
        <v>150</v>
      </c>
      <c r="M71" s="83" t="s">
        <v>335</v>
      </c>
    </row>
    <row r="72" spans="1:11" ht="15">
      <c r="A72" s="95">
        <v>6599090</v>
      </c>
      <c r="B72" s="105"/>
      <c r="C72" s="96" t="s">
        <v>179</v>
      </c>
      <c r="E72" s="92">
        <v>0</v>
      </c>
      <c r="F72" s="92"/>
      <c r="G72" s="92">
        <v>0</v>
      </c>
      <c r="H72" s="92"/>
      <c r="I72" s="92">
        <f t="shared" si="1"/>
        <v>0</v>
      </c>
      <c r="K72" s="83" t="s">
        <v>145</v>
      </c>
    </row>
    <row r="73" spans="1:13" ht="15">
      <c r="A73" s="95">
        <v>6759001</v>
      </c>
      <c r="B73" s="105"/>
      <c r="C73" s="96" t="s">
        <v>180</v>
      </c>
      <c r="E73" s="92">
        <v>157</v>
      </c>
      <c r="F73" s="92"/>
      <c r="G73" s="92">
        <v>143</v>
      </c>
      <c r="H73" s="92"/>
      <c r="I73" s="92">
        <f t="shared" si="1"/>
        <v>14</v>
      </c>
      <c r="J73" s="98" t="s">
        <v>244</v>
      </c>
      <c r="K73" s="83" t="s">
        <v>181</v>
      </c>
      <c r="M73" s="83" t="s">
        <v>334</v>
      </c>
    </row>
    <row r="74" spans="1:11" ht="15">
      <c r="A74" s="95">
        <v>6759002</v>
      </c>
      <c r="B74" s="105"/>
      <c r="C74" s="96" t="s">
        <v>182</v>
      </c>
      <c r="E74" s="92">
        <v>0</v>
      </c>
      <c r="F74" s="92"/>
      <c r="G74" s="92">
        <v>0</v>
      </c>
      <c r="H74" s="92"/>
      <c r="I74" s="92">
        <f t="shared" si="1"/>
        <v>0</v>
      </c>
      <c r="K74" s="83" t="s">
        <v>145</v>
      </c>
    </row>
    <row r="75" spans="1:11" ht="15">
      <c r="A75" s="95">
        <v>6759003</v>
      </c>
      <c r="B75" s="105"/>
      <c r="C75" s="96" t="s">
        <v>135</v>
      </c>
      <c r="E75" s="92">
        <v>0</v>
      </c>
      <c r="F75" s="92"/>
      <c r="G75" s="92">
        <v>0</v>
      </c>
      <c r="H75" s="92"/>
      <c r="I75" s="92">
        <f t="shared" si="1"/>
        <v>0</v>
      </c>
      <c r="K75" s="83" t="s">
        <v>145</v>
      </c>
    </row>
    <row r="76" spans="1:13" ht="15">
      <c r="A76" s="95">
        <v>6759004</v>
      </c>
      <c r="B76" s="105"/>
      <c r="C76" s="96" t="s">
        <v>183</v>
      </c>
      <c r="E76" s="92">
        <v>350</v>
      </c>
      <c r="F76" s="92"/>
      <c r="G76" s="92">
        <v>328</v>
      </c>
      <c r="H76" s="92"/>
      <c r="I76" s="92">
        <f t="shared" si="1"/>
        <v>22</v>
      </c>
      <c r="J76" s="98" t="s">
        <v>244</v>
      </c>
      <c r="K76" s="83" t="s">
        <v>181</v>
      </c>
      <c r="M76" s="83" t="s">
        <v>335</v>
      </c>
    </row>
    <row r="77" spans="1:11" ht="15">
      <c r="A77" s="95">
        <v>6759005</v>
      </c>
      <c r="B77" s="105"/>
      <c r="C77" s="96" t="s">
        <v>184</v>
      </c>
      <c r="E77" s="92">
        <v>-224</v>
      </c>
      <c r="F77" s="92"/>
      <c r="G77" s="92">
        <v>-224</v>
      </c>
      <c r="H77" s="92"/>
      <c r="I77" s="92">
        <f t="shared" si="1"/>
        <v>0</v>
      </c>
      <c r="K77" s="83" t="s">
        <v>145</v>
      </c>
    </row>
    <row r="78" spans="1:11" ht="15">
      <c r="A78" s="95">
        <v>6759006</v>
      </c>
      <c r="B78" s="105"/>
      <c r="C78" s="96" t="s">
        <v>185</v>
      </c>
      <c r="E78" s="92">
        <v>553</v>
      </c>
      <c r="F78" s="92"/>
      <c r="G78" s="92">
        <v>553</v>
      </c>
      <c r="H78" s="92"/>
      <c r="I78" s="92">
        <f t="shared" si="1"/>
        <v>0</v>
      </c>
      <c r="K78" s="83" t="s">
        <v>145</v>
      </c>
    </row>
    <row r="79" spans="1:13" ht="15">
      <c r="A79" s="95">
        <v>6759008</v>
      </c>
      <c r="B79" s="105"/>
      <c r="C79" s="96" t="s">
        <v>186</v>
      </c>
      <c r="E79" s="92">
        <v>319</v>
      </c>
      <c r="F79" s="92"/>
      <c r="G79" s="92">
        <v>298</v>
      </c>
      <c r="H79" s="92"/>
      <c r="I79" s="92">
        <f t="shared" si="1"/>
        <v>21</v>
      </c>
      <c r="J79" s="98" t="s">
        <v>244</v>
      </c>
      <c r="K79" s="83" t="s">
        <v>181</v>
      </c>
      <c r="M79" s="83" t="s">
        <v>335</v>
      </c>
    </row>
    <row r="80" spans="1:13" ht="15">
      <c r="A80" s="95">
        <v>6759009</v>
      </c>
      <c r="B80" s="105"/>
      <c r="C80" s="96" t="s">
        <v>187</v>
      </c>
      <c r="E80" s="92">
        <v>488</v>
      </c>
      <c r="F80" s="92"/>
      <c r="G80" s="92">
        <v>457</v>
      </c>
      <c r="H80" s="92"/>
      <c r="I80" s="92">
        <f t="shared" si="1"/>
        <v>31</v>
      </c>
      <c r="J80" s="98" t="s">
        <v>244</v>
      </c>
      <c r="K80" s="83" t="s">
        <v>181</v>
      </c>
      <c r="M80" s="83" t="s">
        <v>335</v>
      </c>
    </row>
    <row r="81" spans="1:13" ht="15">
      <c r="A81" s="95">
        <v>6759010</v>
      </c>
      <c r="B81" s="105"/>
      <c r="C81" s="96" t="s">
        <v>188</v>
      </c>
      <c r="E81" s="92">
        <v>38</v>
      </c>
      <c r="F81" s="92"/>
      <c r="G81" s="92">
        <v>35</v>
      </c>
      <c r="H81" s="92"/>
      <c r="I81" s="92">
        <f t="shared" si="1"/>
        <v>3</v>
      </c>
      <c r="J81" s="98" t="s">
        <v>244</v>
      </c>
      <c r="K81" s="83" t="s">
        <v>181</v>
      </c>
      <c r="M81" s="83" t="s">
        <v>335</v>
      </c>
    </row>
    <row r="82" spans="1:13" ht="15">
      <c r="A82" s="95">
        <v>6759011</v>
      </c>
      <c r="B82" s="105"/>
      <c r="C82" s="96" t="s">
        <v>189</v>
      </c>
      <c r="E82" s="92">
        <v>2880</v>
      </c>
      <c r="F82" s="92"/>
      <c r="G82" s="92">
        <v>2695</v>
      </c>
      <c r="H82" s="92"/>
      <c r="I82" s="92">
        <f t="shared" si="1"/>
        <v>185</v>
      </c>
      <c r="J82" s="98" t="s">
        <v>244</v>
      </c>
      <c r="K82" s="83" t="s">
        <v>181</v>
      </c>
      <c r="M82" s="83" t="s">
        <v>335</v>
      </c>
    </row>
    <row r="83" spans="1:13" ht="15">
      <c r="A83" s="95">
        <v>6759013</v>
      </c>
      <c r="B83" s="105"/>
      <c r="C83" s="96" t="s">
        <v>190</v>
      </c>
      <c r="E83" s="92">
        <v>48</v>
      </c>
      <c r="F83" s="92"/>
      <c r="G83" s="92">
        <v>45</v>
      </c>
      <c r="H83" s="92"/>
      <c r="I83" s="92">
        <f t="shared" si="1"/>
        <v>3</v>
      </c>
      <c r="J83" s="98" t="s">
        <v>244</v>
      </c>
      <c r="K83" s="83" t="s">
        <v>181</v>
      </c>
      <c r="M83" s="83" t="s">
        <v>335</v>
      </c>
    </row>
    <row r="84" spans="1:13" ht="15">
      <c r="A84" s="95">
        <v>6759014</v>
      </c>
      <c r="B84" s="105"/>
      <c r="C84" s="96" t="s">
        <v>191</v>
      </c>
      <c r="E84" s="92">
        <v>12</v>
      </c>
      <c r="F84" s="92"/>
      <c r="G84" s="92">
        <v>11</v>
      </c>
      <c r="H84" s="92"/>
      <c r="I84" s="92">
        <f t="shared" si="1"/>
        <v>1</v>
      </c>
      <c r="J84" s="98" t="s">
        <v>244</v>
      </c>
      <c r="K84" s="83" t="s">
        <v>181</v>
      </c>
      <c r="M84" s="83" t="s">
        <v>335</v>
      </c>
    </row>
    <row r="85" spans="1:11" ht="15">
      <c r="A85" s="95">
        <v>6759016</v>
      </c>
      <c r="B85" s="105"/>
      <c r="C85" s="96" t="s">
        <v>136</v>
      </c>
      <c r="E85" s="92">
        <v>0</v>
      </c>
      <c r="F85" s="92"/>
      <c r="G85" s="92">
        <v>0</v>
      </c>
      <c r="H85" s="92"/>
      <c r="I85" s="92">
        <f t="shared" si="1"/>
        <v>0</v>
      </c>
      <c r="K85" s="83" t="s">
        <v>145</v>
      </c>
    </row>
    <row r="86" spans="1:13" ht="15">
      <c r="A86" s="95">
        <v>6759007</v>
      </c>
      <c r="B86" s="105"/>
      <c r="C86" s="96" t="s">
        <v>192</v>
      </c>
      <c r="E86" s="92">
        <v>128</v>
      </c>
      <c r="F86" s="92"/>
      <c r="G86" s="92">
        <v>120</v>
      </c>
      <c r="H86" s="92"/>
      <c r="I86" s="92">
        <f t="shared" si="1"/>
        <v>8</v>
      </c>
      <c r="J86" s="98" t="s">
        <v>244</v>
      </c>
      <c r="K86" s="83" t="s">
        <v>181</v>
      </c>
      <c r="M86" s="83" t="s">
        <v>335</v>
      </c>
    </row>
    <row r="87" spans="1:13" ht="15">
      <c r="A87" s="95">
        <v>6759012</v>
      </c>
      <c r="B87" s="105"/>
      <c r="C87" s="96" t="s">
        <v>193</v>
      </c>
      <c r="E87" s="92">
        <v>1084</v>
      </c>
      <c r="F87" s="92"/>
      <c r="G87" s="92">
        <v>1014</v>
      </c>
      <c r="H87" s="92"/>
      <c r="I87" s="92">
        <f t="shared" si="1"/>
        <v>70</v>
      </c>
      <c r="J87" s="98" t="s">
        <v>244</v>
      </c>
      <c r="K87" s="83" t="s">
        <v>181</v>
      </c>
      <c r="M87" s="83" t="s">
        <v>335</v>
      </c>
    </row>
    <row r="88" spans="1:11" ht="15">
      <c r="A88" s="95">
        <v>6759051</v>
      </c>
      <c r="B88" s="105"/>
      <c r="C88" s="96" t="s">
        <v>137</v>
      </c>
      <c r="E88" s="92">
        <v>0</v>
      </c>
      <c r="F88" s="92"/>
      <c r="G88" s="92">
        <v>0</v>
      </c>
      <c r="H88" s="92"/>
      <c r="I88" s="92">
        <f t="shared" si="1"/>
        <v>0</v>
      </c>
      <c r="K88" s="83" t="s">
        <v>145</v>
      </c>
    </row>
    <row r="89" spans="1:13" ht="15">
      <c r="A89" s="95">
        <v>6759090</v>
      </c>
      <c r="B89" s="105"/>
      <c r="C89" s="96" t="s">
        <v>194</v>
      </c>
      <c r="E89" s="92">
        <v>122</v>
      </c>
      <c r="F89" s="92"/>
      <c r="G89" s="92">
        <v>114</v>
      </c>
      <c r="H89" s="92"/>
      <c r="I89" s="92">
        <f t="shared" si="1"/>
        <v>8</v>
      </c>
      <c r="J89" s="98" t="s">
        <v>244</v>
      </c>
      <c r="K89" s="83" t="s">
        <v>181</v>
      </c>
      <c r="M89" s="83" t="s">
        <v>335</v>
      </c>
    </row>
    <row r="90" spans="1:13" ht="15">
      <c r="A90" s="95">
        <v>6759110</v>
      </c>
      <c r="B90" s="105"/>
      <c r="C90" s="96" t="s">
        <v>195</v>
      </c>
      <c r="E90" s="92">
        <v>81</v>
      </c>
      <c r="F90" s="92"/>
      <c r="G90" s="92">
        <v>76</v>
      </c>
      <c r="H90" s="92"/>
      <c r="I90" s="92">
        <f t="shared" si="1"/>
        <v>5</v>
      </c>
      <c r="J90" s="98" t="s">
        <v>245</v>
      </c>
      <c r="K90" s="83" t="s">
        <v>196</v>
      </c>
      <c r="M90" s="83" t="s">
        <v>335</v>
      </c>
    </row>
    <row r="91" spans="1:11" ht="15">
      <c r="A91" s="95">
        <v>6759111</v>
      </c>
      <c r="B91" s="105"/>
      <c r="C91" s="96" t="s">
        <v>197</v>
      </c>
      <c r="E91" s="92">
        <v>0</v>
      </c>
      <c r="F91" s="92"/>
      <c r="G91" s="92">
        <v>0</v>
      </c>
      <c r="H91" s="92"/>
      <c r="I91" s="92">
        <f t="shared" si="1"/>
        <v>0</v>
      </c>
      <c r="K91" s="83" t="s">
        <v>145</v>
      </c>
    </row>
    <row r="92" spans="1:11" ht="15">
      <c r="A92" s="95">
        <v>6759115</v>
      </c>
      <c r="B92" s="105"/>
      <c r="C92" s="96" t="s">
        <v>138</v>
      </c>
      <c r="E92" s="92">
        <v>0</v>
      </c>
      <c r="F92" s="92"/>
      <c r="G92" s="92">
        <v>0</v>
      </c>
      <c r="H92" s="92"/>
      <c r="I92" s="92">
        <f t="shared" si="1"/>
        <v>0</v>
      </c>
      <c r="K92" s="83" t="s">
        <v>145</v>
      </c>
    </row>
    <row r="93" spans="1:13" ht="15">
      <c r="A93" s="95">
        <v>6759120</v>
      </c>
      <c r="B93" s="105"/>
      <c r="C93" s="96" t="s">
        <v>198</v>
      </c>
      <c r="E93" s="92">
        <v>533</v>
      </c>
      <c r="F93" s="92"/>
      <c r="G93" s="92">
        <v>499</v>
      </c>
      <c r="H93" s="92"/>
      <c r="I93" s="92">
        <f t="shared" si="1"/>
        <v>34</v>
      </c>
      <c r="J93" s="98" t="s">
        <v>245</v>
      </c>
      <c r="K93" s="83" t="s">
        <v>196</v>
      </c>
      <c r="M93" s="83" t="s">
        <v>335</v>
      </c>
    </row>
    <row r="94" spans="1:13" ht="15">
      <c r="A94" s="95">
        <v>6759125</v>
      </c>
      <c r="B94" s="105"/>
      <c r="C94" s="96" t="s">
        <v>199</v>
      </c>
      <c r="E94" s="92">
        <v>116</v>
      </c>
      <c r="F94" s="92"/>
      <c r="G94" s="92">
        <v>108</v>
      </c>
      <c r="H94" s="92"/>
      <c r="I94" s="92">
        <f t="shared" si="1"/>
        <v>8</v>
      </c>
      <c r="J94" s="98" t="s">
        <v>245</v>
      </c>
      <c r="K94" s="83" t="s">
        <v>196</v>
      </c>
      <c r="M94" s="83" t="s">
        <v>335</v>
      </c>
    </row>
    <row r="95" spans="1:13" ht="15">
      <c r="A95" s="95">
        <v>6759130</v>
      </c>
      <c r="B95" s="105"/>
      <c r="C95" s="96" t="s">
        <v>200</v>
      </c>
      <c r="E95" s="92">
        <v>168</v>
      </c>
      <c r="F95" s="92"/>
      <c r="G95" s="92">
        <v>157</v>
      </c>
      <c r="H95" s="92"/>
      <c r="I95" s="92">
        <f t="shared" si="1"/>
        <v>11</v>
      </c>
      <c r="J95" s="98" t="s">
        <v>245</v>
      </c>
      <c r="K95" s="83" t="s">
        <v>196</v>
      </c>
      <c r="M95" s="83" t="s">
        <v>335</v>
      </c>
    </row>
    <row r="96" spans="1:11" ht="15">
      <c r="A96" s="95">
        <v>6759160</v>
      </c>
      <c r="B96" s="105"/>
      <c r="C96" s="96" t="s">
        <v>201</v>
      </c>
      <c r="E96" s="92">
        <v>0</v>
      </c>
      <c r="F96" s="92"/>
      <c r="G96" s="92">
        <v>0</v>
      </c>
      <c r="H96" s="92"/>
      <c r="I96" s="92">
        <f t="shared" si="1"/>
        <v>0</v>
      </c>
      <c r="K96" s="83" t="s">
        <v>145</v>
      </c>
    </row>
    <row r="97" spans="1:11" ht="15">
      <c r="A97" s="95">
        <v>6759190</v>
      </c>
      <c r="B97" s="105"/>
      <c r="C97" s="96" t="s">
        <v>202</v>
      </c>
      <c r="E97" s="92">
        <v>0</v>
      </c>
      <c r="F97" s="92"/>
      <c r="G97" s="92">
        <v>0</v>
      </c>
      <c r="H97" s="92"/>
      <c r="I97" s="92">
        <f t="shared" si="1"/>
        <v>0</v>
      </c>
      <c r="K97" s="83" t="s">
        <v>145</v>
      </c>
    </row>
    <row r="98" spans="1:11" ht="15">
      <c r="A98" s="95">
        <v>6759135</v>
      </c>
      <c r="B98" s="105"/>
      <c r="C98" s="96" t="s">
        <v>203</v>
      </c>
      <c r="E98" s="92">
        <v>0</v>
      </c>
      <c r="F98" s="92"/>
      <c r="G98" s="92">
        <v>0</v>
      </c>
      <c r="H98" s="92"/>
      <c r="I98" s="92">
        <f t="shared" si="1"/>
        <v>0</v>
      </c>
      <c r="K98" s="83" t="s">
        <v>145</v>
      </c>
    </row>
    <row r="99" spans="1:13" ht="15">
      <c r="A99" s="95">
        <v>6759210</v>
      </c>
      <c r="B99" s="105"/>
      <c r="C99" s="96" t="s">
        <v>204</v>
      </c>
      <c r="E99" s="92">
        <v>576</v>
      </c>
      <c r="F99" s="92"/>
      <c r="G99" s="92">
        <v>539</v>
      </c>
      <c r="H99" s="92"/>
      <c r="I99" s="92">
        <f t="shared" si="1"/>
        <v>37</v>
      </c>
      <c r="J99" s="98" t="s">
        <v>244</v>
      </c>
      <c r="K99" s="83" t="s">
        <v>181</v>
      </c>
      <c r="M99" s="83" t="s">
        <v>335</v>
      </c>
    </row>
    <row r="100" spans="1:13" ht="15">
      <c r="A100" s="95">
        <v>6759220</v>
      </c>
      <c r="B100" s="105"/>
      <c r="C100" s="96" t="s">
        <v>205</v>
      </c>
      <c r="E100" s="92">
        <v>621</v>
      </c>
      <c r="F100" s="92"/>
      <c r="G100" s="92">
        <v>581</v>
      </c>
      <c r="H100" s="92"/>
      <c r="I100" s="92">
        <f t="shared" si="1"/>
        <v>40</v>
      </c>
      <c r="J100" s="98" t="s">
        <v>246</v>
      </c>
      <c r="K100" s="83" t="s">
        <v>181</v>
      </c>
      <c r="M100" s="83" t="s">
        <v>335</v>
      </c>
    </row>
    <row r="101" spans="1:13" ht="15">
      <c r="A101" s="95">
        <v>6759230</v>
      </c>
      <c r="B101" s="105"/>
      <c r="C101" s="96" t="s">
        <v>206</v>
      </c>
      <c r="E101" s="92">
        <v>38</v>
      </c>
      <c r="F101" s="92"/>
      <c r="G101" s="92">
        <v>35</v>
      </c>
      <c r="H101" s="92"/>
      <c r="I101" s="92">
        <f t="shared" si="1"/>
        <v>3</v>
      </c>
      <c r="J101" s="98" t="s">
        <v>244</v>
      </c>
      <c r="K101" s="83" t="s">
        <v>181</v>
      </c>
      <c r="M101" s="83" t="s">
        <v>335</v>
      </c>
    </row>
    <row r="102" spans="1:11" ht="15">
      <c r="A102" s="95">
        <v>6759250</v>
      </c>
      <c r="B102" s="105"/>
      <c r="C102" s="96" t="s">
        <v>207</v>
      </c>
      <c r="E102" s="92">
        <v>0</v>
      </c>
      <c r="F102" s="92"/>
      <c r="G102" s="92">
        <v>0</v>
      </c>
      <c r="H102" s="92"/>
      <c r="I102" s="92">
        <f aca="true" t="shared" si="2" ref="I102:I132">E102-G102</f>
        <v>0</v>
      </c>
      <c r="K102" s="83" t="s">
        <v>145</v>
      </c>
    </row>
    <row r="103" spans="1:13" ht="15">
      <c r="A103" s="95">
        <v>6759260</v>
      </c>
      <c r="B103" s="105"/>
      <c r="C103" s="96" t="s">
        <v>208</v>
      </c>
      <c r="E103" s="92">
        <v>54</v>
      </c>
      <c r="F103" s="92"/>
      <c r="G103" s="92">
        <v>51</v>
      </c>
      <c r="H103" s="92"/>
      <c r="I103" s="92">
        <f t="shared" si="2"/>
        <v>3</v>
      </c>
      <c r="J103" s="98" t="s">
        <v>244</v>
      </c>
      <c r="K103" s="83" t="s">
        <v>181</v>
      </c>
      <c r="M103" s="83" t="s">
        <v>335</v>
      </c>
    </row>
    <row r="104" spans="1:13" ht="15">
      <c r="A104" s="95">
        <v>6759290</v>
      </c>
      <c r="B104" s="105"/>
      <c r="C104" s="96" t="s">
        <v>209</v>
      </c>
      <c r="E104" s="92">
        <v>1027</v>
      </c>
      <c r="F104" s="92"/>
      <c r="G104" s="92">
        <v>962</v>
      </c>
      <c r="H104" s="92"/>
      <c r="I104" s="92">
        <f t="shared" si="2"/>
        <v>65</v>
      </c>
      <c r="J104" s="98" t="s">
        <v>244</v>
      </c>
      <c r="K104" s="83" t="s">
        <v>181</v>
      </c>
      <c r="M104" s="83" t="s">
        <v>335</v>
      </c>
    </row>
    <row r="105" spans="1:13" ht="15">
      <c r="A105" s="95">
        <v>6759330</v>
      </c>
      <c r="B105" s="105"/>
      <c r="C105" s="96" t="s">
        <v>210</v>
      </c>
      <c r="E105" s="92">
        <v>18</v>
      </c>
      <c r="F105" s="92"/>
      <c r="G105" s="92">
        <v>17</v>
      </c>
      <c r="H105" s="92"/>
      <c r="I105" s="92">
        <f t="shared" si="2"/>
        <v>1</v>
      </c>
      <c r="J105" s="98" t="s">
        <v>247</v>
      </c>
      <c r="K105" s="83" t="s">
        <v>211</v>
      </c>
      <c r="M105" s="83" t="s">
        <v>335</v>
      </c>
    </row>
    <row r="106" spans="1:13" ht="15">
      <c r="A106" s="95">
        <v>7048050</v>
      </c>
      <c r="B106" s="105"/>
      <c r="C106" s="96" t="s">
        <v>212</v>
      </c>
      <c r="E106" s="92">
        <v>58</v>
      </c>
      <c r="F106" s="92"/>
      <c r="G106" s="92">
        <v>54</v>
      </c>
      <c r="H106" s="92"/>
      <c r="I106" s="92">
        <f t="shared" si="2"/>
        <v>4</v>
      </c>
      <c r="J106" s="98" t="s">
        <v>247</v>
      </c>
      <c r="K106" s="83" t="s">
        <v>211</v>
      </c>
      <c r="M106" s="83" t="s">
        <v>335</v>
      </c>
    </row>
    <row r="107" spans="1:13" ht="15">
      <c r="A107" s="95">
        <v>7048055</v>
      </c>
      <c r="B107" s="105"/>
      <c r="C107" s="96" t="s">
        <v>213</v>
      </c>
      <c r="E107" s="92">
        <v>527</v>
      </c>
      <c r="F107" s="92"/>
      <c r="G107" s="92">
        <v>493</v>
      </c>
      <c r="H107" s="92"/>
      <c r="I107" s="92">
        <f t="shared" si="2"/>
        <v>34</v>
      </c>
      <c r="J107" s="98" t="s">
        <v>247</v>
      </c>
      <c r="K107" s="83" t="s">
        <v>211</v>
      </c>
      <c r="M107" s="83" t="s">
        <v>335</v>
      </c>
    </row>
    <row r="108" spans="1:13" ht="15">
      <c r="A108" s="95">
        <v>7758370</v>
      </c>
      <c r="B108" s="105"/>
      <c r="C108" s="96" t="s">
        <v>214</v>
      </c>
      <c r="E108" s="92">
        <v>119</v>
      </c>
      <c r="F108" s="92"/>
      <c r="G108" s="92">
        <v>109</v>
      </c>
      <c r="H108" s="92"/>
      <c r="I108" s="92">
        <f t="shared" si="2"/>
        <v>10</v>
      </c>
      <c r="J108" s="98" t="s">
        <v>247</v>
      </c>
      <c r="K108" s="83" t="s">
        <v>211</v>
      </c>
      <c r="M108" s="83" t="s">
        <v>334</v>
      </c>
    </row>
    <row r="109" spans="1:13" ht="15">
      <c r="A109" s="95">
        <v>7758380</v>
      </c>
      <c r="B109" s="105"/>
      <c r="C109" s="96" t="s">
        <v>215</v>
      </c>
      <c r="E109" s="92">
        <v>4570</v>
      </c>
      <c r="F109" s="92"/>
      <c r="G109" s="92">
        <v>4172</v>
      </c>
      <c r="H109" s="92"/>
      <c r="I109" s="92">
        <f t="shared" si="2"/>
        <v>398</v>
      </c>
      <c r="J109" s="98" t="s">
        <v>247</v>
      </c>
      <c r="K109" s="83" t="s">
        <v>211</v>
      </c>
      <c r="M109" s="83" t="s">
        <v>334</v>
      </c>
    </row>
    <row r="110" spans="1:13" ht="15">
      <c r="A110" s="95">
        <v>7758390</v>
      </c>
      <c r="B110" s="105"/>
      <c r="C110" s="96" t="s">
        <v>216</v>
      </c>
      <c r="E110" s="92">
        <v>303</v>
      </c>
      <c r="F110" s="92"/>
      <c r="G110" s="92">
        <v>276</v>
      </c>
      <c r="H110" s="92"/>
      <c r="I110" s="92">
        <f t="shared" si="2"/>
        <v>27</v>
      </c>
      <c r="J110" s="98" t="s">
        <v>247</v>
      </c>
      <c r="K110" s="83" t="s">
        <v>211</v>
      </c>
      <c r="M110" s="83" t="s">
        <v>334</v>
      </c>
    </row>
    <row r="111" spans="1:13" ht="15">
      <c r="A111" s="95">
        <v>6759018</v>
      </c>
      <c r="B111" s="105"/>
      <c r="C111" s="96" t="s">
        <v>217</v>
      </c>
      <c r="E111" s="92">
        <v>57</v>
      </c>
      <c r="F111" s="92"/>
      <c r="G111" s="92">
        <v>54</v>
      </c>
      <c r="H111" s="92"/>
      <c r="I111" s="92">
        <f t="shared" si="2"/>
        <v>3</v>
      </c>
      <c r="J111" s="98" t="s">
        <v>246</v>
      </c>
      <c r="K111" s="83" t="s">
        <v>218</v>
      </c>
      <c r="M111" s="83" t="s">
        <v>335</v>
      </c>
    </row>
    <row r="112" spans="1:11" ht="15">
      <c r="A112" s="95">
        <v>6759430</v>
      </c>
      <c r="B112" s="105"/>
      <c r="C112" s="96" t="s">
        <v>219</v>
      </c>
      <c r="E112" s="92">
        <v>0</v>
      </c>
      <c r="F112" s="92"/>
      <c r="G112" s="92">
        <v>0</v>
      </c>
      <c r="H112" s="92"/>
      <c r="I112" s="92">
        <f t="shared" si="2"/>
        <v>0</v>
      </c>
      <c r="K112" s="83" t="s">
        <v>145</v>
      </c>
    </row>
    <row r="113" spans="1:11" ht="15">
      <c r="A113" s="95">
        <v>6509090</v>
      </c>
      <c r="B113" s="105"/>
      <c r="C113" s="96" t="s">
        <v>220</v>
      </c>
      <c r="E113" s="92">
        <v>0</v>
      </c>
      <c r="F113" s="92"/>
      <c r="G113" s="92">
        <v>0</v>
      </c>
      <c r="H113" s="92"/>
      <c r="I113" s="92">
        <f t="shared" si="2"/>
        <v>0</v>
      </c>
      <c r="K113" s="83" t="s">
        <v>145</v>
      </c>
    </row>
    <row r="114" spans="1:13" ht="15">
      <c r="A114" s="95">
        <v>4032090</v>
      </c>
      <c r="B114" s="105"/>
      <c r="C114" s="96" t="s">
        <v>221</v>
      </c>
      <c r="E114" s="92">
        <v>1476</v>
      </c>
      <c r="F114" s="92"/>
      <c r="G114" s="92">
        <v>1381</v>
      </c>
      <c r="H114" s="92"/>
      <c r="I114" s="92">
        <f t="shared" si="2"/>
        <v>95</v>
      </c>
      <c r="J114" s="98" t="s">
        <v>243</v>
      </c>
      <c r="K114" s="83" t="s">
        <v>140</v>
      </c>
      <c r="M114" s="83" t="s">
        <v>335</v>
      </c>
    </row>
    <row r="115" spans="1:13" ht="15">
      <c r="A115" s="95">
        <v>4032091</v>
      </c>
      <c r="B115" s="105"/>
      <c r="C115" s="96" t="s">
        <v>222</v>
      </c>
      <c r="E115" s="92">
        <v>1460</v>
      </c>
      <c r="F115" s="92"/>
      <c r="G115" s="92">
        <v>1367</v>
      </c>
      <c r="H115" s="92"/>
      <c r="I115" s="92">
        <f t="shared" si="2"/>
        <v>93</v>
      </c>
      <c r="J115" s="98" t="s">
        <v>243</v>
      </c>
      <c r="K115" s="83" t="s">
        <v>140</v>
      </c>
      <c r="M115" s="83" t="s">
        <v>335</v>
      </c>
    </row>
    <row r="116" spans="1:13" ht="15">
      <c r="A116" s="95">
        <v>4032093</v>
      </c>
      <c r="B116" s="105"/>
      <c r="C116" s="96" t="s">
        <v>223</v>
      </c>
      <c r="E116" s="92">
        <v>59</v>
      </c>
      <c r="F116" s="92"/>
      <c r="G116" s="92">
        <v>56</v>
      </c>
      <c r="H116" s="92"/>
      <c r="I116" s="92">
        <f t="shared" si="2"/>
        <v>3</v>
      </c>
      <c r="J116" s="98" t="s">
        <v>243</v>
      </c>
      <c r="K116" s="83" t="s">
        <v>140</v>
      </c>
      <c r="M116" s="83" t="s">
        <v>335</v>
      </c>
    </row>
    <row r="117" spans="1:11" ht="15">
      <c r="A117" s="95">
        <v>4032098</v>
      </c>
      <c r="B117" s="105"/>
      <c r="C117" s="96" t="s">
        <v>139</v>
      </c>
      <c r="E117" s="92">
        <v>0</v>
      </c>
      <c r="F117" s="92"/>
      <c r="G117" s="92">
        <v>0</v>
      </c>
      <c r="H117" s="92"/>
      <c r="I117" s="92">
        <f t="shared" si="2"/>
        <v>0</v>
      </c>
      <c r="K117" s="83" t="s">
        <v>145</v>
      </c>
    </row>
    <row r="118" spans="1:11" ht="15">
      <c r="A118" s="95">
        <v>4081303</v>
      </c>
      <c r="B118" s="105"/>
      <c r="C118" s="96" t="s">
        <v>224</v>
      </c>
      <c r="E118" s="92">
        <v>3</v>
      </c>
      <c r="F118" s="92"/>
      <c r="G118" s="92">
        <v>3</v>
      </c>
      <c r="H118" s="92"/>
      <c r="I118" s="92">
        <f t="shared" si="2"/>
        <v>0</v>
      </c>
      <c r="K118" s="83" t="s">
        <v>145</v>
      </c>
    </row>
    <row r="119" spans="1:13" ht="15">
      <c r="A119" s="95">
        <v>4081121</v>
      </c>
      <c r="B119" s="105"/>
      <c r="C119" s="96" t="s">
        <v>225</v>
      </c>
      <c r="E119" s="92">
        <v>1343</v>
      </c>
      <c r="F119" s="92"/>
      <c r="G119" s="92">
        <v>1257</v>
      </c>
      <c r="H119" s="92"/>
      <c r="I119" s="92">
        <f t="shared" si="2"/>
        <v>86</v>
      </c>
      <c r="J119" s="98" t="s">
        <v>248</v>
      </c>
      <c r="K119" s="83" t="s">
        <v>226</v>
      </c>
      <c r="M119" s="83" t="s">
        <v>335</v>
      </c>
    </row>
    <row r="120" spans="1:13" ht="15">
      <c r="A120" s="95">
        <v>4081201</v>
      </c>
      <c r="B120" s="105"/>
      <c r="C120" s="96" t="s">
        <v>227</v>
      </c>
      <c r="E120" s="92">
        <v>3400</v>
      </c>
      <c r="F120" s="92"/>
      <c r="G120" s="92">
        <v>3182</v>
      </c>
      <c r="H120" s="92"/>
      <c r="I120" s="92">
        <f t="shared" si="2"/>
        <v>218</v>
      </c>
      <c r="J120" s="98" t="s">
        <v>243</v>
      </c>
      <c r="K120" s="83" t="s">
        <v>150</v>
      </c>
      <c r="M120" s="83" t="s">
        <v>335</v>
      </c>
    </row>
    <row r="121" spans="1:13" ht="15">
      <c r="A121" s="95">
        <v>4091060</v>
      </c>
      <c r="B121" s="105"/>
      <c r="C121" s="96" t="s">
        <v>228</v>
      </c>
      <c r="E121" s="92">
        <v>148</v>
      </c>
      <c r="F121" s="92"/>
      <c r="G121" s="92">
        <v>139</v>
      </c>
      <c r="H121" s="92"/>
      <c r="I121" s="92">
        <f t="shared" si="2"/>
        <v>9</v>
      </c>
      <c r="J121" s="98" t="s">
        <v>243</v>
      </c>
      <c r="K121" s="83" t="s">
        <v>150</v>
      </c>
      <c r="M121" s="83" t="s">
        <v>335</v>
      </c>
    </row>
    <row r="122" spans="1:11" ht="15">
      <c r="A122" s="95">
        <v>4091128</v>
      </c>
      <c r="B122" s="105"/>
      <c r="C122" s="96" t="s">
        <v>229</v>
      </c>
      <c r="E122" s="92">
        <v>0</v>
      </c>
      <c r="F122" s="92"/>
      <c r="G122" s="92">
        <v>0</v>
      </c>
      <c r="H122" s="92"/>
      <c r="I122" s="92">
        <f t="shared" si="2"/>
        <v>0</v>
      </c>
      <c r="K122" s="83" t="s">
        <v>145</v>
      </c>
    </row>
    <row r="123" spans="1:13" ht="15">
      <c r="A123" s="95">
        <v>4091050</v>
      </c>
      <c r="B123" s="105"/>
      <c r="C123" s="96" t="s">
        <v>230</v>
      </c>
      <c r="E123" s="92">
        <v>46</v>
      </c>
      <c r="F123" s="92"/>
      <c r="G123" s="92">
        <v>43</v>
      </c>
      <c r="H123" s="92"/>
      <c r="I123" s="92">
        <f t="shared" si="2"/>
        <v>3</v>
      </c>
      <c r="J123" s="98" t="s">
        <v>243</v>
      </c>
      <c r="K123" s="83" t="s">
        <v>150</v>
      </c>
      <c r="M123" s="83" t="s">
        <v>335</v>
      </c>
    </row>
    <row r="124" spans="1:11" ht="15">
      <c r="A124" s="95">
        <v>4091000</v>
      </c>
      <c r="B124" s="105"/>
      <c r="C124" s="96" t="s">
        <v>29</v>
      </c>
      <c r="E124" s="92">
        <v>0</v>
      </c>
      <c r="F124" s="92"/>
      <c r="G124" s="92">
        <v>0</v>
      </c>
      <c r="H124" s="92"/>
      <c r="I124" s="92">
        <f t="shared" si="2"/>
        <v>0</v>
      </c>
      <c r="K124" s="83" t="s">
        <v>145</v>
      </c>
    </row>
    <row r="125" spans="1:11" ht="15">
      <c r="A125" s="95">
        <v>4101000</v>
      </c>
      <c r="B125" s="105"/>
      <c r="C125" s="96" t="s">
        <v>231</v>
      </c>
      <c r="E125" s="92">
        <v>0</v>
      </c>
      <c r="F125" s="92"/>
      <c r="G125" s="92">
        <v>0</v>
      </c>
      <c r="H125" s="92"/>
      <c r="I125" s="92">
        <f t="shared" si="2"/>
        <v>0</v>
      </c>
      <c r="K125" s="83" t="s">
        <v>145</v>
      </c>
    </row>
    <row r="126" spans="1:11" ht="15">
      <c r="A126" s="95">
        <v>4191010</v>
      </c>
      <c r="B126" s="105"/>
      <c r="C126" s="96" t="s">
        <v>232</v>
      </c>
      <c r="E126" s="92">
        <v>0</v>
      </c>
      <c r="F126" s="92"/>
      <c r="G126" s="92">
        <v>0</v>
      </c>
      <c r="H126" s="92"/>
      <c r="I126" s="92">
        <f t="shared" si="2"/>
        <v>0</v>
      </c>
      <c r="K126" s="83" t="s">
        <v>145</v>
      </c>
    </row>
    <row r="127" spans="1:11" ht="15">
      <c r="A127" s="95">
        <v>4131020</v>
      </c>
      <c r="B127" s="105"/>
      <c r="C127" s="96" t="s">
        <v>233</v>
      </c>
      <c r="E127" s="92">
        <v>0</v>
      </c>
      <c r="F127" s="92"/>
      <c r="G127" s="92">
        <v>0</v>
      </c>
      <c r="H127" s="92"/>
      <c r="I127" s="92">
        <f t="shared" si="2"/>
        <v>0</v>
      </c>
      <c r="K127" s="83" t="s">
        <v>145</v>
      </c>
    </row>
    <row r="128" spans="1:11" ht="15">
      <c r="A128" s="95">
        <v>4141040</v>
      </c>
      <c r="B128" s="105"/>
      <c r="C128" s="96" t="s">
        <v>234</v>
      </c>
      <c r="E128" s="92">
        <v>0</v>
      </c>
      <c r="F128" s="92"/>
      <c r="G128" s="92">
        <v>0</v>
      </c>
      <c r="H128" s="92"/>
      <c r="I128" s="92">
        <f t="shared" si="2"/>
        <v>0</v>
      </c>
      <c r="K128" s="83" t="s">
        <v>145</v>
      </c>
    </row>
    <row r="129" spans="1:13" ht="15">
      <c r="A129" s="95">
        <v>4192000</v>
      </c>
      <c r="B129" s="105"/>
      <c r="C129" s="96" t="s">
        <v>235</v>
      </c>
      <c r="E129" s="92">
        <v>8881</v>
      </c>
      <c r="F129" s="92"/>
      <c r="G129" s="92">
        <v>8450</v>
      </c>
      <c r="H129" s="92"/>
      <c r="I129" s="92">
        <f t="shared" si="2"/>
        <v>431</v>
      </c>
      <c r="J129" s="98" t="s">
        <v>251</v>
      </c>
      <c r="K129" s="83" t="s">
        <v>236</v>
      </c>
      <c r="M129" s="83" t="s">
        <v>337</v>
      </c>
    </row>
    <row r="130" spans="1:11" ht="15">
      <c r="A130" s="95">
        <v>4201000</v>
      </c>
      <c r="B130" s="105"/>
      <c r="C130" s="96" t="s">
        <v>237</v>
      </c>
      <c r="E130" s="92">
        <v>0</v>
      </c>
      <c r="F130" s="92"/>
      <c r="G130" s="92">
        <v>0</v>
      </c>
      <c r="H130" s="92"/>
      <c r="I130" s="92">
        <f t="shared" si="2"/>
        <v>0</v>
      </c>
      <c r="K130" s="83" t="s">
        <v>145</v>
      </c>
    </row>
    <row r="131" spans="1:13" ht="15">
      <c r="A131" s="95">
        <v>4261000</v>
      </c>
      <c r="B131" s="105"/>
      <c r="C131" s="96" t="s">
        <v>238</v>
      </c>
      <c r="E131" s="92">
        <v>-346</v>
      </c>
      <c r="F131" s="92"/>
      <c r="G131" s="92">
        <v>-324</v>
      </c>
      <c r="H131" s="92"/>
      <c r="I131" s="92">
        <f t="shared" si="2"/>
        <v>-22</v>
      </c>
      <c r="J131" s="98" t="s">
        <v>247</v>
      </c>
      <c r="K131" s="83" t="s">
        <v>211</v>
      </c>
      <c r="M131" s="83" t="s">
        <v>335</v>
      </c>
    </row>
    <row r="132" spans="1:13" ht="15">
      <c r="A132" s="95">
        <v>4272090</v>
      </c>
      <c r="B132" s="105"/>
      <c r="C132" s="96" t="s">
        <v>239</v>
      </c>
      <c r="E132" s="92">
        <v>-62</v>
      </c>
      <c r="F132" s="92"/>
      <c r="G132" s="92">
        <v>-58</v>
      </c>
      <c r="H132" s="92"/>
      <c r="I132" s="92">
        <f t="shared" si="2"/>
        <v>-4</v>
      </c>
      <c r="J132" s="98" t="s">
        <v>251</v>
      </c>
      <c r="K132" s="83" t="s">
        <v>236</v>
      </c>
      <c r="M132" s="83" t="s">
        <v>335</v>
      </c>
    </row>
    <row r="133" spans="5:9" ht="15.75" thickBot="1">
      <c r="E133" s="93">
        <f>SUM(E37:E132)</f>
        <v>77518</v>
      </c>
      <c r="F133" s="92"/>
      <c r="G133" s="93">
        <f>SUM(G37:G132)</f>
        <v>71682</v>
      </c>
      <c r="H133" s="92"/>
      <c r="I133" s="93">
        <f>SUM(I37:I132)</f>
        <v>5836</v>
      </c>
    </row>
    <row r="134" spans="5:9" ht="15.75" thickTop="1">
      <c r="E134" s="92"/>
      <c r="F134" s="92"/>
      <c r="G134" s="92"/>
      <c r="H134" s="92"/>
      <c r="I134" s="92"/>
    </row>
    <row r="135" spans="1:9" ht="15">
      <c r="A135" s="100" t="s">
        <v>249</v>
      </c>
      <c r="E135" s="92"/>
      <c r="F135" s="92"/>
      <c r="G135" s="194"/>
      <c r="H135" s="92"/>
      <c r="I135" s="92"/>
    </row>
    <row r="136" spans="1:9" ht="15">
      <c r="A136" s="82"/>
      <c r="B136" s="98" t="s">
        <v>241</v>
      </c>
      <c r="C136" s="3" t="s">
        <v>6</v>
      </c>
      <c r="E136" s="106">
        <f>+I44</f>
        <v>17</v>
      </c>
      <c r="F136" s="98"/>
      <c r="G136" s="92"/>
      <c r="H136" s="92"/>
      <c r="I136" s="92"/>
    </row>
    <row r="137" spans="1:9" ht="15">
      <c r="A137" s="82"/>
      <c r="B137" s="98" t="s">
        <v>242</v>
      </c>
      <c r="C137" s="3" t="s">
        <v>17</v>
      </c>
      <c r="E137" s="107">
        <f>+I45+I46+I47+I48+I49+I55</f>
        <v>609</v>
      </c>
      <c r="F137" s="98"/>
      <c r="G137" s="92"/>
      <c r="H137" s="92"/>
      <c r="I137" s="92"/>
    </row>
    <row r="138" spans="2:9" ht="15">
      <c r="B138" s="98" t="s">
        <v>240</v>
      </c>
      <c r="C138" s="3" t="s">
        <v>24</v>
      </c>
      <c r="E138" s="107">
        <f>+I29</f>
        <v>1093</v>
      </c>
      <c r="F138" s="98"/>
      <c r="G138" s="92"/>
      <c r="H138" s="92"/>
      <c r="I138" s="92"/>
    </row>
    <row r="139" spans="2:9" ht="15">
      <c r="B139" s="98" t="s">
        <v>246</v>
      </c>
      <c r="C139" s="3" t="s">
        <v>11</v>
      </c>
      <c r="E139" s="107">
        <f>+I100+I111</f>
        <v>43</v>
      </c>
      <c r="F139" s="98"/>
      <c r="G139" s="92"/>
      <c r="H139" s="92"/>
      <c r="I139" s="92"/>
    </row>
    <row r="140" spans="2:9" ht="15">
      <c r="B140" s="98" t="s">
        <v>245</v>
      </c>
      <c r="C140" s="3" t="s">
        <v>25</v>
      </c>
      <c r="E140" s="107">
        <f>+I93+I90+I94+I95</f>
        <v>58</v>
      </c>
      <c r="F140" s="98"/>
      <c r="G140" s="92"/>
      <c r="H140" s="92"/>
      <c r="I140" s="92"/>
    </row>
    <row r="141" spans="2:9" ht="15">
      <c r="B141" s="98" t="s">
        <v>248</v>
      </c>
      <c r="C141" s="4" t="s">
        <v>28</v>
      </c>
      <c r="E141" s="107">
        <f>+I119</f>
        <v>86</v>
      </c>
      <c r="F141" s="98"/>
      <c r="G141" s="92"/>
      <c r="H141" s="92"/>
      <c r="I141" s="92"/>
    </row>
    <row r="142" spans="2:9" ht="15">
      <c r="B142" s="98" t="s">
        <v>244</v>
      </c>
      <c r="C142" s="3" t="s">
        <v>20</v>
      </c>
      <c r="E142" s="107">
        <f>+I103+I104+I101+I99+I89+I87+I86+I84+I83+I82+I81+I80+I79+I76+I73</f>
        <v>474</v>
      </c>
      <c r="F142" s="98"/>
      <c r="G142" s="92"/>
      <c r="H142" s="92"/>
      <c r="I142" s="92"/>
    </row>
    <row r="143" spans="2:9" ht="15">
      <c r="B143" s="98" t="s">
        <v>247</v>
      </c>
      <c r="C143" s="3" t="s">
        <v>26</v>
      </c>
      <c r="E143" s="107">
        <f>+I131+I110+I109+I108+I107+I106+I105</f>
        <v>452</v>
      </c>
      <c r="F143" s="98"/>
      <c r="G143" s="92"/>
      <c r="H143" s="92"/>
      <c r="I143" s="92"/>
    </row>
    <row r="144" spans="2:9" ht="15">
      <c r="B144" s="98" t="s">
        <v>251</v>
      </c>
      <c r="C144" s="4" t="s">
        <v>36</v>
      </c>
      <c r="E144" s="109">
        <f>+I129+I132-1</f>
        <v>426</v>
      </c>
      <c r="F144" s="98"/>
      <c r="G144" s="92"/>
      <c r="H144" s="92"/>
      <c r="I144" s="92"/>
    </row>
    <row r="145" spans="2:9" ht="15">
      <c r="B145" s="98" t="s">
        <v>250</v>
      </c>
      <c r="C145" s="4" t="s">
        <v>31</v>
      </c>
      <c r="E145" s="110">
        <f>'15 b Revised pro-forma IS'!H48</f>
        <v>-3660.48</v>
      </c>
      <c r="F145" s="92"/>
      <c r="G145" s="92"/>
      <c r="H145" s="92"/>
      <c r="I145" s="92"/>
    </row>
    <row r="146" spans="2:9" ht="15.75" thickBot="1">
      <c r="B146" s="98"/>
      <c r="C146" s="83" t="s">
        <v>32</v>
      </c>
      <c r="E146" s="108">
        <f>SUM(E136:E145)</f>
        <v>-402.48</v>
      </c>
      <c r="F146" s="92"/>
      <c r="G146" s="92"/>
      <c r="H146" s="92"/>
      <c r="I146" s="92"/>
    </row>
    <row r="147" spans="2:9" ht="15.75" thickTop="1">
      <c r="B147" s="98"/>
      <c r="E147" s="92"/>
      <c r="F147" s="92"/>
      <c r="G147" s="92"/>
      <c r="H147" s="92"/>
      <c r="I147" s="92"/>
    </row>
    <row r="148" spans="2:9" ht="15">
      <c r="B148" s="97" t="s">
        <v>252</v>
      </c>
      <c r="C148" s="83" t="s">
        <v>253</v>
      </c>
      <c r="E148" s="92"/>
      <c r="F148" s="92"/>
      <c r="G148" s="92"/>
      <c r="H148" s="92"/>
      <c r="I148" s="92"/>
    </row>
    <row r="149" spans="2:9" ht="15">
      <c r="B149" s="83"/>
      <c r="F149" s="92"/>
      <c r="G149" s="92"/>
      <c r="H149" s="92"/>
      <c r="I149" s="92"/>
    </row>
    <row r="150" spans="5:9" ht="15">
      <c r="E150" s="92"/>
      <c r="F150" s="92"/>
      <c r="G150" s="92"/>
      <c r="H150" s="92"/>
      <c r="I150" s="92"/>
    </row>
    <row r="151" spans="5:9" ht="15">
      <c r="E151" s="92"/>
      <c r="F151" s="92"/>
      <c r="G151" s="92"/>
      <c r="H151" s="92"/>
      <c r="I151" s="92"/>
    </row>
    <row r="152" spans="5:9" ht="15">
      <c r="E152" s="92"/>
      <c r="F152" s="92"/>
      <c r="G152" s="92"/>
      <c r="H152" s="92"/>
      <c r="I152" s="92"/>
    </row>
    <row r="153" spans="5:9" ht="15">
      <c r="E153" s="92"/>
      <c r="F153" s="92"/>
      <c r="G153" s="92"/>
      <c r="H153" s="92"/>
      <c r="I153" s="92"/>
    </row>
    <row r="154" spans="5:9" ht="15">
      <c r="E154" s="92"/>
      <c r="F154" s="92"/>
      <c r="G154" s="92"/>
      <c r="H154" s="92"/>
      <c r="I154" s="92"/>
    </row>
    <row r="155" spans="5:9" ht="15">
      <c r="E155" s="92"/>
      <c r="F155" s="92"/>
      <c r="G155" s="92"/>
      <c r="H155" s="92"/>
      <c r="I155" s="92"/>
    </row>
    <row r="156" spans="5:9" ht="15">
      <c r="E156" s="92"/>
      <c r="F156" s="92"/>
      <c r="G156" s="92"/>
      <c r="H156" s="92"/>
      <c r="I156" s="92"/>
    </row>
    <row r="157" spans="5:9" ht="15">
      <c r="E157" s="92"/>
      <c r="F157" s="92"/>
      <c r="G157" s="92"/>
      <c r="H157" s="92"/>
      <c r="I157" s="92"/>
    </row>
    <row r="158" spans="5:9" ht="15">
      <c r="E158" s="92"/>
      <c r="F158" s="92"/>
      <c r="G158" s="92"/>
      <c r="H158" s="92"/>
      <c r="I158" s="92"/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19" sqref="E19"/>
    </sheetView>
  </sheetViews>
  <sheetFormatPr defaultColWidth="9.140625" defaultRowHeight="12.75"/>
  <cols>
    <col min="4" max="4" width="26.421875" style="0" customWidth="1"/>
    <col min="5" max="5" width="18.421875" style="0" customWidth="1"/>
    <col min="6" max="6" width="16.421875" style="0" customWidth="1"/>
    <col min="7" max="7" width="17.7109375" style="0" customWidth="1"/>
    <col min="8" max="8" width="17.28125" style="224" customWidth="1"/>
  </cols>
  <sheetData>
    <row r="1" spans="1:8" ht="15">
      <c r="A1" s="120" t="str">
        <f>'[1]Input Schedule'!G6</f>
        <v>WATER SERVICE CORPORATION OF KENTUCKY</v>
      </c>
      <c r="B1" s="121"/>
      <c r="C1" s="120"/>
      <c r="D1" s="83"/>
      <c r="E1" s="121"/>
      <c r="F1" s="121"/>
      <c r="G1" s="121"/>
      <c r="H1" s="212"/>
    </row>
    <row r="2" spans="1:8" ht="15">
      <c r="A2" s="126" t="s">
        <v>285</v>
      </c>
      <c r="B2" s="121"/>
      <c r="C2" s="121"/>
      <c r="D2" s="83"/>
      <c r="E2" s="121"/>
      <c r="F2" s="121"/>
      <c r="G2" s="121"/>
      <c r="H2" s="212"/>
    </row>
    <row r="3" spans="1:8" ht="15">
      <c r="A3" s="126" t="s">
        <v>349</v>
      </c>
      <c r="B3" s="121"/>
      <c r="C3" s="121"/>
      <c r="D3" s="83"/>
      <c r="E3" s="121"/>
      <c r="F3" s="121"/>
      <c r="G3" s="121"/>
      <c r="H3" s="212"/>
    </row>
    <row r="4" spans="1:8" ht="15">
      <c r="A4" s="126"/>
      <c r="B4" s="121"/>
      <c r="C4" s="121"/>
      <c r="D4" s="83"/>
      <c r="E4" s="121"/>
      <c r="F4" s="121"/>
      <c r="G4" s="121"/>
      <c r="H4" s="212"/>
    </row>
    <row r="5" spans="1:8" ht="15">
      <c r="A5" s="121"/>
      <c r="B5" s="121"/>
      <c r="C5" s="121"/>
      <c r="D5" s="83"/>
      <c r="E5" s="174"/>
      <c r="F5" s="174"/>
      <c r="G5" s="174"/>
      <c r="H5" s="213"/>
    </row>
    <row r="6" spans="1:8" ht="15">
      <c r="A6" s="121"/>
      <c r="B6" s="126"/>
      <c r="C6" s="121"/>
      <c r="D6" s="83"/>
      <c r="E6" s="207">
        <v>2003</v>
      </c>
      <c r="F6" s="207">
        <v>2004</v>
      </c>
      <c r="G6" s="207">
        <v>2005</v>
      </c>
      <c r="H6" s="214">
        <v>2006</v>
      </c>
    </row>
    <row r="7" spans="1:8" ht="15">
      <c r="A7" s="133"/>
      <c r="B7" s="133"/>
      <c r="C7" s="133"/>
      <c r="D7" s="133"/>
      <c r="E7" s="151" t="s">
        <v>350</v>
      </c>
      <c r="F7" s="151" t="s">
        <v>350</v>
      </c>
      <c r="G7" s="151" t="s">
        <v>350</v>
      </c>
      <c r="H7" s="215" t="s">
        <v>350</v>
      </c>
    </row>
    <row r="8" spans="1:8" ht="15">
      <c r="A8" s="133"/>
      <c r="B8" s="133"/>
      <c r="C8" s="133"/>
      <c r="D8" s="133"/>
      <c r="E8" s="155" t="s">
        <v>351</v>
      </c>
      <c r="F8" s="155" t="s">
        <v>351</v>
      </c>
      <c r="G8" s="155" t="s">
        <v>351</v>
      </c>
      <c r="H8" s="216" t="s">
        <v>351</v>
      </c>
    </row>
    <row r="9" spans="1:8" ht="15">
      <c r="A9" s="121"/>
      <c r="B9" s="134" t="s">
        <v>291</v>
      </c>
      <c r="C9" s="127"/>
      <c r="D9" s="83"/>
      <c r="E9" s="135"/>
      <c r="F9" s="121"/>
      <c r="G9" s="121"/>
      <c r="H9" s="212"/>
    </row>
    <row r="10" spans="1:8" ht="15">
      <c r="A10" s="123"/>
      <c r="B10" s="138"/>
      <c r="C10" s="139" t="s">
        <v>292</v>
      </c>
      <c r="D10" s="123"/>
      <c r="E10" s="164">
        <v>5350</v>
      </c>
      <c r="F10" s="168">
        <v>4332</v>
      </c>
      <c r="G10" s="168">
        <f>1031*4</f>
        <v>4124</v>
      </c>
      <c r="H10" s="168">
        <f>+G10*1.035</f>
        <v>4268.339999999999</v>
      </c>
    </row>
    <row r="11" spans="1:8" ht="15">
      <c r="A11" s="123"/>
      <c r="B11" s="138"/>
      <c r="C11" s="139" t="s">
        <v>293</v>
      </c>
      <c r="D11" s="123"/>
      <c r="E11" s="210">
        <v>5350</v>
      </c>
      <c r="F11" s="208">
        <v>4332</v>
      </c>
      <c r="G11" s="211">
        <f aca="true" t="shared" si="0" ref="G11:G21">1031*4</f>
        <v>4124</v>
      </c>
      <c r="H11" s="217">
        <f aca="true" t="shared" si="1" ref="H11:H21">+G11*1.035</f>
        <v>4268.339999999999</v>
      </c>
    </row>
    <row r="12" spans="1:8" ht="15">
      <c r="A12" s="123"/>
      <c r="B12" s="138"/>
      <c r="C12" s="139" t="s">
        <v>294</v>
      </c>
      <c r="D12" s="141"/>
      <c r="E12" s="210">
        <v>5350</v>
      </c>
      <c r="F12" s="208">
        <v>4332</v>
      </c>
      <c r="G12" s="211">
        <f t="shared" si="0"/>
        <v>4124</v>
      </c>
      <c r="H12" s="217">
        <f t="shared" si="1"/>
        <v>4268.339999999999</v>
      </c>
    </row>
    <row r="13" spans="1:8" ht="15">
      <c r="A13" s="123"/>
      <c r="B13" s="138"/>
      <c r="C13" s="139" t="s">
        <v>295</v>
      </c>
      <c r="D13" s="141"/>
      <c r="E13" s="210">
        <v>5350</v>
      </c>
      <c r="F13" s="208">
        <v>4332</v>
      </c>
      <c r="G13" s="211">
        <f t="shared" si="0"/>
        <v>4124</v>
      </c>
      <c r="H13" s="217">
        <f t="shared" si="1"/>
        <v>4268.339999999999</v>
      </c>
    </row>
    <row r="14" spans="1:8" ht="15">
      <c r="A14" s="123"/>
      <c r="B14" s="138"/>
      <c r="C14" s="139" t="s">
        <v>296</v>
      </c>
      <c r="D14" s="141"/>
      <c r="E14" s="210">
        <v>5350</v>
      </c>
      <c r="F14" s="208">
        <v>4332</v>
      </c>
      <c r="G14" s="211">
        <f t="shared" si="0"/>
        <v>4124</v>
      </c>
      <c r="H14" s="217">
        <f t="shared" si="1"/>
        <v>4268.339999999999</v>
      </c>
    </row>
    <row r="15" spans="1:8" ht="15">
      <c r="A15" s="123"/>
      <c r="B15" s="138"/>
      <c r="C15" s="139" t="s">
        <v>297</v>
      </c>
      <c r="D15" s="141"/>
      <c r="E15" s="210">
        <v>5350</v>
      </c>
      <c r="F15" s="208">
        <v>4332</v>
      </c>
      <c r="G15" s="211">
        <f t="shared" si="0"/>
        <v>4124</v>
      </c>
      <c r="H15" s="217">
        <f t="shared" si="1"/>
        <v>4268.339999999999</v>
      </c>
    </row>
    <row r="16" spans="1:8" ht="15">
      <c r="A16" s="123"/>
      <c r="B16" s="138"/>
      <c r="C16" s="139" t="s">
        <v>298</v>
      </c>
      <c r="D16" s="123"/>
      <c r="E16" s="210">
        <v>5350</v>
      </c>
      <c r="F16" s="208">
        <v>4332</v>
      </c>
      <c r="G16" s="211">
        <f t="shared" si="0"/>
        <v>4124</v>
      </c>
      <c r="H16" s="217">
        <f t="shared" si="1"/>
        <v>4268.339999999999</v>
      </c>
    </row>
    <row r="17" spans="1:8" ht="15">
      <c r="A17" s="123"/>
      <c r="B17" s="138"/>
      <c r="C17" s="139" t="s">
        <v>299</v>
      </c>
      <c r="D17" s="123"/>
      <c r="E17" s="210">
        <v>5350</v>
      </c>
      <c r="F17" s="208">
        <v>4332</v>
      </c>
      <c r="G17" s="211">
        <f t="shared" si="0"/>
        <v>4124</v>
      </c>
      <c r="H17" s="217">
        <f t="shared" si="1"/>
        <v>4268.339999999999</v>
      </c>
    </row>
    <row r="18" spans="1:8" ht="15">
      <c r="A18" s="123"/>
      <c r="B18" s="138"/>
      <c r="C18" s="139" t="s">
        <v>300</v>
      </c>
      <c r="D18" s="123"/>
      <c r="E18" s="210">
        <v>5350</v>
      </c>
      <c r="F18" s="208">
        <v>4332</v>
      </c>
      <c r="G18" s="211">
        <f t="shared" si="0"/>
        <v>4124</v>
      </c>
      <c r="H18" s="217">
        <f t="shared" si="1"/>
        <v>4268.339999999999</v>
      </c>
    </row>
    <row r="19" spans="1:8" ht="15">
      <c r="A19" s="123"/>
      <c r="B19" s="138"/>
      <c r="C19" s="139" t="s">
        <v>301</v>
      </c>
      <c r="D19" s="123"/>
      <c r="E19" s="210">
        <v>5350</v>
      </c>
      <c r="F19" s="208">
        <v>4332</v>
      </c>
      <c r="G19" s="211">
        <v>0</v>
      </c>
      <c r="H19" s="217">
        <f t="shared" si="1"/>
        <v>0</v>
      </c>
    </row>
    <row r="20" spans="1:8" ht="15">
      <c r="A20" s="123"/>
      <c r="B20" s="138"/>
      <c r="C20" s="139" t="s">
        <v>302</v>
      </c>
      <c r="D20" s="123"/>
      <c r="E20" s="210">
        <v>5350</v>
      </c>
      <c r="F20" s="208">
        <v>4332</v>
      </c>
      <c r="G20" s="211">
        <f t="shared" si="0"/>
        <v>4124</v>
      </c>
      <c r="H20" s="217">
        <f t="shared" si="1"/>
        <v>4268.339999999999</v>
      </c>
    </row>
    <row r="21" spans="1:8" ht="15">
      <c r="A21" s="123"/>
      <c r="B21" s="138"/>
      <c r="C21" s="139" t="s">
        <v>303</v>
      </c>
      <c r="D21" s="123"/>
      <c r="E21" s="140">
        <v>5350</v>
      </c>
      <c r="F21" s="208">
        <v>4332</v>
      </c>
      <c r="G21" s="211">
        <f t="shared" si="0"/>
        <v>4124</v>
      </c>
      <c r="H21" s="217">
        <f t="shared" si="1"/>
        <v>4268.339999999999</v>
      </c>
    </row>
    <row r="22" spans="1:8" ht="15">
      <c r="A22" s="121"/>
      <c r="B22" s="121"/>
      <c r="C22" s="139" t="s">
        <v>304</v>
      </c>
      <c r="D22" s="141"/>
      <c r="E22" s="140"/>
      <c r="F22" s="208"/>
      <c r="G22" s="121"/>
      <c r="H22" s="218"/>
    </row>
    <row r="23" spans="1:8" ht="15">
      <c r="A23" s="121"/>
      <c r="B23" s="121"/>
      <c r="C23" s="139"/>
      <c r="D23" s="141"/>
      <c r="E23" s="140"/>
      <c r="F23" s="123"/>
      <c r="G23" s="121"/>
      <c r="H23" s="218"/>
    </row>
    <row r="24" spans="1:8" ht="15">
      <c r="A24" s="121"/>
      <c r="B24" s="121"/>
      <c r="C24" s="139"/>
      <c r="D24" s="141"/>
      <c r="E24" s="140"/>
      <c r="F24" s="121"/>
      <c r="G24" s="121"/>
      <c r="H24" s="212"/>
    </row>
    <row r="25" spans="1:8" ht="15">
      <c r="A25" s="142"/>
      <c r="B25" s="143" t="s">
        <v>305</v>
      </c>
      <c r="C25" s="142"/>
      <c r="D25" s="142"/>
      <c r="E25" s="140"/>
      <c r="F25" s="142"/>
      <c r="G25" s="142"/>
      <c r="H25" s="219"/>
    </row>
    <row r="26" spans="1:8" ht="15">
      <c r="A26" s="123"/>
      <c r="B26" s="138"/>
      <c r="C26" s="139" t="s">
        <v>72</v>
      </c>
      <c r="D26" s="141"/>
      <c r="E26" s="210">
        <v>5350</v>
      </c>
      <c r="F26" s="211">
        <v>4332</v>
      </c>
      <c r="G26" s="211">
        <v>4124</v>
      </c>
      <c r="H26" s="217">
        <f>+H21</f>
        <v>4268.339999999999</v>
      </c>
    </row>
    <row r="27" spans="1:8" ht="15">
      <c r="A27" s="123"/>
      <c r="B27" s="138"/>
      <c r="C27" s="139"/>
      <c r="D27" s="141"/>
      <c r="E27" s="144"/>
      <c r="F27" s="158"/>
      <c r="G27" s="158"/>
      <c r="H27" s="220"/>
    </row>
    <row r="28" spans="1:8" ht="15">
      <c r="A28" s="123"/>
      <c r="B28" s="123"/>
      <c r="C28" s="123"/>
      <c r="D28" s="123"/>
      <c r="E28" s="140"/>
      <c r="F28" s="123"/>
      <c r="G28" s="123"/>
      <c r="H28" s="221"/>
    </row>
    <row r="29" spans="1:9" ht="15.75" thickBot="1">
      <c r="A29" s="123"/>
      <c r="B29" s="122" t="s">
        <v>352</v>
      </c>
      <c r="C29" s="123"/>
      <c r="D29" s="123"/>
      <c r="E29" s="169">
        <f>SUM(E10:E28)</f>
        <v>69550</v>
      </c>
      <c r="F29" s="169">
        <f>SUM(F10:F27)</f>
        <v>56316</v>
      </c>
      <c r="G29" s="169">
        <f>SUM(G10:G26)</f>
        <v>49488</v>
      </c>
      <c r="H29" s="169">
        <f>SUM(H10:H27)</f>
        <v>51220.07999999998</v>
      </c>
      <c r="I29" s="39"/>
    </row>
    <row r="30" spans="1:8" ht="15.75" thickTop="1">
      <c r="A30" s="121"/>
      <c r="B30" s="126"/>
      <c r="C30" s="121"/>
      <c r="D30" s="83"/>
      <c r="E30" s="145"/>
      <c r="F30" s="121"/>
      <c r="G30" s="121"/>
      <c r="H30" s="212"/>
    </row>
    <row r="31" spans="1:8" ht="15">
      <c r="A31" s="123"/>
      <c r="B31" s="122" t="s">
        <v>307</v>
      </c>
      <c r="C31" s="123"/>
      <c r="D31" s="123"/>
      <c r="E31" s="140"/>
      <c r="F31" s="142"/>
      <c r="G31" s="142"/>
      <c r="H31" s="219"/>
    </row>
    <row r="32" spans="1:8" ht="15">
      <c r="A32" s="123"/>
      <c r="B32" s="146" t="s">
        <v>308</v>
      </c>
      <c r="C32" s="123"/>
      <c r="D32" s="201"/>
      <c r="E32" s="164"/>
      <c r="F32" s="209"/>
      <c r="G32" s="164"/>
      <c r="H32" s="222"/>
    </row>
    <row r="33" spans="1:8" ht="15">
      <c r="A33" s="142"/>
      <c r="B33" s="142" t="s">
        <v>309</v>
      </c>
      <c r="C33" s="142"/>
      <c r="D33" s="202"/>
      <c r="E33" s="140">
        <v>5350</v>
      </c>
      <c r="F33" s="142">
        <v>4332</v>
      </c>
      <c r="G33" s="142">
        <v>4124</v>
      </c>
      <c r="H33" s="222">
        <v>4268</v>
      </c>
    </row>
    <row r="34" spans="1:8" ht="15">
      <c r="A34" s="142"/>
      <c r="B34" s="142" t="s">
        <v>310</v>
      </c>
      <c r="C34" s="142"/>
      <c r="D34" s="202"/>
      <c r="E34" s="140">
        <v>5350</v>
      </c>
      <c r="F34" s="142">
        <v>4332</v>
      </c>
      <c r="G34" s="142">
        <v>4124</v>
      </c>
      <c r="H34" s="222">
        <v>4268</v>
      </c>
    </row>
    <row r="35" spans="1:8" ht="15">
      <c r="A35" s="142"/>
      <c r="B35" s="142" t="s">
        <v>311</v>
      </c>
      <c r="C35" s="142"/>
      <c r="D35" s="202"/>
      <c r="E35" s="140"/>
      <c r="F35" s="142"/>
      <c r="G35" s="142"/>
      <c r="H35" s="222"/>
    </row>
    <row r="36" spans="1:8" ht="15">
      <c r="A36" s="142"/>
      <c r="B36" s="142" t="s">
        <v>75</v>
      </c>
      <c r="C36" s="142"/>
      <c r="D36" s="202"/>
      <c r="E36" s="140">
        <v>5350</v>
      </c>
      <c r="F36" s="142">
        <v>4332</v>
      </c>
      <c r="G36" s="142">
        <v>4124</v>
      </c>
      <c r="H36" s="222">
        <v>4268</v>
      </c>
    </row>
    <row r="37" spans="1:8" ht="15">
      <c r="A37" s="142"/>
      <c r="B37" s="142"/>
      <c r="C37" s="142"/>
      <c r="D37" s="202"/>
      <c r="E37" s="172"/>
      <c r="F37" s="172"/>
      <c r="G37" s="172"/>
      <c r="H37" s="223"/>
    </row>
    <row r="38" spans="1:9" ht="15">
      <c r="A38" s="123"/>
      <c r="B38" s="122" t="s">
        <v>353</v>
      </c>
      <c r="C38" s="123"/>
      <c r="D38" s="123"/>
      <c r="E38" s="164"/>
      <c r="F38" s="123"/>
      <c r="G38" s="123"/>
      <c r="H38" s="221"/>
      <c r="I38" s="39"/>
    </row>
    <row r="39" spans="1:8" ht="15.75" thickBot="1">
      <c r="A39" s="123"/>
      <c r="B39" s="122"/>
      <c r="C39" s="123"/>
      <c r="D39" s="123"/>
      <c r="E39" s="169">
        <f>SUM(E33:E37)</f>
        <v>16050</v>
      </c>
      <c r="F39" s="169">
        <f>SUM(F31:F37)</f>
        <v>12996</v>
      </c>
      <c r="G39" s="169">
        <f>SUM(G33:G37)</f>
        <v>12372</v>
      </c>
      <c r="H39" s="169">
        <f>SUM(H33:H37)</f>
        <v>12804</v>
      </c>
    </row>
    <row r="40" ht="13.5" thickTop="1"/>
    <row r="41" ht="12.75">
      <c r="B41" t="s">
        <v>354</v>
      </c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workbookViewId="0" topLeftCell="A1">
      <selection activeCell="A4" sqref="A4"/>
    </sheetView>
  </sheetViews>
  <sheetFormatPr defaultColWidth="12.421875" defaultRowHeight="12.75"/>
  <cols>
    <col min="1" max="1" width="4.57421875" style="121" customWidth="1"/>
    <col min="2" max="2" width="3.57421875" style="121" customWidth="1"/>
    <col min="3" max="3" width="42.421875" style="121" customWidth="1"/>
    <col min="4" max="4" width="12.57421875" style="83" customWidth="1"/>
    <col min="5" max="5" width="13.57421875" style="121" customWidth="1"/>
    <col min="6" max="8" width="4.140625" style="124" hidden="1" customWidth="1"/>
    <col min="9" max="16384" width="12.421875" style="121" customWidth="1"/>
  </cols>
  <sheetData>
    <row r="1" spans="1:8" ht="15">
      <c r="A1" s="120" t="str">
        <f>'[1]Input Schedule'!G6</f>
        <v>WATER SERVICE CORPORATION OF KENTUCKY</v>
      </c>
      <c r="C1" s="120"/>
      <c r="F1" s="125"/>
      <c r="G1" s="125"/>
      <c r="H1" s="125"/>
    </row>
    <row r="2" ht="13.5" customHeight="1">
      <c r="A2" s="126" t="s">
        <v>285</v>
      </c>
    </row>
    <row r="3" ht="13.5" customHeight="1">
      <c r="A3" s="126" t="s">
        <v>355</v>
      </c>
    </row>
    <row r="4" ht="12" customHeight="1">
      <c r="A4" s="126"/>
    </row>
    <row r="5" spans="5:12" ht="12" customHeight="1">
      <c r="E5" s="174"/>
      <c r="F5" s="175"/>
      <c r="G5" s="175"/>
      <c r="H5" s="175"/>
      <c r="I5" s="174"/>
      <c r="J5" s="174"/>
      <c r="K5" s="174"/>
      <c r="L5" s="174"/>
    </row>
    <row r="6" spans="2:12" ht="15">
      <c r="B6" s="126"/>
      <c r="E6" s="151" t="s">
        <v>18</v>
      </c>
      <c r="F6" s="152"/>
      <c r="G6" s="152"/>
      <c r="H6" s="152"/>
      <c r="I6" s="153" t="s">
        <v>316</v>
      </c>
      <c r="J6" s="151" t="s">
        <v>18</v>
      </c>
      <c r="K6" s="160" t="s">
        <v>318</v>
      </c>
      <c r="L6" s="153" t="s">
        <v>321</v>
      </c>
    </row>
    <row r="7" spans="5:12" s="133" customFormat="1" ht="15">
      <c r="E7" s="151" t="s">
        <v>286</v>
      </c>
      <c r="F7" s="154"/>
      <c r="G7" s="154" t="s">
        <v>287</v>
      </c>
      <c r="H7" s="154"/>
      <c r="I7" s="153">
        <v>4</v>
      </c>
      <c r="J7" s="151" t="s">
        <v>286</v>
      </c>
      <c r="K7" s="160" t="s">
        <v>319</v>
      </c>
      <c r="L7" s="153" t="s">
        <v>322</v>
      </c>
    </row>
    <row r="8" spans="5:12" s="133" customFormat="1" ht="15">
      <c r="E8" s="155" t="s">
        <v>288</v>
      </c>
      <c r="F8" s="152"/>
      <c r="G8" s="156" t="s">
        <v>290</v>
      </c>
      <c r="H8" s="152"/>
      <c r="I8" s="157" t="s">
        <v>317</v>
      </c>
      <c r="J8" s="155" t="s">
        <v>288</v>
      </c>
      <c r="K8" s="157" t="s">
        <v>320</v>
      </c>
      <c r="L8" s="157"/>
    </row>
    <row r="9" spans="2:8" ht="15">
      <c r="B9" s="134" t="s">
        <v>291</v>
      </c>
      <c r="C9" s="127"/>
      <c r="E9" s="135"/>
      <c r="F9" s="136"/>
      <c r="G9" s="129"/>
      <c r="H9" s="136"/>
    </row>
    <row r="10" spans="2:12" s="123" customFormat="1" ht="15">
      <c r="B10" s="138"/>
      <c r="C10" s="139" t="s">
        <v>292</v>
      </c>
      <c r="E10" s="164">
        <f>SUM(I10:J10)</f>
        <v>30670.64</v>
      </c>
      <c r="F10" s="165"/>
      <c r="G10" s="166"/>
      <c r="H10" s="167"/>
      <c r="I10" s="168">
        <f>+J10*0.04</f>
        <v>1179.64</v>
      </c>
      <c r="J10" s="168">
        <v>29491</v>
      </c>
      <c r="K10" s="161">
        <v>1</v>
      </c>
      <c r="L10" s="168">
        <f>+E10*K10</f>
        <v>30670.64</v>
      </c>
    </row>
    <row r="11" spans="2:12" s="123" customFormat="1" ht="15">
      <c r="B11" s="138"/>
      <c r="C11" s="139" t="s">
        <v>293</v>
      </c>
      <c r="E11" s="140">
        <f aca="true" t="shared" si="0" ref="E11:E23">SUM(I11:J11)</f>
        <v>23884.64</v>
      </c>
      <c r="F11" s="137"/>
      <c r="G11" s="131"/>
      <c r="H11" s="124"/>
      <c r="I11" s="123">
        <f aca="true" t="shared" si="1" ref="I11:I23">+J11*0.04</f>
        <v>918.64</v>
      </c>
      <c r="J11" s="123">
        <v>22966</v>
      </c>
      <c r="K11" s="161">
        <v>1</v>
      </c>
      <c r="L11" s="123">
        <f>+E11*K11</f>
        <v>23884.64</v>
      </c>
    </row>
    <row r="12" spans="2:12" s="123" customFormat="1" ht="15">
      <c r="B12" s="138"/>
      <c r="C12" s="139" t="s">
        <v>294</v>
      </c>
      <c r="D12" s="141"/>
      <c r="E12" s="140">
        <f t="shared" si="0"/>
        <v>35094.8</v>
      </c>
      <c r="F12" s="137"/>
      <c r="G12" s="131"/>
      <c r="H12" s="124"/>
      <c r="I12" s="123">
        <f t="shared" si="1"/>
        <v>1349.8</v>
      </c>
      <c r="J12" s="123">
        <v>33745</v>
      </c>
      <c r="K12" s="161">
        <v>1</v>
      </c>
      <c r="L12" s="123">
        <f aca="true" t="shared" si="2" ref="L12:L23">+E12*K12</f>
        <v>35094.8</v>
      </c>
    </row>
    <row r="13" spans="2:12" s="123" customFormat="1" ht="15">
      <c r="B13" s="138"/>
      <c r="C13" s="139" t="s">
        <v>295</v>
      </c>
      <c r="D13" s="141"/>
      <c r="E13" s="140">
        <f t="shared" si="0"/>
        <v>54972.32</v>
      </c>
      <c r="F13" s="137"/>
      <c r="G13" s="131"/>
      <c r="H13" s="124"/>
      <c r="I13" s="123">
        <f t="shared" si="1"/>
        <v>2114.32</v>
      </c>
      <c r="J13" s="123">
        <v>52858</v>
      </c>
      <c r="K13" s="161">
        <v>1</v>
      </c>
      <c r="L13" s="123">
        <f t="shared" si="2"/>
        <v>54972.32</v>
      </c>
    </row>
    <row r="14" spans="2:12" s="123" customFormat="1" ht="15">
      <c r="B14" s="138"/>
      <c r="C14" s="139" t="s">
        <v>296</v>
      </c>
      <c r="D14" s="141"/>
      <c r="E14" s="140">
        <f t="shared" si="0"/>
        <v>40288.56</v>
      </c>
      <c r="F14" s="137"/>
      <c r="G14" s="131"/>
      <c r="H14" s="124"/>
      <c r="I14" s="123">
        <f t="shared" si="1"/>
        <v>1549.56</v>
      </c>
      <c r="J14" s="123">
        <v>38739</v>
      </c>
      <c r="K14" s="161">
        <v>1</v>
      </c>
      <c r="L14" s="123">
        <f t="shared" si="2"/>
        <v>40288.56</v>
      </c>
    </row>
    <row r="15" spans="2:12" s="123" customFormat="1" ht="15">
      <c r="B15" s="138"/>
      <c r="C15" s="139" t="s">
        <v>297</v>
      </c>
      <c r="D15" s="141"/>
      <c r="E15" s="140">
        <f t="shared" si="0"/>
        <v>26182</v>
      </c>
      <c r="F15" s="137"/>
      <c r="G15" s="131"/>
      <c r="H15" s="124"/>
      <c r="I15" s="123">
        <f t="shared" si="1"/>
        <v>1007</v>
      </c>
      <c r="J15" s="123">
        <v>25175</v>
      </c>
      <c r="K15" s="161">
        <v>1</v>
      </c>
      <c r="L15" s="123">
        <f t="shared" si="2"/>
        <v>26182</v>
      </c>
    </row>
    <row r="16" spans="2:12" s="123" customFormat="1" ht="15">
      <c r="B16" s="138"/>
      <c r="C16" s="139" t="s">
        <v>298</v>
      </c>
      <c r="E16" s="140">
        <f t="shared" si="0"/>
        <v>28169.44</v>
      </c>
      <c r="F16" s="136"/>
      <c r="G16" s="128"/>
      <c r="H16" s="124"/>
      <c r="I16" s="123">
        <f t="shared" si="1"/>
        <v>1083.44</v>
      </c>
      <c r="J16" s="123">
        <v>27086</v>
      </c>
      <c r="K16" s="161">
        <v>1</v>
      </c>
      <c r="L16" s="123">
        <f t="shared" si="2"/>
        <v>28169.44</v>
      </c>
    </row>
    <row r="17" spans="2:12" s="123" customFormat="1" ht="15">
      <c r="B17" s="138"/>
      <c r="C17" s="139" t="s">
        <v>299</v>
      </c>
      <c r="E17" s="140">
        <f t="shared" si="0"/>
        <v>24223.68</v>
      </c>
      <c r="F17" s="136"/>
      <c r="G17" s="128"/>
      <c r="H17" s="124"/>
      <c r="I17" s="123">
        <f t="shared" si="1"/>
        <v>931.6800000000001</v>
      </c>
      <c r="J17" s="123">
        <v>23292</v>
      </c>
      <c r="K17" s="161">
        <v>1</v>
      </c>
      <c r="L17" s="123">
        <f t="shared" si="2"/>
        <v>24223.68</v>
      </c>
    </row>
    <row r="18" spans="2:12" s="123" customFormat="1" ht="15">
      <c r="B18" s="138"/>
      <c r="C18" s="139" t="s">
        <v>300</v>
      </c>
      <c r="E18" s="140">
        <f t="shared" si="0"/>
        <v>38325.04</v>
      </c>
      <c r="F18" s="136"/>
      <c r="G18" s="128"/>
      <c r="H18" s="124"/>
      <c r="I18" s="123">
        <f t="shared" si="1"/>
        <v>1474.04</v>
      </c>
      <c r="J18" s="123">
        <v>36851</v>
      </c>
      <c r="K18" s="161">
        <v>1</v>
      </c>
      <c r="L18" s="123">
        <f t="shared" si="2"/>
        <v>38325.04</v>
      </c>
    </row>
    <row r="19" spans="2:12" s="123" customFormat="1" ht="15">
      <c r="B19" s="138"/>
      <c r="C19" s="139" t="s">
        <v>301</v>
      </c>
      <c r="E19" s="140">
        <f t="shared" si="0"/>
        <v>37956.88</v>
      </c>
      <c r="F19" s="136"/>
      <c r="G19" s="128"/>
      <c r="H19" s="124"/>
      <c r="I19" s="123">
        <f t="shared" si="1"/>
        <v>1459.88</v>
      </c>
      <c r="J19" s="123">
        <v>36497</v>
      </c>
      <c r="K19" s="161">
        <v>1</v>
      </c>
      <c r="L19" s="123">
        <f t="shared" si="2"/>
        <v>37956.88</v>
      </c>
    </row>
    <row r="20" spans="2:12" s="123" customFormat="1" ht="15">
      <c r="B20" s="138"/>
      <c r="C20" s="139" t="s">
        <v>302</v>
      </c>
      <c r="E20" s="140">
        <f t="shared" si="0"/>
        <v>30164.16</v>
      </c>
      <c r="F20" s="136"/>
      <c r="G20" s="128"/>
      <c r="H20" s="124"/>
      <c r="I20" s="123">
        <f t="shared" si="1"/>
        <v>1160.16</v>
      </c>
      <c r="J20" s="123">
        <v>29004</v>
      </c>
      <c r="K20" s="161">
        <v>1</v>
      </c>
      <c r="L20" s="123">
        <f t="shared" si="2"/>
        <v>30164.16</v>
      </c>
    </row>
    <row r="21" spans="2:12" s="123" customFormat="1" ht="15">
      <c r="B21" s="138"/>
      <c r="C21" s="139" t="s">
        <v>303</v>
      </c>
      <c r="E21" s="140">
        <f t="shared" si="0"/>
        <v>18246.8</v>
      </c>
      <c r="F21" s="136"/>
      <c r="G21" s="128"/>
      <c r="H21" s="124"/>
      <c r="I21" s="123">
        <f t="shared" si="1"/>
        <v>701.8000000000001</v>
      </c>
      <c r="J21" s="123">
        <v>17545</v>
      </c>
      <c r="K21" s="161">
        <v>1</v>
      </c>
      <c r="L21" s="123">
        <f t="shared" si="2"/>
        <v>18246.8</v>
      </c>
    </row>
    <row r="22" spans="3:12" ht="15">
      <c r="C22" s="139" t="s">
        <v>304</v>
      </c>
      <c r="D22" s="141"/>
      <c r="E22" s="140">
        <f t="shared" si="0"/>
        <v>6292</v>
      </c>
      <c r="F22" s="136"/>
      <c r="G22" s="129"/>
      <c r="H22" s="136"/>
      <c r="I22" s="123">
        <f t="shared" si="1"/>
        <v>242</v>
      </c>
      <c r="J22" s="121">
        <v>6050</v>
      </c>
      <c r="K22" s="162">
        <v>1</v>
      </c>
      <c r="L22" s="123">
        <f t="shared" si="2"/>
        <v>6292</v>
      </c>
    </row>
    <row r="23" spans="3:12" ht="15">
      <c r="C23" s="139" t="s">
        <v>289</v>
      </c>
      <c r="D23" s="141"/>
      <c r="E23" s="140">
        <f t="shared" si="0"/>
        <v>2559.44</v>
      </c>
      <c r="F23" s="136"/>
      <c r="G23" s="129"/>
      <c r="H23" s="136"/>
      <c r="I23" s="123">
        <f t="shared" si="1"/>
        <v>98.44</v>
      </c>
      <c r="J23" s="121">
        <v>2461</v>
      </c>
      <c r="K23" s="162">
        <v>1</v>
      </c>
      <c r="L23" s="123">
        <f t="shared" si="2"/>
        <v>2559.44</v>
      </c>
    </row>
    <row r="24" spans="3:8" ht="15">
      <c r="C24" s="139"/>
      <c r="D24" s="141"/>
      <c r="E24" s="140"/>
      <c r="F24" s="136"/>
      <c r="G24" s="129"/>
      <c r="H24" s="136"/>
    </row>
    <row r="25" spans="2:8" s="142" customFormat="1" ht="15">
      <c r="B25" s="143" t="s">
        <v>305</v>
      </c>
      <c r="E25" s="140"/>
      <c r="F25" s="137"/>
      <c r="G25" s="130"/>
      <c r="H25" s="137"/>
    </row>
    <row r="26" spans="2:12" s="123" customFormat="1" ht="15">
      <c r="B26" s="138"/>
      <c r="C26" s="139" t="s">
        <v>72</v>
      </c>
      <c r="D26" s="141"/>
      <c r="E26" s="164">
        <f>SUM(I26:J26)</f>
        <v>153920</v>
      </c>
      <c r="F26" s="165"/>
      <c r="G26" s="166"/>
      <c r="H26" s="167"/>
      <c r="I26" s="168">
        <f>+J26*0.04</f>
        <v>5920</v>
      </c>
      <c r="J26" s="168">
        <v>148000</v>
      </c>
      <c r="K26" s="163">
        <v>0.0622</v>
      </c>
      <c r="L26" s="168">
        <f>+E26*K26</f>
        <v>9573.824</v>
      </c>
    </row>
    <row r="27" spans="2:12" s="123" customFormat="1" ht="15">
      <c r="B27" s="138"/>
      <c r="C27" s="139"/>
      <c r="D27" s="141"/>
      <c r="E27" s="144"/>
      <c r="F27" s="137"/>
      <c r="G27" s="131"/>
      <c r="H27" s="124"/>
      <c r="I27" s="158"/>
      <c r="J27" s="158"/>
      <c r="K27" s="158"/>
      <c r="L27" s="158"/>
    </row>
    <row r="28" spans="5:8" s="123" customFormat="1" ht="15">
      <c r="E28" s="140"/>
      <c r="F28" s="137"/>
      <c r="G28" s="130"/>
      <c r="H28" s="136"/>
    </row>
    <row r="29" spans="2:12" s="123" customFormat="1" ht="15.75" thickBot="1">
      <c r="B29" s="122" t="s">
        <v>306</v>
      </c>
      <c r="E29" s="169">
        <f>SUM(E10:E26)</f>
        <v>550950.3999999999</v>
      </c>
      <c r="F29" s="165"/>
      <c r="G29" s="165"/>
      <c r="H29" s="167"/>
      <c r="I29" s="169">
        <f>+J29*0.04</f>
        <v>21190.4</v>
      </c>
      <c r="J29" s="169">
        <v>529760</v>
      </c>
      <c r="K29" s="159"/>
      <c r="L29" s="169">
        <f>SUM(L10:L27)</f>
        <v>406604.224</v>
      </c>
    </row>
    <row r="30" spans="2:5" ht="15.75" thickTop="1">
      <c r="B30" s="126"/>
      <c r="E30" s="145"/>
    </row>
    <row r="31" spans="2:22" s="123" customFormat="1" ht="15">
      <c r="B31" s="122" t="s">
        <v>307</v>
      </c>
      <c r="E31" s="140"/>
      <c r="F31" s="132"/>
      <c r="G31" s="132"/>
      <c r="H31" s="13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</row>
    <row r="32" spans="2:22" s="123" customFormat="1" ht="15">
      <c r="B32" s="146" t="s">
        <v>308</v>
      </c>
      <c r="D32" s="201" t="s">
        <v>345</v>
      </c>
      <c r="E32" s="164">
        <f aca="true" t="shared" si="3" ref="E32:E37">SUM(I32:J32)</f>
        <v>66724.32</v>
      </c>
      <c r="F32" s="165"/>
      <c r="G32" s="165"/>
      <c r="H32" s="165"/>
      <c r="I32" s="164">
        <f aca="true" t="shared" si="4" ref="I32:I37">+J32*0.04</f>
        <v>2566.32</v>
      </c>
      <c r="J32" s="164">
        <v>64158</v>
      </c>
      <c r="K32" s="170">
        <v>0.06217845292094128</v>
      </c>
      <c r="L32" s="164">
        <f aca="true" t="shared" si="5" ref="L32:L37">+E32*K32</f>
        <v>4148.814989801821</v>
      </c>
      <c r="M32" s="142"/>
      <c r="N32" s="142"/>
      <c r="O32" s="142"/>
      <c r="P32" s="142"/>
      <c r="Q32" s="142"/>
      <c r="R32" s="142"/>
      <c r="S32" s="142"/>
      <c r="T32" s="142"/>
      <c r="U32" s="142"/>
      <c r="V32" s="142"/>
    </row>
    <row r="33" spans="2:12" s="142" customFormat="1" ht="15">
      <c r="B33" s="142" t="s">
        <v>309</v>
      </c>
      <c r="D33" s="202"/>
      <c r="E33" s="140">
        <f t="shared" si="3"/>
        <v>24628.24</v>
      </c>
      <c r="F33" s="137"/>
      <c r="G33" s="131"/>
      <c r="H33" s="124"/>
      <c r="I33" s="142">
        <f t="shared" si="4"/>
        <v>947.24</v>
      </c>
      <c r="J33" s="142">
        <v>23681</v>
      </c>
      <c r="K33" s="170">
        <v>1</v>
      </c>
      <c r="L33" s="142">
        <f t="shared" si="5"/>
        <v>24628.24</v>
      </c>
    </row>
    <row r="34" spans="2:12" s="142" customFormat="1" ht="15">
      <c r="B34" s="142" t="s">
        <v>310</v>
      </c>
      <c r="D34" s="202"/>
      <c r="E34" s="140">
        <f t="shared" si="3"/>
        <v>36984.48</v>
      </c>
      <c r="F34" s="137"/>
      <c r="G34" s="131"/>
      <c r="H34" s="124"/>
      <c r="I34" s="142">
        <f t="shared" si="4"/>
        <v>1422.48</v>
      </c>
      <c r="J34" s="142">
        <v>35562</v>
      </c>
      <c r="K34" s="170">
        <v>1</v>
      </c>
      <c r="L34" s="142">
        <f t="shared" si="5"/>
        <v>36984.48</v>
      </c>
    </row>
    <row r="35" spans="2:12" s="142" customFormat="1" ht="15">
      <c r="B35" s="142" t="s">
        <v>311</v>
      </c>
      <c r="D35" s="202" t="s">
        <v>242</v>
      </c>
      <c r="E35" s="140">
        <f t="shared" si="3"/>
        <v>46015.84</v>
      </c>
      <c r="F35" s="137"/>
      <c r="G35" s="131"/>
      <c r="H35" s="124"/>
      <c r="I35" s="142">
        <f t="shared" si="4"/>
        <v>1769.8400000000001</v>
      </c>
      <c r="J35" s="142">
        <v>44246</v>
      </c>
      <c r="K35" s="170">
        <v>0.06217845292094128</v>
      </c>
      <c r="L35" s="142">
        <f t="shared" si="5"/>
        <v>2861.193741057566</v>
      </c>
    </row>
    <row r="36" spans="2:12" s="142" customFormat="1" ht="15">
      <c r="B36" s="142" t="s">
        <v>75</v>
      </c>
      <c r="D36" s="202"/>
      <c r="E36" s="140">
        <f t="shared" si="3"/>
        <v>26884</v>
      </c>
      <c r="F36" s="137"/>
      <c r="G36" s="131"/>
      <c r="H36" s="124"/>
      <c r="I36" s="142">
        <f t="shared" si="4"/>
        <v>1034</v>
      </c>
      <c r="J36" s="142">
        <v>25850</v>
      </c>
      <c r="K36" s="170">
        <v>1</v>
      </c>
      <c r="L36" s="142">
        <f t="shared" si="5"/>
        <v>26884</v>
      </c>
    </row>
    <row r="37" spans="2:12" s="142" customFormat="1" ht="15">
      <c r="B37" s="142" t="s">
        <v>289</v>
      </c>
      <c r="D37" s="202"/>
      <c r="E37" s="172">
        <f t="shared" si="3"/>
        <v>788.32</v>
      </c>
      <c r="F37" s="165"/>
      <c r="G37" s="166"/>
      <c r="H37" s="167"/>
      <c r="I37" s="172">
        <f t="shared" si="4"/>
        <v>30.32</v>
      </c>
      <c r="J37" s="172">
        <v>758</v>
      </c>
      <c r="K37" s="171">
        <v>1</v>
      </c>
      <c r="L37" s="172">
        <f t="shared" si="5"/>
        <v>788.32</v>
      </c>
    </row>
    <row r="38" spans="2:22" s="123" customFormat="1" ht="15">
      <c r="B38" s="122" t="s">
        <v>312</v>
      </c>
      <c r="D38" s="203"/>
      <c r="M38" s="142"/>
      <c r="N38" s="142"/>
      <c r="O38" s="142"/>
      <c r="P38" s="142"/>
      <c r="Q38" s="142"/>
      <c r="R38" s="142"/>
      <c r="S38" s="142"/>
      <c r="T38" s="142"/>
      <c r="U38" s="142"/>
      <c r="V38" s="142"/>
    </row>
    <row r="39" spans="2:22" s="123" customFormat="1" ht="15.75" thickBot="1">
      <c r="B39" s="122"/>
      <c r="E39" s="169">
        <f>SUM(E32:E37)</f>
        <v>202025.2</v>
      </c>
      <c r="F39" s="173"/>
      <c r="G39" s="173"/>
      <c r="H39" s="173"/>
      <c r="I39" s="169">
        <f>+J39*0.04</f>
        <v>7770.2</v>
      </c>
      <c r="J39" s="169">
        <f>SUM(J32:J37)</f>
        <v>194255</v>
      </c>
      <c r="K39" s="169"/>
      <c r="L39" s="169">
        <f>SUM(L32:L37)</f>
        <v>96295.04873085939</v>
      </c>
      <c r="M39" s="142"/>
      <c r="N39" s="142"/>
      <c r="O39" s="142"/>
      <c r="P39" s="142"/>
      <c r="Q39" s="142"/>
      <c r="R39" s="142"/>
      <c r="S39" s="142"/>
      <c r="T39" s="142"/>
      <c r="U39" s="142"/>
      <c r="V39" s="142"/>
    </row>
    <row r="40" spans="6:8" s="142" customFormat="1" ht="15.75" thickTop="1">
      <c r="F40" s="132"/>
      <c r="G40" s="132"/>
      <c r="H40" s="132"/>
    </row>
    <row r="41" spans="3:22" s="197" customFormat="1" ht="52.5" customHeight="1">
      <c r="C41" s="200" t="s">
        <v>348</v>
      </c>
      <c r="F41" s="198"/>
      <c r="G41" s="198"/>
      <c r="H41" s="198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</row>
    <row r="42" spans="3:18" s="123" customFormat="1" ht="15">
      <c r="C42" s="121"/>
      <c r="D42" s="83"/>
      <c r="E42" s="121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</row>
    <row r="43" spans="2:6" s="205" customFormat="1" ht="30">
      <c r="B43" s="204"/>
      <c r="C43" s="204" t="s">
        <v>347</v>
      </c>
      <c r="D43" s="204"/>
      <c r="E43" s="204"/>
      <c r="F43" s="204"/>
    </row>
    <row r="44" spans="2:6" s="206" customFormat="1" ht="30">
      <c r="B44" s="204"/>
      <c r="C44" s="204" t="s">
        <v>346</v>
      </c>
      <c r="D44" s="204"/>
      <c r="E44" s="204"/>
      <c r="F44" s="204"/>
    </row>
    <row r="45" spans="2:8" ht="15">
      <c r="B45" s="142"/>
      <c r="C45" s="142"/>
      <c r="D45" s="142"/>
      <c r="E45" s="142"/>
      <c r="F45" s="142"/>
      <c r="G45" s="121"/>
      <c r="H45" s="121"/>
    </row>
    <row r="46" spans="4:8" ht="15">
      <c r="D46" s="121"/>
      <c r="F46" s="121"/>
      <c r="G46" s="121"/>
      <c r="H46" s="121"/>
    </row>
    <row r="47" spans="4:8" ht="15">
      <c r="D47" s="121"/>
      <c r="F47" s="121"/>
      <c r="G47" s="121"/>
      <c r="H47" s="121"/>
    </row>
    <row r="48" spans="4:8" ht="15">
      <c r="D48" s="121"/>
      <c r="F48" s="121"/>
      <c r="G48" s="121"/>
      <c r="H48" s="121"/>
    </row>
    <row r="49" spans="4:8" ht="15">
      <c r="D49" s="121"/>
      <c r="F49" s="121"/>
      <c r="G49" s="121"/>
      <c r="H49" s="121"/>
    </row>
    <row r="50" s="123" customFormat="1" ht="15"/>
    <row r="51" spans="4:8" ht="15">
      <c r="D51" s="121"/>
      <c r="F51" s="121"/>
      <c r="G51" s="121"/>
      <c r="H51" s="121"/>
    </row>
    <row r="52" spans="4:8" ht="15">
      <c r="D52" s="121"/>
      <c r="F52" s="121"/>
      <c r="G52" s="121"/>
      <c r="H52" s="121"/>
    </row>
    <row r="53" spans="4:8" ht="15">
      <c r="D53" s="121"/>
      <c r="F53" s="121"/>
      <c r="G53" s="121"/>
      <c r="H53" s="121"/>
    </row>
    <row r="54" spans="4:8" ht="15">
      <c r="D54" s="121"/>
      <c r="F54" s="121"/>
      <c r="G54" s="121"/>
      <c r="H54" s="121"/>
    </row>
    <row r="55" spans="4:8" ht="15">
      <c r="D55" s="121"/>
      <c r="F55" s="121"/>
      <c r="G55" s="121"/>
      <c r="H55" s="121"/>
    </row>
    <row r="56" s="126" customFormat="1" ht="14.25"/>
    <row r="57" spans="4:8" ht="15">
      <c r="D57" s="121"/>
      <c r="F57" s="121"/>
      <c r="G57" s="121"/>
      <c r="H57" s="121"/>
    </row>
    <row r="58" spans="4:8" ht="15">
      <c r="D58" s="121"/>
      <c r="F58" s="121"/>
      <c r="G58" s="121"/>
      <c r="H58" s="121"/>
    </row>
    <row r="59" spans="4:8" ht="15">
      <c r="D59" s="121"/>
      <c r="F59" s="121"/>
      <c r="G59" s="121"/>
      <c r="H59" s="121"/>
    </row>
    <row r="60" spans="4:8" ht="15">
      <c r="D60" s="121"/>
      <c r="F60" s="121"/>
      <c r="G60" s="121"/>
      <c r="H60" s="121"/>
    </row>
    <row r="61" spans="4:8" ht="15">
      <c r="D61" s="121"/>
      <c r="F61" s="121"/>
      <c r="G61" s="121"/>
      <c r="H61" s="121"/>
    </row>
    <row r="62" spans="4:8" ht="15">
      <c r="D62" s="121"/>
      <c r="F62" s="121"/>
      <c r="G62" s="121"/>
      <c r="H62" s="121"/>
    </row>
    <row r="63" spans="4:8" ht="15">
      <c r="D63" s="121"/>
      <c r="F63" s="121"/>
      <c r="G63" s="121"/>
      <c r="H63" s="121"/>
    </row>
    <row r="64" spans="4:8" ht="15">
      <c r="D64" s="121"/>
      <c r="F64" s="121"/>
      <c r="G64" s="121"/>
      <c r="H64" s="121"/>
    </row>
    <row r="65" spans="4:8" ht="15">
      <c r="D65" s="121"/>
      <c r="F65" s="121"/>
      <c r="G65" s="121"/>
      <c r="H65" s="121"/>
    </row>
    <row r="66" spans="4:8" ht="15">
      <c r="D66" s="121"/>
      <c r="F66" s="121"/>
      <c r="G66" s="121"/>
      <c r="H66" s="121"/>
    </row>
    <row r="67" spans="4:8" ht="15">
      <c r="D67" s="121"/>
      <c r="F67" s="121"/>
      <c r="G67" s="121"/>
      <c r="H67" s="121"/>
    </row>
    <row r="68" spans="4:8" ht="15">
      <c r="D68" s="121"/>
      <c r="F68" s="121"/>
      <c r="G68" s="121"/>
      <c r="H68" s="121"/>
    </row>
    <row r="69" spans="4:8" ht="15">
      <c r="D69" s="121"/>
      <c r="F69" s="121"/>
      <c r="G69" s="121"/>
      <c r="H69" s="121"/>
    </row>
    <row r="70" spans="4:8" ht="15">
      <c r="D70" s="121"/>
      <c r="F70" s="121"/>
      <c r="G70" s="121"/>
      <c r="H70" s="121"/>
    </row>
    <row r="71" spans="4:8" ht="15">
      <c r="D71" s="121"/>
      <c r="F71" s="121"/>
      <c r="G71" s="121"/>
      <c r="H71" s="121"/>
    </row>
    <row r="72" spans="4:8" ht="15">
      <c r="D72" s="121"/>
      <c r="F72" s="121"/>
      <c r="G72" s="121"/>
      <c r="H72" s="121"/>
    </row>
    <row r="73" spans="4:8" ht="15">
      <c r="D73" s="121"/>
      <c r="F73" s="121"/>
      <c r="G73" s="121"/>
      <c r="H73" s="121"/>
    </row>
    <row r="74" spans="4:8" ht="15">
      <c r="D74" s="121"/>
      <c r="F74" s="121"/>
      <c r="G74" s="121"/>
      <c r="H74" s="121"/>
    </row>
    <row r="75" spans="4:8" ht="15">
      <c r="D75" s="121"/>
      <c r="F75" s="121"/>
      <c r="G75" s="121"/>
      <c r="H75" s="121"/>
    </row>
    <row r="76" spans="4:8" ht="15">
      <c r="D76" s="121"/>
      <c r="F76" s="121"/>
      <c r="G76" s="121"/>
      <c r="H76" s="121"/>
    </row>
    <row r="77" spans="4:8" ht="15">
      <c r="D77" s="121"/>
      <c r="F77" s="121"/>
      <c r="G77" s="121"/>
      <c r="H77" s="121"/>
    </row>
    <row r="78" spans="4:8" ht="15">
      <c r="D78" s="121"/>
      <c r="F78" s="121"/>
      <c r="G78" s="121"/>
      <c r="H78" s="121"/>
    </row>
    <row r="79" spans="4:8" ht="15">
      <c r="D79" s="121"/>
      <c r="F79" s="121"/>
      <c r="G79" s="121"/>
      <c r="H79" s="121"/>
    </row>
    <row r="80" spans="4:8" ht="15">
      <c r="D80" s="121"/>
      <c r="F80" s="121"/>
      <c r="G80" s="121"/>
      <c r="H80" s="121"/>
    </row>
    <row r="81" spans="4:8" ht="15">
      <c r="D81" s="121"/>
      <c r="F81" s="121"/>
      <c r="G81" s="121"/>
      <c r="H81" s="121"/>
    </row>
    <row r="82" spans="4:8" ht="15">
      <c r="D82" s="121"/>
      <c r="F82" s="121"/>
      <c r="G82" s="121"/>
      <c r="H82" s="121"/>
    </row>
    <row r="83" spans="4:8" ht="15">
      <c r="D83" s="121"/>
      <c r="F83" s="121"/>
      <c r="G83" s="121"/>
      <c r="H83" s="121"/>
    </row>
    <row r="84" spans="4:8" ht="15">
      <c r="D84" s="121"/>
      <c r="F84" s="121"/>
      <c r="G84" s="121"/>
      <c r="H84" s="121"/>
    </row>
    <row r="85" spans="4:8" ht="15">
      <c r="D85" s="121"/>
      <c r="F85" s="121"/>
      <c r="G85" s="121"/>
      <c r="H85" s="121"/>
    </row>
    <row r="86" spans="4:8" ht="15">
      <c r="D86" s="121"/>
      <c r="F86" s="121"/>
      <c r="G86" s="121"/>
      <c r="H86" s="121"/>
    </row>
    <row r="87" spans="4:8" ht="15">
      <c r="D87" s="121"/>
      <c r="F87" s="121"/>
      <c r="G87" s="121"/>
      <c r="H87" s="121"/>
    </row>
    <row r="88" spans="4:8" ht="15">
      <c r="D88" s="121"/>
      <c r="F88" s="121"/>
      <c r="G88" s="121"/>
      <c r="H88" s="121"/>
    </row>
    <row r="89" spans="4:8" ht="15">
      <c r="D89" s="121"/>
      <c r="F89" s="121"/>
      <c r="G89" s="121"/>
      <c r="H89" s="121"/>
    </row>
    <row r="90" spans="4:8" ht="15">
      <c r="D90" s="121"/>
      <c r="F90" s="121"/>
      <c r="G90" s="121"/>
      <c r="H90" s="121"/>
    </row>
    <row r="91" spans="4:8" ht="15">
      <c r="D91" s="121"/>
      <c r="F91" s="121"/>
      <c r="G91" s="121"/>
      <c r="H91" s="121"/>
    </row>
    <row r="92" spans="4:8" ht="15">
      <c r="D92" s="121"/>
      <c r="F92" s="121"/>
      <c r="G92" s="121"/>
      <c r="H92" s="121"/>
    </row>
    <row r="93" spans="4:8" ht="15">
      <c r="D93" s="121"/>
      <c r="F93" s="121"/>
      <c r="G93" s="121"/>
      <c r="H93" s="121"/>
    </row>
    <row r="94" spans="4:8" ht="15">
      <c r="D94" s="121"/>
      <c r="F94" s="121"/>
      <c r="G94" s="121"/>
      <c r="H94" s="121"/>
    </row>
    <row r="95" spans="4:8" ht="15">
      <c r="D95" s="121"/>
      <c r="F95" s="121"/>
      <c r="G95" s="121"/>
      <c r="H95" s="121"/>
    </row>
    <row r="96" spans="4:8" ht="15">
      <c r="D96" s="121"/>
      <c r="F96" s="121"/>
      <c r="G96" s="121"/>
      <c r="H96" s="121"/>
    </row>
    <row r="97" spans="4:8" ht="15">
      <c r="D97" s="121"/>
      <c r="F97" s="121"/>
      <c r="G97" s="121"/>
      <c r="H97" s="121"/>
    </row>
    <row r="98" spans="4:8" ht="15">
      <c r="D98" s="121"/>
      <c r="F98" s="121"/>
      <c r="G98" s="121"/>
      <c r="H98" s="121"/>
    </row>
    <row r="99" spans="4:8" ht="15">
      <c r="D99" s="121"/>
      <c r="F99" s="121"/>
      <c r="G99" s="121"/>
      <c r="H99" s="121"/>
    </row>
  </sheetData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J6" sqref="J6"/>
    </sheetView>
  </sheetViews>
  <sheetFormatPr defaultColWidth="9.140625" defaultRowHeight="12.75"/>
  <cols>
    <col min="1" max="1" width="32.421875" style="0" customWidth="1"/>
    <col min="5" max="5" width="11.8515625" style="0" bestFit="1" customWidth="1"/>
  </cols>
  <sheetData>
    <row r="1" spans="1:7" ht="12.75">
      <c r="A1" t="s">
        <v>343</v>
      </c>
      <c r="E1" s="47">
        <f>'[1]TB - ''04'!$F$299</f>
        <v>391795.82</v>
      </c>
      <c r="G1" s="230">
        <f>E1/$E$3</f>
        <v>0.7542164915103058</v>
      </c>
    </row>
    <row r="2" spans="1:7" ht="12.75">
      <c r="A2" t="s">
        <v>342</v>
      </c>
      <c r="E2" s="47">
        <f>'[1]TB - '04'!$F$300+'[1]TB - '04'!$F$301</f>
        <v>127678.13</v>
      </c>
      <c r="G2" s="230">
        <f>E2/$E$3</f>
        <v>0.24578350848969424</v>
      </c>
    </row>
    <row r="3" spans="1:7" ht="12.75">
      <c r="A3" t="s">
        <v>376</v>
      </c>
      <c r="E3" s="231">
        <f>SUM(E1:E2)</f>
        <v>519473.95</v>
      </c>
      <c r="G3" s="232">
        <f>E3/$E$3</f>
        <v>1</v>
      </c>
    </row>
    <row r="4" ht="12.75">
      <c r="G4" s="230"/>
    </row>
    <row r="5" spans="1:5" ht="12.75">
      <c r="A5" t="s">
        <v>377</v>
      </c>
      <c r="E5" s="233">
        <f>'[1]TB - ''04'!$F$485</f>
        <v>47658.560000000005</v>
      </c>
    </row>
    <row r="6" ht="12.75">
      <c r="E6" s="233"/>
    </row>
    <row r="7" spans="1:5" ht="12.75">
      <c r="A7" s="234" t="s">
        <v>378</v>
      </c>
      <c r="E7" s="233">
        <f>E5*G1</f>
        <v>35944.871913633404</v>
      </c>
    </row>
    <row r="8" spans="1:5" ht="12.75">
      <c r="A8" s="234" t="s">
        <v>379</v>
      </c>
      <c r="E8" s="233">
        <f>E5*G2</f>
        <v>11713.688086366603</v>
      </c>
    </row>
    <row r="9" ht="12.75">
      <c r="E9" s="233"/>
    </row>
    <row r="10" spans="1:5" ht="12.75">
      <c r="A10" t="s">
        <v>380</v>
      </c>
      <c r="E10" s="233">
        <f>'[1]TB - ''04'!$F$339</f>
        <v>103251</v>
      </c>
    </row>
    <row r="11" ht="12.75">
      <c r="E11" s="233"/>
    </row>
    <row r="12" spans="1:5" ht="12.75">
      <c r="A12" s="234" t="s">
        <v>378</v>
      </c>
      <c r="E12" s="233">
        <f>E10*G1</f>
        <v>77873.60696493059</v>
      </c>
    </row>
    <row r="13" spans="1:5" ht="12.75">
      <c r="A13" s="234" t="s">
        <v>379</v>
      </c>
      <c r="E13" s="233">
        <f>E10*G2</f>
        <v>25377.39303506942</v>
      </c>
    </row>
    <row r="14" ht="12.75">
      <c r="E14" s="233"/>
    </row>
    <row r="15" ht="12.75">
      <c r="E15" s="233"/>
    </row>
    <row r="16" spans="1:5" ht="12.75">
      <c r="A16" t="s">
        <v>381</v>
      </c>
      <c r="E16" s="233"/>
    </row>
    <row r="17" ht="12.75">
      <c r="E17" s="233"/>
    </row>
    <row r="18" spans="1:5" ht="12.75">
      <c r="A18" s="234" t="s">
        <v>382</v>
      </c>
      <c r="E18" s="233">
        <f>-'[1]TB - ''04'!$F$298</f>
        <v>121266</v>
      </c>
    </row>
    <row r="19" spans="1:5" ht="12.75">
      <c r="A19" s="234"/>
      <c r="E19" s="233"/>
    </row>
    <row r="20" spans="1:5" ht="12.75">
      <c r="A20" s="234" t="s">
        <v>343</v>
      </c>
      <c r="E20" s="233">
        <f>E1</f>
        <v>391795.82</v>
      </c>
    </row>
    <row r="21" spans="1:5" ht="12.75">
      <c r="A21" s="234" t="s">
        <v>383</v>
      </c>
      <c r="E21" s="233">
        <f>E7</f>
        <v>35944.871913633404</v>
      </c>
    </row>
    <row r="22" spans="1:5" ht="12.75">
      <c r="A22" s="234" t="s">
        <v>384</v>
      </c>
      <c r="E22" s="233">
        <f>E12</f>
        <v>77873.60696493059</v>
      </c>
    </row>
    <row r="23" spans="1:5" ht="12.75">
      <c r="A23" s="234"/>
      <c r="E23" s="235">
        <f>SUM(E20:E22)</f>
        <v>505614.29887856403</v>
      </c>
    </row>
    <row r="24" spans="1:5" ht="12.75">
      <c r="A24" s="234"/>
      <c r="E24" s="233"/>
    </row>
    <row r="25" spans="1:5" ht="12.75">
      <c r="A25" s="234" t="s">
        <v>385</v>
      </c>
      <c r="E25" s="230">
        <f>E18/E23</f>
        <v>0.23983894496054406</v>
      </c>
    </row>
    <row r="26" ht="12.75">
      <c r="E26" s="233"/>
    </row>
    <row r="27" ht="12.75">
      <c r="E27" s="233"/>
    </row>
    <row r="28" spans="1:5" ht="12.75">
      <c r="A28" s="236" t="s">
        <v>386</v>
      </c>
      <c r="E28" s="233"/>
    </row>
    <row r="29" spans="1:5" ht="12.75">
      <c r="A29" s="234" t="s">
        <v>387</v>
      </c>
      <c r="E29" s="233">
        <f>E20*E25</f>
        <v>93967.89610875123</v>
      </c>
    </row>
    <row r="30" spans="1:5" ht="12.75">
      <c r="A30" s="234" t="s">
        <v>341</v>
      </c>
      <c r="E30" s="233">
        <f>E21*E25</f>
        <v>8620.980156507729</v>
      </c>
    </row>
    <row r="31" spans="1:5" ht="12.75">
      <c r="A31" s="234" t="s">
        <v>388</v>
      </c>
      <c r="E31" s="233">
        <f>E22*E25</f>
        <v>18677.123734741028</v>
      </c>
    </row>
    <row r="32" ht="12.75">
      <c r="E32" s="235"/>
    </row>
    <row r="33" spans="1:5" ht="13.5" thickBot="1">
      <c r="A33" s="234" t="s">
        <v>389</v>
      </c>
      <c r="E33" s="237">
        <f>SUM(E29:E31)</f>
        <v>121266</v>
      </c>
    </row>
    <row r="34" ht="13.5" thickTop="1">
      <c r="E34" s="233"/>
    </row>
    <row r="35" ht="12.75">
      <c r="E35" s="233"/>
    </row>
    <row r="36" ht="12.75">
      <c r="E36" s="23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4" sqref="B4"/>
    </sheetView>
  </sheetViews>
  <sheetFormatPr defaultColWidth="9.140625" defaultRowHeight="12.75"/>
  <cols>
    <col min="1" max="1" width="20.140625" style="0" customWidth="1"/>
    <col min="2" max="2" width="48.421875" style="0" customWidth="1"/>
    <col min="3" max="4" width="11.00390625" style="186" customWidth="1"/>
    <col min="5" max="5" width="11.00390625" style="191" customWidth="1"/>
  </cols>
  <sheetData>
    <row r="1" spans="1:5" ht="15">
      <c r="A1" s="1" t="s">
        <v>38</v>
      </c>
      <c r="B1" s="2"/>
      <c r="C1" s="21"/>
      <c r="D1" s="21"/>
      <c r="E1" s="188"/>
    </row>
    <row r="2" spans="1:5" ht="15">
      <c r="A2" s="1" t="s">
        <v>46</v>
      </c>
      <c r="B2" s="3"/>
      <c r="C2" s="21"/>
      <c r="D2" s="21"/>
      <c r="E2" s="188"/>
    </row>
    <row r="3" spans="1:5" ht="15">
      <c r="A3" s="75" t="s">
        <v>47</v>
      </c>
      <c r="B3" s="3"/>
      <c r="C3" s="21"/>
      <c r="D3" s="21"/>
      <c r="E3" s="188"/>
    </row>
    <row r="4" ht="12.75">
      <c r="A4" s="196" t="s">
        <v>344</v>
      </c>
    </row>
    <row r="6" spans="1:5" s="78" customFormat="1" ht="73.5" customHeight="1">
      <c r="A6" s="80" t="s">
        <v>48</v>
      </c>
      <c r="B6" s="80" t="s">
        <v>49</v>
      </c>
      <c r="C6" s="184" t="s">
        <v>323</v>
      </c>
      <c r="D6" s="184" t="s">
        <v>324</v>
      </c>
      <c r="E6" s="189" t="s">
        <v>325</v>
      </c>
    </row>
    <row r="7" spans="1:5" ht="12.75">
      <c r="A7" s="81" t="s">
        <v>59</v>
      </c>
      <c r="B7" s="81" t="s">
        <v>111</v>
      </c>
      <c r="C7" s="185">
        <v>26315</v>
      </c>
      <c r="D7" s="185">
        <v>27090.96</v>
      </c>
      <c r="E7" s="190">
        <f aca="true" t="shared" si="0" ref="E7:E12">+(D7-C7)/C7</f>
        <v>0.029487364620938594</v>
      </c>
    </row>
    <row r="8" spans="1:5" ht="12.75">
      <c r="A8" s="81" t="s">
        <v>60</v>
      </c>
      <c r="B8" s="81" t="s">
        <v>112</v>
      </c>
      <c r="C8" s="185">
        <v>17300</v>
      </c>
      <c r="D8" s="185">
        <v>21025.16</v>
      </c>
      <c r="E8" s="190">
        <f t="shared" si="0"/>
        <v>0.2153271676300578</v>
      </c>
    </row>
    <row r="9" spans="1:5" ht="12.75">
      <c r="A9" s="81" t="s">
        <v>61</v>
      </c>
      <c r="B9" s="81" t="s">
        <v>111</v>
      </c>
      <c r="C9" s="185">
        <v>27876</v>
      </c>
      <c r="D9" s="185">
        <v>28726.36</v>
      </c>
      <c r="E9" s="190">
        <f t="shared" si="0"/>
        <v>0.030505093987659656</v>
      </c>
    </row>
    <row r="10" spans="1:5" ht="12.75">
      <c r="A10" s="81" t="s">
        <v>62</v>
      </c>
      <c r="B10" s="81" t="s">
        <v>113</v>
      </c>
      <c r="C10" s="185">
        <v>43000</v>
      </c>
      <c r="D10" s="185">
        <v>50000</v>
      </c>
      <c r="E10" s="190">
        <f t="shared" si="0"/>
        <v>0.16279069767441862</v>
      </c>
    </row>
    <row r="11" spans="1:5" ht="12.75">
      <c r="A11" s="81" t="s">
        <v>63</v>
      </c>
      <c r="B11" s="81" t="s">
        <v>111</v>
      </c>
      <c r="C11" s="185">
        <v>29120</v>
      </c>
      <c r="D11" s="185">
        <v>30680.26</v>
      </c>
      <c r="E11" s="190">
        <f t="shared" si="0"/>
        <v>0.05358035714285709</v>
      </c>
    </row>
    <row r="12" spans="1:5" ht="12.75">
      <c r="A12" s="81" t="s">
        <v>64</v>
      </c>
      <c r="B12" s="81" t="s">
        <v>112</v>
      </c>
      <c r="C12" s="185">
        <v>18620</v>
      </c>
      <c r="D12" s="185">
        <v>23295.22</v>
      </c>
      <c r="E12" s="190">
        <f t="shared" si="0"/>
        <v>0.25108592910848554</v>
      </c>
    </row>
    <row r="13" spans="1:5" ht="12.75">
      <c r="A13" s="81" t="s">
        <v>65</v>
      </c>
      <c r="B13" s="81" t="s">
        <v>111</v>
      </c>
      <c r="C13" s="185" t="s">
        <v>145</v>
      </c>
      <c r="D13" s="185">
        <v>24000</v>
      </c>
      <c r="E13" s="192" t="s">
        <v>145</v>
      </c>
    </row>
    <row r="14" spans="1:5" ht="12.75">
      <c r="A14" s="81" t="s">
        <v>66</v>
      </c>
      <c r="B14" s="81" t="s">
        <v>327</v>
      </c>
      <c r="C14" s="187" t="s">
        <v>145</v>
      </c>
      <c r="D14" s="187" t="s">
        <v>145</v>
      </c>
      <c r="E14" s="192" t="s">
        <v>145</v>
      </c>
    </row>
    <row r="15" spans="1:5" ht="12.75">
      <c r="A15" s="81" t="s">
        <v>67</v>
      </c>
      <c r="B15" s="81" t="s">
        <v>114</v>
      </c>
      <c r="C15" s="185">
        <v>35000</v>
      </c>
      <c r="D15" s="185">
        <v>36200</v>
      </c>
      <c r="E15" s="190">
        <f>+(D15-C15)/C15</f>
        <v>0.03428571428571429</v>
      </c>
    </row>
    <row r="16" spans="1:5" ht="12.75">
      <c r="A16" s="81" t="s">
        <v>68</v>
      </c>
      <c r="B16" s="81" t="s">
        <v>111</v>
      </c>
      <c r="C16" s="185">
        <v>29816.2</v>
      </c>
      <c r="D16" s="185">
        <v>30516</v>
      </c>
      <c r="E16" s="190">
        <f>+(D16-C16)/C16</f>
        <v>0.02347046236609626</v>
      </c>
    </row>
    <row r="17" spans="1:5" ht="12.75">
      <c r="A17" s="81" t="s">
        <v>69</v>
      </c>
      <c r="B17" s="81" t="s">
        <v>111</v>
      </c>
      <c r="C17" s="185">
        <v>19520</v>
      </c>
      <c r="D17" s="185">
        <v>24220</v>
      </c>
      <c r="E17" s="190">
        <f>+(D17-C17)/C17</f>
        <v>0.24077868852459017</v>
      </c>
    </row>
    <row r="18" spans="1:5" ht="12.75">
      <c r="A18" s="81" t="s">
        <v>70</v>
      </c>
      <c r="B18" s="81" t="s">
        <v>114</v>
      </c>
      <c r="C18" s="185">
        <v>42000</v>
      </c>
      <c r="D18" s="185">
        <v>43200</v>
      </c>
      <c r="E18" s="190">
        <f>+(D18-C18)/C18</f>
        <v>0.02857142857142857</v>
      </c>
    </row>
    <row r="19" spans="1:5" ht="12.75">
      <c r="A19" s="81" t="s">
        <v>71</v>
      </c>
      <c r="B19" s="81" t="s">
        <v>328</v>
      </c>
      <c r="C19" s="187" t="s">
        <v>145</v>
      </c>
      <c r="D19" s="187" t="s">
        <v>145</v>
      </c>
      <c r="E19" s="192" t="s">
        <v>145</v>
      </c>
    </row>
    <row r="20" spans="1:5" ht="12.75">
      <c r="A20" s="81" t="s">
        <v>72</v>
      </c>
      <c r="B20" s="81" t="s">
        <v>116</v>
      </c>
      <c r="C20" s="185">
        <v>143000</v>
      </c>
      <c r="D20" s="185">
        <f>143000+2900</f>
        <v>145900</v>
      </c>
      <c r="E20" s="190">
        <f>+(D20-C20)/C20</f>
        <v>0.02027972027972028</v>
      </c>
    </row>
    <row r="21" spans="1:5" ht="12.75">
      <c r="A21" s="81" t="s">
        <v>73</v>
      </c>
      <c r="B21" s="81" t="s">
        <v>117</v>
      </c>
      <c r="C21" s="185">
        <v>19940</v>
      </c>
      <c r="D21" s="185">
        <v>23000</v>
      </c>
      <c r="E21" s="190">
        <f>+(D21-C21)/C21</f>
        <v>0.1534603811434303</v>
      </c>
    </row>
    <row r="22" spans="1:5" ht="12.75">
      <c r="A22" s="81" t="s">
        <v>74</v>
      </c>
      <c r="B22" s="81" t="s">
        <v>118</v>
      </c>
      <c r="C22" s="185">
        <v>30752</v>
      </c>
      <c r="D22" s="185">
        <v>34500</v>
      </c>
      <c r="E22" s="190">
        <f>+(D22-C22)/C22</f>
        <v>0.12187825182101977</v>
      </c>
    </row>
    <row r="23" spans="1:5" ht="12.75">
      <c r="A23" s="81" t="s">
        <v>75</v>
      </c>
      <c r="B23" s="81" t="s">
        <v>117</v>
      </c>
      <c r="C23" s="185">
        <v>23992</v>
      </c>
      <c r="D23" s="185">
        <v>25000</v>
      </c>
      <c r="E23" s="190">
        <f>+(D23-C23)/C23</f>
        <v>0.04201400466822274</v>
      </c>
    </row>
    <row r="24" spans="1:5" ht="12.75">
      <c r="A24" s="81" t="s">
        <v>76</v>
      </c>
      <c r="B24" s="81" t="s">
        <v>256</v>
      </c>
      <c r="C24" s="185"/>
      <c r="D24" s="185"/>
      <c r="E24" s="190"/>
    </row>
    <row r="25" spans="1:5" ht="12.75">
      <c r="A25" s="81" t="s">
        <v>77</v>
      </c>
      <c r="B25" s="81" t="s">
        <v>257</v>
      </c>
      <c r="C25" s="185"/>
      <c r="D25" s="185"/>
      <c r="E25" s="190"/>
    </row>
    <row r="26" spans="1:5" ht="12.75">
      <c r="A26" s="81" t="s">
        <v>78</v>
      </c>
      <c r="B26" s="81" t="s">
        <v>258</v>
      </c>
      <c r="C26" s="185"/>
      <c r="D26" s="185"/>
      <c r="E26" s="190"/>
    </row>
    <row r="27" spans="1:5" ht="12.75">
      <c r="A27" s="81" t="s">
        <v>79</v>
      </c>
      <c r="B27" s="81" t="s">
        <v>259</v>
      </c>
      <c r="C27" s="185"/>
      <c r="D27" s="185"/>
      <c r="E27" s="190"/>
    </row>
    <row r="28" spans="1:5" ht="12.75">
      <c r="A28" s="81" t="s">
        <v>80</v>
      </c>
      <c r="B28" s="81" t="s">
        <v>260</v>
      </c>
      <c r="C28" s="185"/>
      <c r="D28" s="185"/>
      <c r="E28" s="190"/>
    </row>
    <row r="29" spans="1:5" ht="12.75">
      <c r="A29" s="119" t="s">
        <v>81</v>
      </c>
      <c r="B29" s="119" t="s">
        <v>261</v>
      </c>
      <c r="C29" s="185"/>
      <c r="D29" s="185"/>
      <c r="E29" s="190"/>
    </row>
    <row r="30" spans="1:5" ht="12.75">
      <c r="A30" s="119" t="s">
        <v>82</v>
      </c>
      <c r="B30" s="119" t="s">
        <v>284</v>
      </c>
      <c r="C30" s="185"/>
      <c r="D30" s="185"/>
      <c r="E30" s="190"/>
    </row>
    <row r="31" spans="1:5" ht="12.75">
      <c r="A31" s="119" t="s">
        <v>83</v>
      </c>
      <c r="B31" s="119" t="s">
        <v>262</v>
      </c>
      <c r="C31" s="185"/>
      <c r="D31" s="185"/>
      <c r="E31" s="190"/>
    </row>
    <row r="32" spans="1:5" ht="12.75">
      <c r="A32" s="119" t="s">
        <v>84</v>
      </c>
      <c r="B32" s="119" t="s">
        <v>262</v>
      </c>
      <c r="C32" s="185"/>
      <c r="D32" s="185"/>
      <c r="E32" s="190"/>
    </row>
    <row r="33" spans="1:5" ht="12.75">
      <c r="A33" s="119" t="s">
        <v>85</v>
      </c>
      <c r="B33" s="119" t="s">
        <v>263</v>
      </c>
      <c r="C33" s="185"/>
      <c r="D33" s="185"/>
      <c r="E33" s="190"/>
    </row>
    <row r="34" spans="1:5" ht="12.75">
      <c r="A34" s="119" t="s">
        <v>86</v>
      </c>
      <c r="B34" s="119" t="s">
        <v>264</v>
      </c>
      <c r="C34" s="185"/>
      <c r="D34" s="185"/>
      <c r="E34" s="190"/>
    </row>
    <row r="35" spans="1:5" ht="12.75">
      <c r="A35" s="119" t="s">
        <v>87</v>
      </c>
      <c r="B35" s="119" t="s">
        <v>265</v>
      </c>
      <c r="C35" s="185"/>
      <c r="D35" s="185"/>
      <c r="E35" s="190"/>
    </row>
    <row r="36" spans="1:5" ht="12.75">
      <c r="A36" s="119" t="s">
        <v>88</v>
      </c>
      <c r="B36" s="119" t="s">
        <v>262</v>
      </c>
      <c r="C36" s="185"/>
      <c r="D36" s="185"/>
      <c r="E36" s="190"/>
    </row>
    <row r="37" spans="1:5" ht="12.75">
      <c r="A37" s="119" t="s">
        <v>89</v>
      </c>
      <c r="B37" s="119" t="s">
        <v>261</v>
      </c>
      <c r="C37" s="185"/>
      <c r="D37" s="185"/>
      <c r="E37" s="190"/>
    </row>
    <row r="38" spans="1:5" ht="12.75">
      <c r="A38" s="119" t="s">
        <v>90</v>
      </c>
      <c r="B38" s="119" t="s">
        <v>266</v>
      </c>
      <c r="C38" s="185"/>
      <c r="D38" s="185"/>
      <c r="E38" s="190"/>
    </row>
    <row r="39" spans="1:5" ht="12.75">
      <c r="A39" s="119" t="s">
        <v>91</v>
      </c>
      <c r="B39" s="119" t="s">
        <v>267</v>
      </c>
      <c r="C39" s="185"/>
      <c r="D39" s="185"/>
      <c r="E39" s="190"/>
    </row>
    <row r="40" spans="1:5" ht="12.75">
      <c r="A40" s="119" t="s">
        <v>92</v>
      </c>
      <c r="B40" s="119" t="s">
        <v>268</v>
      </c>
      <c r="C40" s="185"/>
      <c r="D40" s="185"/>
      <c r="E40" s="190"/>
    </row>
    <row r="41" spans="1:5" ht="12.75">
      <c r="A41" s="119" t="s">
        <v>93</v>
      </c>
      <c r="B41" s="119" t="s">
        <v>269</v>
      </c>
      <c r="C41" s="185"/>
      <c r="D41" s="185"/>
      <c r="E41" s="190"/>
    </row>
    <row r="42" spans="1:5" ht="12.75">
      <c r="A42" s="119" t="s">
        <v>94</v>
      </c>
      <c r="B42" s="119" t="s">
        <v>270</v>
      </c>
      <c r="C42" s="185"/>
      <c r="D42" s="185"/>
      <c r="E42" s="190"/>
    </row>
    <row r="43" spans="1:5" ht="12.75">
      <c r="A43" s="119" t="s">
        <v>95</v>
      </c>
      <c r="B43" s="119" t="s">
        <v>262</v>
      </c>
      <c r="C43" s="185"/>
      <c r="D43" s="185"/>
      <c r="E43" s="190"/>
    </row>
    <row r="44" spans="1:5" ht="12.75">
      <c r="A44" s="119" t="s">
        <v>96</v>
      </c>
      <c r="B44" s="119" t="s">
        <v>270</v>
      </c>
      <c r="C44" s="185"/>
      <c r="D44" s="185"/>
      <c r="E44" s="190"/>
    </row>
    <row r="45" spans="1:5" ht="12.75">
      <c r="A45" s="119" t="s">
        <v>97</v>
      </c>
      <c r="B45" s="119" t="s">
        <v>271</v>
      </c>
      <c r="C45" s="185"/>
      <c r="D45" s="185"/>
      <c r="E45" s="190"/>
    </row>
    <row r="46" spans="1:5" ht="12.75">
      <c r="A46" s="119" t="s">
        <v>98</v>
      </c>
      <c r="B46" s="119" t="s">
        <v>272</v>
      </c>
      <c r="C46" s="185"/>
      <c r="D46" s="185"/>
      <c r="E46" s="190"/>
    </row>
    <row r="47" spans="1:5" ht="12.75">
      <c r="A47" s="119" t="s">
        <v>99</v>
      </c>
      <c r="B47" s="119" t="s">
        <v>273</v>
      </c>
      <c r="C47" s="185"/>
      <c r="D47" s="185"/>
      <c r="E47" s="190"/>
    </row>
    <row r="48" spans="1:5" ht="12.75">
      <c r="A48" s="119" t="s">
        <v>100</v>
      </c>
      <c r="B48" s="119" t="s">
        <v>274</v>
      </c>
      <c r="C48" s="185"/>
      <c r="D48" s="185"/>
      <c r="E48" s="190"/>
    </row>
    <row r="49" spans="1:5" ht="12.75">
      <c r="A49" s="119" t="s">
        <v>101</v>
      </c>
      <c r="B49" s="119" t="s">
        <v>275</v>
      </c>
      <c r="C49" s="185"/>
      <c r="D49" s="185"/>
      <c r="E49" s="190"/>
    </row>
    <row r="50" spans="1:5" ht="12.75">
      <c r="A50" s="119" t="s">
        <v>102</v>
      </c>
      <c r="B50" s="119" t="s">
        <v>276</v>
      </c>
      <c r="C50" s="185"/>
      <c r="D50" s="185"/>
      <c r="E50" s="190"/>
    </row>
    <row r="51" spans="1:5" ht="12.75">
      <c r="A51" s="119" t="s">
        <v>103</v>
      </c>
      <c r="B51" s="119" t="s">
        <v>276</v>
      </c>
      <c r="C51" s="185"/>
      <c r="D51" s="185"/>
      <c r="E51" s="190"/>
    </row>
    <row r="52" spans="1:5" ht="12.75">
      <c r="A52" s="119" t="s">
        <v>104</v>
      </c>
      <c r="B52" s="119" t="s">
        <v>282</v>
      </c>
      <c r="C52" s="185"/>
      <c r="D52" s="185"/>
      <c r="E52" s="190"/>
    </row>
    <row r="53" spans="1:5" ht="12.75">
      <c r="A53" s="119" t="s">
        <v>105</v>
      </c>
      <c r="B53" s="119" t="s">
        <v>277</v>
      </c>
      <c r="C53" s="185"/>
      <c r="D53" s="185"/>
      <c r="E53" s="190"/>
    </row>
    <row r="54" spans="1:5" ht="12.75">
      <c r="A54" s="119" t="s">
        <v>106</v>
      </c>
      <c r="B54" s="119" t="s">
        <v>278</v>
      </c>
      <c r="C54" s="185"/>
      <c r="D54" s="185"/>
      <c r="E54" s="190"/>
    </row>
    <row r="55" spans="1:5" ht="12.75">
      <c r="A55" s="119" t="s">
        <v>107</v>
      </c>
      <c r="B55" s="119" t="s">
        <v>279</v>
      </c>
      <c r="C55" s="185"/>
      <c r="D55" s="185"/>
      <c r="E55" s="190"/>
    </row>
    <row r="56" spans="1:5" ht="12.75">
      <c r="A56" s="119" t="s">
        <v>108</v>
      </c>
      <c r="B56" s="119" t="s">
        <v>283</v>
      </c>
      <c r="C56" s="185"/>
      <c r="D56" s="185"/>
      <c r="E56" s="190"/>
    </row>
    <row r="57" spans="1:5" ht="12.75">
      <c r="A57" s="119" t="s">
        <v>109</v>
      </c>
      <c r="B57" s="119" t="s">
        <v>280</v>
      </c>
      <c r="C57" s="185"/>
      <c r="D57" s="185"/>
      <c r="E57" s="190"/>
    </row>
    <row r="58" spans="1:5" ht="12.75">
      <c r="A58" s="119" t="s">
        <v>110</v>
      </c>
      <c r="B58" s="119" t="s">
        <v>281</v>
      </c>
      <c r="C58" s="185"/>
      <c r="D58" s="185"/>
      <c r="E58" s="190"/>
    </row>
  </sheetData>
  <printOptions/>
  <pageMargins left="0.75" right="0.75" top="1" bottom="1" header="0.5" footer="0.5"/>
  <pageSetup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K17" sqref="K17"/>
    </sheetView>
  </sheetViews>
  <sheetFormatPr defaultColWidth="9.140625" defaultRowHeight="12.75"/>
  <cols>
    <col min="2" max="2" width="26.8515625" style="0" customWidth="1"/>
    <col min="3" max="3" width="13.421875" style="0" customWidth="1"/>
    <col min="5" max="5" width="13.57421875" style="0" customWidth="1"/>
    <col min="7" max="7" width="12.28125" style="0" customWidth="1"/>
  </cols>
  <sheetData>
    <row r="1" spans="1:7" ht="15">
      <c r="A1" s="100" t="s">
        <v>340</v>
      </c>
      <c r="B1" s="225"/>
      <c r="C1" s="225"/>
      <c r="D1" s="225"/>
      <c r="E1" s="225"/>
      <c r="F1" s="225"/>
      <c r="G1" s="225"/>
    </row>
    <row r="2" spans="1:7" ht="15">
      <c r="A2" s="100" t="s">
        <v>356</v>
      </c>
      <c r="B2" s="225"/>
      <c r="C2" s="225"/>
      <c r="D2" s="225"/>
      <c r="E2" s="225"/>
      <c r="F2" s="225"/>
      <c r="G2" s="225"/>
    </row>
    <row r="3" spans="1:7" ht="15">
      <c r="A3" s="100" t="s">
        <v>357</v>
      </c>
      <c r="B3" s="225"/>
      <c r="C3" s="225"/>
      <c r="D3" s="225"/>
      <c r="E3" s="225"/>
      <c r="F3" s="225"/>
      <c r="G3" s="225"/>
    </row>
    <row r="4" spans="1:7" ht="15">
      <c r="A4" s="100" t="s">
        <v>358</v>
      </c>
      <c r="B4" s="225"/>
      <c r="C4" s="225"/>
      <c r="D4" s="225"/>
      <c r="E4" s="225"/>
      <c r="F4" s="225"/>
      <c r="G4" s="225"/>
    </row>
    <row r="5" spans="1:7" ht="15">
      <c r="A5" s="225"/>
      <c r="B5" s="225"/>
      <c r="C5" s="225"/>
      <c r="D5" s="225"/>
      <c r="E5" s="225"/>
      <c r="F5" s="225"/>
      <c r="G5" s="225"/>
    </row>
    <row r="6" spans="1:7" ht="15">
      <c r="A6" s="225"/>
      <c r="B6" s="225"/>
      <c r="C6" s="225"/>
      <c r="D6" s="225"/>
      <c r="E6" s="225"/>
      <c r="F6" s="225"/>
      <c r="G6" s="225"/>
    </row>
    <row r="7" spans="1:7" ht="15">
      <c r="A7" s="225"/>
      <c r="B7" s="225"/>
      <c r="C7" s="225"/>
      <c r="D7" s="225"/>
      <c r="E7" s="225"/>
      <c r="F7" s="225"/>
      <c r="G7" s="225"/>
    </row>
    <row r="8" spans="1:7" ht="15">
      <c r="A8" s="225"/>
      <c r="B8" s="225"/>
      <c r="C8" s="226" t="s">
        <v>359</v>
      </c>
      <c r="D8" s="225"/>
      <c r="E8" s="226" t="s">
        <v>360</v>
      </c>
      <c r="F8" s="225"/>
      <c r="G8" s="226" t="s">
        <v>361</v>
      </c>
    </row>
    <row r="9" spans="1:7" ht="15">
      <c r="A9" s="225"/>
      <c r="B9" s="225"/>
      <c r="C9" s="227"/>
      <c r="D9" s="225"/>
      <c r="E9" s="227"/>
      <c r="F9" s="225"/>
      <c r="G9" s="227"/>
    </row>
    <row r="10" spans="1:7" ht="15">
      <c r="A10" s="228" t="s">
        <v>362</v>
      </c>
      <c r="B10" s="228"/>
      <c r="C10" s="25">
        <f>'[3]TB - ''04'!$K$69</f>
        <v>6955806.8100000005</v>
      </c>
      <c r="D10" s="25"/>
      <c r="E10" s="25">
        <f>'[3]Sch.C-R.B'!$F$13</f>
        <v>6994408.130000001</v>
      </c>
      <c r="F10" s="25"/>
      <c r="G10" s="25">
        <f>E10-C10</f>
        <v>38601.3200000003</v>
      </c>
    </row>
    <row r="11" spans="1:7" ht="15">
      <c r="A11" s="228" t="s">
        <v>363</v>
      </c>
      <c r="B11" s="228"/>
      <c r="C11" s="15">
        <f>'[3]TB - ''04'!$K$101</f>
        <v>-3084261.0300000003</v>
      </c>
      <c r="D11" s="15"/>
      <c r="E11" s="15">
        <f>'[3]Sch.C-R.B'!$F$14</f>
        <v>-2581408.09605</v>
      </c>
      <c r="F11" s="15"/>
      <c r="G11" s="15">
        <f>E11-C11</f>
        <v>502852.93395000044</v>
      </c>
    </row>
    <row r="12" spans="1:7" ht="15">
      <c r="A12" s="228" t="s">
        <v>364</v>
      </c>
      <c r="B12" s="228"/>
      <c r="C12" s="18">
        <f>SUM(C10:C11)</f>
        <v>3871545.7800000003</v>
      </c>
      <c r="D12" s="15"/>
      <c r="E12" s="18">
        <f>SUM(E10:E11)</f>
        <v>4413000.033950001</v>
      </c>
      <c r="F12" s="15"/>
      <c r="G12" s="18">
        <f>SUM(G10:G11)</f>
        <v>541454.2539500007</v>
      </c>
    </row>
    <row r="13" spans="1:7" ht="15">
      <c r="A13" s="228" t="s">
        <v>365</v>
      </c>
      <c r="B13" s="228"/>
      <c r="C13" s="15">
        <f>('[3]TB - '04'!$F$278+'[3]TB - '04'!$F$288+'[3]TB - '04'!$F$293+'[3]TB - '04'!$F$303+'[3]TB - '04'!$F$322+'[3]TB - '04'!$F$339+'[3]TB - '04'!$F$341+'[3]TB - '04'!$F$348+'[3]TB - '04'!$F$368+'[3]TB - '04'!$F$381+'[3]TB - '04'!$F$389+'[3]TB - '04'!$F$397+'[3]TB - '04'!$F$405+'[3]TB - '04'!$F$432+'[3]TB - '04'!$F$438+'[3]TB - '04'!$F$445+'[3]TB - '04'!$F$485+'[3]TB - '04'!$F$493)*45/360</f>
        <v>149287.455</v>
      </c>
      <c r="D13" s="15"/>
      <c r="E13" s="15">
        <f>'[3]Sch.C-R.B'!$F$16</f>
        <v>148617</v>
      </c>
      <c r="F13" s="15"/>
      <c r="G13" s="15">
        <f>E13-C13</f>
        <v>-670.4549999999872</v>
      </c>
    </row>
    <row r="14" spans="1:7" ht="15">
      <c r="A14" s="228" t="s">
        <v>366</v>
      </c>
      <c r="B14" s="228"/>
      <c r="C14" s="15">
        <f>'[3]TB - ''04'!$K$241</f>
        <v>-77879.59000000001</v>
      </c>
      <c r="D14" s="15"/>
      <c r="E14" s="15">
        <f>'[3]Sch.C-R.B'!$F$17</f>
        <v>-58028.94790000001</v>
      </c>
      <c r="F14" s="15"/>
      <c r="G14" s="15">
        <f aca="true" t="shared" si="0" ref="G14:G22">E14-C14</f>
        <v>19850.642100000005</v>
      </c>
    </row>
    <row r="15" spans="1:7" ht="15">
      <c r="A15" s="228" t="s">
        <v>367</v>
      </c>
      <c r="B15" s="228"/>
      <c r="C15" s="15">
        <f>'[3]TB - ''04'!$K$230</f>
        <v>-113080.53</v>
      </c>
      <c r="D15" s="15"/>
      <c r="E15" s="15">
        <f>'[3]Sch.C-R.B'!$F$18</f>
        <v>-92599.44210000001</v>
      </c>
      <c r="F15" s="15"/>
      <c r="G15" s="15">
        <f t="shared" si="0"/>
        <v>20481.087899999984</v>
      </c>
    </row>
    <row r="16" spans="1:7" ht="15">
      <c r="A16" s="228" t="s">
        <v>368</v>
      </c>
      <c r="B16" s="228"/>
      <c r="C16" s="15">
        <f>'[3]TB - '04'!$I$183+'[3]TB - '04'!$I$190</f>
        <v>-358146</v>
      </c>
      <c r="D16" s="15"/>
      <c r="E16" s="15">
        <f>'[3]Sch.C-R.B'!$F$19</f>
        <v>-358146</v>
      </c>
      <c r="F16" s="15"/>
      <c r="G16" s="15">
        <f t="shared" si="0"/>
        <v>0</v>
      </c>
    </row>
    <row r="17" spans="1:7" ht="15">
      <c r="A17" s="228" t="s">
        <v>369</v>
      </c>
      <c r="B17" s="228"/>
      <c r="C17" s="15">
        <f>'[3]TB - ''04'!$I$216</f>
        <v>-114589.1</v>
      </c>
      <c r="D17" s="15"/>
      <c r="E17" s="15">
        <f>'[3]Sch.C-R.B'!$F$20</f>
        <v>-114589.1</v>
      </c>
      <c r="F17" s="15"/>
      <c r="G17" s="15">
        <f t="shared" si="0"/>
        <v>0</v>
      </c>
    </row>
    <row r="18" spans="1:7" ht="15">
      <c r="A18" s="228" t="s">
        <v>370</v>
      </c>
      <c r="B18" s="228"/>
      <c r="C18" s="15">
        <v>0</v>
      </c>
      <c r="D18" s="15"/>
      <c r="E18" s="15">
        <v>0</v>
      </c>
      <c r="F18" s="15"/>
      <c r="G18" s="15">
        <f t="shared" si="0"/>
        <v>0</v>
      </c>
    </row>
    <row r="19" spans="1:7" ht="15">
      <c r="A19" s="228" t="s">
        <v>371</v>
      </c>
      <c r="B19" s="228"/>
      <c r="C19" s="15">
        <v>0</v>
      </c>
      <c r="D19" s="15"/>
      <c r="E19" s="15">
        <v>0</v>
      </c>
      <c r="F19" s="15"/>
      <c r="G19" s="15">
        <f t="shared" si="0"/>
        <v>0</v>
      </c>
    </row>
    <row r="20" spans="1:7" ht="15">
      <c r="A20" s="228" t="s">
        <v>372</v>
      </c>
      <c r="B20" s="228"/>
      <c r="C20" s="15">
        <f>'[3]Sch.C-R.B'!$F$23</f>
        <v>43029.19240199999</v>
      </c>
      <c r="D20" s="15"/>
      <c r="E20" s="15">
        <f>'[3]Sch.C-R.B'!$F$23</f>
        <v>43029.19240199999</v>
      </c>
      <c r="F20" s="15"/>
      <c r="G20" s="15">
        <f t="shared" si="0"/>
        <v>0</v>
      </c>
    </row>
    <row r="21" spans="1:7" ht="15">
      <c r="A21" s="228" t="s">
        <v>373</v>
      </c>
      <c r="B21" s="228"/>
      <c r="C21" s="15">
        <v>0</v>
      </c>
      <c r="D21" s="15"/>
      <c r="E21" s="15">
        <v>0</v>
      </c>
      <c r="F21" s="15"/>
      <c r="G21" s="15">
        <f t="shared" si="0"/>
        <v>0</v>
      </c>
    </row>
    <row r="22" spans="1:7" ht="15">
      <c r="A22" s="228" t="s">
        <v>374</v>
      </c>
      <c r="B22" s="228"/>
      <c r="C22" s="15">
        <v>0</v>
      </c>
      <c r="D22" s="15"/>
      <c r="E22" s="15">
        <v>0</v>
      </c>
      <c r="F22" s="15"/>
      <c r="G22" s="15">
        <f t="shared" si="0"/>
        <v>0</v>
      </c>
    </row>
    <row r="23" spans="1:7" ht="15.75" thickBot="1">
      <c r="A23" s="225" t="s">
        <v>375</v>
      </c>
      <c r="B23" s="225"/>
      <c r="C23" s="229">
        <f>SUM(C12:C22)</f>
        <v>3400167.2074020007</v>
      </c>
      <c r="D23" s="225"/>
      <c r="E23" s="229">
        <f>SUM(E12:E22)</f>
        <v>3981282.7363520013</v>
      </c>
      <c r="F23" s="225"/>
      <c r="G23" s="229">
        <f>SUM(G12:G22)</f>
        <v>581115.5289500009</v>
      </c>
    </row>
    <row r="24" spans="1:7" ht="15.75" thickTop="1">
      <c r="A24" s="225"/>
      <c r="B24" s="225"/>
      <c r="C24" s="225"/>
      <c r="D24" s="225"/>
      <c r="E24" s="225"/>
      <c r="F24" s="225"/>
      <c r="G24" s="225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0.140625" style="0" customWidth="1"/>
    <col min="2" max="2" width="48.421875" style="0" customWidth="1"/>
    <col min="3" max="3" width="10.57421875" style="148" customWidth="1"/>
    <col min="4" max="4" width="17.57421875" style="176" customWidth="1"/>
    <col min="5" max="5" width="18.00390625" style="181" customWidth="1"/>
    <col min="6" max="6" width="14.57421875" style="181" customWidth="1"/>
    <col min="7" max="7" width="12.140625" style="0" customWidth="1"/>
    <col min="8" max="8" width="10.140625" style="176" customWidth="1"/>
  </cols>
  <sheetData>
    <row r="1" spans="1:7" ht="15">
      <c r="A1" s="1" t="s">
        <v>38</v>
      </c>
      <c r="B1" s="2"/>
      <c r="C1" s="147"/>
      <c r="D1" s="13"/>
      <c r="G1" t="s">
        <v>56</v>
      </c>
    </row>
    <row r="2" spans="1:7" ht="15">
      <c r="A2" s="1" t="s">
        <v>46</v>
      </c>
      <c r="B2" s="3"/>
      <c r="C2" s="147"/>
      <c r="D2" s="13"/>
      <c r="G2" t="s">
        <v>57</v>
      </c>
    </row>
    <row r="3" spans="1:7" ht="15">
      <c r="A3" s="75" t="s">
        <v>47</v>
      </c>
      <c r="B3" s="3"/>
      <c r="C3" s="147"/>
      <c r="D3" s="13"/>
      <c r="G3" t="s">
        <v>58</v>
      </c>
    </row>
    <row r="4" spans="1:8" ht="12.75">
      <c r="A4" s="196" t="s">
        <v>339</v>
      </c>
      <c r="G4" s="79"/>
      <c r="H4" s="180"/>
    </row>
    <row r="5" spans="7:8" ht="12.75">
      <c r="G5">
        <v>2004</v>
      </c>
      <c r="H5" s="176">
        <v>2004</v>
      </c>
    </row>
    <row r="6" spans="1:8" s="78" customFormat="1" ht="51">
      <c r="A6" s="80" t="s">
        <v>48</v>
      </c>
      <c r="B6" s="80" t="s">
        <v>49</v>
      </c>
      <c r="C6" s="149" t="s">
        <v>50</v>
      </c>
      <c r="D6" s="177" t="s">
        <v>51</v>
      </c>
      <c r="E6" s="182" t="s">
        <v>52</v>
      </c>
      <c r="F6" s="182" t="s">
        <v>53</v>
      </c>
      <c r="G6" s="80" t="s">
        <v>54</v>
      </c>
      <c r="H6" s="177" t="s">
        <v>55</v>
      </c>
    </row>
    <row r="7" spans="1:8" ht="12.75">
      <c r="A7" s="81" t="s">
        <v>59</v>
      </c>
      <c r="B7" s="81" t="s">
        <v>111</v>
      </c>
      <c r="C7" s="150">
        <v>34989</v>
      </c>
      <c r="D7" s="178" t="s">
        <v>313</v>
      </c>
      <c r="E7" s="183">
        <v>27903.72</v>
      </c>
      <c r="F7" s="183">
        <v>28880.28</v>
      </c>
      <c r="G7" s="81">
        <v>2080</v>
      </c>
      <c r="H7" s="178">
        <v>69</v>
      </c>
    </row>
    <row r="8" spans="1:8" ht="12.75">
      <c r="A8" s="81" t="s">
        <v>60</v>
      </c>
      <c r="B8" s="81" t="s">
        <v>112</v>
      </c>
      <c r="C8" s="150">
        <v>34989</v>
      </c>
      <c r="D8" s="178" t="s">
        <v>313</v>
      </c>
      <c r="E8" s="183">
        <v>22655.62</v>
      </c>
      <c r="F8" s="183">
        <v>26448.5</v>
      </c>
      <c r="G8" s="81">
        <v>2080</v>
      </c>
      <c r="H8" s="178">
        <v>67</v>
      </c>
    </row>
    <row r="9" spans="1:8" ht="12.75">
      <c r="A9" s="81" t="s">
        <v>61</v>
      </c>
      <c r="B9" s="81" t="s">
        <v>111</v>
      </c>
      <c r="C9" s="150">
        <v>29115</v>
      </c>
      <c r="D9" s="178" t="s">
        <v>313</v>
      </c>
      <c r="E9" s="183">
        <v>29588.26</v>
      </c>
      <c r="F9" s="183">
        <v>30475.9</v>
      </c>
      <c r="G9" s="81">
        <v>2080</v>
      </c>
      <c r="H9" s="178">
        <v>194</v>
      </c>
    </row>
    <row r="10" spans="1:8" ht="12.75">
      <c r="A10" s="81" t="s">
        <v>62</v>
      </c>
      <c r="B10" s="81" t="s">
        <v>113</v>
      </c>
      <c r="C10" s="150">
        <v>28653</v>
      </c>
      <c r="D10" s="178" t="s">
        <v>313</v>
      </c>
      <c r="E10" s="183">
        <v>51500.16</v>
      </c>
      <c r="F10" s="183">
        <v>53560.32</v>
      </c>
      <c r="G10" s="81">
        <v>2080</v>
      </c>
      <c r="H10" s="178" t="s">
        <v>326</v>
      </c>
    </row>
    <row r="11" spans="1:8" ht="12.75">
      <c r="A11" s="81" t="s">
        <v>63</v>
      </c>
      <c r="B11" s="81" t="s">
        <v>111</v>
      </c>
      <c r="C11" s="150">
        <v>36669</v>
      </c>
      <c r="D11" s="178" t="s">
        <v>313</v>
      </c>
      <c r="E11" s="183">
        <v>33600.32</v>
      </c>
      <c r="F11" s="183">
        <v>36112.44</v>
      </c>
      <c r="G11" s="81">
        <v>2080</v>
      </c>
      <c r="H11" s="178">
        <v>283</v>
      </c>
    </row>
    <row r="12" spans="1:8" ht="12.75">
      <c r="A12" s="81" t="s">
        <v>64</v>
      </c>
      <c r="B12" s="81" t="s">
        <v>112</v>
      </c>
      <c r="C12" s="150">
        <v>37431</v>
      </c>
      <c r="D12" s="178" t="s">
        <v>313</v>
      </c>
      <c r="E12" s="183">
        <v>23994.1</v>
      </c>
      <c r="F12" s="183">
        <v>24833.9</v>
      </c>
      <c r="G12" s="81">
        <v>2080</v>
      </c>
      <c r="H12" s="178">
        <v>80</v>
      </c>
    </row>
    <row r="13" spans="1:8" ht="12.75">
      <c r="A13" s="81" t="s">
        <v>65</v>
      </c>
      <c r="B13" s="81" t="s">
        <v>111</v>
      </c>
      <c r="C13" s="150">
        <v>37431</v>
      </c>
      <c r="D13" s="178" t="s">
        <v>313</v>
      </c>
      <c r="E13" s="183">
        <v>25720.24</v>
      </c>
      <c r="F13" s="183">
        <v>26620.36</v>
      </c>
      <c r="G13" s="81">
        <v>2080</v>
      </c>
      <c r="H13" s="178">
        <v>132</v>
      </c>
    </row>
    <row r="14" spans="1:8" ht="12.75">
      <c r="A14" s="81" t="s">
        <v>66</v>
      </c>
      <c r="B14" s="81" t="s">
        <v>114</v>
      </c>
      <c r="C14" s="150">
        <v>37340</v>
      </c>
      <c r="D14" s="178" t="s">
        <v>313</v>
      </c>
      <c r="E14" s="183">
        <v>38000.04</v>
      </c>
      <c r="F14" s="183">
        <v>39710.06</v>
      </c>
      <c r="G14" s="81">
        <v>1120</v>
      </c>
      <c r="H14" s="178">
        <v>86</v>
      </c>
    </row>
    <row r="15" spans="1:8" ht="12.75">
      <c r="A15" s="81" t="s">
        <v>67</v>
      </c>
      <c r="B15" s="81" t="s">
        <v>114</v>
      </c>
      <c r="C15" s="150">
        <v>32790</v>
      </c>
      <c r="D15" s="178" t="s">
        <v>313</v>
      </c>
      <c r="E15" s="183">
        <v>37286.16</v>
      </c>
      <c r="F15" s="183">
        <v>38964.24</v>
      </c>
      <c r="G15" s="81">
        <v>2080</v>
      </c>
      <c r="H15" s="178" t="s">
        <v>326</v>
      </c>
    </row>
    <row r="16" spans="1:8" ht="12.75">
      <c r="A16" s="81" t="s">
        <v>68</v>
      </c>
      <c r="B16" s="81" t="s">
        <v>111</v>
      </c>
      <c r="C16" s="150">
        <v>38413</v>
      </c>
      <c r="D16" s="178" t="s">
        <v>314</v>
      </c>
      <c r="E16" s="183">
        <v>31126</v>
      </c>
      <c r="F16" s="183" t="s">
        <v>145</v>
      </c>
      <c r="G16" s="81">
        <v>2080</v>
      </c>
      <c r="H16" s="178">
        <v>247</v>
      </c>
    </row>
    <row r="17" spans="1:8" ht="12.75">
      <c r="A17" s="81" t="s">
        <v>69</v>
      </c>
      <c r="B17" s="81" t="s">
        <v>111</v>
      </c>
      <c r="C17" s="150">
        <v>37340</v>
      </c>
      <c r="D17" s="178" t="s">
        <v>313</v>
      </c>
      <c r="E17" s="183">
        <v>25189.06</v>
      </c>
      <c r="F17" s="183">
        <v>25818.78</v>
      </c>
      <c r="G17" s="81">
        <v>2080</v>
      </c>
      <c r="H17" s="178">
        <v>216</v>
      </c>
    </row>
    <row r="18" spans="1:8" ht="12.75">
      <c r="A18" s="81" t="s">
        <v>70</v>
      </c>
      <c r="B18" s="81" t="s">
        <v>114</v>
      </c>
      <c r="C18" s="150">
        <v>37530</v>
      </c>
      <c r="D18" s="179">
        <v>38114</v>
      </c>
      <c r="E18" s="183" t="s">
        <v>145</v>
      </c>
      <c r="F18" s="183" t="s">
        <v>145</v>
      </c>
      <c r="G18" s="81">
        <v>720</v>
      </c>
      <c r="H18" s="178">
        <v>15</v>
      </c>
    </row>
    <row r="19" spans="1:8" ht="12.75">
      <c r="A19" s="81" t="s">
        <v>71</v>
      </c>
      <c r="B19" s="81" t="s">
        <v>115</v>
      </c>
      <c r="C19" s="150">
        <v>38124</v>
      </c>
      <c r="D19" s="179">
        <v>38233</v>
      </c>
      <c r="E19" s="183" t="s">
        <v>145</v>
      </c>
      <c r="F19" s="183" t="s">
        <v>145</v>
      </c>
      <c r="G19" s="81">
        <v>468</v>
      </c>
      <c r="H19" s="178">
        <v>20</v>
      </c>
    </row>
    <row r="20" spans="1:8" ht="12.75">
      <c r="A20" s="81" t="s">
        <v>72</v>
      </c>
      <c r="B20" s="81" t="s">
        <v>116</v>
      </c>
      <c r="C20" s="150">
        <v>27039</v>
      </c>
      <c r="D20" s="178" t="s">
        <v>313</v>
      </c>
      <c r="E20" s="183">
        <v>143000</v>
      </c>
      <c r="F20" s="183">
        <v>155000</v>
      </c>
      <c r="G20" s="81">
        <v>2080</v>
      </c>
      <c r="H20" s="178" t="s">
        <v>326</v>
      </c>
    </row>
    <row r="21" spans="1:8" ht="12.75">
      <c r="A21" s="81" t="s">
        <v>73</v>
      </c>
      <c r="B21" s="81" t="s">
        <v>117</v>
      </c>
      <c r="C21" s="150">
        <v>35140</v>
      </c>
      <c r="D21" s="178" t="s">
        <v>315</v>
      </c>
      <c r="E21" s="183">
        <v>24200</v>
      </c>
      <c r="F21" s="183" t="s">
        <v>145</v>
      </c>
      <c r="G21" s="81">
        <v>2080</v>
      </c>
      <c r="H21" s="178">
        <v>0</v>
      </c>
    </row>
    <row r="22" spans="1:8" ht="12.75">
      <c r="A22" s="81" t="s">
        <v>74</v>
      </c>
      <c r="B22" s="81" t="s">
        <v>118</v>
      </c>
      <c r="C22" s="150">
        <v>31779</v>
      </c>
      <c r="D22" s="178" t="s">
        <v>313</v>
      </c>
      <c r="E22" s="183">
        <v>36500.1</v>
      </c>
      <c r="F22" s="183">
        <v>38690.08</v>
      </c>
      <c r="G22" s="81">
        <v>2080</v>
      </c>
      <c r="H22" s="178">
        <v>0</v>
      </c>
    </row>
    <row r="23" spans="1:8" ht="12.75">
      <c r="A23" s="81" t="s">
        <v>75</v>
      </c>
      <c r="B23" s="81" t="s">
        <v>117</v>
      </c>
      <c r="C23" s="150">
        <v>36014</v>
      </c>
      <c r="D23" s="178" t="s">
        <v>313</v>
      </c>
      <c r="E23" s="183">
        <v>26400.14</v>
      </c>
      <c r="F23" s="183">
        <v>28248.22</v>
      </c>
      <c r="G23" s="81">
        <v>2080</v>
      </c>
      <c r="H23" s="178">
        <v>4</v>
      </c>
    </row>
    <row r="24" spans="1:8" ht="12.75">
      <c r="A24" s="81" t="s">
        <v>76</v>
      </c>
      <c r="B24" s="81" t="s">
        <v>256</v>
      </c>
      <c r="C24" s="150"/>
      <c r="D24" s="178"/>
      <c r="E24" s="183"/>
      <c r="F24" s="183"/>
      <c r="G24" s="81"/>
      <c r="H24" s="178"/>
    </row>
    <row r="25" spans="1:8" ht="12.75">
      <c r="A25" s="81" t="s">
        <v>77</v>
      </c>
      <c r="B25" s="81" t="s">
        <v>257</v>
      </c>
      <c r="C25" s="150"/>
      <c r="D25" s="178"/>
      <c r="E25" s="183"/>
      <c r="F25" s="183"/>
      <c r="G25" s="81"/>
      <c r="H25" s="178"/>
    </row>
    <row r="26" spans="1:8" ht="12.75">
      <c r="A26" s="81" t="s">
        <v>78</v>
      </c>
      <c r="B26" s="81" t="s">
        <v>258</v>
      </c>
      <c r="C26" s="150"/>
      <c r="D26" s="178"/>
      <c r="E26" s="183"/>
      <c r="F26" s="183"/>
      <c r="G26" s="81"/>
      <c r="H26" s="178"/>
    </row>
    <row r="27" spans="1:8" ht="12.75">
      <c r="A27" s="81" t="s">
        <v>79</v>
      </c>
      <c r="B27" s="81" t="s">
        <v>259</v>
      </c>
      <c r="C27" s="150"/>
      <c r="D27" s="178"/>
      <c r="E27" s="183"/>
      <c r="F27" s="183"/>
      <c r="G27" s="81"/>
      <c r="H27" s="178"/>
    </row>
    <row r="28" spans="1:8" ht="12.75">
      <c r="A28" s="81" t="s">
        <v>80</v>
      </c>
      <c r="B28" s="81" t="s">
        <v>260</v>
      </c>
      <c r="C28" s="150"/>
      <c r="D28" s="178"/>
      <c r="E28" s="183"/>
      <c r="F28" s="183"/>
      <c r="G28" s="81"/>
      <c r="H28" s="178"/>
    </row>
    <row r="29" spans="1:8" ht="12.75">
      <c r="A29" s="119" t="s">
        <v>81</v>
      </c>
      <c r="B29" s="119" t="s">
        <v>261</v>
      </c>
      <c r="C29" s="150"/>
      <c r="D29" s="178"/>
      <c r="E29" s="183"/>
      <c r="F29" s="183"/>
      <c r="G29" s="81"/>
      <c r="H29" s="178"/>
    </row>
    <row r="30" spans="1:8" ht="12.75">
      <c r="A30" s="119" t="s">
        <v>82</v>
      </c>
      <c r="B30" s="119" t="s">
        <v>284</v>
      </c>
      <c r="C30" s="150"/>
      <c r="D30" s="178"/>
      <c r="E30" s="183"/>
      <c r="F30" s="183"/>
      <c r="G30" s="81"/>
      <c r="H30" s="178"/>
    </row>
    <row r="31" spans="1:8" ht="12.75">
      <c r="A31" s="119" t="s">
        <v>83</v>
      </c>
      <c r="B31" s="119" t="s">
        <v>262</v>
      </c>
      <c r="C31" s="150"/>
      <c r="D31" s="178"/>
      <c r="E31" s="183"/>
      <c r="F31" s="183"/>
      <c r="G31" s="81"/>
      <c r="H31" s="178"/>
    </row>
    <row r="32" spans="1:8" ht="12.75">
      <c r="A32" s="119" t="s">
        <v>84</v>
      </c>
      <c r="B32" s="119" t="s">
        <v>262</v>
      </c>
      <c r="C32" s="150"/>
      <c r="D32" s="178"/>
      <c r="E32" s="183"/>
      <c r="F32" s="183"/>
      <c r="G32" s="81"/>
      <c r="H32" s="178"/>
    </row>
    <row r="33" spans="1:8" ht="12.75">
      <c r="A33" s="119" t="s">
        <v>85</v>
      </c>
      <c r="B33" s="119" t="s">
        <v>263</v>
      </c>
      <c r="C33" s="150"/>
      <c r="D33" s="178"/>
      <c r="E33" s="183"/>
      <c r="F33" s="183"/>
      <c r="G33" s="81"/>
      <c r="H33" s="178"/>
    </row>
    <row r="34" spans="1:8" ht="12.75">
      <c r="A34" s="119" t="s">
        <v>86</v>
      </c>
      <c r="B34" s="119" t="s">
        <v>264</v>
      </c>
      <c r="C34" s="150"/>
      <c r="D34" s="178"/>
      <c r="E34" s="183"/>
      <c r="F34" s="183"/>
      <c r="G34" s="81"/>
      <c r="H34" s="178"/>
    </row>
    <row r="35" spans="1:8" ht="12.75">
      <c r="A35" s="119" t="s">
        <v>87</v>
      </c>
      <c r="B35" s="119" t="s">
        <v>265</v>
      </c>
      <c r="C35" s="150"/>
      <c r="D35" s="178"/>
      <c r="E35" s="183"/>
      <c r="F35" s="183"/>
      <c r="G35" s="81"/>
      <c r="H35" s="178"/>
    </row>
    <row r="36" spans="1:8" ht="12.75">
      <c r="A36" s="119" t="s">
        <v>88</v>
      </c>
      <c r="B36" s="119" t="s">
        <v>262</v>
      </c>
      <c r="C36" s="150"/>
      <c r="D36" s="178"/>
      <c r="E36" s="183"/>
      <c r="F36" s="183"/>
      <c r="G36" s="81"/>
      <c r="H36" s="178"/>
    </row>
    <row r="37" spans="1:8" ht="12.75">
      <c r="A37" s="119" t="s">
        <v>89</v>
      </c>
      <c r="B37" s="119" t="s">
        <v>261</v>
      </c>
      <c r="C37" s="150"/>
      <c r="D37" s="178"/>
      <c r="E37" s="183"/>
      <c r="F37" s="183"/>
      <c r="G37" s="81"/>
      <c r="H37" s="178"/>
    </row>
    <row r="38" spans="1:8" ht="12.75">
      <c r="A38" s="119" t="s">
        <v>90</v>
      </c>
      <c r="B38" s="119" t="s">
        <v>266</v>
      </c>
      <c r="C38" s="150"/>
      <c r="D38" s="178"/>
      <c r="E38" s="183"/>
      <c r="F38" s="183"/>
      <c r="G38" s="81"/>
      <c r="H38" s="178"/>
    </row>
    <row r="39" spans="1:8" ht="12.75">
      <c r="A39" s="119" t="s">
        <v>91</v>
      </c>
      <c r="B39" s="119" t="s">
        <v>267</v>
      </c>
      <c r="C39" s="150"/>
      <c r="D39" s="178"/>
      <c r="E39" s="183"/>
      <c r="F39" s="183"/>
      <c r="G39" s="81"/>
      <c r="H39" s="178"/>
    </row>
    <row r="40" spans="1:8" ht="12.75">
      <c r="A40" s="119" t="s">
        <v>92</v>
      </c>
      <c r="B40" s="119" t="s">
        <v>268</v>
      </c>
      <c r="C40" s="150"/>
      <c r="D40" s="178"/>
      <c r="E40" s="183"/>
      <c r="F40" s="183"/>
      <c r="G40" s="81"/>
      <c r="H40" s="178"/>
    </row>
    <row r="41" spans="1:8" s="78" customFormat="1" ht="51">
      <c r="A41" s="80" t="s">
        <v>48</v>
      </c>
      <c r="B41" s="80" t="s">
        <v>49</v>
      </c>
      <c r="C41" s="149" t="s">
        <v>50</v>
      </c>
      <c r="D41" s="177" t="s">
        <v>51</v>
      </c>
      <c r="E41" s="182" t="s">
        <v>52</v>
      </c>
      <c r="F41" s="182" t="s">
        <v>53</v>
      </c>
      <c r="G41" s="80" t="s">
        <v>54</v>
      </c>
      <c r="H41" s="177" t="s">
        <v>55</v>
      </c>
    </row>
    <row r="42" spans="1:8" ht="12.75">
      <c r="A42" s="119" t="s">
        <v>93</v>
      </c>
      <c r="B42" s="119" t="s">
        <v>269</v>
      </c>
      <c r="C42" s="150"/>
      <c r="D42" s="178"/>
      <c r="E42" s="183"/>
      <c r="F42" s="183"/>
      <c r="G42" s="81"/>
      <c r="H42" s="178"/>
    </row>
    <row r="43" spans="1:8" ht="12.75">
      <c r="A43" s="119" t="s">
        <v>94</v>
      </c>
      <c r="B43" s="119" t="s">
        <v>270</v>
      </c>
      <c r="C43" s="150"/>
      <c r="D43" s="178"/>
      <c r="E43" s="183"/>
      <c r="F43" s="183"/>
      <c r="G43" s="81"/>
      <c r="H43" s="178"/>
    </row>
    <row r="44" spans="1:8" ht="12.75">
      <c r="A44" s="119" t="s">
        <v>95</v>
      </c>
      <c r="B44" s="119" t="s">
        <v>262</v>
      </c>
      <c r="C44" s="150"/>
      <c r="D44" s="178"/>
      <c r="E44" s="183"/>
      <c r="F44" s="183"/>
      <c r="G44" s="81"/>
      <c r="H44" s="178"/>
    </row>
    <row r="45" spans="1:8" ht="12.75">
      <c r="A45" s="119" t="s">
        <v>96</v>
      </c>
      <c r="B45" s="119" t="s">
        <v>270</v>
      </c>
      <c r="C45" s="150"/>
      <c r="D45" s="178"/>
      <c r="E45" s="183"/>
      <c r="F45" s="183"/>
      <c r="G45" s="81"/>
      <c r="H45" s="178"/>
    </row>
    <row r="46" spans="1:8" ht="12.75">
      <c r="A46" s="119" t="s">
        <v>97</v>
      </c>
      <c r="B46" s="119" t="s">
        <v>271</v>
      </c>
      <c r="C46" s="150"/>
      <c r="D46" s="178"/>
      <c r="E46" s="183"/>
      <c r="F46" s="183"/>
      <c r="G46" s="81"/>
      <c r="H46" s="178"/>
    </row>
    <row r="47" spans="1:8" ht="12.75">
      <c r="A47" s="119" t="s">
        <v>98</v>
      </c>
      <c r="B47" s="119" t="s">
        <v>272</v>
      </c>
      <c r="C47" s="150"/>
      <c r="D47" s="178"/>
      <c r="E47" s="183"/>
      <c r="F47" s="183"/>
      <c r="G47" s="81"/>
      <c r="H47" s="178"/>
    </row>
    <row r="48" spans="1:8" ht="12.75">
      <c r="A48" s="119" t="s">
        <v>99</v>
      </c>
      <c r="B48" s="119" t="s">
        <v>273</v>
      </c>
      <c r="C48" s="150"/>
      <c r="D48" s="178"/>
      <c r="E48" s="183"/>
      <c r="F48" s="183"/>
      <c r="G48" s="81"/>
      <c r="H48" s="178"/>
    </row>
    <row r="49" spans="1:8" ht="12.75">
      <c r="A49" s="119" t="s">
        <v>100</v>
      </c>
      <c r="B49" s="119" t="s">
        <v>274</v>
      </c>
      <c r="C49" s="150"/>
      <c r="D49" s="178"/>
      <c r="E49" s="183"/>
      <c r="F49" s="183"/>
      <c r="G49" s="81"/>
      <c r="H49" s="178"/>
    </row>
    <row r="50" spans="1:8" ht="12.75">
      <c r="A50" s="119" t="s">
        <v>101</v>
      </c>
      <c r="B50" s="119" t="s">
        <v>275</v>
      </c>
      <c r="C50" s="150"/>
      <c r="D50" s="178"/>
      <c r="E50" s="183"/>
      <c r="F50" s="183"/>
      <c r="G50" s="81"/>
      <c r="H50" s="178"/>
    </row>
    <row r="51" spans="1:8" ht="12.75">
      <c r="A51" s="119" t="s">
        <v>102</v>
      </c>
      <c r="B51" s="119" t="s">
        <v>276</v>
      </c>
      <c r="C51" s="150"/>
      <c r="D51" s="178"/>
      <c r="E51" s="183"/>
      <c r="F51" s="183"/>
      <c r="G51" s="81"/>
      <c r="H51" s="178"/>
    </row>
    <row r="52" spans="1:8" ht="12.75">
      <c r="A52" s="119" t="s">
        <v>103</v>
      </c>
      <c r="B52" s="119" t="s">
        <v>276</v>
      </c>
      <c r="C52" s="150"/>
      <c r="D52" s="178"/>
      <c r="E52" s="183"/>
      <c r="F52" s="183"/>
      <c r="G52" s="81"/>
      <c r="H52" s="178"/>
    </row>
    <row r="53" spans="1:8" ht="12.75">
      <c r="A53" s="119" t="s">
        <v>104</v>
      </c>
      <c r="B53" s="119" t="s">
        <v>282</v>
      </c>
      <c r="C53" s="150"/>
      <c r="D53" s="178"/>
      <c r="E53" s="183"/>
      <c r="F53" s="183"/>
      <c r="G53" s="81"/>
      <c r="H53" s="178"/>
    </row>
    <row r="54" spans="1:8" ht="12.75">
      <c r="A54" s="119" t="s">
        <v>105</v>
      </c>
      <c r="B54" s="119" t="s">
        <v>277</v>
      </c>
      <c r="C54" s="150"/>
      <c r="D54" s="178"/>
      <c r="E54" s="183"/>
      <c r="F54" s="183"/>
      <c r="G54" s="81"/>
      <c r="H54" s="178"/>
    </row>
    <row r="55" spans="1:8" ht="12.75">
      <c r="A55" s="119" t="s">
        <v>106</v>
      </c>
      <c r="B55" s="119" t="s">
        <v>278</v>
      </c>
      <c r="C55" s="150"/>
      <c r="D55" s="178"/>
      <c r="E55" s="183"/>
      <c r="F55" s="183"/>
      <c r="G55" s="81"/>
      <c r="H55" s="178"/>
    </row>
    <row r="56" spans="1:8" ht="12.75">
      <c r="A56" s="119" t="s">
        <v>107</v>
      </c>
      <c r="B56" s="119" t="s">
        <v>279</v>
      </c>
      <c r="C56" s="150"/>
      <c r="D56" s="178"/>
      <c r="E56" s="183"/>
      <c r="F56" s="183"/>
      <c r="G56" s="81"/>
      <c r="H56" s="178"/>
    </row>
    <row r="57" spans="1:8" ht="12.75">
      <c r="A57" s="119" t="s">
        <v>108</v>
      </c>
      <c r="B57" s="119" t="s">
        <v>283</v>
      </c>
      <c r="C57" s="150"/>
      <c r="D57" s="178"/>
      <c r="E57" s="183"/>
      <c r="F57" s="183"/>
      <c r="G57" s="81"/>
      <c r="H57" s="178"/>
    </row>
    <row r="58" spans="1:8" ht="12.75">
      <c r="A58" s="119" t="s">
        <v>109</v>
      </c>
      <c r="B58" s="119" t="s">
        <v>280</v>
      </c>
      <c r="C58" s="150"/>
      <c r="D58" s="178"/>
      <c r="E58" s="183"/>
      <c r="F58" s="183"/>
      <c r="G58" s="81"/>
      <c r="H58" s="178"/>
    </row>
    <row r="59" spans="1:8" ht="12.75">
      <c r="A59" s="119" t="s">
        <v>110</v>
      </c>
      <c r="B59" s="119" t="s">
        <v>281</v>
      </c>
      <c r="C59" s="150"/>
      <c r="D59" s="178"/>
      <c r="E59" s="183"/>
      <c r="F59" s="183"/>
      <c r="G59" s="81"/>
      <c r="H59" s="178"/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Sunardio</dc:creator>
  <cp:keywords/>
  <dc:description/>
  <cp:lastModifiedBy>HUTCH</cp:lastModifiedBy>
  <cp:lastPrinted>2006-02-02T12:49:33Z</cp:lastPrinted>
  <dcterms:created xsi:type="dcterms:W3CDTF">2006-01-23T15:44:54Z</dcterms:created>
  <dcterms:modified xsi:type="dcterms:W3CDTF">2006-02-13T14:21:07Z</dcterms:modified>
  <cp:category/>
  <cp:version/>
  <cp:contentType/>
  <cp:contentStatus/>
</cp:coreProperties>
</file>