
<file path=[Content_Types].xml><?xml version="1.0" encoding="utf-8"?>
<Types xmlns="http://schemas.openxmlformats.org/package/2006/content-type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showInkAnnotation="0" autoCompressPictures="0"/>
  <mc:AlternateContent xmlns:mc="http://schemas.openxmlformats.org/markup-compatibility/2006">
    <mc:Choice Requires="x15">
      <x15ac:absPath xmlns:x15ac="http://schemas.microsoft.com/office/spreadsheetml/2010/11/ac" url="C:\Users\benjamin.rogness\Downloads\"/>
    </mc:Choice>
  </mc:AlternateContent>
  <xr:revisionPtr revIDLastSave="0" documentId="8_{D077F1E5-1B37-459F-A1C6-695F55A41951}" xr6:coauthVersionLast="47" xr6:coauthVersionMax="47" xr10:uidLastSave="{00000000-0000-0000-0000-000000000000}"/>
  <bookViews>
    <workbookView xWindow="28680" yWindow="-120" windowWidth="29040" windowHeight="15720" tabRatio="689" firstSheet="4" activeTab="18" xr2:uid="{00000000-000D-0000-FFFF-FFFF00000000}"/>
  </bookViews>
  <sheets>
    <sheet name="ssplant" sheetId="5" r:id="rId1"/>
    <sheet name="acc dep" sheetId="30" r:id="rId2"/>
    <sheet name="TYexpenses" sheetId="1" r:id="rId3"/>
    <sheet name="PFexpenses" sheetId="32" r:id="rId4"/>
    <sheet name="TY depreciation" sheetId="22" r:id="rId5"/>
    <sheet name="PF deprec" sheetId="31" r:id="rId6"/>
    <sheet name="debt svc" sheetId="28" r:id="rId7"/>
    <sheet name="COMM-1" sheetId="9" r:id="rId8"/>
    <sheet name="CAP-1" sheetId="10" r:id="rId9"/>
    <sheet name="CUST-X" sheetId="11" r:id="rId10"/>
    <sheet name="PFP-1" sheetId="12" r:id="rId11"/>
    <sheet name="REV-1" sheetId="13" r:id="rId12"/>
    <sheet name="distr main analysis" sheetId="14" r:id="rId13"/>
    <sheet name="DA rate base" sheetId="33" r:id="rId14"/>
    <sheet name="DA expense" sheetId="34" r:id="rId15"/>
    <sheet name="rate base" sheetId="36" r:id="rId16"/>
    <sheet name="expenses" sheetId="35" r:id="rId17"/>
    <sheet name="summary" sheetId="37" r:id="rId18"/>
    <sheet name="unit cost" sheetId="38" r:id="rId19"/>
  </sheets>
  <externalReferences>
    <externalReference r:id="rId20"/>
    <externalReference r:id="rId21"/>
    <externalReference r:id="rId22"/>
    <externalReference r:id="rId23"/>
    <externalReference r:id="rId24"/>
    <externalReference r:id="rId25"/>
  </externalReferences>
  <definedNames>
    <definedName name="_xlnm.Print_Area" localSheetId="1">'acc dep'!$A$1:$L$54</definedName>
    <definedName name="_xlnm.Print_Area" localSheetId="8">'CAP-1'!$A$1:$F$22</definedName>
    <definedName name="_xlnm.Print_Area" localSheetId="7">'COMM-1'!$A$1:$F$30</definedName>
    <definedName name="_xlnm.Print_Area" localSheetId="9">'CUST-X'!$A$1:$I$20</definedName>
    <definedName name="_xlnm.Print_Area" localSheetId="14">'DA expense'!$A$1:$L$21</definedName>
    <definedName name="_xlnm.Print_Area" localSheetId="13">'DA rate base'!$A$1:$L$19</definedName>
    <definedName name="_xlnm.Print_Area" localSheetId="6">'debt svc'!$A$1:$K$21</definedName>
    <definedName name="_xlnm.Print_Area" localSheetId="12">'distr main analysis'!$A$1:$D$33</definedName>
    <definedName name="_xlnm.Print_Area" localSheetId="16">expenses!$A$1:$L$12</definedName>
    <definedName name="_xlnm.Print_Area" localSheetId="5">'PF deprec'!$A$1:$L$33</definedName>
    <definedName name="_xlnm.Print_Area" localSheetId="3">PFexpenses!$A$1:$L$72</definedName>
    <definedName name="_xlnm.Print_Area" localSheetId="10">'PFP-1'!$A$1:$F$17</definedName>
    <definedName name="_xlnm.Print_Area" localSheetId="11">'REV-1'!$A$1:$C$15</definedName>
    <definedName name="_xlnm.Print_Area" localSheetId="0">ssplant!$A$1:$L$70</definedName>
    <definedName name="_xlnm.Print_Area" localSheetId="17">summary!$A$1:$L$12</definedName>
    <definedName name="_xlnm.Print_Area" localSheetId="4">'TY depreciation'!$A$1:$L$36</definedName>
    <definedName name="_xlnm.Print_Area" localSheetId="2">TYexpenses!$A$1:$L$75</definedName>
    <definedName name="_xlnm.Print_Area" localSheetId="18">'unit cost'!$A$1:$K$21</definedName>
    <definedName name="_xlnm.Print_Titles" localSheetId="1">'acc dep'!$1:$2</definedName>
    <definedName name="_xlnm.Print_Titles" localSheetId="3">PFexpenses!$1:$2</definedName>
    <definedName name="_xlnm.Print_Titles" localSheetId="0">ssplant!$1:$2</definedName>
    <definedName name="_xlnm.Print_Titles" localSheetId="4">'TY depreciation'!$1:$2</definedName>
    <definedName name="_xlnm.Print_Titles" localSheetId="2">TYexpenses!$1:$2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K25" i="5" l="1"/>
  <c r="G6" i="11"/>
  <c r="G5" i="11"/>
  <c r="G7" i="11"/>
  <c r="G8" i="11"/>
  <c r="G9" i="11"/>
  <c r="E5" i="32"/>
  <c r="D5" i="32"/>
  <c r="C5" i="1"/>
  <c r="C6" i="1"/>
  <c r="C64" i="1" l="1"/>
  <c r="I11" i="32"/>
  <c r="F11" i="32"/>
  <c r="E11" i="32"/>
  <c r="D11" i="32"/>
  <c r="F11" i="33" l="1"/>
  <c r="J11" i="33"/>
  <c r="K25" i="30"/>
  <c r="J11" i="35"/>
  <c r="K11" i="35"/>
  <c r="F13" i="34"/>
  <c r="J13" i="34"/>
  <c r="K22" i="31"/>
  <c r="K24" i="5"/>
  <c r="K23" i="5"/>
  <c r="K22" i="5"/>
  <c r="G4" i="11" l="1"/>
  <c r="C62" i="32"/>
  <c r="C63" i="32"/>
  <c r="E7" i="28"/>
  <c r="E6" i="28"/>
  <c r="I7" i="28"/>
  <c r="I6" i="28"/>
  <c r="C11" i="33"/>
  <c r="D11" i="33"/>
  <c r="G11" i="33"/>
  <c r="E11" i="33"/>
  <c r="D15" i="34" l="1"/>
  <c r="E15" i="34"/>
  <c r="F15" i="34"/>
  <c r="G15" i="34"/>
  <c r="H15" i="34"/>
  <c r="I15" i="34"/>
  <c r="J15" i="34"/>
  <c r="K15" i="34"/>
  <c r="C15" i="34"/>
  <c r="D14" i="34"/>
  <c r="E14" i="34"/>
  <c r="F14" i="34"/>
  <c r="G14" i="34"/>
  <c r="H14" i="34"/>
  <c r="I14" i="34"/>
  <c r="J14" i="34"/>
  <c r="K14" i="34"/>
  <c r="C14" i="34"/>
  <c r="D17" i="14"/>
  <c r="C21" i="31"/>
  <c r="G10" i="11"/>
  <c r="G11" i="11"/>
  <c r="G12" i="11"/>
  <c r="E9" i="34"/>
  <c r="G9" i="34"/>
  <c r="I9" i="34"/>
  <c r="C9" i="34"/>
  <c r="B15" i="34"/>
  <c r="B14" i="34"/>
  <c r="B11" i="34"/>
  <c r="B12" i="34"/>
  <c r="B13" i="34"/>
  <c r="B10" i="34"/>
  <c r="K21" i="31"/>
  <c r="D4" i="31"/>
  <c r="C36" i="32"/>
  <c r="K16" i="34" l="1"/>
  <c r="J16" i="34"/>
  <c r="I16" i="34"/>
  <c r="I11" i="35" s="1"/>
  <c r="J18" i="38"/>
  <c r="B7" i="13"/>
  <c r="B9" i="13"/>
  <c r="I3" i="37" s="1"/>
  <c r="C34" i="32" l="1"/>
  <c r="C46" i="32" l="1"/>
  <c r="B10" i="33"/>
  <c r="G10" i="33" s="1"/>
  <c r="B9" i="33"/>
  <c r="G9" i="33" s="1"/>
  <c r="I11" i="33"/>
  <c r="D37" i="5"/>
  <c r="J9" i="38" l="1"/>
  <c r="K9" i="38"/>
  <c r="B16" i="34"/>
  <c r="K23" i="30"/>
  <c r="D36" i="5"/>
  <c r="D36" i="30"/>
  <c r="D31" i="30"/>
  <c r="D31" i="5"/>
  <c r="D27" i="30"/>
  <c r="D27" i="5"/>
  <c r="I9" i="38" l="1"/>
  <c r="A13" i="33" l="1"/>
  <c r="A12" i="33"/>
  <c r="A11" i="33"/>
  <c r="D36" i="32" l="1"/>
  <c r="K81" i="1" l="1"/>
  <c r="K27" i="32" l="1"/>
  <c r="C27" i="32"/>
  <c r="D27" i="32" s="1"/>
  <c r="C13" i="32"/>
  <c r="D13" i="32" s="1"/>
  <c r="C14" i="32"/>
  <c r="D14" i="32" s="1"/>
  <c r="C28" i="32"/>
  <c r="C16" i="32"/>
  <c r="D16" i="32" s="1"/>
  <c r="K64" i="32"/>
  <c r="J64" i="32"/>
  <c r="I64" i="32"/>
  <c r="G64" i="32"/>
  <c r="H63" i="32"/>
  <c r="H62" i="32"/>
  <c r="K59" i="32"/>
  <c r="K60" i="32" s="1"/>
  <c r="J59" i="32"/>
  <c r="J60" i="32" s="1"/>
  <c r="I59" i="32"/>
  <c r="H59" i="32"/>
  <c r="H60" i="32" s="1"/>
  <c r="F59" i="32"/>
  <c r="E59" i="32"/>
  <c r="D59" i="32"/>
  <c r="C58" i="32"/>
  <c r="G60" i="32" s="1"/>
  <c r="C52" i="32"/>
  <c r="D52" i="32" s="1"/>
  <c r="C51" i="32"/>
  <c r="D51" i="32" s="1"/>
  <c r="C50" i="32"/>
  <c r="G50" i="32" s="1"/>
  <c r="C49" i="32"/>
  <c r="G49" i="32" s="1"/>
  <c r="C48" i="32"/>
  <c r="F48" i="32" s="1"/>
  <c r="C47" i="32"/>
  <c r="D47" i="32" s="1"/>
  <c r="C45" i="32"/>
  <c r="G45" i="32" s="1"/>
  <c r="C44" i="32"/>
  <c r="G44" i="32" s="1"/>
  <c r="C43" i="32"/>
  <c r="D43" i="32" s="1"/>
  <c r="C42" i="32"/>
  <c r="D42" i="32" s="1"/>
  <c r="C41" i="32"/>
  <c r="K41" i="32" s="1"/>
  <c r="C40" i="32"/>
  <c r="K40" i="32" s="1"/>
  <c r="C39" i="32"/>
  <c r="K39" i="32" s="1"/>
  <c r="C38" i="32"/>
  <c r="G37" i="32"/>
  <c r="D37" i="32"/>
  <c r="C37" i="32"/>
  <c r="K31" i="32"/>
  <c r="J31" i="32"/>
  <c r="C30" i="32"/>
  <c r="C29" i="32"/>
  <c r="H29" i="32" s="1"/>
  <c r="H31" i="32" s="1"/>
  <c r="C26" i="32"/>
  <c r="D26" i="32" s="1"/>
  <c r="C25" i="32"/>
  <c r="G24" i="32"/>
  <c r="G31" i="32" s="1"/>
  <c r="C24" i="32"/>
  <c r="C23" i="32"/>
  <c r="C15" i="32"/>
  <c r="C12" i="32"/>
  <c r="D12" i="32" s="1"/>
  <c r="C11" i="32"/>
  <c r="C10" i="32"/>
  <c r="D10" i="32" s="1"/>
  <c r="C9" i="32"/>
  <c r="D8" i="32"/>
  <c r="D7" i="32"/>
  <c r="C20" i="31"/>
  <c r="C19" i="31"/>
  <c r="C25" i="31"/>
  <c r="F63" i="32" l="1"/>
  <c r="G38" i="32"/>
  <c r="D38" i="32"/>
  <c r="D9" i="32"/>
  <c r="C17" i="32"/>
  <c r="H64" i="32"/>
  <c r="C53" i="32"/>
  <c r="D6" i="32"/>
  <c r="C31" i="32"/>
  <c r="K15" i="32"/>
  <c r="K17" i="32" s="1"/>
  <c r="I15" i="32"/>
  <c r="I17" i="32" s="1"/>
  <c r="G15" i="32"/>
  <c r="G17" i="32" s="1"/>
  <c r="F15" i="32"/>
  <c r="F17" i="32" s="1"/>
  <c r="D15" i="32"/>
  <c r="J15" i="32"/>
  <c r="J17" i="32" s="1"/>
  <c r="H15" i="32"/>
  <c r="H17" i="32" s="1"/>
  <c r="E15" i="32"/>
  <c r="E64" i="32"/>
  <c r="D24" i="32"/>
  <c r="D31" i="32" s="1"/>
  <c r="D64" i="32"/>
  <c r="D60" i="32"/>
  <c r="C60" i="32"/>
  <c r="L60" i="32" s="1"/>
  <c r="C55" i="32" l="1"/>
  <c r="D60" i="5"/>
  <c r="F59" i="5"/>
  <c r="H61" i="1"/>
  <c r="H60" i="1"/>
  <c r="G22" i="1" l="1"/>
  <c r="E13" i="31" l="1"/>
  <c r="E14" i="31"/>
  <c r="E15" i="31"/>
  <c r="D13" i="31"/>
  <c r="D14" i="31"/>
  <c r="D15" i="31"/>
  <c r="E12" i="31"/>
  <c r="D12" i="31"/>
  <c r="C72" i="1"/>
  <c r="C70" i="1"/>
  <c r="E14" i="5" l="1"/>
  <c r="D14" i="5"/>
  <c r="E7" i="5"/>
  <c r="D7" i="5"/>
  <c r="E6" i="5"/>
  <c r="D6" i="5"/>
  <c r="E5" i="5"/>
  <c r="D5" i="5"/>
  <c r="P7" i="1"/>
  <c r="P8" i="1"/>
  <c r="P9" i="1"/>
  <c r="P10" i="1"/>
  <c r="P11" i="1"/>
  <c r="P12" i="1"/>
  <c r="P13" i="1"/>
  <c r="P14" i="1"/>
  <c r="P15" i="1"/>
  <c r="P16" i="1"/>
  <c r="P6" i="1"/>
  <c r="R18" i="1"/>
  <c r="Q18" i="1"/>
  <c r="R17" i="1"/>
  <c r="Q17" i="1"/>
  <c r="G35" i="1" l="1"/>
  <c r="D35" i="1"/>
  <c r="C35" i="1"/>
  <c r="C38" i="1"/>
  <c r="K38" i="1" s="1"/>
  <c r="C39" i="1"/>
  <c r="K39" i="1" s="1"/>
  <c r="G34" i="1"/>
  <c r="D34" i="1"/>
  <c r="C34" i="1"/>
  <c r="G33" i="1"/>
  <c r="D33" i="1"/>
  <c r="C33" i="1"/>
  <c r="G32" i="1"/>
  <c r="D32" i="1"/>
  <c r="C32" i="1"/>
  <c r="C21" i="1"/>
  <c r="D21" i="1" s="1"/>
  <c r="C20" i="1"/>
  <c r="D20" i="1" s="1"/>
  <c r="C19" i="1"/>
  <c r="C18" i="1"/>
  <c r="C8" i="1"/>
  <c r="C7" i="1"/>
  <c r="E22" i="22" l="1"/>
  <c r="D22" i="22"/>
  <c r="E13" i="22"/>
  <c r="E14" i="22"/>
  <c r="E15" i="22"/>
  <c r="D13" i="22"/>
  <c r="D14" i="22"/>
  <c r="D15" i="22"/>
  <c r="E12" i="22"/>
  <c r="D12" i="22"/>
  <c r="E8" i="22"/>
  <c r="D8" i="22"/>
  <c r="E22" i="31" l="1"/>
  <c r="D22" i="31"/>
  <c r="K31" i="31"/>
  <c r="J31" i="31"/>
  <c r="H31" i="31"/>
  <c r="G31" i="31"/>
  <c r="C28" i="31"/>
  <c r="J27" i="31"/>
  <c r="I27" i="31"/>
  <c r="H27" i="31"/>
  <c r="G27" i="31"/>
  <c r="F27" i="31"/>
  <c r="E27" i="31"/>
  <c r="D27" i="31"/>
  <c r="K26" i="31"/>
  <c r="J26" i="31"/>
  <c r="H26" i="31"/>
  <c r="G26" i="31"/>
  <c r="J25" i="31"/>
  <c r="I25" i="31"/>
  <c r="H25" i="31"/>
  <c r="G25" i="31"/>
  <c r="F25" i="31"/>
  <c r="E25" i="31"/>
  <c r="D25" i="31"/>
  <c r="K24" i="31"/>
  <c r="J24" i="31"/>
  <c r="H24" i="31"/>
  <c r="G24" i="31"/>
  <c r="D19" i="31"/>
  <c r="D24" i="31" s="1"/>
  <c r="K16" i="31"/>
  <c r="J16" i="31"/>
  <c r="I16" i="31"/>
  <c r="H16" i="31"/>
  <c r="G16" i="31"/>
  <c r="F16" i="31"/>
  <c r="D16" i="31"/>
  <c r="C16" i="31"/>
  <c r="K9" i="31"/>
  <c r="J9" i="31"/>
  <c r="I9" i="31"/>
  <c r="H9" i="31"/>
  <c r="G9" i="31"/>
  <c r="F9" i="31"/>
  <c r="C8" i="31"/>
  <c r="C5" i="31"/>
  <c r="C35" i="22"/>
  <c r="C33" i="22"/>
  <c r="D34" i="22"/>
  <c r="E9" i="31" l="1"/>
  <c r="E8" i="31"/>
  <c r="D8" i="31"/>
  <c r="H28" i="31"/>
  <c r="D26" i="31"/>
  <c r="D28" i="31" s="1"/>
  <c r="K28" i="31"/>
  <c r="G28" i="31"/>
  <c r="J28" i="31"/>
  <c r="D31" i="31"/>
  <c r="E16" i="31"/>
  <c r="L16" i="31" s="1"/>
  <c r="D9" i="31"/>
  <c r="C9" i="31"/>
  <c r="L9" i="31" l="1"/>
  <c r="C33" i="31"/>
  <c r="C66" i="32" s="1"/>
  <c r="G26" i="22"/>
  <c r="H26" i="22"/>
  <c r="J26" i="22"/>
  <c r="K26" i="22"/>
  <c r="C8" i="22"/>
  <c r="O5" i="22"/>
  <c r="B8" i="33" l="1"/>
  <c r="B7" i="33"/>
  <c r="B6" i="33"/>
  <c r="B5" i="33"/>
  <c r="G5" i="33" s="1"/>
  <c r="K24" i="30"/>
  <c r="K22" i="30"/>
  <c r="D28" i="5"/>
  <c r="C6" i="30"/>
  <c r="C49" i="30"/>
  <c r="C38" i="30"/>
  <c r="L36" i="30"/>
  <c r="C33" i="30"/>
  <c r="K32" i="30"/>
  <c r="J32" i="30"/>
  <c r="I32" i="30"/>
  <c r="H32" i="30"/>
  <c r="G32" i="30"/>
  <c r="F32" i="30"/>
  <c r="E32" i="30"/>
  <c r="D32" i="30"/>
  <c r="J30" i="30"/>
  <c r="H30" i="30"/>
  <c r="G30" i="30"/>
  <c r="F30" i="30"/>
  <c r="E30" i="30"/>
  <c r="D30" i="30"/>
  <c r="J29" i="30"/>
  <c r="I29" i="30"/>
  <c r="H29" i="30"/>
  <c r="G29" i="30"/>
  <c r="F29" i="30"/>
  <c r="E29" i="30"/>
  <c r="D29" i="30"/>
  <c r="J28" i="30"/>
  <c r="I28" i="30"/>
  <c r="H28" i="30"/>
  <c r="G28" i="30"/>
  <c r="F28" i="30"/>
  <c r="E28" i="30"/>
  <c r="D28" i="30"/>
  <c r="K18" i="30"/>
  <c r="C18" i="30"/>
  <c r="J17" i="30"/>
  <c r="I17" i="30"/>
  <c r="H17" i="30"/>
  <c r="G17" i="30"/>
  <c r="F17" i="30"/>
  <c r="D17" i="30"/>
  <c r="J16" i="30"/>
  <c r="I16" i="30"/>
  <c r="H16" i="30"/>
  <c r="G16" i="30"/>
  <c r="F16" i="30"/>
  <c r="E16" i="30"/>
  <c r="D16" i="30"/>
  <c r="D15" i="30"/>
  <c r="J14" i="30"/>
  <c r="I14" i="30"/>
  <c r="H14" i="30"/>
  <c r="G14" i="30"/>
  <c r="F14" i="30"/>
  <c r="E14" i="30"/>
  <c r="D14" i="30"/>
  <c r="J13" i="30"/>
  <c r="I13" i="30"/>
  <c r="H13" i="30"/>
  <c r="G13" i="30"/>
  <c r="F13" i="30"/>
  <c r="D13" i="30"/>
  <c r="J12" i="30"/>
  <c r="I12" i="30"/>
  <c r="H12" i="30"/>
  <c r="G12" i="30"/>
  <c r="F12" i="30"/>
  <c r="D12" i="30"/>
  <c r="J11" i="30"/>
  <c r="I11" i="30"/>
  <c r="H11" i="30"/>
  <c r="G11" i="30"/>
  <c r="F11" i="30"/>
  <c r="D11" i="30"/>
  <c r="K8" i="30"/>
  <c r="J7" i="30"/>
  <c r="I7" i="30"/>
  <c r="H7" i="30"/>
  <c r="G7" i="30"/>
  <c r="F7" i="30"/>
  <c r="D7" i="30"/>
  <c r="J6" i="30"/>
  <c r="I6" i="30"/>
  <c r="H6" i="30"/>
  <c r="G6" i="30"/>
  <c r="F6" i="30"/>
  <c r="J5" i="30"/>
  <c r="I5" i="30"/>
  <c r="I8" i="30" s="1"/>
  <c r="H5" i="30"/>
  <c r="G5" i="30"/>
  <c r="F5" i="30"/>
  <c r="E5" i="30"/>
  <c r="D5" i="30"/>
  <c r="C7" i="5"/>
  <c r="C6" i="5"/>
  <c r="D30" i="5"/>
  <c r="B9" i="11"/>
  <c r="B9" i="9"/>
  <c r="J6" i="33" l="1"/>
  <c r="E6" i="33"/>
  <c r="D6" i="33"/>
  <c r="C6" i="33"/>
  <c r="G6" i="33"/>
  <c r="D7" i="33"/>
  <c r="G7" i="33"/>
  <c r="I8" i="33"/>
  <c r="E8" i="33"/>
  <c r="C8" i="33"/>
  <c r="G8" i="33"/>
  <c r="B9" i="12"/>
  <c r="E9" i="12" s="1"/>
  <c r="H18" i="38"/>
  <c r="H7" i="34"/>
  <c r="H8" i="34"/>
  <c r="H6" i="34"/>
  <c r="H17" i="38"/>
  <c r="K21" i="30"/>
  <c r="K33" i="30" s="1"/>
  <c r="E9" i="11"/>
  <c r="H9" i="11"/>
  <c r="J24" i="30"/>
  <c r="D22" i="30"/>
  <c r="G22" i="30"/>
  <c r="G21" i="30" s="1"/>
  <c r="H22" i="30"/>
  <c r="J22" i="30"/>
  <c r="G18" i="30"/>
  <c r="J8" i="30"/>
  <c r="F8" i="30"/>
  <c r="G8" i="30"/>
  <c r="H8" i="30"/>
  <c r="H18" i="30"/>
  <c r="F18" i="30"/>
  <c r="E18" i="30"/>
  <c r="I18" i="30"/>
  <c r="E7" i="30"/>
  <c r="C8" i="30"/>
  <c r="C40" i="30" s="1"/>
  <c r="D18" i="30"/>
  <c r="J18" i="30"/>
  <c r="D6" i="30"/>
  <c r="D8" i="30" s="1"/>
  <c r="E6" i="30"/>
  <c r="B21" i="9"/>
  <c r="B17" i="9"/>
  <c r="B12" i="11"/>
  <c r="K18" i="38" s="1"/>
  <c r="B10" i="11"/>
  <c r="I18" i="38" s="1"/>
  <c r="B8" i="11"/>
  <c r="H8" i="11" s="1"/>
  <c r="B7" i="11"/>
  <c r="B6" i="11"/>
  <c r="B5" i="11"/>
  <c r="B4" i="11"/>
  <c r="B3" i="11"/>
  <c r="C18" i="38" s="1"/>
  <c r="B12" i="13"/>
  <c r="L3" i="37" s="1"/>
  <c r="B11" i="13"/>
  <c r="K3" i="37" s="1"/>
  <c r="B10" i="13"/>
  <c r="J3" i="37" s="1"/>
  <c r="B8" i="13"/>
  <c r="H3" i="37" s="1"/>
  <c r="B6" i="13"/>
  <c r="G3" i="37" s="1"/>
  <c r="B5" i="13"/>
  <c r="F3" i="37" s="1"/>
  <c r="B4" i="13"/>
  <c r="E3" i="37" s="1"/>
  <c r="B3" i="13"/>
  <c r="D3" i="37" s="1"/>
  <c r="B12" i="9"/>
  <c r="K17" i="38" s="1"/>
  <c r="K10" i="38" s="1"/>
  <c r="B11" i="9"/>
  <c r="J17" i="38" s="1"/>
  <c r="J10" i="38" s="1"/>
  <c r="B10" i="9"/>
  <c r="I17" i="38" s="1"/>
  <c r="I10" i="38" s="1"/>
  <c r="B8" i="9"/>
  <c r="B7" i="9"/>
  <c r="B6" i="9"/>
  <c r="B5" i="9"/>
  <c r="B4" i="9"/>
  <c r="B3" i="9"/>
  <c r="H16" i="34" l="1"/>
  <c r="H11" i="35" s="1"/>
  <c r="H5" i="11"/>
  <c r="E18" i="38"/>
  <c r="H7" i="11"/>
  <c r="G18" i="38"/>
  <c r="C17" i="38"/>
  <c r="C7" i="34"/>
  <c r="C8" i="34"/>
  <c r="C6" i="34"/>
  <c r="H6" i="11"/>
  <c r="F18" i="38"/>
  <c r="H9" i="38"/>
  <c r="H10" i="38" s="1"/>
  <c r="D7" i="34"/>
  <c r="D8" i="34"/>
  <c r="D6" i="34"/>
  <c r="D17" i="38"/>
  <c r="E7" i="34"/>
  <c r="E8" i="34"/>
  <c r="E6" i="34"/>
  <c r="E17" i="38"/>
  <c r="F7" i="34"/>
  <c r="F8" i="34"/>
  <c r="F6" i="34"/>
  <c r="F17" i="38"/>
  <c r="G7" i="34"/>
  <c r="G8" i="34"/>
  <c r="G6" i="34"/>
  <c r="G17" i="38"/>
  <c r="H4" i="11"/>
  <c r="D18" i="38"/>
  <c r="H21" i="30"/>
  <c r="H12" i="11"/>
  <c r="H10" i="11"/>
  <c r="H11" i="11"/>
  <c r="J27" i="30"/>
  <c r="D21" i="30"/>
  <c r="G27" i="30"/>
  <c r="G33" i="30" s="1"/>
  <c r="H27" i="30"/>
  <c r="J21" i="30"/>
  <c r="E8" i="30"/>
  <c r="K37" i="30"/>
  <c r="K38" i="30" s="1"/>
  <c r="K40" i="30" s="1"/>
  <c r="L18" i="30"/>
  <c r="L8" i="30"/>
  <c r="G16" i="34" l="1"/>
  <c r="G11" i="35" s="1"/>
  <c r="D16" i="34"/>
  <c r="D11" i="35" s="1"/>
  <c r="E16" i="34"/>
  <c r="E11" i="35" s="1"/>
  <c r="F16" i="34"/>
  <c r="F11" i="35" s="1"/>
  <c r="C16" i="34"/>
  <c r="D9" i="38"/>
  <c r="D10" i="38" s="1"/>
  <c r="G9" i="38"/>
  <c r="G10" i="38" s="1"/>
  <c r="H33" i="30"/>
  <c r="H37" i="30" s="1"/>
  <c r="H38" i="30" s="1"/>
  <c r="H40" i="30" s="1"/>
  <c r="D33" i="30"/>
  <c r="J33" i="30"/>
  <c r="J36" i="30" s="1"/>
  <c r="G37" i="30"/>
  <c r="G38" i="30" s="1"/>
  <c r="G40" i="30" s="1"/>
  <c r="G41" i="30" s="1"/>
  <c r="C51" i="30"/>
  <c r="C55" i="5" s="1"/>
  <c r="K41" i="30"/>
  <c r="H17" i="28"/>
  <c r="G17" i="28"/>
  <c r="I14" i="28"/>
  <c r="E14" i="28"/>
  <c r="I13" i="28"/>
  <c r="E13" i="28"/>
  <c r="I12" i="28"/>
  <c r="E12" i="28" s="1"/>
  <c r="H8" i="28"/>
  <c r="H19" i="28" s="1"/>
  <c r="G8" i="28"/>
  <c r="G19" i="28" s="1"/>
  <c r="I5" i="28"/>
  <c r="E5" i="28"/>
  <c r="I4" i="28"/>
  <c r="E4" i="28"/>
  <c r="I3" i="28"/>
  <c r="E3" i="28" s="1"/>
  <c r="I2" i="28"/>
  <c r="E2" i="28" s="1"/>
  <c r="E8" i="28" s="1"/>
  <c r="F9" i="38" l="1"/>
  <c r="F10" i="38" s="1"/>
  <c r="E19" i="28"/>
  <c r="E17" i="28"/>
  <c r="C60" i="1"/>
  <c r="E9" i="38"/>
  <c r="E10" i="38" s="1"/>
  <c r="J37" i="30"/>
  <c r="C11" i="35"/>
  <c r="C9" i="38"/>
  <c r="C10" i="38" s="1"/>
  <c r="D37" i="30"/>
  <c r="D38" i="30" s="1"/>
  <c r="J38" i="30"/>
  <c r="J40" i="30" s="1"/>
  <c r="J41" i="30" s="1"/>
  <c r="J45" i="30" s="1"/>
  <c r="H41" i="30"/>
  <c r="D40" i="30"/>
  <c r="K46" i="30"/>
  <c r="K47" i="30"/>
  <c r="K44" i="30"/>
  <c r="K45" i="30"/>
  <c r="K48" i="30"/>
  <c r="G48" i="30"/>
  <c r="G45" i="30"/>
  <c r="G46" i="30"/>
  <c r="G44" i="30"/>
  <c r="G47" i="30"/>
  <c r="B6" i="12"/>
  <c r="E6" i="12" s="1"/>
  <c r="B5" i="12"/>
  <c r="E5" i="12" s="1"/>
  <c r="B4" i="12"/>
  <c r="E4" i="12" s="1"/>
  <c r="D8" i="1"/>
  <c r="D7" i="1"/>
  <c r="D5" i="1"/>
  <c r="F62" i="32" l="1"/>
  <c r="F64" i="32" s="1"/>
  <c r="C64" i="32"/>
  <c r="E60" i="1"/>
  <c r="D60" i="1"/>
  <c r="J48" i="30"/>
  <c r="J47" i="30"/>
  <c r="J44" i="30"/>
  <c r="J46" i="30"/>
  <c r="D41" i="30"/>
  <c r="G49" i="30"/>
  <c r="G51" i="30" s="1"/>
  <c r="G55" i="5" s="1"/>
  <c r="H46" i="30"/>
  <c r="H47" i="30"/>
  <c r="H44" i="30"/>
  <c r="H48" i="30"/>
  <c r="H45" i="30"/>
  <c r="K49" i="30"/>
  <c r="K51" i="30" s="1"/>
  <c r="B8" i="12"/>
  <c r="E8" i="12" s="1"/>
  <c r="E8" i="11"/>
  <c r="B10" i="12"/>
  <c r="E10" i="12" s="1"/>
  <c r="E10" i="11"/>
  <c r="B12" i="12"/>
  <c r="E12" i="12" s="1"/>
  <c r="E12" i="11"/>
  <c r="E7" i="11"/>
  <c r="B7" i="12"/>
  <c r="E7" i="12" s="1"/>
  <c r="B11" i="12"/>
  <c r="E11" i="12" s="1"/>
  <c r="E11" i="11"/>
  <c r="B3" i="12"/>
  <c r="J49" i="30" l="1"/>
  <c r="J51" i="30" s="1"/>
  <c r="J55" i="5" s="1"/>
  <c r="L64" i="32"/>
  <c r="C68" i="32"/>
  <c r="K55" i="5"/>
  <c r="B11" i="33"/>
  <c r="H49" i="30"/>
  <c r="H51" i="30" s="1"/>
  <c r="H55" i="5" s="1"/>
  <c r="D48" i="30"/>
  <c r="D45" i="30"/>
  <c r="D46" i="30"/>
  <c r="D47" i="30"/>
  <c r="D44" i="30"/>
  <c r="J3" i="9"/>
  <c r="K3" i="9" s="1"/>
  <c r="B12" i="35" l="1"/>
  <c r="D49" i="30"/>
  <c r="D51" i="30" s="1"/>
  <c r="C4" i="37" l="1"/>
  <c r="D55" i="5"/>
  <c r="H72" i="1" l="1"/>
  <c r="D70" i="1"/>
  <c r="G69" i="1"/>
  <c r="F71" i="1"/>
  <c r="D19" i="22" l="1"/>
  <c r="G31" i="22"/>
  <c r="H31" i="22"/>
  <c r="J31" i="22"/>
  <c r="K31" i="22"/>
  <c r="D31" i="22" l="1"/>
  <c r="D26" i="22"/>
  <c r="D6" i="1"/>
  <c r="B14" i="11" l="1"/>
  <c r="C9" i="11" l="1"/>
  <c r="B18" i="38"/>
  <c r="C8" i="11"/>
  <c r="C7" i="11"/>
  <c r="C11" i="11"/>
  <c r="C10" i="11"/>
  <c r="C12" i="11"/>
  <c r="G3" i="11" l="1"/>
  <c r="D12" i="5"/>
  <c r="L36" i="5" l="1"/>
  <c r="D11" i="5"/>
  <c r="D17" i="5"/>
  <c r="D15" i="5"/>
  <c r="D13" i="5"/>
  <c r="E16" i="5" l="1"/>
  <c r="D16" i="5"/>
  <c r="C38" i="5"/>
  <c r="D57" i="1"/>
  <c r="F73" i="1"/>
  <c r="D22" i="5"/>
  <c r="C28" i="22"/>
  <c r="J27" i="22"/>
  <c r="I27" i="22"/>
  <c r="H27" i="22"/>
  <c r="G27" i="22"/>
  <c r="F27" i="22"/>
  <c r="E27" i="22"/>
  <c r="D27" i="22"/>
  <c r="J25" i="22"/>
  <c r="I25" i="22"/>
  <c r="H25" i="22"/>
  <c r="G25" i="22"/>
  <c r="F25" i="22"/>
  <c r="E25" i="22"/>
  <c r="D25" i="22"/>
  <c r="K24" i="22"/>
  <c r="K16" i="22"/>
  <c r="C16" i="22"/>
  <c r="K9" i="22"/>
  <c r="J9" i="22"/>
  <c r="I9" i="22"/>
  <c r="G9" i="22"/>
  <c r="C9" i="22"/>
  <c r="C5" i="22"/>
  <c r="D23" i="14"/>
  <c r="C23" i="14"/>
  <c r="B23" i="14"/>
  <c r="A23" i="14"/>
  <c r="D11" i="14"/>
  <c r="E6" i="11"/>
  <c r="H29" i="5"/>
  <c r="K21" i="5"/>
  <c r="B4" i="33" s="1"/>
  <c r="J22" i="5"/>
  <c r="H22" i="5"/>
  <c r="G22" i="5"/>
  <c r="F32" i="5"/>
  <c r="G32" i="5"/>
  <c r="H32" i="5"/>
  <c r="I32" i="5"/>
  <c r="J32" i="5"/>
  <c r="K32" i="5"/>
  <c r="E32" i="5"/>
  <c r="D32" i="5"/>
  <c r="K18" i="5"/>
  <c r="J16" i="5"/>
  <c r="J17" i="5"/>
  <c r="I16" i="5"/>
  <c r="I17" i="5"/>
  <c r="H16" i="5"/>
  <c r="H17" i="5"/>
  <c r="G16" i="5"/>
  <c r="G17" i="5"/>
  <c r="F16" i="5"/>
  <c r="F17" i="5"/>
  <c r="J12" i="5"/>
  <c r="J13" i="5"/>
  <c r="J14" i="5"/>
  <c r="I12" i="5"/>
  <c r="I13" i="5"/>
  <c r="I14" i="5"/>
  <c r="H12" i="5"/>
  <c r="H13" i="5"/>
  <c r="H14" i="5"/>
  <c r="G12" i="5"/>
  <c r="G13" i="5"/>
  <c r="G14" i="5"/>
  <c r="F12" i="5"/>
  <c r="F13" i="5"/>
  <c r="F14" i="5"/>
  <c r="K8" i="5"/>
  <c r="J6" i="5"/>
  <c r="J7" i="5"/>
  <c r="I6" i="5"/>
  <c r="I7" i="5"/>
  <c r="H6" i="5"/>
  <c r="H7" i="5"/>
  <c r="G6" i="5"/>
  <c r="G7" i="5"/>
  <c r="F6" i="5"/>
  <c r="F7" i="5"/>
  <c r="E3" i="12"/>
  <c r="E5" i="11"/>
  <c r="C8" i="5"/>
  <c r="E4" i="11"/>
  <c r="B14" i="13"/>
  <c r="B14" i="9"/>
  <c r="B17" i="38" s="1"/>
  <c r="D3" i="14"/>
  <c r="D4" i="14"/>
  <c r="D5" i="14"/>
  <c r="D6" i="14"/>
  <c r="D7" i="14"/>
  <c r="D8" i="14"/>
  <c r="D9" i="14"/>
  <c r="D10" i="14"/>
  <c r="D12" i="14"/>
  <c r="D13" i="14"/>
  <c r="B14" i="14"/>
  <c r="C16" i="14" s="1"/>
  <c r="B22" i="14"/>
  <c r="C22" i="14"/>
  <c r="D22" i="14"/>
  <c r="D24" i="14"/>
  <c r="E3" i="11"/>
  <c r="H3" i="11"/>
  <c r="C61" i="5"/>
  <c r="F5" i="5"/>
  <c r="G5" i="5"/>
  <c r="H5" i="5"/>
  <c r="I5" i="5"/>
  <c r="J5" i="5"/>
  <c r="J24" i="5"/>
  <c r="J59" i="5" s="1"/>
  <c r="C73" i="1"/>
  <c r="I29" i="5"/>
  <c r="C49" i="5"/>
  <c r="C33" i="5"/>
  <c r="E28" i="5"/>
  <c r="E29" i="5"/>
  <c r="E30" i="5"/>
  <c r="C18" i="5"/>
  <c r="K61" i="5"/>
  <c r="I28" i="5"/>
  <c r="I11" i="5"/>
  <c r="F28" i="5"/>
  <c r="F29" i="5"/>
  <c r="F30" i="5"/>
  <c r="F11" i="5"/>
  <c r="D29" i="5"/>
  <c r="J11" i="5"/>
  <c r="J28" i="5"/>
  <c r="J29" i="5"/>
  <c r="J30" i="5"/>
  <c r="G28" i="5"/>
  <c r="G30" i="5"/>
  <c r="G11" i="5"/>
  <c r="H30" i="5"/>
  <c r="H11" i="5"/>
  <c r="F57" i="1"/>
  <c r="H57" i="1"/>
  <c r="H58" i="1" s="1"/>
  <c r="I57" i="1"/>
  <c r="J57" i="1"/>
  <c r="J58" i="1" s="1"/>
  <c r="K57" i="1"/>
  <c r="K58" i="1" s="1"/>
  <c r="E57" i="1"/>
  <c r="H59" i="5"/>
  <c r="D59" i="5"/>
  <c r="G29" i="5"/>
  <c r="G59" i="5"/>
  <c r="K73" i="1"/>
  <c r="J73" i="1"/>
  <c r="H73" i="1"/>
  <c r="G73" i="1"/>
  <c r="E73" i="1"/>
  <c r="I73" i="1"/>
  <c r="F62" i="1"/>
  <c r="K62" i="1"/>
  <c r="I62" i="1"/>
  <c r="G62" i="1"/>
  <c r="H62" i="1"/>
  <c r="J62" i="1"/>
  <c r="B25" i="14" l="1"/>
  <c r="C10" i="13"/>
  <c r="C11" i="13"/>
  <c r="C12" i="13"/>
  <c r="C3" i="37"/>
  <c r="C4" i="13"/>
  <c r="C5" i="13"/>
  <c r="C6" i="13"/>
  <c r="C7" i="13"/>
  <c r="C8" i="13"/>
  <c r="C9" i="13"/>
  <c r="H4" i="33"/>
  <c r="C4" i="33"/>
  <c r="I4" i="33"/>
  <c r="K4" i="33"/>
  <c r="E4" i="33"/>
  <c r="F4" i="33"/>
  <c r="G4" i="33"/>
  <c r="J4" i="33"/>
  <c r="D4" i="33"/>
  <c r="B19" i="9"/>
  <c r="B24" i="9" s="1"/>
  <c r="C9" i="9"/>
  <c r="C12" i="9"/>
  <c r="C4" i="9"/>
  <c r="C5" i="9"/>
  <c r="C7" i="9"/>
  <c r="C8" i="9"/>
  <c r="C11" i="9"/>
  <c r="C6" i="9"/>
  <c r="C10" i="9"/>
  <c r="D25" i="14"/>
  <c r="C3" i="9"/>
  <c r="D20" i="14"/>
  <c r="C25" i="14" s="1"/>
  <c r="D14" i="14"/>
  <c r="H31" i="5"/>
  <c r="J31" i="5"/>
  <c r="K34" i="22"/>
  <c r="C3" i="13"/>
  <c r="D73" i="1"/>
  <c r="L73" i="1" s="1"/>
  <c r="D9" i="22"/>
  <c r="H24" i="22"/>
  <c r="G16" i="22"/>
  <c r="J16" i="22"/>
  <c r="I16" i="22"/>
  <c r="F16" i="22"/>
  <c r="H16" i="22"/>
  <c r="E9" i="22"/>
  <c r="F9" i="22"/>
  <c r="H9" i="22"/>
  <c r="J24" i="22"/>
  <c r="G24" i="22"/>
  <c r="K28" i="22"/>
  <c r="D24" i="22"/>
  <c r="E16" i="22"/>
  <c r="D16" i="22"/>
  <c r="B14" i="12"/>
  <c r="H14" i="11"/>
  <c r="E14" i="11"/>
  <c r="F9" i="11" s="1"/>
  <c r="C4" i="11"/>
  <c r="C3" i="11"/>
  <c r="E14" i="12"/>
  <c r="F9" i="12" s="1"/>
  <c r="C6" i="11"/>
  <c r="C5" i="11"/>
  <c r="D8" i="5"/>
  <c r="D21" i="5"/>
  <c r="C40" i="5"/>
  <c r="C51" i="5" s="1"/>
  <c r="G27" i="5"/>
  <c r="H27" i="5"/>
  <c r="H21" i="5"/>
  <c r="J27" i="5"/>
  <c r="G21" i="5"/>
  <c r="J21" i="5"/>
  <c r="G31" i="5"/>
  <c r="J60" i="5"/>
  <c r="J61" i="5" s="1"/>
  <c r="G60" i="5"/>
  <c r="G61" i="5" s="1"/>
  <c r="I60" i="5"/>
  <c r="F60" i="5"/>
  <c r="H61" i="5"/>
  <c r="D61" i="5"/>
  <c r="E60" i="5"/>
  <c r="E8" i="5"/>
  <c r="H8" i="5"/>
  <c r="J8" i="5"/>
  <c r="F8" i="5"/>
  <c r="I8" i="5"/>
  <c r="G8" i="5"/>
  <c r="E18" i="5"/>
  <c r="G18" i="5"/>
  <c r="K33" i="5"/>
  <c r="H18" i="5"/>
  <c r="I18" i="5"/>
  <c r="F18" i="5"/>
  <c r="J18" i="5"/>
  <c r="D18" i="5"/>
  <c r="C5" i="37" l="1"/>
  <c r="D26" i="14"/>
  <c r="I5" i="11"/>
  <c r="I6" i="11"/>
  <c r="I7" i="11"/>
  <c r="I8" i="11"/>
  <c r="I10" i="11"/>
  <c r="I11" i="11"/>
  <c r="I12" i="11"/>
  <c r="I9" i="11"/>
  <c r="H28" i="22"/>
  <c r="C14" i="9"/>
  <c r="F6" i="12"/>
  <c r="F5" i="12"/>
  <c r="F4" i="12"/>
  <c r="F10" i="12"/>
  <c r="F12" i="12"/>
  <c r="F8" i="12"/>
  <c r="F11" i="12"/>
  <c r="F7" i="12"/>
  <c r="F7" i="11"/>
  <c r="F8" i="11"/>
  <c r="F10" i="11"/>
  <c r="F12" i="11"/>
  <c r="F11" i="11"/>
  <c r="D17" i="9"/>
  <c r="D9" i="9" s="1"/>
  <c r="E9" i="9" s="1"/>
  <c r="B17" i="14"/>
  <c r="D27" i="14"/>
  <c r="D28" i="14" s="1"/>
  <c r="H34" i="22"/>
  <c r="G34" i="22"/>
  <c r="C14" i="13"/>
  <c r="I4" i="11"/>
  <c r="F4" i="11"/>
  <c r="I3" i="11"/>
  <c r="C14" i="11"/>
  <c r="L16" i="22"/>
  <c r="L9" i="22"/>
  <c r="J28" i="22"/>
  <c r="G28" i="22"/>
  <c r="H33" i="5"/>
  <c r="F5" i="11"/>
  <c r="F6" i="11"/>
  <c r="F3" i="11"/>
  <c r="C56" i="5"/>
  <c r="F3" i="12"/>
  <c r="D33" i="5"/>
  <c r="J33" i="5"/>
  <c r="G33" i="5"/>
  <c r="L8" i="5"/>
  <c r="L18" i="5"/>
  <c r="E23" i="32" l="1"/>
  <c r="E22" i="32"/>
  <c r="E24" i="32"/>
  <c r="E60" i="32"/>
  <c r="E21" i="32"/>
  <c r="E25" i="32"/>
  <c r="E30" i="32"/>
  <c r="E28" i="32"/>
  <c r="E20" i="32"/>
  <c r="F23" i="32"/>
  <c r="F22" i="32"/>
  <c r="F24" i="32"/>
  <c r="F21" i="32"/>
  <c r="F25" i="32"/>
  <c r="F60" i="32"/>
  <c r="F30" i="32"/>
  <c r="F20" i="32"/>
  <c r="F28" i="32"/>
  <c r="E20" i="31"/>
  <c r="E23" i="31"/>
  <c r="E21" i="31"/>
  <c r="E26" i="30"/>
  <c r="E24" i="30"/>
  <c r="E23" i="30"/>
  <c r="E25" i="30"/>
  <c r="F22" i="1"/>
  <c r="F20" i="31"/>
  <c r="F23" i="31"/>
  <c r="F21" i="31"/>
  <c r="F26" i="30"/>
  <c r="F25" i="30"/>
  <c r="F24" i="30"/>
  <c r="F23" i="30"/>
  <c r="B9" i="10"/>
  <c r="C9" i="10" s="1"/>
  <c r="E9" i="10" s="1"/>
  <c r="D4" i="9"/>
  <c r="E4" i="9" s="1"/>
  <c r="B4" i="10" s="1"/>
  <c r="C4" i="10" s="1"/>
  <c r="D5" i="9"/>
  <c r="E5" i="9" s="1"/>
  <c r="B5" i="10" s="1"/>
  <c r="C5" i="10" s="1"/>
  <c r="D6" i="9"/>
  <c r="E6" i="9" s="1"/>
  <c r="B6" i="10" s="1"/>
  <c r="C6" i="10" s="1"/>
  <c r="D7" i="9"/>
  <c r="E7" i="9" s="1"/>
  <c r="B7" i="10" s="1"/>
  <c r="C7" i="10" s="1"/>
  <c r="E7" i="10" s="1"/>
  <c r="D8" i="9"/>
  <c r="E8" i="9" s="1"/>
  <c r="B8" i="10" s="1"/>
  <c r="D3" i="9"/>
  <c r="D21" i="9"/>
  <c r="D22" i="9" s="1"/>
  <c r="D11" i="9"/>
  <c r="E11" i="9" s="1"/>
  <c r="B11" i="10" s="1"/>
  <c r="C11" i="10" s="1"/>
  <c r="E11" i="10" s="1"/>
  <c r="D10" i="9"/>
  <c r="E10" i="9" s="1"/>
  <c r="B10" i="10" s="1"/>
  <c r="C10" i="10" s="1"/>
  <c r="E10" i="10" s="1"/>
  <c r="D12" i="9"/>
  <c r="E12" i="9" s="1"/>
  <c r="B12" i="10" s="1"/>
  <c r="C12" i="10" s="1"/>
  <c r="E12" i="10" s="1"/>
  <c r="E25" i="5"/>
  <c r="E23" i="22"/>
  <c r="E24" i="5"/>
  <c r="E23" i="5"/>
  <c r="E19" i="1"/>
  <c r="E26" i="5"/>
  <c r="E21" i="22"/>
  <c r="E18" i="1"/>
  <c r="E61" i="5"/>
  <c r="D31" i="14"/>
  <c r="E20" i="22"/>
  <c r="F21" i="22"/>
  <c r="C31" i="14"/>
  <c r="F61" i="5"/>
  <c r="F18" i="1"/>
  <c r="F23" i="5"/>
  <c r="F19" i="1"/>
  <c r="F25" i="5"/>
  <c r="F24" i="5"/>
  <c r="F20" i="22"/>
  <c r="F26" i="22" s="1"/>
  <c r="F26" i="5"/>
  <c r="F23" i="22"/>
  <c r="I14" i="11"/>
  <c r="F14" i="11"/>
  <c r="F14" i="12"/>
  <c r="K38" i="5"/>
  <c r="F31" i="32" l="1"/>
  <c r="E31" i="32"/>
  <c r="E21" i="30"/>
  <c r="E24" i="31"/>
  <c r="E31" i="31"/>
  <c r="E26" i="31"/>
  <c r="F21" i="30"/>
  <c r="F26" i="31"/>
  <c r="F31" i="31"/>
  <c r="F24" i="31"/>
  <c r="E24" i="22"/>
  <c r="E26" i="22"/>
  <c r="C8" i="10"/>
  <c r="E8" i="10" s="1"/>
  <c r="D32" i="14"/>
  <c r="E3" i="9"/>
  <c r="E31" i="22"/>
  <c r="F21" i="5"/>
  <c r="F31" i="22"/>
  <c r="F24" i="22"/>
  <c r="E21" i="5"/>
  <c r="E33" i="5" s="1"/>
  <c r="K40" i="5"/>
  <c r="H38" i="5"/>
  <c r="H40" i="5" s="1"/>
  <c r="D38" i="5"/>
  <c r="D40" i="5" s="1"/>
  <c r="J38" i="5"/>
  <c r="J40" i="5" s="1"/>
  <c r="G38" i="5"/>
  <c r="G40" i="5" s="1"/>
  <c r="I23" i="32" l="1"/>
  <c r="I22" i="32"/>
  <c r="I24" i="32"/>
  <c r="I25" i="32"/>
  <c r="I21" i="32"/>
  <c r="I30" i="32"/>
  <c r="I28" i="32"/>
  <c r="I20" i="32"/>
  <c r="I60" i="32"/>
  <c r="E33" i="30"/>
  <c r="E37" i="30" s="1"/>
  <c r="F28" i="31"/>
  <c r="E28" i="31"/>
  <c r="F33" i="30"/>
  <c r="I22" i="1"/>
  <c r="I23" i="31"/>
  <c r="I21" i="31"/>
  <c r="I20" i="31"/>
  <c r="I25" i="30"/>
  <c r="I26" i="30"/>
  <c r="I24" i="30"/>
  <c r="I23" i="30"/>
  <c r="E28" i="22"/>
  <c r="G41" i="5"/>
  <c r="G5" i="31" s="1"/>
  <c r="G33" i="31" s="1"/>
  <c r="G66" i="32" s="1"/>
  <c r="J41" i="5"/>
  <c r="J4" i="22" s="1"/>
  <c r="J5" i="22" s="1"/>
  <c r="J33" i="22" s="1"/>
  <c r="J35" i="22" s="1"/>
  <c r="K41" i="5"/>
  <c r="H41" i="5"/>
  <c r="H5" i="31" s="1"/>
  <c r="H33" i="31" s="1"/>
  <c r="H66" i="32" s="1"/>
  <c r="F33" i="5"/>
  <c r="F34" i="22"/>
  <c r="E34" i="22"/>
  <c r="B3" i="10"/>
  <c r="E14" i="9"/>
  <c r="F9" i="9" s="1"/>
  <c r="I21" i="22"/>
  <c r="I23" i="22"/>
  <c r="I24" i="5"/>
  <c r="I23" i="5"/>
  <c r="I20" i="22"/>
  <c r="I25" i="5"/>
  <c r="I18" i="1"/>
  <c r="I61" i="5"/>
  <c r="L61" i="5" s="1"/>
  <c r="I19" i="1"/>
  <c r="I26" i="5"/>
  <c r="E5" i="10"/>
  <c r="E6" i="10"/>
  <c r="E4" i="10"/>
  <c r="F28" i="22"/>
  <c r="D41" i="5"/>
  <c r="D5" i="31" s="1"/>
  <c r="G4" i="22" l="1"/>
  <c r="G5" i="22" s="1"/>
  <c r="G33" i="22" s="1"/>
  <c r="G35" i="22" s="1"/>
  <c r="I31" i="32"/>
  <c r="L31" i="32" s="1"/>
  <c r="G45" i="5"/>
  <c r="G44" i="5"/>
  <c r="G48" i="5"/>
  <c r="J48" i="5"/>
  <c r="E38" i="30"/>
  <c r="E40" i="30" s="1"/>
  <c r="F37" i="30"/>
  <c r="F38" i="30" s="1"/>
  <c r="F40" i="30" s="1"/>
  <c r="F41" i="30" s="1"/>
  <c r="F46" i="30" s="1"/>
  <c r="I21" i="30"/>
  <c r="I24" i="31"/>
  <c r="I26" i="31"/>
  <c r="I31" i="31"/>
  <c r="H47" i="5"/>
  <c r="G46" i="5"/>
  <c r="J45" i="5"/>
  <c r="J44" i="5"/>
  <c r="G47" i="5"/>
  <c r="H46" i="5"/>
  <c r="D33" i="31"/>
  <c r="D66" i="32" s="1"/>
  <c r="J46" i="5"/>
  <c r="J5" i="31"/>
  <c r="J33" i="31" s="1"/>
  <c r="J66" i="32" s="1"/>
  <c r="H48" i="5"/>
  <c r="K45" i="5"/>
  <c r="K5" i="31"/>
  <c r="K33" i="31" s="1"/>
  <c r="K66" i="32" s="1"/>
  <c r="J47" i="5"/>
  <c r="I26" i="22"/>
  <c r="H44" i="5"/>
  <c r="K4" i="22"/>
  <c r="K5" i="22" s="1"/>
  <c r="K33" i="22" s="1"/>
  <c r="K35" i="22" s="1"/>
  <c r="K64" i="1" s="1"/>
  <c r="K47" i="5"/>
  <c r="K46" i="5"/>
  <c r="K44" i="5"/>
  <c r="H45" i="5"/>
  <c r="K48" i="5"/>
  <c r="H4" i="22"/>
  <c r="H5" i="22" s="1"/>
  <c r="H33" i="22" s="1"/>
  <c r="H35" i="22" s="1"/>
  <c r="F38" i="5"/>
  <c r="F40" i="5" s="1"/>
  <c r="E38" i="5"/>
  <c r="I24" i="22"/>
  <c r="I31" i="22"/>
  <c r="I21" i="5"/>
  <c r="F4" i="9"/>
  <c r="F5" i="9"/>
  <c r="F6" i="9"/>
  <c r="F7" i="9"/>
  <c r="F8" i="9"/>
  <c r="F10" i="9"/>
  <c r="F11" i="9"/>
  <c r="F12" i="9"/>
  <c r="B14" i="10"/>
  <c r="F3" i="9"/>
  <c r="C3" i="10"/>
  <c r="D4" i="22"/>
  <c r="D5" i="22" s="1"/>
  <c r="D45" i="5"/>
  <c r="D46" i="5"/>
  <c r="D44" i="5"/>
  <c r="D47" i="5"/>
  <c r="D48" i="5"/>
  <c r="G49" i="5" l="1"/>
  <c r="F48" i="30"/>
  <c r="F47" i="30"/>
  <c r="F45" i="30"/>
  <c r="F44" i="30"/>
  <c r="I28" i="31"/>
  <c r="L28" i="31" s="1"/>
  <c r="I33" i="30"/>
  <c r="E41" i="30"/>
  <c r="J49" i="5"/>
  <c r="J51" i="5" s="1"/>
  <c r="J52" i="5" s="1"/>
  <c r="K49" i="5"/>
  <c r="K51" i="5" s="1"/>
  <c r="K52" i="5" s="1"/>
  <c r="K65" i="5" s="1"/>
  <c r="H49" i="5"/>
  <c r="H51" i="5" s="1"/>
  <c r="H52" i="5" s="1"/>
  <c r="G51" i="5"/>
  <c r="G52" i="5" s="1"/>
  <c r="G56" i="5" s="1"/>
  <c r="G46" i="32" s="1"/>
  <c r="G53" i="32" s="1"/>
  <c r="G55" i="32" s="1"/>
  <c r="F41" i="5"/>
  <c r="F47" i="5" s="1"/>
  <c r="I33" i="5"/>
  <c r="L33" i="5" s="1"/>
  <c r="E40" i="5"/>
  <c r="F14" i="9"/>
  <c r="I34" i="22"/>
  <c r="I28" i="22"/>
  <c r="E3" i="10"/>
  <c r="C14" i="10"/>
  <c r="D49" i="5"/>
  <c r="D51" i="5" s="1"/>
  <c r="L33" i="30" l="1"/>
  <c r="I37" i="30"/>
  <c r="I38" i="30" s="1"/>
  <c r="F49" i="30"/>
  <c r="F51" i="30" s="1"/>
  <c r="F55" i="5" s="1"/>
  <c r="K64" i="5"/>
  <c r="B12" i="33" s="1"/>
  <c r="D12" i="33" s="1"/>
  <c r="G56" i="32"/>
  <c r="G68" i="32"/>
  <c r="B7" i="35" s="1"/>
  <c r="E48" i="30"/>
  <c r="E45" i="30"/>
  <c r="E46" i="30"/>
  <c r="E44" i="30"/>
  <c r="E47" i="30"/>
  <c r="F46" i="5"/>
  <c r="F5" i="31"/>
  <c r="F33" i="31" s="1"/>
  <c r="F66" i="32" s="1"/>
  <c r="J64" i="1"/>
  <c r="H64" i="1"/>
  <c r="J56" i="5"/>
  <c r="J46" i="32" s="1"/>
  <c r="J53" i="32" s="1"/>
  <c r="J55" i="32" s="1"/>
  <c r="G64" i="1"/>
  <c r="J65" i="5"/>
  <c r="J64" i="5"/>
  <c r="F45" i="5"/>
  <c r="F4" i="22"/>
  <c r="F5" i="22" s="1"/>
  <c r="F33" i="22" s="1"/>
  <c r="F35" i="22" s="1"/>
  <c r="G64" i="5"/>
  <c r="G65" i="5"/>
  <c r="H56" i="5"/>
  <c r="H46" i="32" s="1"/>
  <c r="H53" i="32" s="1"/>
  <c r="H55" i="32" s="1"/>
  <c r="F44" i="5"/>
  <c r="F48" i="5"/>
  <c r="H64" i="5"/>
  <c r="H65" i="5"/>
  <c r="E41" i="5"/>
  <c r="E5" i="31" s="1"/>
  <c r="E14" i="10"/>
  <c r="G29" i="1"/>
  <c r="D52" i="5"/>
  <c r="E12" i="33" l="1"/>
  <c r="F12" i="33"/>
  <c r="C12" i="33"/>
  <c r="F7" i="35"/>
  <c r="E7" i="35"/>
  <c r="C7" i="35"/>
  <c r="D7" i="35"/>
  <c r="K7" i="35"/>
  <c r="J7" i="35"/>
  <c r="I7" i="35"/>
  <c r="H7" i="35"/>
  <c r="G7" i="35"/>
  <c r="H56" i="32"/>
  <c r="H68" i="32"/>
  <c r="B8" i="35" s="1"/>
  <c r="J56" i="32"/>
  <c r="J68" i="32"/>
  <c r="B10" i="35" s="1"/>
  <c r="E49" i="30"/>
  <c r="I40" i="30"/>
  <c r="L38" i="30"/>
  <c r="E33" i="31"/>
  <c r="E66" i="32" s="1"/>
  <c r="F49" i="5"/>
  <c r="F51" i="5" s="1"/>
  <c r="F52" i="5" s="1"/>
  <c r="F56" i="5" s="1"/>
  <c r="F46" i="32" s="1"/>
  <c r="F53" i="32" s="1"/>
  <c r="F55" i="32" s="1"/>
  <c r="F56" i="32" s="1"/>
  <c r="I38" i="5"/>
  <c r="E44" i="5"/>
  <c r="E47" i="5"/>
  <c r="E48" i="5"/>
  <c r="E4" i="22"/>
  <c r="E5" i="22" s="1"/>
  <c r="E33" i="22" s="1"/>
  <c r="E35" i="22" s="1"/>
  <c r="E45" i="5"/>
  <c r="E46" i="5"/>
  <c r="F11" i="10"/>
  <c r="F12" i="10"/>
  <c r="F9" i="10"/>
  <c r="F10" i="10"/>
  <c r="F3" i="10"/>
  <c r="F7" i="10"/>
  <c r="F5" i="10"/>
  <c r="F4" i="10"/>
  <c r="F8" i="10"/>
  <c r="F6" i="10"/>
  <c r="J29" i="1"/>
  <c r="K56" i="5"/>
  <c r="K46" i="32" s="1"/>
  <c r="K53" i="32" s="1"/>
  <c r="K55" i="32" s="1"/>
  <c r="D65" i="5"/>
  <c r="D64" i="5"/>
  <c r="F8" i="35" l="1"/>
  <c r="J8" i="35"/>
  <c r="D8" i="35"/>
  <c r="K8" i="35"/>
  <c r="G8" i="35"/>
  <c r="H8" i="35"/>
  <c r="C8" i="35"/>
  <c r="E8" i="35"/>
  <c r="I8" i="35"/>
  <c r="K10" i="35"/>
  <c r="C10" i="35"/>
  <c r="G10" i="35"/>
  <c r="J10" i="35"/>
  <c r="H10" i="35"/>
  <c r="I10" i="35"/>
  <c r="F10" i="35"/>
  <c r="D10" i="35"/>
  <c r="E10" i="35"/>
  <c r="K68" i="32"/>
  <c r="B11" i="35" s="1"/>
  <c r="K56" i="32"/>
  <c r="F68" i="32"/>
  <c r="B6" i="35" s="1"/>
  <c r="I41" i="30"/>
  <c r="L40" i="30"/>
  <c r="E51" i="30"/>
  <c r="F65" i="5"/>
  <c r="F64" i="5"/>
  <c r="E49" i="5"/>
  <c r="E51" i="5" s="1"/>
  <c r="I40" i="5"/>
  <c r="L38" i="5"/>
  <c r="F14" i="10"/>
  <c r="K29" i="1"/>
  <c r="D56" i="5"/>
  <c r="D46" i="32" s="1"/>
  <c r="D53" i="32" s="1"/>
  <c r="B9" i="38" l="1"/>
  <c r="B10" i="38" s="1"/>
  <c r="B15" i="35"/>
  <c r="B13" i="38"/>
  <c r="C6" i="35"/>
  <c r="C13" i="38" s="1"/>
  <c r="C14" i="38" s="1"/>
  <c r="K6" i="35"/>
  <c r="K13" i="38" s="1"/>
  <c r="K14" i="38" s="1"/>
  <c r="J6" i="35"/>
  <c r="J13" i="38" s="1"/>
  <c r="J14" i="38" s="1"/>
  <c r="H6" i="35"/>
  <c r="H13" i="38" s="1"/>
  <c r="H14" i="38" s="1"/>
  <c r="G6" i="35"/>
  <c r="G13" i="38" s="1"/>
  <c r="G14" i="38" s="1"/>
  <c r="F6" i="35"/>
  <c r="F13" i="38" s="1"/>
  <c r="F14" i="38" s="1"/>
  <c r="D6" i="35"/>
  <c r="D13" i="38" s="1"/>
  <c r="D14" i="38" s="1"/>
  <c r="I6" i="35"/>
  <c r="I13" i="38" s="1"/>
  <c r="I14" i="38" s="1"/>
  <c r="E6" i="35"/>
  <c r="E13" i="38" s="1"/>
  <c r="E14" i="38" s="1"/>
  <c r="E55" i="5"/>
  <c r="I46" i="30"/>
  <c r="I44" i="30"/>
  <c r="I45" i="30"/>
  <c r="I47" i="30"/>
  <c r="I48" i="30"/>
  <c r="F64" i="1"/>
  <c r="I41" i="5"/>
  <c r="I5" i="31" s="1"/>
  <c r="L40" i="5"/>
  <c r="I49" i="30" l="1"/>
  <c r="I33" i="31"/>
  <c r="I66" i="32" s="1"/>
  <c r="L5" i="31"/>
  <c r="E52" i="5"/>
  <c r="I45" i="5"/>
  <c r="I4" i="22"/>
  <c r="I5" i="22" s="1"/>
  <c r="I44" i="5"/>
  <c r="I47" i="5"/>
  <c r="I46" i="5"/>
  <c r="I48" i="5"/>
  <c r="I51" i="30" l="1"/>
  <c r="L49" i="30"/>
  <c r="L5" i="22"/>
  <c r="I33" i="22"/>
  <c r="I35" i="22" s="1"/>
  <c r="L33" i="31"/>
  <c r="E64" i="1"/>
  <c r="I49" i="5"/>
  <c r="I51" i="5" s="1"/>
  <c r="E64" i="5"/>
  <c r="E65" i="5"/>
  <c r="I55" i="5" l="1"/>
  <c r="L51" i="30"/>
  <c r="L49" i="5"/>
  <c r="I52" i="5"/>
  <c r="L51" i="5"/>
  <c r="E56" i="5" l="1"/>
  <c r="E46" i="32" s="1"/>
  <c r="E53" i="32" s="1"/>
  <c r="I65" i="5"/>
  <c r="I64" i="5"/>
  <c r="I64" i="1" l="1"/>
  <c r="I56" i="5" l="1"/>
  <c r="I46" i="32" s="1"/>
  <c r="I53" i="32" s="1"/>
  <c r="I55" i="32" l="1"/>
  <c r="L53" i="32"/>
  <c r="D28" i="22"/>
  <c r="I68" i="32" l="1"/>
  <c r="I56" i="32"/>
  <c r="D33" i="22"/>
  <c r="D35" i="22" s="1"/>
  <c r="L28" i="22"/>
  <c r="B9" i="35" l="1"/>
  <c r="L33" i="22"/>
  <c r="D64" i="1"/>
  <c r="I9" i="35" l="1"/>
  <c r="I7" i="38" s="1"/>
  <c r="I8" i="38" s="1"/>
  <c r="F9" i="35"/>
  <c r="F7" i="38" s="1"/>
  <c r="F8" i="38" s="1"/>
  <c r="H9" i="35"/>
  <c r="H7" i="38" s="1"/>
  <c r="H8" i="38" s="1"/>
  <c r="D9" i="35"/>
  <c r="D7" i="38" s="1"/>
  <c r="D8" i="38" s="1"/>
  <c r="B7" i="38"/>
  <c r="B8" i="38" s="1"/>
  <c r="G9" i="35"/>
  <c r="G7" i="38" s="1"/>
  <c r="G8" i="38" s="1"/>
  <c r="E9" i="35"/>
  <c r="E7" i="38" s="1"/>
  <c r="E8" i="38" s="1"/>
  <c r="K9" i="35"/>
  <c r="K7" i="38" s="1"/>
  <c r="K8" i="38" s="1"/>
  <c r="J9" i="35"/>
  <c r="J7" i="38" s="1"/>
  <c r="J8" i="38" s="1"/>
  <c r="C9" i="35"/>
  <c r="C7" i="38" s="1"/>
  <c r="C8" i="38" s="1"/>
  <c r="C27" i="1" l="1"/>
  <c r="H27" i="1" s="1"/>
  <c r="H29" i="1" s="1"/>
  <c r="C22" i="1"/>
  <c r="C26" i="1"/>
  <c r="C41" i="1"/>
  <c r="D41" i="1" s="1"/>
  <c r="C36" i="1"/>
  <c r="C40" i="1"/>
  <c r="D40" i="1" s="1"/>
  <c r="C61" i="1"/>
  <c r="C25" i="1"/>
  <c r="D25" i="1" s="1"/>
  <c r="C50" i="1"/>
  <c r="D50" i="1" s="1"/>
  <c r="C23" i="1"/>
  <c r="C44" i="1"/>
  <c r="C56" i="1"/>
  <c r="C47" i="1"/>
  <c r="D47" i="1" s="1"/>
  <c r="C37" i="1"/>
  <c r="K37" i="1" s="1"/>
  <c r="C10" i="1"/>
  <c r="C9" i="1"/>
  <c r="C24" i="1"/>
  <c r="D24" i="1" s="1"/>
  <c r="C12" i="1"/>
  <c r="D12" i="1" s="1"/>
  <c r="C11" i="1"/>
  <c r="D11" i="1" s="1"/>
  <c r="C43" i="1"/>
  <c r="G43" i="1" s="1"/>
  <c r="C42" i="1"/>
  <c r="G42" i="1" s="1"/>
  <c r="C14" i="1"/>
  <c r="C45" i="1"/>
  <c r="D45" i="1" s="1"/>
  <c r="C48" i="1"/>
  <c r="G48" i="1" s="1"/>
  <c r="C46" i="1"/>
  <c r="F46" i="1" s="1"/>
  <c r="C13" i="1"/>
  <c r="D13" i="1" s="1"/>
  <c r="C28" i="1"/>
  <c r="C49" i="1"/>
  <c r="D49" i="1" s="1"/>
  <c r="E10" i="1" l="1"/>
  <c r="E17" i="32" s="1"/>
  <c r="E55" i="32" s="1"/>
  <c r="D10" i="1"/>
  <c r="D17" i="32" s="1"/>
  <c r="L17" i="32" s="1"/>
  <c r="D61" i="1"/>
  <c r="E61" i="1"/>
  <c r="D22" i="1"/>
  <c r="D29" i="1" s="1"/>
  <c r="E22" i="1"/>
  <c r="D36" i="1"/>
  <c r="C51" i="1"/>
  <c r="D9" i="1"/>
  <c r="C15" i="1"/>
  <c r="F23" i="1"/>
  <c r="E23" i="1"/>
  <c r="I23" i="1"/>
  <c r="I26" i="1"/>
  <c r="E26" i="1"/>
  <c r="F26" i="1"/>
  <c r="C29" i="1"/>
  <c r="E62" i="1"/>
  <c r="D62" i="1"/>
  <c r="C62" i="1"/>
  <c r="E58" i="1"/>
  <c r="I58" i="1"/>
  <c r="F58" i="1"/>
  <c r="D58" i="1"/>
  <c r="G58" i="1"/>
  <c r="C58" i="1"/>
  <c r="L58" i="1" s="1"/>
  <c r="G44" i="1"/>
  <c r="G51" i="1" s="1"/>
  <c r="H44" i="1"/>
  <c r="H51" i="1" s="1"/>
  <c r="J44" i="1"/>
  <c r="J51" i="1" s="1"/>
  <c r="J53" i="1" s="1"/>
  <c r="K44" i="1"/>
  <c r="K51" i="1" s="1"/>
  <c r="F44" i="1"/>
  <c r="F51" i="1" s="1"/>
  <c r="D44" i="1"/>
  <c r="D51" i="1" s="1"/>
  <c r="E44" i="1"/>
  <c r="E51" i="1" s="1"/>
  <c r="I44" i="1"/>
  <c r="I51" i="1" s="1"/>
  <c r="D14" i="1"/>
  <c r="E14" i="1"/>
  <c r="K14" i="1"/>
  <c r="K15" i="1" s="1"/>
  <c r="I14" i="1"/>
  <c r="I15" i="1" s="1"/>
  <c r="J14" i="1"/>
  <c r="J15" i="1" s="1"/>
  <c r="H14" i="1"/>
  <c r="H15" i="1" s="1"/>
  <c r="F14" i="1"/>
  <c r="F15" i="1" s="1"/>
  <c r="G14" i="1"/>
  <c r="G15" i="1" s="1"/>
  <c r="E28" i="1"/>
  <c r="F28" i="1"/>
  <c r="I28" i="1"/>
  <c r="D55" i="32" l="1"/>
  <c r="E56" i="32"/>
  <c r="E68" i="32"/>
  <c r="B5" i="35" s="1"/>
  <c r="K53" i="1"/>
  <c r="H53" i="1"/>
  <c r="H66" i="1" s="1"/>
  <c r="H75" i="1" s="1"/>
  <c r="J66" i="1"/>
  <c r="J75" i="1" s="1"/>
  <c r="D15" i="1"/>
  <c r="D53" i="1" s="1"/>
  <c r="L62" i="1"/>
  <c r="C53" i="1"/>
  <c r="C66" i="5" s="1"/>
  <c r="L51" i="1"/>
  <c r="G53" i="1"/>
  <c r="G66" i="1" s="1"/>
  <c r="G75" i="1" s="1"/>
  <c r="I29" i="1"/>
  <c r="I53" i="1" s="1"/>
  <c r="E29" i="1"/>
  <c r="E15" i="1"/>
  <c r="F29" i="1"/>
  <c r="F53" i="1" s="1"/>
  <c r="K54" i="1" l="1"/>
  <c r="D56" i="32"/>
  <c r="D68" i="32"/>
  <c r="L68" i="32" s="1"/>
  <c r="K5" i="35"/>
  <c r="K5" i="38" s="1"/>
  <c r="K6" i="38" s="1"/>
  <c r="J5" i="35"/>
  <c r="J5" i="38" s="1"/>
  <c r="J6" i="38" s="1"/>
  <c r="I5" i="35"/>
  <c r="I5" i="38" s="1"/>
  <c r="I6" i="38" s="1"/>
  <c r="H5" i="35"/>
  <c r="H5" i="38" s="1"/>
  <c r="H6" i="38" s="1"/>
  <c r="G5" i="35"/>
  <c r="G5" i="38" s="1"/>
  <c r="G6" i="38" s="1"/>
  <c r="E5" i="35"/>
  <c r="E5" i="38" s="1"/>
  <c r="E6" i="38" s="1"/>
  <c r="D5" i="35"/>
  <c r="D5" i="38" s="1"/>
  <c r="B5" i="38"/>
  <c r="B6" i="38" s="1"/>
  <c r="C5" i="35"/>
  <c r="C5" i="38" s="1"/>
  <c r="F5" i="35"/>
  <c r="F5" i="38" s="1"/>
  <c r="F6" i="38" s="1"/>
  <c r="K66" i="1"/>
  <c r="K75" i="1" s="1"/>
  <c r="D54" i="1"/>
  <c r="D66" i="5" s="1"/>
  <c r="D67" i="5" s="1"/>
  <c r="I54" i="1"/>
  <c r="I66" i="5" s="1"/>
  <c r="I67" i="5" s="1"/>
  <c r="I69" i="5" s="1"/>
  <c r="B9" i="36" s="1"/>
  <c r="E53" i="1"/>
  <c r="E54" i="1" s="1"/>
  <c r="E66" i="5" s="1"/>
  <c r="E67" i="5" s="1"/>
  <c r="E69" i="5" s="1"/>
  <c r="B5" i="36" s="1"/>
  <c r="L29" i="1"/>
  <c r="D66" i="1"/>
  <c r="D75" i="1" s="1"/>
  <c r="J54" i="1"/>
  <c r="J66" i="5" s="1"/>
  <c r="J67" i="5" s="1"/>
  <c r="J69" i="5" s="1"/>
  <c r="B10" i="36" s="1"/>
  <c r="K66" i="5"/>
  <c r="C66" i="1"/>
  <c r="G54" i="1"/>
  <c r="G66" i="5" s="1"/>
  <c r="G67" i="5" s="1"/>
  <c r="G69" i="5" s="1"/>
  <c r="B7" i="36" s="1"/>
  <c r="I66" i="1"/>
  <c r="I75" i="1" s="1"/>
  <c r="C67" i="5"/>
  <c r="C69" i="5" s="1"/>
  <c r="B12" i="36" s="1"/>
  <c r="F54" i="1"/>
  <c r="F66" i="5" s="1"/>
  <c r="F67" i="5" s="1"/>
  <c r="F69" i="5" s="1"/>
  <c r="B6" i="36" s="1"/>
  <c r="F66" i="1"/>
  <c r="F75" i="1" s="1"/>
  <c r="H54" i="1"/>
  <c r="H66" i="5" s="1"/>
  <c r="H67" i="5" s="1"/>
  <c r="H69" i="5" s="1"/>
  <c r="B8" i="36" s="1"/>
  <c r="L15" i="1"/>
  <c r="C6" i="38" l="1"/>
  <c r="D6" i="38"/>
  <c r="C6" i="37"/>
  <c r="C7" i="37" s="1"/>
  <c r="C71" i="32"/>
  <c r="C72" i="32" s="1"/>
  <c r="H7" i="36"/>
  <c r="J7" i="36"/>
  <c r="K7" i="36"/>
  <c r="F7" i="36"/>
  <c r="D7" i="36"/>
  <c r="I7" i="36"/>
  <c r="G7" i="36"/>
  <c r="E7" i="36"/>
  <c r="C7" i="36"/>
  <c r="J10" i="36"/>
  <c r="I10" i="36"/>
  <c r="E10" i="36"/>
  <c r="F10" i="36"/>
  <c r="G10" i="36"/>
  <c r="K10" i="36"/>
  <c r="H10" i="36"/>
  <c r="C10" i="36"/>
  <c r="D10" i="36"/>
  <c r="K67" i="5"/>
  <c r="K69" i="5" s="1"/>
  <c r="B11" i="36" s="1"/>
  <c r="B13" i="33"/>
  <c r="K5" i="36"/>
  <c r="E5" i="36"/>
  <c r="J5" i="36"/>
  <c r="G5" i="36"/>
  <c r="I5" i="36"/>
  <c r="H5" i="36"/>
  <c r="F5" i="36"/>
  <c r="D5" i="36"/>
  <c r="C5" i="36"/>
  <c r="H9" i="36"/>
  <c r="E9" i="36"/>
  <c r="K9" i="36"/>
  <c r="I9" i="36"/>
  <c r="F9" i="36"/>
  <c r="D9" i="36"/>
  <c r="C9" i="36"/>
  <c r="J9" i="36"/>
  <c r="G9" i="36"/>
  <c r="J8" i="36"/>
  <c r="E8" i="36"/>
  <c r="H8" i="36"/>
  <c r="K8" i="36"/>
  <c r="G8" i="36"/>
  <c r="D8" i="36"/>
  <c r="F8" i="36"/>
  <c r="C8" i="36"/>
  <c r="I8" i="36"/>
  <c r="B4" i="35"/>
  <c r="H6" i="36"/>
  <c r="K6" i="36"/>
  <c r="I6" i="36"/>
  <c r="J6" i="36"/>
  <c r="G6" i="36"/>
  <c r="E6" i="36"/>
  <c r="F6" i="36"/>
  <c r="C6" i="36"/>
  <c r="D6" i="36"/>
  <c r="F70" i="5"/>
  <c r="E66" i="1"/>
  <c r="E75" i="1" s="1"/>
  <c r="G70" i="5"/>
  <c r="H70" i="5"/>
  <c r="J70" i="5"/>
  <c r="C75" i="1"/>
  <c r="I70" i="5"/>
  <c r="D69" i="5"/>
  <c r="E70" i="5"/>
  <c r="L75" i="1" l="1"/>
  <c r="L66" i="1"/>
  <c r="L67" i="5"/>
  <c r="J4" i="35"/>
  <c r="D4" i="35"/>
  <c r="C4" i="35"/>
  <c r="B3" i="38"/>
  <c r="K4" i="35"/>
  <c r="E4" i="35"/>
  <c r="F4" i="35"/>
  <c r="G4" i="35"/>
  <c r="H4" i="35"/>
  <c r="I4" i="35"/>
  <c r="B14" i="33"/>
  <c r="M14" i="33" s="1"/>
  <c r="G13" i="33"/>
  <c r="G14" i="33" s="1"/>
  <c r="G11" i="36" s="1"/>
  <c r="J13" i="33"/>
  <c r="J14" i="33" s="1"/>
  <c r="J11" i="36" s="1"/>
  <c r="F13" i="33"/>
  <c r="F14" i="33" s="1"/>
  <c r="F11" i="36" s="1"/>
  <c r="E13" i="33"/>
  <c r="E14" i="33" s="1"/>
  <c r="E11" i="36" s="1"/>
  <c r="K13" i="33"/>
  <c r="K14" i="33" s="1"/>
  <c r="K11" i="36" s="1"/>
  <c r="C13" i="33"/>
  <c r="C14" i="33" s="1"/>
  <c r="C11" i="36" s="1"/>
  <c r="I13" i="33"/>
  <c r="I14" i="33" s="1"/>
  <c r="I11" i="36" s="1"/>
  <c r="D13" i="33"/>
  <c r="D14" i="33" s="1"/>
  <c r="D11" i="36" s="1"/>
  <c r="H13" i="33"/>
  <c r="H14" i="33" s="1"/>
  <c r="H11" i="36" s="1"/>
  <c r="D70" i="5"/>
  <c r="B4" i="36"/>
  <c r="K70" i="5"/>
  <c r="C14" i="36" l="1"/>
  <c r="B4" i="38"/>
  <c r="M3" i="38"/>
  <c r="G3" i="38"/>
  <c r="G4" i="38" s="1"/>
  <c r="G12" i="35"/>
  <c r="F3" i="38"/>
  <c r="F4" i="38" s="1"/>
  <c r="F12" i="35"/>
  <c r="G4" i="37" s="1"/>
  <c r="E3" i="38"/>
  <c r="E4" i="38" s="1"/>
  <c r="E12" i="35"/>
  <c r="F4" i="37" s="1"/>
  <c r="K3" i="38"/>
  <c r="K4" i="38" s="1"/>
  <c r="K12" i="35"/>
  <c r="L4" i="37" s="1"/>
  <c r="C3" i="38"/>
  <c r="C12" i="35"/>
  <c r="G4" i="36"/>
  <c r="G12" i="36" s="1"/>
  <c r="H6" i="37" s="1"/>
  <c r="H9" i="37" s="1"/>
  <c r="G11" i="38" s="1"/>
  <c r="G12" i="38" s="1"/>
  <c r="H4" i="36"/>
  <c r="H12" i="36" s="1"/>
  <c r="I6" i="37" s="1"/>
  <c r="I9" i="37" s="1"/>
  <c r="H11" i="38" s="1"/>
  <c r="H12" i="38" s="1"/>
  <c r="F4" i="36"/>
  <c r="F12" i="36" s="1"/>
  <c r="G6" i="37" s="1"/>
  <c r="G9" i="37" s="1"/>
  <c r="F11" i="38" s="1"/>
  <c r="F12" i="38" s="1"/>
  <c r="K4" i="36"/>
  <c r="K12" i="36" s="1"/>
  <c r="L6" i="37" s="1"/>
  <c r="L9" i="37" s="1"/>
  <c r="K11" i="38" s="1"/>
  <c r="K12" i="38" s="1"/>
  <c r="I4" i="36"/>
  <c r="I12" i="36" s="1"/>
  <c r="J6" i="37" s="1"/>
  <c r="J9" i="37" s="1"/>
  <c r="I11" i="38" s="1"/>
  <c r="I12" i="38" s="1"/>
  <c r="D4" i="36"/>
  <c r="D12" i="36" s="1"/>
  <c r="E6" i="37" s="1"/>
  <c r="E9" i="37" s="1"/>
  <c r="D11" i="38" s="1"/>
  <c r="J4" i="36"/>
  <c r="J12" i="36" s="1"/>
  <c r="K6" i="37" s="1"/>
  <c r="K9" i="37" s="1"/>
  <c r="J11" i="38" s="1"/>
  <c r="J12" i="38" s="1"/>
  <c r="E4" i="36"/>
  <c r="E12" i="36" s="1"/>
  <c r="F6" i="37" s="1"/>
  <c r="F9" i="37" s="1"/>
  <c r="E11" i="38" s="1"/>
  <c r="E12" i="38" s="1"/>
  <c r="C4" i="36"/>
  <c r="C12" i="36" s="1"/>
  <c r="D3" i="38"/>
  <c r="D4" i="38" s="1"/>
  <c r="D12" i="35"/>
  <c r="E4" i="37" s="1"/>
  <c r="J3" i="38"/>
  <c r="J4" i="38" s="1"/>
  <c r="J12" i="35"/>
  <c r="K4" i="37" s="1"/>
  <c r="I3" i="38"/>
  <c r="I12" i="35"/>
  <c r="J4" i="37" s="1"/>
  <c r="H3" i="38"/>
  <c r="H4" i="38" s="1"/>
  <c r="H12" i="35"/>
  <c r="I4" i="37" s="1"/>
  <c r="L12" i="36" l="1"/>
  <c r="L12" i="35"/>
  <c r="C4" i="38"/>
  <c r="D20" i="38"/>
  <c r="G20" i="38" s="1"/>
  <c r="D12" i="38"/>
  <c r="D21" i="38"/>
  <c r="G21" i="38" s="1"/>
  <c r="H4" i="37"/>
  <c r="I4" i="38"/>
  <c r="I15" i="38" s="1"/>
  <c r="I20" i="38"/>
  <c r="G15" i="38"/>
  <c r="F15" i="38"/>
  <c r="J15" i="38"/>
  <c r="K15" i="38"/>
  <c r="J5" i="37"/>
  <c r="J7" i="37" s="1"/>
  <c r="J10" i="37"/>
  <c r="J11" i="37" s="1"/>
  <c r="J12" i="37" s="1"/>
  <c r="H15" i="38"/>
  <c r="K5" i="37"/>
  <c r="K7" i="37" s="1"/>
  <c r="K10" i="37"/>
  <c r="K11" i="37" s="1"/>
  <c r="K12" i="37" s="1"/>
  <c r="D6" i="37"/>
  <c r="D9" i="37" s="1"/>
  <c r="E15" i="38"/>
  <c r="I5" i="37"/>
  <c r="I7" i="37" s="1"/>
  <c r="I10" i="37"/>
  <c r="I11" i="37" s="1"/>
  <c r="I12" i="37" s="1"/>
  <c r="D4" i="37"/>
  <c r="E5" i="37"/>
  <c r="E7" i="37" s="1"/>
  <c r="E10" i="37"/>
  <c r="E11" i="37" s="1"/>
  <c r="E12" i="37" s="1"/>
  <c r="L5" i="37"/>
  <c r="L7" i="37" s="1"/>
  <c r="L10" i="37"/>
  <c r="F5" i="37"/>
  <c r="F7" i="37" s="1"/>
  <c r="F10" i="37"/>
  <c r="F11" i="37" s="1"/>
  <c r="F12" i="37" s="1"/>
  <c r="D15" i="38"/>
  <c r="L15" i="38" s="1"/>
  <c r="G5" i="37"/>
  <c r="G7" i="37" s="1"/>
  <c r="G10" i="37"/>
  <c r="G11" i="37" s="1"/>
  <c r="G12" i="37" s="1"/>
  <c r="H5" i="37"/>
  <c r="H7" i="37" s="1"/>
  <c r="H10" i="37"/>
  <c r="H11" i="37" l="1"/>
  <c r="H12" i="37" s="1"/>
  <c r="L11" i="37"/>
  <c r="L12" i="37" s="1"/>
  <c r="D5" i="37"/>
  <c r="D7" i="37" s="1"/>
  <c r="D10" i="37"/>
  <c r="D11" i="37" s="1"/>
  <c r="D12" i="37" s="1"/>
  <c r="C11" i="38"/>
  <c r="C12" i="38" s="1"/>
  <c r="C15" i="38" s="1"/>
  <c r="L14" i="38" s="1"/>
  <c r="C9" i="37"/>
  <c r="B11" i="38" l="1"/>
  <c r="C10" i="37"/>
  <c r="C11" i="37" s="1"/>
  <c r="C12" i="37" s="1"/>
  <c r="C8" i="37"/>
  <c r="B12" i="38" l="1"/>
  <c r="M4" i="3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Connie Lea Allen, PE</author>
    <author>Connie Allen</author>
  </authors>
  <commentList>
    <comment ref="K2" authorId="0" shapeId="0" xr:uid="{AFCE860F-92D2-4649-832E-B596C08641A2}">
      <text>
        <r>
          <rPr>
            <i/>
            <sz val="9"/>
            <color rgb="FF0070C0"/>
            <rFont val="Avenir Next"/>
            <family val="34"/>
          </rPr>
          <t xml:space="preserve">Connie Lea Allen, PE:
</t>
        </r>
        <r>
          <rPr>
            <i/>
            <sz val="9"/>
            <color rgb="FF0070C0"/>
            <rFont val="Avenir Next"/>
            <family val="34"/>
          </rPr>
          <t>for breakout of direct assigns (DA), see worksheet titled "Bardstown just water CLA"</t>
        </r>
      </text>
    </comment>
    <comment ref="L16" authorId="1" shapeId="0" xr:uid="{A1E86CEA-E88D-7B4A-BDA9-A3A4E2059164}">
      <text>
        <r>
          <rPr>
            <i/>
            <sz val="9"/>
            <color rgb="FF0070C0"/>
            <rFont val="Avenir Next"/>
            <family val="34"/>
          </rPr>
          <t xml:space="preserve">Connie Allen:
</t>
        </r>
        <r>
          <rPr>
            <i/>
            <sz val="9"/>
            <color rgb="FF0070C0"/>
            <rFont val="Avenir Next"/>
            <family val="34"/>
          </rPr>
          <t xml:space="preserve">average day (602K) to peak day (883K)
</t>
        </r>
      </text>
    </comment>
    <comment ref="F23" authorId="0" shapeId="0" xr:uid="{87096876-303E-9349-BB99-C7300859CB6F}">
      <text>
        <r>
          <rPr>
            <i/>
            <sz val="9"/>
            <color rgb="FF0070C0"/>
            <rFont val="Avenir Next"/>
            <family val="34"/>
          </rPr>
          <t xml:space="preserve">Connie Lea Allen, PE:
</t>
        </r>
        <r>
          <rPr>
            <i/>
            <sz val="9"/>
            <color rgb="FF0070C0"/>
            <rFont val="Avenir Next"/>
            <family val="34"/>
          </rPr>
          <t>add all residential contributed lines, here, to keep their effect away from wholesales</t>
        </r>
      </text>
    </comment>
    <comment ref="B25" authorId="0" shapeId="0" xr:uid="{32E41D6D-2ED2-4041-A41C-8AB1C9349AA8}">
      <text>
        <r>
          <rPr>
            <i/>
            <sz val="9"/>
            <color rgb="FF0070C0"/>
            <rFont val="Avenir Next"/>
            <family val="34"/>
          </rPr>
          <t xml:space="preserve">Connie Lea Allen, PE:
</t>
        </r>
        <r>
          <rPr>
            <i/>
            <sz val="9"/>
            <color rgb="FF0070C0"/>
            <rFont val="Avenir Next"/>
            <family val="34"/>
          </rPr>
          <t>As per late direction, there is an asset "#1410 - Culverton Pump Station" that should be taken out of the common bag and given to DA, specifically, 50% Larue Co; 50% non-owner residential.  I am not opening any of the DA sheets or equations to make the change.  I am simply manually subtracting and adding at the appropriate places.  Installed cost, $116,417; 30-year life; installed on 6/30/2005; annual dep $3,981; accum dep $71,694.</t>
        </r>
      </text>
    </comment>
    <comment ref="C51" authorId="0" shapeId="0" xr:uid="{AEA5B4FB-C27D-384A-B657-73CAD4676753}">
      <text>
        <r>
          <rPr>
            <i/>
            <sz val="9"/>
            <color rgb="FF0070C0"/>
            <rFont val="Avenir Next"/>
            <family val="34"/>
          </rPr>
          <t xml:space="preserve">Connie Lea Allen, PE:
</t>
        </r>
        <r>
          <rPr>
            <i/>
            <sz val="9"/>
            <color rgb="FF0070C0"/>
            <rFont val="Avenir Next"/>
            <family val="34"/>
          </rPr>
          <t>matches original depreciation schedule assets from Bardstown</t>
        </r>
      </text>
    </comment>
    <comment ref="K59" authorId="0" shapeId="0" xr:uid="{6FB3FE4A-98DB-4A40-A11B-4D408CE5890A}">
      <text>
        <r>
          <rPr>
            <i/>
            <sz val="9"/>
            <color rgb="FF0070C0"/>
            <rFont val="Avenir Next"/>
            <family val="34"/>
          </rPr>
          <t xml:space="preserve">Connie Lea Allen, PE:
</t>
        </r>
        <r>
          <rPr>
            <i/>
            <sz val="9"/>
            <color rgb="FF0070C0"/>
            <rFont val="Avenir Next"/>
            <family val="34"/>
          </rPr>
          <t>this is $157,996 commercial and $101,819 industrial</t>
        </r>
      </text>
    </comment>
    <comment ref="K60" authorId="0" shapeId="0" xr:uid="{A10E1314-62F0-0049-B2CA-E437D6BD8BE6}">
      <text>
        <r>
          <rPr>
            <i/>
            <sz val="9"/>
            <color rgb="FF0070C0"/>
            <rFont val="Avenir Next"/>
            <family val="34"/>
          </rPr>
          <t xml:space="preserve">Connie Lea Allen, PE:
</t>
        </r>
        <r>
          <rPr>
            <i/>
            <sz val="9"/>
            <color rgb="FF0070C0"/>
            <rFont val="Avenir Next"/>
            <family val="34"/>
          </rPr>
          <t>this is all industrial</t>
        </r>
      </text>
    </comment>
    <comment ref="C64" authorId="0" shapeId="0" xr:uid="{E860F2F1-0DE1-8543-A180-AF6E12F15E3A}">
      <text>
        <r>
          <rPr>
            <i/>
            <sz val="9"/>
            <color rgb="FF0070C0"/>
            <rFont val="Avenir Next"/>
            <family val="34"/>
          </rPr>
          <t xml:space="preserve">Connie Lea Allen, PE:
</t>
        </r>
        <r>
          <rPr>
            <i/>
            <sz val="9"/>
            <color rgb="FF0070C0"/>
            <rFont val="Avenir Next"/>
            <family val="34"/>
          </rPr>
          <t>from JT, see worksheet "Final FY23 Inventory..." and CLA "inventory"</t>
        </r>
      </text>
    </comment>
    <comment ref="F69" authorId="0" shapeId="0" xr:uid="{D3BEA361-54D4-444C-AC8A-2E2F5B31A6C1}">
      <text>
        <r>
          <rPr>
            <i/>
            <sz val="8"/>
            <color rgb="FF0070C0"/>
            <rFont val="Avenir Next"/>
            <family val="34"/>
          </rPr>
          <t xml:space="preserve">Connie Lea Allen, PE:
</t>
        </r>
        <r>
          <rPr>
            <i/>
            <sz val="8"/>
            <color rgb="FF0070C0"/>
            <rFont val="Avenir Next"/>
            <family val="34"/>
          </rPr>
          <t>this is negative because these particular assets were contributed--100% gifted by developers--plus, we have good records on these assets; giving them accumulated depreciation and recognizing the gift creates the negative--undoubtedly an accounting principle, of which I am ignorant, applies, here</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Connie Lea Allen, PE</author>
  </authors>
  <commentList>
    <comment ref="A12" authorId="0" shapeId="0" xr:uid="{5900AA82-67A1-7A44-8228-BD1F70DF54A3}">
      <text>
        <r>
          <rPr>
            <i/>
            <sz val="9"/>
            <color rgb="FF8064A2"/>
            <rFont val="Avenir Book"/>
            <family val="2"/>
          </rPr>
          <t xml:space="preserve">Connie Lea Allen, PE:
</t>
        </r>
        <r>
          <rPr>
            <i/>
            <sz val="9"/>
            <color rgb="FF8064A2"/>
            <rFont val="Avenir Book"/>
            <family val="2"/>
          </rPr>
          <t>When COS rates are implemented, North Nelson will no longer be buying water from Bardstown (only some pass-through volumes).  They will still have a customer cost but volumetric costs will be re-allocated using the COMM/CAP factor--if re-allocated at all</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Connie Lea Allen, PE</author>
  </authors>
  <commentList>
    <comment ref="B2" authorId="0" shapeId="0" xr:uid="{B9C7AD07-F230-7941-9235-6015E4B8FE81}">
      <text>
        <r>
          <rPr>
            <i/>
            <sz val="9"/>
            <color rgb="FF0070C0"/>
            <rFont val="Avenir Next"/>
            <family val="34"/>
          </rPr>
          <t xml:space="preserve">Connie Lea Allen, PE:
</t>
        </r>
        <r>
          <rPr>
            <i/>
            <sz val="9"/>
            <color rgb="FF0070C0"/>
            <rFont val="Avenir Next"/>
            <family val="34"/>
          </rPr>
          <t xml:space="preserve">from utility summaries from Jessica, test year unshifted
</t>
        </r>
        <r>
          <rPr>
            <i/>
            <sz val="9"/>
            <color rgb="FF0070C0"/>
            <rFont val="Avenir Next"/>
            <family val="34"/>
          </rPr>
          <t xml:space="preserve">
</t>
        </r>
      </text>
    </comment>
    <comment ref="A11" authorId="0" shapeId="0" xr:uid="{4885EDCF-8416-0B45-9677-3F2A90453C88}">
      <text>
        <r>
          <rPr>
            <i/>
            <sz val="9"/>
            <color rgb="FF0070C0"/>
            <rFont val="Avenir Next"/>
            <family val="34"/>
          </rPr>
          <t xml:space="preserve">Connie Lea Allen, PE:
</t>
        </r>
        <r>
          <rPr>
            <i/>
            <sz val="9"/>
            <color rgb="FF0070C0"/>
            <rFont val="Avenir Next"/>
            <family val="34"/>
          </rPr>
          <t>includes four months of New Haven prior to merger</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Connie Lea Allen, PE</author>
  </authors>
  <commentList>
    <comment ref="B2" authorId="0" shapeId="0" xr:uid="{733D7396-9EDE-CE48-BEED-5F6D9B2AF6A9}">
      <text>
        <r>
          <rPr>
            <i/>
            <sz val="9"/>
            <color rgb="FF0070C0"/>
            <rFont val="Avenir Next"/>
            <family val="34"/>
          </rPr>
          <t xml:space="preserve">Connie Lea Allen, PE:
</t>
        </r>
        <r>
          <rPr>
            <i/>
            <sz val="9"/>
            <color rgb="FF0070C0"/>
            <rFont val="Avenir Next"/>
            <family val="34"/>
          </rPr>
          <t>from Dylan Durbin (Bardstown) 6 June 2025 email</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Connie Lea Allen, PE</author>
  </authors>
  <commentList>
    <comment ref="L6" authorId="0" shapeId="0" xr:uid="{23A85E65-887B-7849-819E-586BA9464155}">
      <text>
        <r>
          <rPr>
            <i/>
            <sz val="9"/>
            <color rgb="FF0070C0"/>
            <rFont val="Avenir Next"/>
            <family val="34"/>
          </rPr>
          <t xml:space="preserve">Connie Lea Allen, PE:
</t>
        </r>
        <r>
          <rPr>
            <i/>
            <sz val="9"/>
            <color rgb="FF0070C0"/>
            <rFont val="Avenir Next"/>
            <family val="34"/>
          </rPr>
          <t>doing this only to keep the cost away from wholesale customers, spec., regulated utilities</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Connie Lea Allen, PE</author>
  </authors>
  <commentList>
    <comment ref="L12" authorId="0" shapeId="0" xr:uid="{8527600C-5AB4-C14E-821F-08D46E400C5F}">
      <text>
        <r>
          <rPr>
            <i/>
            <sz val="9"/>
            <color rgb="FF0070C0"/>
            <rFont val="Avenir Next"/>
            <family val="34"/>
          </rPr>
          <t xml:space="preserve">Connie Lea Allen, PE:
</t>
        </r>
        <r>
          <rPr>
            <i/>
            <sz val="9"/>
            <color rgb="FF0070C0"/>
            <rFont val="Avenir Next"/>
            <family val="34"/>
          </rPr>
          <t>rounding error only</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Connie Lea Allen, PE</author>
    <author>Connie Allen</author>
  </authors>
  <commentList>
    <comment ref="K2" authorId="0" shapeId="0" xr:uid="{31598129-3133-554F-9ACF-2C765B71EBB5}">
      <text>
        <r>
          <rPr>
            <i/>
            <sz val="9"/>
            <color rgb="FF0070C0"/>
            <rFont val="Avenir Next"/>
            <family val="34"/>
          </rPr>
          <t xml:space="preserve">Connie Lea Allen, PE:
</t>
        </r>
        <r>
          <rPr>
            <i/>
            <sz val="9"/>
            <color rgb="FF0070C0"/>
            <rFont val="Avenir Next"/>
            <family val="34"/>
          </rPr>
          <t>for breakout of direct assigns (DA), see worksheet titled "Bardstown just water CLA"</t>
        </r>
      </text>
    </comment>
    <comment ref="L5" authorId="1" shapeId="0" xr:uid="{4DF1F6A4-CCB3-144D-8003-88B2769C3852}">
      <text>
        <r>
          <rPr>
            <i/>
            <sz val="10"/>
            <color rgb="FF000000"/>
            <rFont val="Avenir Next"/>
            <family val="34"/>
          </rPr>
          <t xml:space="preserve">Connie Allen:
</t>
        </r>
        <r>
          <rPr>
            <i/>
            <sz val="10"/>
            <color rgb="FF000000"/>
            <rFont val="Avenir Next"/>
            <family val="34"/>
          </rPr>
          <t xml:space="preserve">average day (602K) to peak day (883K)
</t>
        </r>
      </text>
    </comment>
    <comment ref="L6" authorId="1" shapeId="0" xr:uid="{106BBB7A-BAE3-314C-A32E-507C32D0AA0C}">
      <text>
        <r>
          <rPr>
            <i/>
            <sz val="10"/>
            <color rgb="FF000000"/>
            <rFont val="Avenir Next"/>
            <family val="34"/>
          </rPr>
          <t xml:space="preserve">Connie Allen:
</t>
        </r>
        <r>
          <rPr>
            <i/>
            <sz val="10"/>
            <color rgb="FF000000"/>
            <rFont val="Avenir Next"/>
            <family val="34"/>
          </rPr>
          <t xml:space="preserve">average day (602K) to peak day (883K)
</t>
        </r>
      </text>
    </comment>
    <comment ref="L7" authorId="1" shapeId="0" xr:uid="{BD0FBCA4-8DA6-CC4A-96C8-5B861D79C1D0}">
      <text>
        <r>
          <rPr>
            <i/>
            <sz val="10"/>
            <color rgb="FF000000"/>
            <rFont val="Avenir Next"/>
            <family val="34"/>
          </rPr>
          <t xml:space="preserve">Connie Allen:
</t>
        </r>
        <r>
          <rPr>
            <i/>
            <sz val="10"/>
            <color rgb="FF000000"/>
            <rFont val="Avenir Next"/>
            <family val="34"/>
          </rPr>
          <t xml:space="preserve">average day (602K) to peak day (883K)
</t>
        </r>
      </text>
    </comment>
    <comment ref="L14" authorId="1" shapeId="0" xr:uid="{047868DB-CBD7-4B43-B0BC-2382C3B5D215}">
      <text>
        <r>
          <rPr>
            <i/>
            <sz val="10"/>
            <color rgb="FF000000"/>
            <rFont val="Avenir Next"/>
            <family val="34"/>
          </rPr>
          <t xml:space="preserve">Connie Allen:
</t>
        </r>
        <r>
          <rPr>
            <i/>
            <sz val="10"/>
            <color rgb="FF000000"/>
            <rFont val="Avenir Next"/>
            <family val="34"/>
          </rPr>
          <t xml:space="preserve">average day (602K) to peak day (883K)
</t>
        </r>
      </text>
    </comment>
    <comment ref="L16" authorId="1" shapeId="0" xr:uid="{E63F24FD-8933-2941-BF7B-CDADAABED017}">
      <text>
        <r>
          <rPr>
            <i/>
            <sz val="10"/>
            <color rgb="FF000000"/>
            <rFont val="Avenir Next"/>
            <family val="34"/>
          </rPr>
          <t xml:space="preserve">Connie Allen:
</t>
        </r>
        <r>
          <rPr>
            <i/>
            <sz val="10"/>
            <color rgb="FF000000"/>
            <rFont val="Avenir Next"/>
            <family val="34"/>
          </rPr>
          <t xml:space="preserve">average day (602K) to peak day (883K)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Connie Lea Allen, PE</author>
  </authors>
  <commentList>
    <comment ref="C10" authorId="0" shapeId="0" xr:uid="{6BF75645-775B-484D-B5E1-5D0D9FA36744}">
      <text>
        <r>
          <rPr>
            <i/>
            <sz val="9"/>
            <color rgb="FF0070C0"/>
            <rFont val="Avenir Next"/>
            <family val="34"/>
          </rPr>
          <t xml:space="preserve">Connie Lea Allen, PE:
</t>
        </r>
        <r>
          <rPr>
            <i/>
            <sz val="9"/>
            <color rgb="FF0070C0"/>
            <rFont val="Avenir Next"/>
            <family val="34"/>
          </rPr>
          <t>$362,128 is the plant</t>
        </r>
      </text>
    </comment>
    <comment ref="L22" authorId="0" shapeId="0" xr:uid="{915A7B79-6A0A-184C-BDEB-491B6AC93793}">
      <text>
        <r>
          <rPr>
            <i/>
            <sz val="9"/>
            <color rgb="FF0070C0"/>
            <rFont val="Avenir Next"/>
            <family val="34"/>
          </rPr>
          <t xml:space="preserve">Connie Lea Allen, PE:
</t>
        </r>
        <r>
          <rPr>
            <i/>
            <sz val="9"/>
            <color rgb="FF0070C0"/>
            <rFont val="Avenir Next"/>
            <family val="34"/>
          </rPr>
          <t>this account had a lot in it--$5,504.38 was "collections"; $64,016.84 was credit card fees; $24,719.97 was solids disposal; and, $3,058.44 was tank inspection (dist main analysis)</t>
        </r>
      </text>
    </comment>
    <comment ref="L58" authorId="0" shapeId="0" xr:uid="{D3026515-0FE4-304E-8739-A3850517D323}">
      <text>
        <r>
          <rPr>
            <i/>
            <sz val="9"/>
            <color rgb="FF0070C0"/>
            <rFont val="Avenir Next"/>
            <family val="34"/>
          </rPr>
          <t xml:space="preserve">Connie Lea Allen, PE:
</t>
        </r>
        <r>
          <rPr>
            <i/>
            <sz val="9"/>
            <color rgb="FF0070C0"/>
            <rFont val="Avenir Next"/>
            <family val="34"/>
          </rPr>
          <t>rounding error only</t>
        </r>
      </text>
    </comment>
    <comment ref="C60" authorId="0" shapeId="0" xr:uid="{7B9EA85E-08A7-3344-BEA6-BD0EFCFD927B}">
      <text>
        <r>
          <rPr>
            <i/>
            <sz val="9"/>
            <color rgb="FF0070C0"/>
            <rFont val="Avenir Next"/>
            <family val="34"/>
          </rPr>
          <t xml:space="preserve">Connie Lea Allen, PE:
</t>
        </r>
        <r>
          <rPr>
            <i/>
            <sz val="9"/>
            <color rgb="FF0070C0"/>
            <rFont val="Avenir Next"/>
            <family val="34"/>
          </rPr>
          <t>I am using the water principal due from debt schedules b/c this doesn't show up as an expense in GL</t>
        </r>
      </text>
    </comment>
    <comment ref="H60" authorId="0" shapeId="0" xr:uid="{BB1C725A-1EEA-8C44-BE1B-F5C784791990}">
      <text>
        <r>
          <rPr>
            <i/>
            <sz val="9"/>
            <color rgb="FF0070C0"/>
            <rFont val="Avenir Next"/>
            <family val="34"/>
          </rPr>
          <t xml:space="preserve">Connie Lea Allen, PE:
</t>
        </r>
        <r>
          <rPr>
            <i/>
            <sz val="9"/>
            <color rgb="FF0070C0"/>
            <rFont val="Avenir Next"/>
            <family val="34"/>
          </rPr>
          <t>part of loan that matures in 2033 went for meters (53%)</t>
        </r>
      </text>
    </comment>
    <comment ref="C61" authorId="0" shapeId="0" xr:uid="{C56A74AD-70A7-7445-9CAF-FC9DA960651C}">
      <text>
        <r>
          <rPr>
            <i/>
            <sz val="9"/>
            <color rgb="FF0070C0"/>
            <rFont val="Avenir Next"/>
            <family val="34"/>
          </rPr>
          <t xml:space="preserve">Connie Lea Allen, PE:
</t>
        </r>
        <r>
          <rPr>
            <i/>
            <sz val="9"/>
            <color rgb="FF0070C0"/>
            <rFont val="Avenir Next"/>
            <family val="34"/>
          </rPr>
          <t>this came from GL; doesn't match the Audit ($141,823), but...</t>
        </r>
      </text>
    </comment>
    <comment ref="C66" authorId="0" shapeId="0" xr:uid="{F2A0797E-5AA8-C94F-B76D-EC56D6D9A167}">
      <text>
        <r>
          <rPr>
            <i/>
            <sz val="9"/>
            <color rgb="FF0070C0"/>
            <rFont val="Avenir Next"/>
            <family val="34"/>
          </rPr>
          <t xml:space="preserve">Connie Lea Allen, PE:
</t>
        </r>
        <r>
          <rPr>
            <i/>
            <sz val="9"/>
            <color rgb="FF0070C0"/>
            <rFont val="Avenir Next"/>
            <family val="34"/>
          </rPr>
          <t>see Excel file "Bardstown Summary Expenses" for reconciliation of COS revenue requirements and Audit (and Ledger) numbers</t>
        </r>
      </text>
    </comment>
    <comment ref="L66" authorId="0" shapeId="0" xr:uid="{231CD349-D0B1-774E-AC87-AF3D9723C2D9}">
      <text>
        <r>
          <rPr>
            <i/>
            <sz val="9"/>
            <color rgb="FF0070C0"/>
            <rFont val="Avenir Next"/>
            <family val="34"/>
          </rPr>
          <t xml:space="preserve">Connie Lea Allen, PE:
</t>
        </r>
        <r>
          <rPr>
            <i/>
            <sz val="9"/>
            <color rgb="FF0070C0"/>
            <rFont val="Avenir Next"/>
            <family val="34"/>
          </rPr>
          <t>rounding error only</t>
        </r>
      </text>
    </comment>
    <comment ref="C71" authorId="0" shapeId="0" xr:uid="{433746E4-0401-B144-965E-75E3B9CD4D55}">
      <text>
        <r>
          <rPr>
            <i/>
            <sz val="9"/>
            <color rgb="FF0070C0"/>
            <rFont val="Avenir Next"/>
            <family val="34"/>
          </rPr>
          <t xml:space="preserve">Connie Lea Allen, PE:
</t>
        </r>
        <r>
          <rPr>
            <i/>
            <sz val="9"/>
            <color rgb="FF0070C0"/>
            <rFont val="Avenir Next"/>
            <family val="34"/>
          </rPr>
          <t>this includes $9,800 boating &amp; fishing fees; $842,158 in grants; $23,110 in insurance recovery; and $15,364 in misc revenue</t>
        </r>
      </text>
    </comment>
    <comment ref="L75" authorId="0" shapeId="0" xr:uid="{9F9BEBE5-F05D-F44E-889C-1DCCA79C911F}">
      <text>
        <r>
          <rPr>
            <i/>
            <sz val="9"/>
            <color rgb="FF0070C0"/>
            <rFont val="Avenir Next"/>
            <family val="34"/>
          </rPr>
          <t xml:space="preserve">Connie Lea Allen, PE:
</t>
        </r>
        <r>
          <rPr>
            <i/>
            <sz val="9"/>
            <color rgb="FF0070C0"/>
            <rFont val="Avenir Next"/>
            <family val="34"/>
          </rPr>
          <t>rounding error only</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Connie Lea Allen, PE</author>
  </authors>
  <commentList>
    <comment ref="B5" authorId="0" shapeId="0" xr:uid="{C0EF118C-B3AF-2C4F-846A-A65B69130B1F}">
      <text>
        <r>
          <rPr>
            <i/>
            <sz val="9"/>
            <color rgb="FF0070C0"/>
            <rFont val="Avenir Next"/>
            <family val="34"/>
          </rPr>
          <t xml:space="preserve">Connie Lea Allen, PE:
</t>
        </r>
        <r>
          <rPr>
            <i/>
            <sz val="9"/>
            <color rgb="FF0070C0"/>
            <rFont val="Avenir Next"/>
            <family val="34"/>
          </rPr>
          <t>this is the contracted minimum purchase (30,000,000 per month) from NNWD at FY26 rate ($3.06), less the cost of production, based on TY WTP costs ($2,592,257), divided by gallons sold (1,380,534,400), $1.877 multiplied by the contract volume to get a net expense for Bardstown</t>
        </r>
      </text>
    </comment>
    <comment ref="C5" authorId="0" shapeId="0" xr:uid="{26F40433-47AF-DB40-8A60-4B13FA1D42C3}">
      <text>
        <r>
          <rPr>
            <i/>
            <sz val="9"/>
            <color rgb="FF0070C0"/>
            <rFont val="Avenir Next"/>
            <family val="34"/>
          </rPr>
          <t xml:space="preserve">Connie Lea Allen, PE:
</t>
        </r>
        <r>
          <rPr>
            <i/>
            <sz val="9"/>
            <color rgb="FF0070C0"/>
            <rFont val="Avenir Next"/>
            <family val="34"/>
          </rPr>
          <t>new cost</t>
        </r>
      </text>
    </comment>
    <comment ref="B6" authorId="0" shapeId="0" xr:uid="{8DF1E863-8DE3-D34E-9198-E48E22611B48}">
      <text>
        <r>
          <rPr>
            <i/>
            <sz val="9"/>
            <color rgb="FF0070C0"/>
            <rFont val="Avenir Next"/>
            <family val="34"/>
          </rPr>
          <t xml:space="preserve">Connie Lea Allen, PE:
</t>
        </r>
        <r>
          <rPr>
            <i/>
            <sz val="9"/>
            <color rgb="FF0070C0"/>
            <rFont val="Avenir Next"/>
            <family val="34"/>
          </rPr>
          <t>spreadsheet titled, "FY26 Water Budget" from Dylan has council-approved FY26 pay increases applied to prior year actual hours and overtime</t>
        </r>
      </text>
    </comment>
    <comment ref="B8" authorId="0" shapeId="0" xr:uid="{22BC9D74-F194-3044-B44E-9069E9697975}">
      <text>
        <r>
          <rPr>
            <i/>
            <sz val="9"/>
            <color rgb="FFFF0000"/>
            <rFont val="Avenir Next"/>
            <family val="34"/>
          </rPr>
          <t xml:space="preserve">Connie Lea Allen, PE:
</t>
        </r>
        <r>
          <rPr>
            <i/>
            <sz val="9"/>
            <color rgb="FFFF0000"/>
            <rFont val="Avenir Next"/>
            <family val="34"/>
          </rPr>
          <t xml:space="preserve">According to PH, retirement rates in the test year were 26.79% and 49.59% for non-haz and haz, respectively; they are currently (FY26) 18.62% and 35.73%
</t>
        </r>
        <r>
          <rPr>
            <i/>
            <sz val="9"/>
            <color rgb="FFFF0000"/>
            <rFont val="Avenir Next"/>
            <family val="34"/>
          </rPr>
          <t>According to PH, all water employees are non-haz</t>
        </r>
      </text>
    </comment>
    <comment ref="C8" authorId="0" shapeId="0" xr:uid="{C71B8DB5-4785-1C4A-B402-DC1D64D9F7C5}">
      <text>
        <r>
          <rPr>
            <i/>
            <sz val="9"/>
            <color rgb="FF0070C0"/>
            <rFont val="Avenir Next"/>
            <family val="34"/>
          </rPr>
          <t xml:space="preserve">Connie Lea Allen, PE:
</t>
        </r>
        <r>
          <rPr>
            <i/>
            <sz val="9"/>
            <color rgb="FF0070C0"/>
            <rFont val="Avenir Next"/>
            <family val="34"/>
          </rPr>
          <t>AB said to use the expense of retirement rather than the net cost</t>
        </r>
      </text>
    </comment>
    <comment ref="B9" authorId="0" shapeId="0" xr:uid="{00B70B70-3D26-C040-A145-F1BC8C87DFFF}">
      <text>
        <r>
          <rPr>
            <i/>
            <sz val="9"/>
            <color rgb="FF0070C0"/>
            <rFont val="Avenir Next"/>
            <family val="34"/>
          </rPr>
          <t xml:space="preserve">Connie Lea Allen, PE:
</t>
        </r>
        <r>
          <rPr>
            <i/>
            <sz val="9"/>
            <color rgb="FF0070C0"/>
            <rFont val="Avenir Next"/>
            <family val="34"/>
          </rPr>
          <t>I don't show pro forma changes for health care premiums because Bardstown is self funded and costs are just as claims are made</t>
        </r>
      </text>
    </comment>
    <comment ref="C11" authorId="0" shapeId="0" xr:uid="{3B607BDE-B170-6B4D-A091-1B38845D922C}">
      <text>
        <r>
          <rPr>
            <i/>
            <sz val="9"/>
            <color rgb="FF0070C0"/>
            <rFont val="Avenir Next"/>
            <family val="34"/>
          </rPr>
          <t xml:space="preserve">Connie Lea Allen, PE:
</t>
        </r>
        <r>
          <rPr>
            <i/>
            <sz val="9"/>
            <color rgb="FF0070C0"/>
            <rFont val="Avenir Next"/>
            <family val="34"/>
          </rPr>
          <t>no pro forma power information was provided; $362,128 is the plant (allocated 70COMM/30CAP) and $345,200 is distribution (allocated by Distribution Main Analysis)</t>
        </r>
      </text>
    </comment>
    <comment ref="C13" authorId="0" shapeId="0" xr:uid="{02BA5EDE-BB37-2747-A811-C960FC1B1611}">
      <text>
        <r>
          <rPr>
            <i/>
            <sz val="9"/>
            <color rgb="FF0070C0"/>
            <rFont val="Avenir Next"/>
            <family val="34"/>
          </rPr>
          <t xml:space="preserve">Connie Lea Allen, PE:
</t>
        </r>
        <r>
          <rPr>
            <i/>
            <sz val="9"/>
            <color rgb="FF0070C0"/>
            <rFont val="Avenir Next"/>
            <family val="34"/>
          </rPr>
          <t>increased by $10,140--skid steer at a cost of $50,700 expensed over 5 years; increased by $9,200--mini-splits cost of $46,000 expensed over 5 years</t>
        </r>
      </text>
    </comment>
    <comment ref="C14" authorId="0" shapeId="0" xr:uid="{93956DE9-26F6-4943-988E-49ECA0FCEC2B}">
      <text>
        <r>
          <rPr>
            <i/>
            <sz val="9"/>
            <color rgb="FF0070C0"/>
            <rFont val="Avenir Next"/>
            <family val="34"/>
          </rPr>
          <t xml:space="preserve">Connie Lea Allen, PE:
</t>
        </r>
        <r>
          <rPr>
            <i/>
            <sz val="9"/>
            <color rgb="FF0070C0"/>
            <rFont val="Avenir Next"/>
            <family val="34"/>
          </rPr>
          <t>increased by $24,493--filter media inspect/repair/replace cost of $122,466 expensed over 5 years</t>
        </r>
      </text>
    </comment>
    <comment ref="C15" authorId="0" shapeId="0" xr:uid="{00665180-F1F5-0C42-A4E1-8FA5D0FB88B5}">
      <text>
        <r>
          <rPr>
            <i/>
            <sz val="9"/>
            <color rgb="FF0070C0"/>
            <rFont val="Avenir Next"/>
            <family val="34"/>
          </rPr>
          <t xml:space="preserve">Connie Lea Allen, PE:
</t>
        </r>
        <r>
          <rPr>
            <i/>
            <sz val="9"/>
            <color rgb="FF0070C0"/>
            <rFont val="Avenir Next"/>
            <family val="34"/>
          </rPr>
          <t>JF's best estimate was $848,168 for chemical cost and $61,163 for transport and delivery fees.  Since JF's estimate involved some extrapolation and some uncertainty as to who would charge delivery fees, we kept test year number.</t>
        </r>
      </text>
    </comment>
    <comment ref="C16" authorId="0" shapeId="0" xr:uid="{8FC4EB41-CAE6-004B-B108-E4CE5EE21FE1}">
      <text>
        <r>
          <rPr>
            <i/>
            <sz val="9"/>
            <color rgb="FF0070C0"/>
            <rFont val="Avenir Next"/>
            <family val="34"/>
          </rPr>
          <t xml:space="preserve">Connie Lea Allen, PE:
</t>
        </r>
        <r>
          <rPr>
            <i/>
            <sz val="9"/>
            <color rgb="FF0070C0"/>
            <rFont val="Avenir Next"/>
            <family val="34"/>
          </rPr>
          <t>3 PF additions; $10,000 for catwalk safety addition expensed over 5 years; $39,876 for Solaraft to kill algae expensed over 3 years; $105,624 for maintenance to pumps expensed over 5 years</t>
        </r>
      </text>
    </comment>
    <comment ref="B20" authorId="0" shapeId="0" xr:uid="{902905BF-F72C-624A-B594-628F5D35FE2C}">
      <text>
        <r>
          <rPr>
            <i/>
            <sz val="9"/>
            <color rgb="FF0070C0"/>
            <rFont val="Avenir Next"/>
            <family val="34"/>
          </rPr>
          <t xml:space="preserve">Connie Lea Allen, PE:
</t>
        </r>
        <r>
          <rPr>
            <i/>
            <sz val="9"/>
            <color rgb="FF0070C0"/>
            <rFont val="Avenir Next"/>
            <family val="34"/>
          </rPr>
          <t>spreadsheet titled, "FY26 Water Budget" from Dylan has council-approved FY26 pay increases applied to prior year actual hours and overtime</t>
        </r>
      </text>
    </comment>
    <comment ref="B22" authorId="0" shapeId="0" xr:uid="{0D4FE87C-3BB2-A349-B7E9-7E50F1FD701A}">
      <text>
        <r>
          <rPr>
            <i/>
            <sz val="9"/>
            <color rgb="FFFF0000"/>
            <rFont val="Avenir Next"/>
            <family val="34"/>
          </rPr>
          <t xml:space="preserve">Connie Lea Allen, PE:
</t>
        </r>
        <r>
          <rPr>
            <i/>
            <sz val="9"/>
            <color rgb="FFFF0000"/>
            <rFont val="Avenir Next"/>
            <family val="34"/>
          </rPr>
          <t>According to PH, retirement rates in the test year were 26.79% and 49.59% for non-haz and haz, respectively; they are currently (FY26) 18.62% and 35.73%</t>
        </r>
      </text>
    </comment>
    <comment ref="L24" authorId="0" shapeId="0" xr:uid="{8577CE6E-6650-B549-9562-20AD3A2CA23A}">
      <text>
        <r>
          <rPr>
            <i/>
            <sz val="9"/>
            <color rgb="FF0070C0"/>
            <rFont val="Avenir Next"/>
            <family val="34"/>
          </rPr>
          <t xml:space="preserve">Connie Lea Allen, PE:
</t>
        </r>
        <r>
          <rPr>
            <i/>
            <sz val="9"/>
            <color rgb="FF0070C0"/>
            <rFont val="Avenir Next"/>
            <family val="34"/>
          </rPr>
          <t>this account had a lot in it--$5,504.38 was "collections"; $64,016.84 was credit card fees; $24,719.97 was solids disposal; and, $3,058.44 was tank inspection (dist main analysis)</t>
        </r>
      </text>
    </comment>
    <comment ref="C27" authorId="0" shapeId="0" xr:uid="{DAA18FE2-389C-0545-A48B-D3CBB0766777}">
      <text>
        <r>
          <rPr>
            <i/>
            <sz val="9"/>
            <color rgb="FF0070C0"/>
            <rFont val="Avenir Next"/>
            <family val="34"/>
          </rPr>
          <t xml:space="preserve">Connie Lea Allen, PE:
</t>
        </r>
        <r>
          <rPr>
            <i/>
            <sz val="9"/>
            <color rgb="FF0070C0"/>
            <rFont val="Avenir Next"/>
            <family val="34"/>
          </rPr>
          <t>increased by $28,776--generator for Mago PS at cost of $143,881 expensed over 5 years; increased by $1,250--tank inspection cost of $3,750 expensed over 3 years; increased by $5,000--tank exterior cleaning cost of $15,000 expensed over 3 years (Fairgrounds); increased by $1,658--tank cleaning and inspection cost of $4,975 expensed over 3 years (Withrow); increased by $1,450--tank cleaning and inspection cost of $4,350 expensed over 3 years (Boston)</t>
        </r>
      </text>
    </comment>
    <comment ref="K27" authorId="0" shapeId="0" xr:uid="{393D78DD-06B8-6542-8700-6E5F88BEECFE}">
      <text>
        <r>
          <rPr>
            <i/>
            <sz val="9"/>
            <color rgb="FF0070C0"/>
            <rFont val="Avenir Next"/>
            <family val="34"/>
          </rPr>
          <t xml:space="preserve">Connie Lea Allen, PE:
</t>
        </r>
        <r>
          <rPr>
            <i/>
            <sz val="9"/>
            <color rgb="FF0070C0"/>
            <rFont val="Avenir Next"/>
            <family val="34"/>
          </rPr>
          <t>$16,165 to industrial; $13,237 to commercial; $7,482 to wholesale</t>
        </r>
      </text>
    </comment>
    <comment ref="C28" authorId="0" shapeId="0" xr:uid="{B135E2A1-2D96-2942-820F-0091E10087FD}">
      <text>
        <r>
          <rPr>
            <i/>
            <sz val="9"/>
            <color rgb="FF0070C0"/>
            <rFont val="Avenir Next"/>
            <family val="34"/>
          </rPr>
          <t xml:space="preserve">Connie Lea Allen, PE:
</t>
        </r>
        <r>
          <rPr>
            <i/>
            <sz val="9"/>
            <color rgb="FF0070C0"/>
            <rFont val="Avenir Next"/>
            <family val="34"/>
          </rPr>
          <t xml:space="preserve">increased by $7,615--repeater and base antenna cost of $38,075 expensed over 5 years; increased by $3,861--water utility portion of mini excavator cost of $19,306 expensed over 5 years--increased by $7,667--SCADA cost of $23,000 expensed over 3 years
</t>
        </r>
      </text>
    </comment>
    <comment ref="B34" authorId="0" shapeId="0" xr:uid="{E1DAF12E-F04A-514F-9A1B-FFCCD5A92A63}">
      <text>
        <r>
          <rPr>
            <i/>
            <sz val="9"/>
            <color rgb="FF0070C0"/>
            <rFont val="Avenir Next"/>
            <family val="34"/>
          </rPr>
          <t xml:space="preserve">Connie Lea Allen, PE:
</t>
        </r>
        <r>
          <rPr>
            <i/>
            <sz val="9"/>
            <color rgb="FF0070C0"/>
            <rFont val="Avenir Next"/>
            <family val="34"/>
          </rPr>
          <t>spreadsheet titled, "FY26 Water Budget" from Dylan has council-approved FY26 pay increases applied to prior year actual hours and overtime</t>
        </r>
      </text>
    </comment>
    <comment ref="B36" authorId="0" shapeId="0" xr:uid="{BF5684E0-17D7-AB4B-A2CF-94AFF2C67A45}">
      <text>
        <r>
          <rPr>
            <i/>
            <sz val="9"/>
            <color rgb="FFFF0000"/>
            <rFont val="Avenir Next"/>
            <family val="34"/>
          </rPr>
          <t xml:space="preserve">Connie Lea Allen, PE:
</t>
        </r>
        <r>
          <rPr>
            <i/>
            <sz val="9"/>
            <color rgb="FFFF0000"/>
            <rFont val="Avenir Next"/>
            <family val="34"/>
          </rPr>
          <t>According to PH, retirement rates in the test year were 26.79% and 49.59% for non-haz and haz, respectively; they are currently (FY26) 18.62% and 35.73%</t>
        </r>
      </text>
    </comment>
    <comment ref="L38" authorId="0" shapeId="0" xr:uid="{4EF77B6D-EAA6-7F44-848F-698C21073B54}">
      <text>
        <r>
          <rPr>
            <i/>
            <sz val="9"/>
            <color rgb="FF0070C0"/>
            <rFont val="Avenir Next"/>
            <family val="34"/>
          </rPr>
          <t xml:space="preserve">Connie Lea Allen, PE:
</t>
        </r>
        <r>
          <rPr>
            <i/>
            <sz val="9"/>
            <color rgb="FF0070C0"/>
            <rFont val="Avenir Next"/>
            <family val="34"/>
          </rPr>
          <t>used a proportion of salaries and wages to pull some workers comp off COMM</t>
        </r>
      </text>
    </comment>
    <comment ref="C46" authorId="0" shapeId="0" xr:uid="{CF098542-CF79-754D-A70A-85EFC66133E9}">
      <text>
        <r>
          <rPr>
            <i/>
            <sz val="9"/>
            <color rgb="FF0070C0"/>
            <rFont val="Avenir Next"/>
            <family val="34"/>
          </rPr>
          <t xml:space="preserve">Connie Lea Allen, PE:
</t>
        </r>
        <r>
          <rPr>
            <i/>
            <sz val="9"/>
            <color rgb="FF0070C0"/>
            <rFont val="Avenir Next"/>
            <family val="34"/>
          </rPr>
          <t>actual FY25 cost for liability ($126,159.13) and property (18,782.47) from KLC</t>
        </r>
      </text>
    </comment>
    <comment ref="B58" authorId="0" shapeId="0" xr:uid="{90AC5C09-7C71-BB40-AADE-9DE6F11C45B8}">
      <text>
        <r>
          <rPr>
            <i/>
            <sz val="9"/>
            <color rgb="FF0070C0"/>
            <rFont val="Avenir Next"/>
            <family val="34"/>
          </rPr>
          <t xml:space="preserve">Connie Lea Allen, PE:
</t>
        </r>
        <r>
          <rPr>
            <i/>
            <sz val="9"/>
            <color rgb="FF0070C0"/>
            <rFont val="Avenir Next"/>
            <family val="34"/>
          </rPr>
          <t>previously linked to workbook Peggy provided, but manually entered values to unlink PII</t>
        </r>
      </text>
    </comment>
    <comment ref="L60" authorId="0" shapeId="0" xr:uid="{EA727198-1071-A44D-8E52-1B22AC5B7A26}">
      <text>
        <r>
          <rPr>
            <i/>
            <sz val="9"/>
            <color rgb="FF0070C0"/>
            <rFont val="Avenir Next"/>
            <family val="34"/>
          </rPr>
          <t xml:space="preserve">Connie Lea Allen, PE:
</t>
        </r>
        <r>
          <rPr>
            <i/>
            <sz val="9"/>
            <color rgb="FF0070C0"/>
            <rFont val="Avenir Next"/>
            <family val="34"/>
          </rPr>
          <t>rounding error only</t>
        </r>
      </text>
    </comment>
    <comment ref="C62" authorId="0" shapeId="0" xr:uid="{C7990FB3-02D9-2C41-9940-FED5D1AE9353}">
      <text>
        <r>
          <rPr>
            <i/>
            <sz val="9"/>
            <color rgb="FF0070C0"/>
            <rFont val="Avenir Next"/>
            <family val="34"/>
          </rPr>
          <t xml:space="preserve">Connie Lea Allen, PE:
</t>
        </r>
        <r>
          <rPr>
            <i/>
            <sz val="9"/>
            <color rgb="FF0070C0"/>
            <rFont val="Avenir Next"/>
            <family val="34"/>
          </rPr>
          <t>I am using the water principal due from debt schedules and adding, here, loan service fees for the 2 new loans, B23 and B24; principal wasn't provided</t>
        </r>
      </text>
    </comment>
    <comment ref="H62" authorId="0" shapeId="0" xr:uid="{93A5273B-69F2-D348-98B0-2C2307830E11}">
      <text>
        <r>
          <rPr>
            <i/>
            <sz val="9"/>
            <color rgb="FF0070C0"/>
            <rFont val="Avenir Next"/>
            <family val="34"/>
          </rPr>
          <t xml:space="preserve">Connie Lea Allen, PE:
</t>
        </r>
        <r>
          <rPr>
            <i/>
            <sz val="9"/>
            <color rgb="FF0070C0"/>
            <rFont val="Avenir Next"/>
            <family val="34"/>
          </rPr>
          <t>part of loan that matures in 2033 went for meters (53%)</t>
        </r>
      </text>
    </comment>
    <comment ref="C63" authorId="0" shapeId="0" xr:uid="{7C15DDF5-5329-7640-8A9A-97A2495C3AE6}">
      <text>
        <r>
          <rPr>
            <i/>
            <sz val="9"/>
            <color rgb="FF0070C0"/>
            <rFont val="Avenir Next"/>
            <family val="34"/>
          </rPr>
          <t>Connie Lea Allen, PE:</t>
        </r>
        <r>
          <rPr>
            <sz val="9"/>
            <color rgb="FF000000"/>
            <rFont val="Avenir Book"/>
            <family val="2"/>
          </rPr>
          <t xml:space="preserve">
</t>
        </r>
        <r>
          <rPr>
            <i/>
            <sz val="9"/>
            <color rgb="FF0070C0"/>
            <rFont val="Avenir Next"/>
            <family val="34"/>
          </rPr>
          <t>I am using the water interest due from debt schedules and adding, here, 2 new loans, B23 and B24; $23,904.53 and $28,776.01, respectively</t>
        </r>
      </text>
    </comment>
    <comment ref="L68" authorId="0" shapeId="0" xr:uid="{5BBF1B8A-D0D4-3F4D-9D31-34C362E64ADF}">
      <text>
        <r>
          <rPr>
            <i/>
            <sz val="9"/>
            <color rgb="FF0070C0"/>
            <rFont val="Avenir Next"/>
            <family val="34"/>
          </rPr>
          <t xml:space="preserve">Connie Lea Allen, PE:
</t>
        </r>
        <r>
          <rPr>
            <i/>
            <sz val="9"/>
            <color rgb="FF0070C0"/>
            <rFont val="Avenir Next"/>
            <family val="34"/>
          </rPr>
          <t>rounding error only</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Connie Lea Allen, PE</author>
    <author>Connie Allen</author>
  </authors>
  <commentList>
    <comment ref="P4" authorId="0" shapeId="0" xr:uid="{BD7C6A0B-C201-F34E-9EFF-EDA1B83C5C12}">
      <text>
        <r>
          <rPr>
            <i/>
            <sz val="8"/>
            <color rgb="FF0070C0"/>
            <rFont val="Avenir Next"/>
            <family val="34"/>
          </rPr>
          <t xml:space="preserve">Connie Lea Allen, PE:
</t>
        </r>
        <r>
          <rPr>
            <i/>
            <sz val="8"/>
            <color rgb="FF0070C0"/>
            <rFont val="Avenir Next"/>
            <family val="34"/>
          </rPr>
          <t>I have to create a spreadsheet in order to change service life of pipe to PSC's 62.5.  My spreadsheet is more crude than the accountant's because I use years to calculate; the accountant uses months.  My depreciation will always be a little different than the Audit, even before the alteration of pipe service life.</t>
        </r>
      </text>
    </comment>
    <comment ref="L8" authorId="1" shapeId="0" xr:uid="{F011DF33-B674-B24E-ABB0-F5D513B13596}">
      <text>
        <r>
          <rPr>
            <i/>
            <sz val="9"/>
            <color rgb="FF0070C0"/>
            <rFont val="Avenir Next"/>
            <family val="34"/>
          </rPr>
          <t xml:space="preserve">Connie Allen:
</t>
        </r>
        <r>
          <rPr>
            <i/>
            <sz val="9"/>
            <color rgb="FF0070C0"/>
            <rFont val="Avenir Next"/>
            <family val="34"/>
          </rPr>
          <t xml:space="preserve">average day (4,450,668) to peak day (6,320,580), so, 70% commodity (4450K/6320K) and 30% capacity
</t>
        </r>
      </text>
    </comment>
    <comment ref="L12" authorId="1" shapeId="0" xr:uid="{1B264875-E002-A54D-AEB7-4B36A1E16530}">
      <text>
        <r>
          <rPr>
            <i/>
            <sz val="9"/>
            <color rgb="FF000000"/>
            <rFont val="Avenir Next"/>
            <family val="34"/>
          </rPr>
          <t xml:space="preserve">Connie Allen:
</t>
        </r>
        <r>
          <rPr>
            <i/>
            <sz val="9"/>
            <color rgb="FF000000"/>
            <rFont val="Avenir Next"/>
            <family val="34"/>
          </rPr>
          <t xml:space="preserve">average day (4,450,668) to peak day (6,320,580), so, 70% commodity (4450K/6320K) and 30% capacity
</t>
        </r>
      </text>
    </comment>
    <comment ref="L13" authorId="1" shapeId="0" xr:uid="{B707196E-90E4-724E-BFFB-100C0FD20473}">
      <text>
        <r>
          <rPr>
            <i/>
            <sz val="9"/>
            <color rgb="FF000000"/>
            <rFont val="Avenir Next"/>
            <family val="34"/>
          </rPr>
          <t xml:space="preserve">Connie Allen:
</t>
        </r>
        <r>
          <rPr>
            <i/>
            <sz val="9"/>
            <color rgb="FF000000"/>
            <rFont val="Avenir Next"/>
            <family val="34"/>
          </rPr>
          <t xml:space="preserve">average day (4,450,668) to peak day (6,320,580), so, 70% commodity (4450K/6320K) and 30% capacity
</t>
        </r>
      </text>
    </comment>
    <comment ref="L14" authorId="1" shapeId="0" xr:uid="{55646CD2-B6C7-6346-83D4-A52151E4A9C9}">
      <text>
        <r>
          <rPr>
            <i/>
            <sz val="9"/>
            <color rgb="FF000000"/>
            <rFont val="Avenir Next"/>
            <family val="34"/>
          </rPr>
          <t xml:space="preserve">Connie Allen:
</t>
        </r>
        <r>
          <rPr>
            <i/>
            <sz val="9"/>
            <color rgb="FF000000"/>
            <rFont val="Avenir Next"/>
            <family val="34"/>
          </rPr>
          <t xml:space="preserve">average day (4,450,668) to peak day (6,320,580), so, 70% commodity (4450K/6320K) and 30% capacity
</t>
        </r>
      </text>
    </comment>
    <comment ref="L15" authorId="1" shapeId="0" xr:uid="{25988484-6D4A-F64B-9149-F2EE99B50AD2}">
      <text>
        <r>
          <rPr>
            <i/>
            <sz val="9"/>
            <color rgb="FF000000"/>
            <rFont val="Avenir Next"/>
            <family val="34"/>
          </rPr>
          <t xml:space="preserve">Connie Allen:
</t>
        </r>
        <r>
          <rPr>
            <i/>
            <sz val="9"/>
            <color rgb="FF000000"/>
            <rFont val="Avenir Next"/>
            <family val="34"/>
          </rPr>
          <t xml:space="preserve">average day (4,450,668) to peak day (6,320,580), so, 70% commodity (4450K/6320K) and 30% capacity
</t>
        </r>
      </text>
    </comment>
    <comment ref="L22" authorId="1" shapeId="0" xr:uid="{9AEAD747-B80F-1244-A2C3-82251C7C9F4A}">
      <text>
        <r>
          <rPr>
            <i/>
            <sz val="9"/>
            <color rgb="FF000000"/>
            <rFont val="Avenir Next"/>
            <family val="34"/>
          </rPr>
          <t xml:space="preserve">Connie Allen:
</t>
        </r>
        <r>
          <rPr>
            <i/>
            <sz val="9"/>
            <color rgb="FF000000"/>
            <rFont val="Avenir Next"/>
            <family val="34"/>
          </rPr>
          <t xml:space="preserve">average day (4,450,668) to peak day (6,320,580), so, 70% commodity (4450K/6320K) and 30% capacity
</t>
        </r>
      </text>
    </comment>
    <comment ref="C33" authorId="0" shapeId="0" xr:uid="{71853C65-BBD9-3D4D-B549-923E9D382395}">
      <text>
        <r>
          <rPr>
            <i/>
            <sz val="9"/>
            <color rgb="FF0070C0"/>
            <rFont val="Avenir Next"/>
            <family val="34"/>
          </rPr>
          <t xml:space="preserve">Connie Lea Allen, PE:
</t>
        </r>
        <r>
          <rPr>
            <i/>
            <sz val="9"/>
            <color rgb="FF0070C0"/>
            <rFont val="Avenir Next"/>
            <family val="34"/>
          </rPr>
          <t>This differs from the Auditor's number by almost $90,000; however, I had to create my own spreadsheet (because I had to change the pipe SL for PSC) and my spreadsheet does not allow for partial years.  This will not be much of an issue with the pro-forma depreciation because I won't use many, if any, new assets unless they had at least 1 used and useful year.</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Connie Lea Allen, PE</author>
  </authors>
  <commentList>
    <comment ref="C19" authorId="0" shapeId="0" xr:uid="{900CF701-5344-2B41-8723-226D5D52094F}">
      <text>
        <r>
          <rPr>
            <i/>
            <sz val="9"/>
            <color rgb="FF0070C0"/>
            <rFont val="Avenir Next"/>
            <family val="34"/>
          </rPr>
          <t xml:space="preserve">Connie Lea Allen, PE:
</t>
        </r>
        <r>
          <rPr>
            <i/>
            <sz val="9"/>
            <color rgb="FF0070C0"/>
            <rFont val="Avenir Next"/>
            <family val="34"/>
          </rPr>
          <t>this is from my PF worksheet plus new transmission main at ($4,133,450/62.5)</t>
        </r>
      </text>
    </comment>
    <comment ref="C20" authorId="0" shapeId="0" xr:uid="{235394B0-FE58-884D-9BE5-78D1FB41F2C8}">
      <text>
        <r>
          <rPr>
            <i/>
            <sz val="9"/>
            <color rgb="FF0070C0"/>
            <rFont val="Avenir Next"/>
            <family val="34"/>
          </rPr>
          <t xml:space="preserve">Connie Lea Allen, PE:
</t>
        </r>
        <r>
          <rPr>
            <i/>
            <sz val="9"/>
            <color rgb="FF0070C0"/>
            <rFont val="Avenir Next"/>
            <family val="34"/>
          </rPr>
          <t>the addition of $3,502 is the difference in the test year used and useful for Downtown Waterline Replacement and the installed cost; the other is from my worksheet</t>
        </r>
      </text>
    </comment>
    <comment ref="C21" authorId="0" shapeId="0" xr:uid="{813F8A2C-64D2-8E4E-B2D5-4A2FC25F9423}">
      <text>
        <r>
          <rPr>
            <i/>
            <sz val="9"/>
            <color rgb="FF0070C0"/>
            <rFont val="Avenir Next"/>
            <family val="34"/>
          </rPr>
          <t xml:space="preserve">Connie Lea Allen, PE:
</t>
        </r>
        <r>
          <rPr>
            <i/>
            <sz val="9"/>
            <color rgb="FF0070C0"/>
            <rFont val="Avenir Next"/>
            <family val="34"/>
          </rPr>
          <t>$141,364 (from my worksheet) plus $42,600 and new tank annual depreciation at $4,779,250/45</t>
        </r>
      </text>
    </comment>
    <comment ref="C25" authorId="0" shapeId="0" xr:uid="{2DA2B5C8-DCF8-794C-A918-D03B3FE5AB41}">
      <text>
        <r>
          <rPr>
            <i/>
            <sz val="9"/>
            <color rgb="FF0070C0"/>
            <rFont val="Avenir Next"/>
            <family val="34"/>
          </rPr>
          <t xml:space="preserve">Connie Lea Allen, PE:
</t>
        </r>
        <r>
          <rPr>
            <i/>
            <sz val="9"/>
            <color rgb="FF0070C0"/>
            <rFont val="Avenir Next"/>
            <family val="34"/>
          </rPr>
          <t>addt'l pro forma changes of $37,375 and $53,663 for 2 phases of AMI meter changeout</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Connie Lea Allen, PE</author>
  </authors>
  <commentList>
    <comment ref="H6" authorId="0" shapeId="0" xr:uid="{28980BB0-46AC-4745-9D7F-81A8882D7EBA}">
      <text>
        <r>
          <rPr>
            <sz val="9"/>
            <color rgb="FF948A54"/>
            <rFont val="Avenir Book"/>
            <family val="2"/>
            <charset val="204"/>
          </rPr>
          <t xml:space="preserve">Connie Lea Allen, PE:
</t>
        </r>
        <r>
          <rPr>
            <sz val="9"/>
            <color rgb="FF948A54"/>
            <rFont val="Avenir Book"/>
            <family val="2"/>
            <charset val="204"/>
          </rPr>
          <t>actually, principal isn't due yet; this is loan service fee</t>
        </r>
      </text>
    </comment>
    <comment ref="H7" authorId="0" shapeId="0" xr:uid="{A45DE875-9018-434A-80E9-9604708D2411}">
      <text>
        <r>
          <rPr>
            <sz val="9"/>
            <color rgb="FF948A54"/>
            <rFont val="Avenir Book"/>
            <family val="2"/>
            <charset val="204"/>
          </rPr>
          <t xml:space="preserve">Connie Lea Allen, PE:
</t>
        </r>
        <r>
          <rPr>
            <sz val="9"/>
            <color rgb="FF948A54"/>
            <rFont val="Avenir Book"/>
            <family val="2"/>
            <charset val="204"/>
          </rPr>
          <t>actually, principal isn't due yet; this is loan service fee</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Connie Allen</author>
    <author>Connie Lea Allen, PE</author>
  </authors>
  <commentList>
    <comment ref="B2" authorId="0" shapeId="0" xr:uid="{B446BB4E-5B75-6741-81A9-0CDCDA38BAFB}">
      <text>
        <r>
          <rPr>
            <i/>
            <sz val="8"/>
            <color rgb="FF0070C0"/>
            <rFont val="Avenir Next"/>
            <family val="34"/>
          </rPr>
          <t xml:space="preserve">Connie Allen:
</t>
        </r>
        <r>
          <rPr>
            <i/>
            <sz val="8"/>
            <color rgb="FF0070C0"/>
            <rFont val="Avenir Next"/>
            <family val="34"/>
          </rPr>
          <t>from usage summaries from Jessica, test year unshifted</t>
        </r>
      </text>
    </comment>
    <comment ref="A9" authorId="1" shapeId="0" xr:uid="{355E70CB-F081-5A48-B17C-E7E3C3CEC38D}">
      <text>
        <r>
          <rPr>
            <i/>
            <sz val="8"/>
            <color rgb="FF0070C0"/>
            <rFont val="Avenir Next"/>
            <family val="34"/>
          </rPr>
          <t xml:space="preserve">Connie Lea Allen, PE:
</t>
        </r>
        <r>
          <rPr>
            <i/>
            <sz val="8"/>
            <color rgb="FF0070C0"/>
            <rFont val="Avenir Next"/>
            <family val="34"/>
          </rPr>
          <t>So, "City Books" is a category for city-owned facilities, and almost all Jerry Riley WWTP and the WTP.  As of now, Bardstown charges the WWTP "outside city" rates.  I'm carrying it through, basically as another owner commercial class.  I will recommend they do not charge the WWTP the differential.</t>
        </r>
      </text>
    </comment>
    <comment ref="A11" authorId="1" shapeId="0" xr:uid="{4287C3D2-CAA9-AD4E-ACCF-8D5CDD9EFDC1}">
      <text>
        <r>
          <rPr>
            <i/>
            <sz val="9"/>
            <color rgb="FF0070C0"/>
            <rFont val="Avenir Next"/>
            <family val="34"/>
          </rPr>
          <t xml:space="preserve">Connie Lea Allen, PE:
</t>
        </r>
        <r>
          <rPr>
            <i/>
            <sz val="9"/>
            <color rgb="FF0070C0"/>
            <rFont val="Avenir Next"/>
            <family val="34"/>
          </rPr>
          <t>includes four months of New Haven prior to merger</t>
        </r>
      </text>
    </comment>
    <comment ref="B17" authorId="0" shapeId="0" xr:uid="{52AACF6F-4DBF-4442-BF3E-9DEC103CD898}">
      <text>
        <r>
          <rPr>
            <i/>
            <sz val="8"/>
            <color rgb="FF0070C0"/>
            <rFont val="Avenir Next"/>
            <family val="34"/>
          </rPr>
          <t xml:space="preserve">Connie Allen:
</t>
        </r>
        <r>
          <rPr>
            <i/>
            <sz val="8"/>
            <color rgb="FF0070C0"/>
            <rFont val="Avenir Next"/>
            <family val="34"/>
          </rPr>
          <t>from Jessica's "water loss tracker" unshifted</t>
        </r>
      </text>
    </comment>
    <comment ref="B19" authorId="1" shapeId="0" xr:uid="{EE560458-58AC-494E-9778-95A133C78B06}">
      <text>
        <r>
          <rPr>
            <i/>
            <sz val="8"/>
            <color rgb="FF0070C0"/>
            <rFont val="Avenir Next"/>
            <family val="34"/>
          </rPr>
          <t xml:space="preserve">Connie Lea Allen, PE:
</t>
        </r>
        <r>
          <rPr>
            <i/>
            <sz val="8"/>
            <color rgb="FF0070C0"/>
            <rFont val="Avenir Next"/>
            <family val="34"/>
          </rPr>
          <t>matches with "water loss tracker" which is 1,380,534,400 gallons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Connie L Allen</author>
    <author>Connie Lea Allen, PE</author>
  </authors>
  <commentList>
    <comment ref="D2" authorId="0" shapeId="0" xr:uid="{00000000-0006-0000-0600-000001000000}">
      <text>
        <r>
          <rPr>
            <b/>
            <sz val="9"/>
            <color rgb="FF000000"/>
            <rFont val="Avenir Book"/>
            <family val="2"/>
          </rPr>
          <t>Connie L Allen:</t>
        </r>
        <r>
          <rPr>
            <sz val="9"/>
            <color rgb="FF000000"/>
            <rFont val="Avenir Book"/>
            <family val="2"/>
          </rPr>
          <t xml:space="preserve">
</t>
        </r>
        <r>
          <rPr>
            <sz val="9"/>
            <color rgb="FF000000"/>
            <rFont val="Avenir Book"/>
            <family val="2"/>
          </rPr>
          <t>the peaking factor reflects the way the customer class used the distribution system at the current time; if demands significantly change in quantity or diurnal pattern, the peaking factor will have to be adjusted</t>
        </r>
      </text>
    </comment>
    <comment ref="A11" authorId="1" shapeId="0" xr:uid="{1AF74F36-EF4E-9849-AA97-8B89081CD627}">
      <text>
        <r>
          <rPr>
            <i/>
            <sz val="9"/>
            <color rgb="FF0070C0"/>
            <rFont val="Avenir Next"/>
            <family val="34"/>
          </rPr>
          <t xml:space="preserve">Connie Lea Allen, PE:
</t>
        </r>
        <r>
          <rPr>
            <i/>
            <sz val="9"/>
            <color rgb="FF0070C0"/>
            <rFont val="Avenir Next"/>
            <family val="34"/>
          </rPr>
          <t>includes four months of New Haven prior to merger</t>
        </r>
      </text>
    </comment>
  </commentList>
</comments>
</file>

<file path=xl/sharedStrings.xml><?xml version="1.0" encoding="utf-8"?>
<sst xmlns="http://schemas.openxmlformats.org/spreadsheetml/2006/main" count="1082" uniqueCount="433">
  <si>
    <t>acct no</t>
  </si>
  <si>
    <t>account description</t>
  </si>
  <si>
    <t>total expenses</t>
  </si>
  <si>
    <t>basis of classification</t>
  </si>
  <si>
    <t>weighted customer</t>
  </si>
  <si>
    <t>commodity (COMM)</t>
  </si>
  <si>
    <t>capacity  (CAP)</t>
  </si>
  <si>
    <t>actual customer (AC)</t>
  </si>
  <si>
    <t>customer accounting (WCA)</t>
  </si>
  <si>
    <t>meters and services (WCMS)</t>
  </si>
  <si>
    <t>public fire (PFP)</t>
  </si>
  <si>
    <t>direct assign (DA)</t>
  </si>
  <si>
    <t>chemicals</t>
  </si>
  <si>
    <t>total taxes and fees</t>
  </si>
  <si>
    <t>principal expense</t>
  </si>
  <si>
    <t>interest expense</t>
  </si>
  <si>
    <t>total debt service</t>
  </si>
  <si>
    <t>total revenue requirement</t>
  </si>
  <si>
    <t>less miscellaneous revenues</t>
  </si>
  <si>
    <t>other operating</t>
  </si>
  <si>
    <t>total miscellaneous revenues</t>
  </si>
  <si>
    <t>revenue related       (RR)</t>
  </si>
  <si>
    <t>100% WCA</t>
  </si>
  <si>
    <t>intangible</t>
  </si>
  <si>
    <t>total source of supply</t>
  </si>
  <si>
    <t>total intangible plant</t>
  </si>
  <si>
    <t>land &amp; land rights</t>
  </si>
  <si>
    <t>meters</t>
  </si>
  <si>
    <t>lab equipment</t>
  </si>
  <si>
    <t>total general plant</t>
  </si>
  <si>
    <t>less</t>
  </si>
  <si>
    <t>accumulated depreciation</t>
  </si>
  <si>
    <t>total accumulated depreciation</t>
  </si>
  <si>
    <t>total contributions in aid</t>
  </si>
  <si>
    <t>plus</t>
  </si>
  <si>
    <t>materials &amp; supplies</t>
  </si>
  <si>
    <t>prepayments</t>
  </si>
  <si>
    <t>total working capital</t>
  </si>
  <si>
    <t>as O&amp;M expense</t>
  </si>
  <si>
    <t>total rate base</t>
  </si>
  <si>
    <t>% total rate base</t>
  </si>
  <si>
    <t>factor RATE BASE</t>
  </si>
  <si>
    <t>100 WCMS</t>
  </si>
  <si>
    <t>100 PFP</t>
  </si>
  <si>
    <t>100% COMM</t>
  </si>
  <si>
    <t>total transmission &amp; distribution</t>
  </si>
  <si>
    <t>vehicles</t>
  </si>
  <si>
    <t>dist main analysis</t>
  </si>
  <si>
    <t>equipment</t>
  </si>
  <si>
    <t>as trans &amp; dist lines</t>
  </si>
  <si>
    <t>(COMM-1)</t>
  </si>
  <si>
    <t>DISTRIBUTION FACTOR</t>
  </si>
  <si>
    <t>Total</t>
  </si>
  <si>
    <t>% of Total</t>
  </si>
  <si>
    <t>Customer Class</t>
  </si>
  <si>
    <t>Commodity Distribution Factor</t>
  </si>
  <si>
    <t>(CAP-1)</t>
  </si>
  <si>
    <t>Peaking Factor</t>
  </si>
  <si>
    <t>Capacity Distribution Factor</t>
  </si>
  <si>
    <t>(CUST-3)</t>
  </si>
  <si>
    <t>(CUST-2)</t>
  </si>
  <si>
    <t>(CUST-1)</t>
  </si>
  <si>
    <t>Weighted Customer</t>
  </si>
  <si>
    <t>Customers Weighted for Customer Accounting</t>
  </si>
  <si>
    <t>Customer Accounting Weighting Factor</t>
  </si>
  <si>
    <t>Customer Distribution Factors</t>
  </si>
  <si>
    <t>Fire protection flow requirements are based on AWWA Manual M-31 (Table 1-6), specifically 750 gpm for 1 and 2-family dwellings, 31 to 100 feet apart, 3000 gpm for the example of a supermarket, 30 feet away from the exposure building of masonry construction; and, that same example building but 60 feet away from the exposure building (2250 gpm).  Again, these are not specific design requirements--just an estimate to differientiate demands between the customer classes.</t>
  </si>
  <si>
    <t>This table is meant to distinguish the possible demands placed upon the water distribution system during fire fighting activities.  It is not meant for fire protection design purposes as generalities were used, recognizing the vast differences in building size and construction materials that exist within the various customer classes.</t>
  </si>
  <si>
    <t>(PFP-1)</t>
  </si>
  <si>
    <t>Total Fire Protection Requirement (MG)</t>
  </si>
  <si>
    <t>Duration (mins)</t>
  </si>
  <si>
    <t>Public Fire Protection Requirements (GPM)</t>
  </si>
  <si>
    <t xml:space="preserve"> Number of Units</t>
  </si>
  <si>
    <t>Public Fire Distribution Factor</t>
  </si>
  <si>
    <t>(REV-1)</t>
  </si>
  <si>
    <t>REVENUE RELATED DISTRIBUTION FACTOR</t>
  </si>
  <si>
    <t>Revenues at Present Rates</t>
  </si>
  <si>
    <t>Revenue Related Distribution Factor</t>
  </si>
  <si>
    <t>Fire Protection Component</t>
  </si>
  <si>
    <t xml:space="preserve">minus </t>
  </si>
  <si>
    <t>Capacity Component</t>
  </si>
  <si>
    <t>divided by</t>
  </si>
  <si>
    <t>gives</t>
  </si>
  <si>
    <t>Add</t>
  </si>
  <si>
    <t>multiplied by</t>
  </si>
  <si>
    <t>Add cost of 2 inch through 6 inch pipe</t>
  </si>
  <si>
    <t>Customer Component</t>
  </si>
  <si>
    <t>Totals</t>
  </si>
  <si>
    <t>Replacement Cost ($)</t>
  </si>
  <si>
    <t>Installed Cost ($/LF)</t>
  </si>
  <si>
    <t>Linear Feet</t>
  </si>
  <si>
    <t>Pipe Size (in)</t>
  </si>
  <si>
    <t>Distribution Main Analysis</t>
  </si>
  <si>
    <t>direct assignment</t>
  </si>
  <si>
    <t>distr main analysis</t>
  </si>
  <si>
    <t>pumping</t>
  </si>
  <si>
    <t>LD</t>
  </si>
  <si>
    <t>PM</t>
  </si>
  <si>
    <t>EQ</t>
  </si>
  <si>
    <t>heavy equipment</t>
  </si>
  <si>
    <t>HE</t>
  </si>
  <si>
    <t>VE</t>
  </si>
  <si>
    <t>total water treatment plant</t>
  </si>
  <si>
    <t>transmission mains</t>
  </si>
  <si>
    <t>distribution lines</t>
  </si>
  <si>
    <t>storage tanks</t>
  </si>
  <si>
    <t>TM</t>
  </si>
  <si>
    <t>MT</t>
  </si>
  <si>
    <t>WS</t>
  </si>
  <si>
    <t>using meter equivalent ratio from AWWA Manual M-1, Table VI.2-5, page 274</t>
  </si>
  <si>
    <t>5/8</t>
  </si>
  <si>
    <t>FN</t>
  </si>
  <si>
    <t>furniture</t>
  </si>
  <si>
    <t>structures</t>
  </si>
  <si>
    <t>ST</t>
  </si>
  <si>
    <t>TK</t>
  </si>
  <si>
    <t>total depreciation</t>
  </si>
  <si>
    <t>description</t>
  </si>
  <si>
    <t>issue/loan</t>
  </si>
  <si>
    <t>outstanding principal</t>
  </si>
  <si>
    <t>interest payment</t>
  </si>
  <si>
    <t>principal payment</t>
  </si>
  <si>
    <t>% water</t>
  </si>
  <si>
    <t>IT</t>
  </si>
  <si>
    <t>BL</t>
  </si>
  <si>
    <t>OO</t>
  </si>
  <si>
    <t>NO</t>
  </si>
  <si>
    <t>MI</t>
  </si>
  <si>
    <t>professional services</t>
  </si>
  <si>
    <t>1/8 O&amp;M (working capital)</t>
  </si>
  <si>
    <t>gross plant in service</t>
  </si>
  <si>
    <t>net plant in service</t>
  </si>
  <si>
    <t>from sheet</t>
  </si>
  <si>
    <t>see acc dep sheet</t>
  </si>
  <si>
    <t>WCMS</t>
  </si>
  <si>
    <t xml:space="preserve">dist main analysis </t>
  </si>
  <si>
    <t>Plus % Non-Revenue</t>
  </si>
  <si>
    <t>payment in lieu of taxes</t>
  </si>
  <si>
    <t>AC</t>
  </si>
  <si>
    <t>WCA</t>
  </si>
  <si>
    <t>postage</t>
  </si>
  <si>
    <t>administration &amp; general expenses</t>
  </si>
  <si>
    <t>total all administrative expense</t>
  </si>
  <si>
    <t>COMM</t>
  </si>
  <si>
    <t>total operation &amp; maintenance</t>
  </si>
  <si>
    <t>Meters and Services Weighting Factor based on meter equivalent ratios from AWWA Manual M-1, Table VI.2-5, page 274</t>
  </si>
  <si>
    <t>water sales</t>
  </si>
  <si>
    <t>total annual debt service</t>
  </si>
  <si>
    <t>annual water portion of DS</t>
  </si>
  <si>
    <t>fnctn</t>
  </si>
  <si>
    <t>original capital cost</t>
  </si>
  <si>
    <t>wholesale meters</t>
  </si>
  <si>
    <t>total annual depreciation</t>
  </si>
  <si>
    <t>factor O&amp;M</t>
  </si>
  <si>
    <t>payroll tax &amp; FICA/UC</t>
  </si>
  <si>
    <t xml:space="preserve">Customer %  = total LF  X  $20.00  = </t>
  </si>
  <si>
    <t xml:space="preserve">                                                                                                                                                                                                                                                                                                                                                                                                                                                                                                                                                                                                                                                                                                                                                                                                                                                                                                                                                                                                                                                                                                                                                                                                                                                                                                                                                                                                                                                                                                                                                                                                                                                                                                                                                                                                                                                                                                                                                                                             </t>
  </si>
  <si>
    <t>LE</t>
  </si>
  <si>
    <t xml:space="preserve">% total </t>
  </si>
  <si>
    <t>as operation plant</t>
  </si>
  <si>
    <t>MC</t>
  </si>
  <si>
    <t>customer charge</t>
  </si>
  <si>
    <t>contract services</t>
  </si>
  <si>
    <t>miscellaneous</t>
  </si>
  <si>
    <t>total maintenance expense</t>
  </si>
  <si>
    <t>as plant in service</t>
  </si>
  <si>
    <t>source of supply (SS)</t>
  </si>
  <si>
    <t>water treatment plant (WTP)</t>
  </si>
  <si>
    <t>general plant (AD)</t>
  </si>
  <si>
    <t>ftr "plant in service"</t>
  </si>
  <si>
    <t>ftr "operation plant"</t>
  </si>
  <si>
    <r>
      <t>non-operating</t>
    </r>
    <r>
      <rPr>
        <sz val="9"/>
        <color rgb="FFFF0000"/>
        <rFont val="Avenir Book"/>
        <family val="2"/>
      </rPr>
      <t xml:space="preserve"> </t>
    </r>
  </si>
  <si>
    <t>see "depreciation"</t>
  </si>
  <si>
    <t xml:space="preserve">legal, capitalizd int, study </t>
  </si>
  <si>
    <t>% of gross plant in service</t>
  </si>
  <si>
    <t>Owner Residential</t>
  </si>
  <si>
    <t>Non-Owner Residential</t>
  </si>
  <si>
    <t>Owner Commercial</t>
  </si>
  <si>
    <t>Non-Owner Commercial</t>
  </si>
  <si>
    <t>total TY annual depreciation</t>
  </si>
  <si>
    <t>gallons</t>
  </si>
  <si>
    <t>water loss limit for wholesale</t>
  </si>
  <si>
    <t>credit to wholesale</t>
  </si>
  <si>
    <t>other equipment</t>
  </si>
  <si>
    <t>cmptr, softwr &amp; periph</t>
  </si>
  <si>
    <t>equipment &amp; valves</t>
  </si>
  <si>
    <t>FY21 Metered Water (gallons)</t>
  </si>
  <si>
    <t>Total at the Source (gallons)</t>
  </si>
  <si>
    <t>average residential daily usage (ERU), in gallons based on residential customers, only (this is per household)</t>
  </si>
  <si>
    <t>% of sales</t>
  </si>
  <si>
    <t>percent PSC-defined loss</t>
  </si>
  <si>
    <t>% of loss</t>
  </si>
  <si>
    <r>
      <t>averag</t>
    </r>
    <r>
      <rPr>
        <sz val="8"/>
        <rFont val="Avenir Book"/>
        <family val="2"/>
      </rPr>
      <t>e per person</t>
    </r>
    <r>
      <rPr>
        <b/>
        <sz val="8"/>
        <rFont val="Avenir Book"/>
        <family val="2"/>
      </rPr>
      <t xml:space="preserve"> </t>
    </r>
    <r>
      <rPr>
        <sz val="8"/>
        <color theme="1"/>
        <rFont val="Avenir Book"/>
        <family val="2"/>
      </rPr>
      <t>water usage, in gallons, at home, per US EPA (USGS 2015)</t>
    </r>
  </si>
  <si>
    <t>30 June 2024</t>
  </si>
  <si>
    <t>direct customer add</t>
  </si>
  <si>
    <t>68 COMM/32 CAP</t>
  </si>
  <si>
    <t>Peak Day Est'd (gallons)</t>
  </si>
  <si>
    <t>Total Annual plus NR Water (gallons)</t>
  </si>
  <si>
    <t>Ave Day Use plus NR Water (gallons)</t>
  </si>
  <si>
    <t>unaccounted-for water (loss)</t>
  </si>
  <si>
    <t>total treatment plant expense</t>
  </si>
  <si>
    <t>water distribution and maintenance</t>
  </si>
  <si>
    <t>office supplies</t>
  </si>
  <si>
    <t>dues &amp; subscriptions</t>
  </si>
  <si>
    <t xml:space="preserve">water source &amp; treatment plant </t>
  </si>
  <si>
    <t>power</t>
  </si>
  <si>
    <t>Owner Industrial</t>
  </si>
  <si>
    <t>Non-Owner Industrial</t>
  </si>
  <si>
    <t>Wholesale - Bloomfield</t>
  </si>
  <si>
    <t>Wholesale Larue County Water District</t>
  </si>
  <si>
    <t>Wholesale - North Nelson Water District</t>
  </si>
  <si>
    <t>people per household Nelson County U.S. Bureau of Census</t>
  </si>
  <si>
    <t>fiscal year ended</t>
  </si>
  <si>
    <t>water matures 2032 ($3,500,000)</t>
  </si>
  <si>
    <t>water matures 2033 ($1,800,000)</t>
  </si>
  <si>
    <t>water matures 2037 ($1,220,499)</t>
  </si>
  <si>
    <t>water matures 2039 ($1,123,048)</t>
  </si>
  <si>
    <t>annual sewer portion of DS</t>
  </si>
  <si>
    <t>KIA</t>
  </si>
  <si>
    <t>sewer matures 2032 ($1,800,000)</t>
  </si>
  <si>
    <t>sewer matures 2041 ($6,218,035)</t>
  </si>
  <si>
    <t>sewer matures 2043 ($1,326,918)</t>
  </si>
  <si>
    <t>payments made during test year (YE 30 June 2023)</t>
  </si>
  <si>
    <t>WATER future principal and interest requirements YE 2024</t>
  </si>
  <si>
    <t>accounted-for non-revenue (flushing &amp; fire)</t>
  </si>
  <si>
    <t>gallons for direct to make up</t>
  </si>
  <si>
    <t>water treated (through HS pumps)</t>
  </si>
  <si>
    <t>"City Books"</t>
  </si>
  <si>
    <t>building</t>
  </si>
  <si>
    <t>shared use</t>
  </si>
  <si>
    <t>land</t>
  </si>
  <si>
    <t>sludge handling</t>
  </si>
  <si>
    <t>SH</t>
  </si>
  <si>
    <t>TR</t>
  </si>
  <si>
    <t>treatment</t>
  </si>
  <si>
    <t>structures/system</t>
  </si>
  <si>
    <t>SY</t>
  </si>
  <si>
    <t>hydraulic model</t>
  </si>
  <si>
    <t>total shared use</t>
  </si>
  <si>
    <t>total SS, WTP, TD  &amp; shared</t>
  </si>
  <si>
    <t>PS</t>
  </si>
  <si>
    <t>as TM and DL</t>
  </si>
  <si>
    <t>distribution &amp; transmission (DT)</t>
  </si>
  <si>
    <t>DS</t>
  </si>
  <si>
    <t>total SS, WTP, DT  &amp; shared</t>
  </si>
  <si>
    <t>TY annual depreciation using Auditor's service lives</t>
  </si>
  <si>
    <t>Audit</t>
  </si>
  <si>
    <t>CLA</t>
  </si>
  <si>
    <t>equipment &amp; line</t>
  </si>
  <si>
    <t>Auditor adjustment</t>
  </si>
  <si>
    <t>is what the pdf version of the Auditor's accumulated depreciation showed</t>
  </si>
  <si>
    <t>actual customer</t>
  </si>
  <si>
    <t>commodity</t>
  </si>
  <si>
    <t>contributions and grants in aid</t>
  </si>
  <si>
    <t>70 COMM/30 CAP</t>
  </si>
  <si>
    <t>elected official salary alloc</t>
  </si>
  <si>
    <t>salaries &amp; wages</t>
  </si>
  <si>
    <t>overtime wages</t>
  </si>
  <si>
    <t>employee retirement</t>
  </si>
  <si>
    <t>health self-funding</t>
  </si>
  <si>
    <t>workers comp &amp; unempl</t>
  </si>
  <si>
    <t>elected official retirement</t>
  </si>
  <si>
    <t>elected official health</t>
  </si>
  <si>
    <t>technical supplies</t>
  </si>
  <si>
    <t>software</t>
  </si>
  <si>
    <t>uniform &amp; clothing</t>
  </si>
  <si>
    <t>maint &amp; heating supplies</t>
  </si>
  <si>
    <t>maint building &amp; plant</t>
  </si>
  <si>
    <t>motor fuel &amp; lubricants</t>
  </si>
  <si>
    <t>janitorial supplies</t>
  </si>
  <si>
    <t>vehicle repair and lease</t>
  </si>
  <si>
    <t>billing expenses</t>
  </si>
  <si>
    <t>cell and telephone</t>
  </si>
  <si>
    <t>bad debt</t>
  </si>
  <si>
    <t>publication expense</t>
  </si>
  <si>
    <t>insurance &amp; surety bonds</t>
  </si>
  <si>
    <t>employee education</t>
  </si>
  <si>
    <t>travel &amp; conference</t>
  </si>
  <si>
    <t>maint (not incl elsewhere)</t>
  </si>
  <si>
    <t>COMM &amp; WCA</t>
  </si>
  <si>
    <t>DA</t>
  </si>
  <si>
    <t>TY (FY23) total expenses</t>
  </si>
  <si>
    <t>average</t>
  </si>
  <si>
    <t>maximum</t>
  </si>
  <si>
    <t>Bardstown MORs</t>
  </si>
  <si>
    <t>meter maint &amp; ag supplies</t>
  </si>
  <si>
    <t>as employee cost</t>
  </si>
  <si>
    <t>lease, dispos &amp; int</t>
  </si>
  <si>
    <t>connects &amp; svcs</t>
  </si>
  <si>
    <t>penalties</t>
  </si>
  <si>
    <t>total PF annual depreciation</t>
  </si>
  <si>
    <t>COMM/CAP &amp; WCA</t>
  </si>
  <si>
    <t>from Audit (may include other)</t>
  </si>
  <si>
    <t>for WTP - all</t>
  </si>
  <si>
    <t>bashwash - all</t>
  </si>
  <si>
    <t>chloramine - all</t>
  </si>
  <si>
    <t>see note 1</t>
  </si>
  <si>
    <t>note 1 - per JF, for 16" transmission main from Bloomfield Road to NCIP tank; serves Bloomfield, industrial, commercial and residential at same percentage allocation as Mago pump station ($844,550; 47% of loan); remainder ($955,450; 53% of loan) for metering.</t>
  </si>
  <si>
    <t>Equivalent for 8 inch through 24 inch</t>
  </si>
  <si>
    <t>customer component</t>
  </si>
  <si>
    <t>raw water equipment</t>
  </si>
  <si>
    <t>COMM/CAP</t>
  </si>
  <si>
    <t>misc and grants</t>
  </si>
  <si>
    <t>Annotation of Direct Assignments for Rate Base</t>
  </si>
  <si>
    <t>Direct Assignment</t>
  </si>
  <si>
    <t>Residential</t>
  </si>
  <si>
    <t>Commercial</t>
  </si>
  <si>
    <t>Industrial</t>
  </si>
  <si>
    <t>Wholesale</t>
  </si>
  <si>
    <t>notes</t>
  </si>
  <si>
    <t>Owner</t>
  </si>
  <si>
    <t>Non-Owner</t>
  </si>
  <si>
    <t>Total of Direct Assign for Rate Base</t>
  </si>
  <si>
    <t>note 1:</t>
  </si>
  <si>
    <t>note 2:</t>
  </si>
  <si>
    <t>note 3:</t>
  </si>
  <si>
    <t>note 4:</t>
  </si>
  <si>
    <t>Bloomfield</t>
  </si>
  <si>
    <t>Larue County</t>
  </si>
  <si>
    <t>North Nelson</t>
  </si>
  <si>
    <t>note 1</t>
  </si>
  <si>
    <t>note 2</t>
  </si>
  <si>
    <t>note 3</t>
  </si>
  <si>
    <t>note 4</t>
  </si>
  <si>
    <t>by usage proportion</t>
  </si>
  <si>
    <t>City Books</t>
  </si>
  <si>
    <t>as accum deprec</t>
  </si>
  <si>
    <t>most service related</t>
  </si>
  <si>
    <t>...some residential (Owner and Non-Owner) split with commercial, and some industrial</t>
  </si>
  <si>
    <t>...the Boston Road tank</t>
  </si>
  <si>
    <t>...the Mago pumping station which serves residential, commercial, industrial and Bloomfield</t>
  </si>
  <si>
    <t>...the 16-inch to the industrial park</t>
  </si>
  <si>
    <t>grants in aid of const</t>
  </si>
  <si>
    <t>cost of purchased water</t>
  </si>
  <si>
    <t>Line No.</t>
  </si>
  <si>
    <t>Cost Component</t>
  </si>
  <si>
    <t>revenues at present rates</t>
  </si>
  <si>
    <t>allocated revenue requirement</t>
  </si>
  <si>
    <t>net income</t>
  </si>
  <si>
    <t>rate base</t>
  </si>
  <si>
    <t>present return on rate base</t>
  </si>
  <si>
    <t>proposed rate of return</t>
  </si>
  <si>
    <t>proposed return component</t>
  </si>
  <si>
    <t>proposed rate revenues</t>
  </si>
  <si>
    <t>balance (deficiency) of funds</t>
  </si>
  <si>
    <t>change over present rates</t>
  </si>
  <si>
    <t>Allocated Commodity Costs</t>
  </si>
  <si>
    <t>Allocated Capacity Costs</t>
  </si>
  <si>
    <t>Allocated Pub Fire Pro Costs</t>
  </si>
  <si>
    <t>Allocated Return Component</t>
  </si>
  <si>
    <t>Allocated Customer Costs</t>
  </si>
  <si>
    <t>Customer Costs - $/Cust/Mn</t>
  </si>
  <si>
    <t>Basic Data:</t>
  </si>
  <si>
    <t>Number of Customers</t>
  </si>
  <si>
    <t>Rate Base - Distribution of Costs</t>
  </si>
  <si>
    <t>Basis of Distribution</t>
  </si>
  <si>
    <t>COMM-1</t>
  </si>
  <si>
    <t>CAP-1</t>
  </si>
  <si>
    <t>CUST-1</t>
  </si>
  <si>
    <t>CUST-2</t>
  </si>
  <si>
    <t>CUST-3</t>
  </si>
  <si>
    <t>PFP-1</t>
  </si>
  <si>
    <t>RR-1</t>
  </si>
  <si>
    <t>Total Rate Base</t>
  </si>
  <si>
    <t>Expenses - Distribution of Costs</t>
  </si>
  <si>
    <t>Assignment</t>
  </si>
  <si>
    <t>direct assign</t>
  </si>
  <si>
    <t>Total Expenses</t>
  </si>
  <si>
    <t>Larue Co</t>
  </si>
  <si>
    <t>Commodity Costs - $/1000 gal</t>
  </si>
  <si>
    <t>Capacity Costs - $/1000 gal</t>
  </si>
  <si>
    <t>TY Water Purchase (in Kgal)</t>
  </si>
  <si>
    <t>PFP Costs - $/1000 gal</t>
  </si>
  <si>
    <t>Retn Cmp Costs - $/1000 gal</t>
  </si>
  <si>
    <t>Allocated Direct Assignments</t>
  </si>
  <si>
    <t>DA Costs - $/1000 gal</t>
  </si>
  <si>
    <t>Volumetric Cost - $/1000 gal</t>
  </si>
  <si>
    <t>Ave Number of Customers  or Meters</t>
  </si>
  <si>
    <t>elected official salary</t>
  </si>
  <si>
    <t>Mago &amp; tank maint</t>
  </si>
  <si>
    <t>demand proportion</t>
  </si>
  <si>
    <t>depr - transmission mains</t>
  </si>
  <si>
    <t>depr - distribution lines</t>
  </si>
  <si>
    <t>depr - storage tanks</t>
  </si>
  <si>
    <t>depr - pumping</t>
  </si>
  <si>
    <t>depr - vehicles &amp; equipmt</t>
  </si>
  <si>
    <t>depr - shared use</t>
  </si>
  <si>
    <t>trans &amp; distr lines</t>
  </si>
  <si>
    <t>minimum, inside city (2,000 gal)</t>
  </si>
  <si>
    <t>minimum, outside city (2,000 gal)</t>
  </si>
  <si>
    <t>per 1,000 for next 76,000 gal</t>
  </si>
  <si>
    <t>current rates</t>
  </si>
  <si>
    <t>test year revenue requirement</t>
  </si>
  <si>
    <t>portion of power cost by WTP</t>
  </si>
  <si>
    <t>total power cost w/Mago reassign</t>
  </si>
  <si>
    <t>portion of power cost by distrib</t>
  </si>
  <si>
    <t>by asset; note 1</t>
  </si>
  <si>
    <t>by asset; note 2</t>
  </si>
  <si>
    <t>by asset; note 3</t>
  </si>
  <si>
    <t>by asset; note 4</t>
  </si>
  <si>
    <t>Heaven Hill and Nazareth TMs (comm/ind); 16-in to Ind Pk (ind); 16-in Mago PS to Bloomfield Rd (res/comm/ind/Bloomfield)</t>
  </si>
  <si>
    <t>New Haven waterlines (Larue); contributed lines (NO res); various (comm/ind); Hur-be, Life Care Way (res)</t>
  </si>
  <si>
    <t>coatings &amp; extension of life (ind); Withrow (res/comm/ind); Boston and Botland (NO res)</t>
  </si>
  <si>
    <t>rounding error only</t>
  </si>
  <si>
    <r>
      <t xml:space="preserve">Meters and Services Weighting Factor.     </t>
    </r>
    <r>
      <rPr>
        <sz val="8"/>
        <color theme="1"/>
        <rFont val="Avenir Book"/>
        <family val="2"/>
      </rPr>
      <t>(see note 1)</t>
    </r>
  </si>
  <si>
    <t>Note 1:  Bardstown is going to incorporate minimum bills based on size of meter, for example, a customer with a 2-inch meter will pay a minimum bill of the customer charge + (volumetric rate * (2,000 gallons * 8)), 8 being the meter equivalent ratio from AWWA.  Therefore, using a factor, here, is not necessary.</t>
  </si>
  <si>
    <t>COS</t>
  </si>
  <si>
    <t>fixed cost (CUST)</t>
  </si>
  <si>
    <t>if single wholesale rate</t>
  </si>
  <si>
    <t>see note cell C11</t>
  </si>
  <si>
    <t>average monthly residential usage in gallons</t>
  </si>
  <si>
    <t>Annotation of Direct Assignments for Expenses</t>
  </si>
  <si>
    <t>Total of Direct Assign for Expenses</t>
  </si>
  <si>
    <t>matches expenses</t>
  </si>
  <si>
    <t>average residential and commercial - owner</t>
  </si>
  <si>
    <t>average residential and commercial - non-owner</t>
  </si>
  <si>
    <t>minimum bill</t>
  </si>
  <si>
    <t>reduce $0.20 going from 2.5 to 2.0 on industrial</t>
  </si>
  <si>
    <t>O Res</t>
  </si>
  <si>
    <t>N-O Res</t>
  </si>
  <si>
    <t>O Com</t>
  </si>
  <si>
    <t>N-O Com</t>
  </si>
  <si>
    <t>Ind</t>
  </si>
  <si>
    <t>City</t>
  </si>
  <si>
    <t>W Bloom</t>
  </si>
  <si>
    <t>W LC</t>
  </si>
  <si>
    <t>W NN</t>
  </si>
  <si>
    <t>total, with return component</t>
  </si>
  <si>
    <t>net revenue requirement</t>
  </si>
  <si>
    <t>ds main anal &amp; WCA</t>
  </si>
  <si>
    <t>per 1,000 gallons over 78,000 gal</t>
  </si>
  <si>
    <t>Mago PS (res/comm/ind/Bloomfield); Nelson Ind Park (ind); Culvertown $3,981, (50% to LCWD and 50% to NO comm)</t>
  </si>
  <si>
    <t>Wholesale - Larue County Water District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</si>
</sst>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00_-;\-&quot;$&quot;* #,##0.00_-;_-&quot;$&quot;* &quot;-&quot;??_-;_-@_-"/>
    <numFmt numFmtId="165" formatCode="0.0%"/>
    <numFmt numFmtId="166" formatCode="_-&quot;$&quot;* #,##0_-;\-&quot;$&quot;* #,##0_-;_-&quot;$&quot;* &quot;-&quot;??_-;_-@_-"/>
    <numFmt numFmtId="167" formatCode="_(* #,##0_);_(* \(#,##0\);_(* &quot;-&quot;??_);_(@_)"/>
    <numFmt numFmtId="168" formatCode="0.000"/>
    <numFmt numFmtId="169" formatCode="&quot;$&quot;#,##0;[Red]&quot;$&quot;#,##0"/>
    <numFmt numFmtId="170" formatCode="&quot;$&quot;#,##0"/>
    <numFmt numFmtId="171" formatCode="0.0"/>
    <numFmt numFmtId="172" formatCode="_(&quot;$&quot;* #,##0_);_(&quot;$&quot;* \(#,##0\);_(&quot;$&quot;* &quot;-&quot;??_);_(@_)"/>
    <numFmt numFmtId="173" formatCode="_(* #,##0.00000_);_(* \(#,##0.00000\);_(* &quot;-&quot;??_);_(@_)"/>
    <numFmt numFmtId="174" formatCode="#."/>
    <numFmt numFmtId="175" formatCode="0_);[Red]\(0\)"/>
    <numFmt numFmtId="176" formatCode="0.0000%"/>
    <numFmt numFmtId="177" formatCode="[$-409]mmmm\-yy;@"/>
    <numFmt numFmtId="178" formatCode="&quot;$&quot;#,##0.00"/>
  </numFmts>
  <fonts count="49">
    <font>
      <sz val="12"/>
      <color theme="1"/>
      <name val="Avenir Book"/>
      <family val="2"/>
      <charset val="204"/>
    </font>
    <font>
      <sz val="12"/>
      <color theme="1"/>
      <name val="Avenir Book"/>
      <family val="2"/>
      <charset val="204"/>
    </font>
    <font>
      <sz val="12"/>
      <color theme="1"/>
      <name val="Avenir Book"/>
      <family val="2"/>
      <charset val="204"/>
    </font>
    <font>
      <sz val="12"/>
      <color theme="1"/>
      <name val="Avenir Book"/>
      <family val="2"/>
    </font>
    <font>
      <sz val="8"/>
      <name val="Avenir Book"/>
      <family val="2"/>
    </font>
    <font>
      <u/>
      <sz val="12"/>
      <color theme="10"/>
      <name val="Avenir Book"/>
      <family val="2"/>
    </font>
    <font>
      <u/>
      <sz val="12"/>
      <color theme="11"/>
      <name val="Avenir Book"/>
      <family val="2"/>
    </font>
    <font>
      <sz val="9"/>
      <color theme="1"/>
      <name val="Avenir Book"/>
      <family val="2"/>
    </font>
    <font>
      <sz val="9"/>
      <name val="Avenir Book"/>
      <family val="2"/>
    </font>
    <font>
      <b/>
      <sz val="9"/>
      <color rgb="FF000000"/>
      <name val="Avenir Book"/>
      <family val="2"/>
    </font>
    <font>
      <sz val="9"/>
      <color rgb="FF000000"/>
      <name val="Avenir Book"/>
      <family val="2"/>
    </font>
    <font>
      <i/>
      <sz val="9"/>
      <color rgb="FF000000"/>
      <name val="Avenir Next"/>
      <family val="34"/>
    </font>
    <font>
      <i/>
      <sz val="10"/>
      <color rgb="FF000000"/>
      <name val="Avenir Next"/>
      <family val="34"/>
    </font>
    <font>
      <sz val="9"/>
      <color rgb="FFFF0000"/>
      <name val="Avenir Book"/>
      <family val="2"/>
    </font>
    <font>
      <sz val="9"/>
      <color rgb="FF00B050"/>
      <name val="Avenir Book"/>
      <family val="2"/>
    </font>
    <font>
      <sz val="8"/>
      <name val="Avenir Book"/>
      <family val="2"/>
      <charset val="204"/>
    </font>
    <font>
      <sz val="9"/>
      <color theme="1"/>
      <name val="Avenir Book"/>
      <family val="2"/>
      <charset val="204"/>
    </font>
    <font>
      <sz val="12"/>
      <color theme="1"/>
      <name val="Times New Roman"/>
      <family val="2"/>
    </font>
    <font>
      <sz val="9"/>
      <color theme="7"/>
      <name val="Avenir Book"/>
      <family val="2"/>
    </font>
    <font>
      <sz val="9"/>
      <color theme="7" tint="-0.249977111117893"/>
      <name val="Avenir Book"/>
      <family val="2"/>
    </font>
    <font>
      <sz val="9"/>
      <color theme="2" tint="-0.499984740745262"/>
      <name val="Avenir Book"/>
      <family val="2"/>
    </font>
    <font>
      <i/>
      <sz val="9"/>
      <color theme="1"/>
      <name val="Avenir Book"/>
      <family val="2"/>
    </font>
    <font>
      <sz val="9"/>
      <color theme="7" tint="-0.249977111117893"/>
      <name val="Avenir Heavy"/>
      <family val="2"/>
    </font>
    <font>
      <sz val="9"/>
      <color theme="1"/>
      <name val="Avenir Next Medium"/>
      <family val="2"/>
    </font>
    <font>
      <sz val="8"/>
      <color theme="1"/>
      <name val="Avenir Book"/>
      <family val="2"/>
    </font>
    <font>
      <sz val="8"/>
      <color theme="6" tint="-0.249977111117893"/>
      <name val="Avenir Book"/>
      <family val="2"/>
    </font>
    <font>
      <sz val="9"/>
      <color theme="7" tint="0.39997558519241921"/>
      <name val="Avenir Book"/>
      <family val="2"/>
    </font>
    <font>
      <sz val="9"/>
      <color rgb="FFFF0000"/>
      <name val="Avenir Book"/>
      <family val="2"/>
      <charset val="204"/>
    </font>
    <font>
      <i/>
      <sz val="9"/>
      <color theme="7"/>
      <name val="Avenir Book"/>
      <family val="2"/>
    </font>
    <font>
      <sz val="9"/>
      <name val="Avenir Next Regular"/>
    </font>
    <font>
      <sz val="9"/>
      <color theme="2" tint="-0.499984740745262"/>
      <name val="Avenir Next Medium"/>
      <family val="2"/>
    </font>
    <font>
      <sz val="9"/>
      <color theme="2" tint="-0.499984740745262"/>
      <name val="Avenir Book"/>
      <family val="2"/>
      <charset val="204"/>
    </font>
    <font>
      <b/>
      <sz val="8"/>
      <name val="Avenir Book"/>
      <family val="2"/>
    </font>
    <font>
      <i/>
      <sz val="9"/>
      <color rgb="FF0070C0"/>
      <name val="Avenir Next"/>
      <family val="34"/>
    </font>
    <font>
      <i/>
      <sz val="8"/>
      <color rgb="FF0070C0"/>
      <name val="Avenir Next"/>
      <family val="34"/>
    </font>
    <font>
      <sz val="9"/>
      <color theme="0" tint="-0.499984740745262"/>
      <name val="Avenir Book"/>
      <family val="2"/>
    </font>
    <font>
      <sz val="8"/>
      <color theme="1"/>
      <name val="Avenir Next Italic"/>
    </font>
    <font>
      <sz val="11"/>
      <color rgb="FFFF0000"/>
      <name val="Avenir Book"/>
      <family val="2"/>
    </font>
    <font>
      <i/>
      <sz val="9"/>
      <color rgb="FFFF0000"/>
      <name val="Avenir Next"/>
      <family val="34"/>
    </font>
    <font>
      <sz val="9"/>
      <color theme="1"/>
      <name val="Avenir Next Italic"/>
    </font>
    <font>
      <i/>
      <sz val="9"/>
      <color rgb="FF000000"/>
      <name val="Avenir Next"/>
      <family val="2"/>
    </font>
    <font>
      <sz val="10"/>
      <color theme="1"/>
      <name val="Avenir Book"/>
      <family val="2"/>
    </font>
    <font>
      <sz val="9"/>
      <color rgb="FF00B0F0"/>
      <name val="Avenir Book"/>
      <family val="2"/>
    </font>
    <font>
      <sz val="8"/>
      <color theme="1"/>
      <name val="Avenir Book"/>
      <family val="2"/>
      <charset val="204"/>
    </font>
    <font>
      <sz val="6"/>
      <color theme="1"/>
      <name val="Avenir Book"/>
      <family val="2"/>
    </font>
    <font>
      <i/>
      <sz val="9"/>
      <color rgb="FF8064A2"/>
      <name val="Avenir Book"/>
      <family val="2"/>
    </font>
    <font>
      <sz val="9"/>
      <color theme="7" tint="-0.249977111117893"/>
      <name val="Avenir Next Medium"/>
      <family val="2"/>
    </font>
    <font>
      <sz val="9"/>
      <color theme="7" tint="-0.249977111117893"/>
      <name val="Avenir Book"/>
      <family val="2"/>
      <charset val="204"/>
    </font>
    <font>
      <sz val="9"/>
      <color rgb="FF948A54"/>
      <name val="Avenir Book"/>
      <family val="2"/>
      <charset val="204"/>
    </font>
  </fonts>
  <fills count="12">
    <fill>
      <patternFill patternType="none"/>
    </fill>
    <fill>
      <patternFill patternType="gray125"/>
    </fill>
    <fill>
      <patternFill patternType="solid">
        <fgColor theme="4" tint="0.79998168889431442"/>
        <bgColor indexed="64"/>
      </patternFill>
    </fill>
    <fill>
      <patternFill patternType="solid">
        <fgColor theme="2"/>
        <bgColor indexed="64"/>
      </patternFill>
    </fill>
    <fill>
      <patternFill patternType="solid">
        <fgColor theme="0" tint="-4.9989318521683403E-2"/>
        <bgColor indexed="64"/>
      </patternFill>
    </fill>
    <fill>
      <patternFill patternType="solid">
        <fgColor rgb="FFF7FFC7"/>
        <bgColor indexed="64"/>
      </patternFill>
    </fill>
    <fill>
      <patternFill patternType="solid">
        <fgColor theme="2" tint="-9.9978637043366805E-2"/>
        <bgColor indexed="64"/>
      </patternFill>
    </fill>
    <fill>
      <patternFill patternType="solid">
        <fgColor rgb="FFE6ECF8"/>
        <bgColor indexed="64"/>
      </patternFill>
    </fill>
    <fill>
      <patternFill patternType="solid">
        <fgColor rgb="FFF4F8E8"/>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8" tint="0.79998168889431442"/>
        <bgColor indexed="64"/>
      </patternFill>
    </fill>
  </fills>
  <borders count="78">
    <border>
      <left/>
      <right/>
      <top/>
      <bottom/>
      <diagonal/>
    </border>
    <border>
      <left/>
      <right/>
      <top style="thin">
        <color auto="1"/>
      </top>
      <bottom/>
      <diagonal/>
    </border>
    <border>
      <left/>
      <right/>
      <top/>
      <bottom style="thin">
        <color auto="1"/>
      </bottom>
      <diagonal/>
    </border>
    <border>
      <left/>
      <right/>
      <top/>
      <bottom style="double">
        <color auto="1"/>
      </bottom>
      <diagonal/>
    </border>
    <border>
      <left style="thin">
        <color auto="1"/>
      </left>
      <right/>
      <top/>
      <bottom style="thin">
        <color auto="1"/>
      </bottom>
      <diagonal/>
    </border>
    <border>
      <left/>
      <right/>
      <top style="thin">
        <color auto="1"/>
      </top>
      <bottom style="thin">
        <color auto="1"/>
      </bottom>
      <diagonal/>
    </border>
    <border>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theme="2" tint="-0.499984740745262"/>
      </top>
      <bottom style="thin">
        <color theme="2" tint="-0.499984740745262"/>
      </bottom>
      <diagonal/>
    </border>
    <border>
      <left style="thin">
        <color auto="1"/>
      </left>
      <right/>
      <top/>
      <bottom/>
      <diagonal/>
    </border>
    <border>
      <left/>
      <right style="thin">
        <color auto="1"/>
      </right>
      <top/>
      <bottom/>
      <diagonal/>
    </border>
    <border>
      <left style="double">
        <color auto="1"/>
      </left>
      <right/>
      <top/>
      <bottom/>
      <diagonal/>
    </border>
    <border>
      <left/>
      <right style="double">
        <color auto="1"/>
      </right>
      <top/>
      <bottom/>
      <diagonal/>
    </border>
    <border>
      <left/>
      <right style="double">
        <color auto="1"/>
      </right>
      <top/>
      <bottom style="double">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double">
        <color auto="1"/>
      </left>
      <right/>
      <top style="thin">
        <color auto="1"/>
      </top>
      <bottom style="thin">
        <color auto="1"/>
      </bottom>
      <diagonal/>
    </border>
    <border>
      <left style="double">
        <color auto="1"/>
      </left>
      <right/>
      <top/>
      <bottom style="thin">
        <color auto="1"/>
      </bottom>
      <diagonal/>
    </border>
    <border>
      <left/>
      <right style="double">
        <color auto="1"/>
      </right>
      <top/>
      <bottom style="thin">
        <color auto="1"/>
      </bottom>
      <diagonal/>
    </border>
    <border>
      <left style="double">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right style="double">
        <color auto="1"/>
      </right>
      <top style="thin">
        <color auto="1"/>
      </top>
      <bottom/>
      <diagonal/>
    </border>
    <border>
      <left style="double">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right/>
      <top style="double">
        <color auto="1"/>
      </top>
      <bottom/>
      <diagonal/>
    </border>
    <border>
      <left/>
      <right/>
      <top style="thin">
        <color theme="2" tint="-0.499984740745262"/>
      </top>
      <bottom/>
      <diagonal/>
    </border>
    <border>
      <left/>
      <right/>
      <top/>
      <bottom style="thin">
        <color theme="2" tint="-0.499984740745262"/>
      </bottom>
      <diagonal/>
    </border>
    <border>
      <left/>
      <right/>
      <top style="thin">
        <color auto="1"/>
      </top>
      <bottom style="thin">
        <color theme="2" tint="-0.499984740745262"/>
      </bottom>
      <diagonal/>
    </border>
    <border>
      <left/>
      <right/>
      <top style="thin">
        <color auto="1"/>
      </top>
      <bottom style="dotted">
        <color theme="2" tint="-0.499984740745262"/>
      </bottom>
      <diagonal/>
    </border>
    <border>
      <left/>
      <right/>
      <top style="thin">
        <color theme="2" tint="-0.499984740745262"/>
      </top>
      <bottom style="dotted">
        <color theme="2" tint="-0.499984740745262"/>
      </bottom>
      <diagonal/>
    </border>
    <border>
      <left style="double">
        <color theme="7" tint="-0.24994659260841701"/>
      </left>
      <right/>
      <top style="double">
        <color theme="7" tint="-0.24994659260841701"/>
      </top>
      <bottom/>
      <diagonal/>
    </border>
    <border>
      <left/>
      <right/>
      <top style="double">
        <color theme="7" tint="-0.24994659260841701"/>
      </top>
      <bottom style="thin">
        <color auto="1"/>
      </bottom>
      <diagonal/>
    </border>
    <border>
      <left/>
      <right/>
      <top style="double">
        <color theme="7" tint="-0.24994659260841701"/>
      </top>
      <bottom/>
      <diagonal/>
    </border>
    <border>
      <left/>
      <right style="double">
        <color theme="7" tint="-0.24994659260841701"/>
      </right>
      <top style="double">
        <color theme="7" tint="-0.24994659260841701"/>
      </top>
      <bottom style="thin">
        <color auto="1"/>
      </bottom>
      <diagonal/>
    </border>
    <border>
      <left style="double">
        <color theme="7" tint="-0.24994659260841701"/>
      </left>
      <right/>
      <top/>
      <bottom style="thin">
        <color auto="1"/>
      </bottom>
      <diagonal/>
    </border>
    <border>
      <left/>
      <right style="double">
        <color theme="7" tint="-0.24994659260841701"/>
      </right>
      <top/>
      <bottom style="thin">
        <color auto="1"/>
      </bottom>
      <diagonal/>
    </border>
    <border>
      <left style="double">
        <color theme="7" tint="-0.24994659260841701"/>
      </left>
      <right/>
      <top style="thin">
        <color auto="1"/>
      </top>
      <bottom style="thin">
        <color theme="2" tint="-0.499984740745262"/>
      </bottom>
      <diagonal/>
    </border>
    <border>
      <left/>
      <right style="double">
        <color theme="7" tint="-0.24994659260841701"/>
      </right>
      <top style="thin">
        <color auto="1"/>
      </top>
      <bottom style="thin">
        <color theme="2" tint="-0.499984740745262"/>
      </bottom>
      <diagonal/>
    </border>
    <border>
      <left style="double">
        <color theme="7" tint="-0.24994659260841701"/>
      </left>
      <right/>
      <top style="thin">
        <color theme="2" tint="-0.499984740745262"/>
      </top>
      <bottom style="thin">
        <color theme="2" tint="-0.499984740745262"/>
      </bottom>
      <diagonal/>
    </border>
    <border>
      <left/>
      <right style="double">
        <color theme="7" tint="-0.24994659260841701"/>
      </right>
      <top style="thin">
        <color theme="2" tint="-0.499984740745262"/>
      </top>
      <bottom style="thin">
        <color theme="2" tint="-0.499984740745262"/>
      </bottom>
      <diagonal/>
    </border>
    <border>
      <left style="double">
        <color theme="7" tint="-0.24994659260841701"/>
      </left>
      <right/>
      <top/>
      <bottom style="double">
        <color theme="7" tint="-0.24994659260841701"/>
      </bottom>
      <diagonal/>
    </border>
    <border>
      <left/>
      <right/>
      <top/>
      <bottom style="double">
        <color theme="7" tint="-0.24994659260841701"/>
      </bottom>
      <diagonal/>
    </border>
    <border>
      <left/>
      <right style="double">
        <color theme="7" tint="-0.24994659260841701"/>
      </right>
      <top/>
      <bottom style="double">
        <color theme="7" tint="-0.24994659260841701"/>
      </bottom>
      <diagonal/>
    </border>
    <border>
      <left/>
      <right style="double">
        <color theme="7" tint="-0.24994659260841701"/>
      </right>
      <top style="double">
        <color theme="7" tint="-0.24994659260841701"/>
      </top>
      <bottom/>
      <diagonal/>
    </border>
    <border>
      <left style="double">
        <color theme="7" tint="-0.24994659260841701"/>
      </left>
      <right/>
      <top style="thin">
        <color auto="1"/>
      </top>
      <bottom style="dotted">
        <color theme="2" tint="-0.499984740745262"/>
      </bottom>
      <diagonal/>
    </border>
    <border>
      <left/>
      <right style="double">
        <color theme="7" tint="-0.24994659260841701"/>
      </right>
      <top style="thin">
        <color auto="1"/>
      </top>
      <bottom style="dotted">
        <color theme="2" tint="-0.499984740745262"/>
      </bottom>
      <diagonal/>
    </border>
    <border>
      <left style="double">
        <color theme="7" tint="-0.24994659260841701"/>
      </left>
      <right/>
      <top/>
      <bottom style="thin">
        <color theme="2" tint="-0.499984740745262"/>
      </bottom>
      <diagonal/>
    </border>
    <border>
      <left/>
      <right style="double">
        <color theme="7" tint="-0.24994659260841701"/>
      </right>
      <top/>
      <bottom style="thin">
        <color theme="2" tint="-0.499984740745262"/>
      </bottom>
      <diagonal/>
    </border>
    <border>
      <left style="double">
        <color theme="7" tint="-0.24994659260841701"/>
      </left>
      <right/>
      <top style="thin">
        <color theme="2" tint="-0.499984740745262"/>
      </top>
      <bottom style="dotted">
        <color theme="2" tint="-0.499984740745262"/>
      </bottom>
      <diagonal/>
    </border>
    <border>
      <left/>
      <right style="double">
        <color theme="7" tint="-0.24994659260841701"/>
      </right>
      <top style="thin">
        <color theme="2" tint="-0.499984740745262"/>
      </top>
      <bottom style="dotted">
        <color theme="2" tint="-0.499984740745262"/>
      </bottom>
      <diagonal/>
    </border>
    <border>
      <left style="double">
        <color theme="7" tint="-0.24994659260841701"/>
      </left>
      <right/>
      <top/>
      <bottom/>
      <diagonal/>
    </border>
    <border>
      <left/>
      <right style="double">
        <color theme="7" tint="-0.24994659260841701"/>
      </right>
      <top/>
      <bottom/>
      <diagonal/>
    </border>
    <border>
      <left style="double">
        <color theme="7" tint="-0.24994659260841701"/>
      </left>
      <right/>
      <top style="thin">
        <color auto="1"/>
      </top>
      <bottom/>
      <diagonal/>
    </border>
    <border>
      <left/>
      <right style="double">
        <color theme="7" tint="-0.24994659260841701"/>
      </right>
      <top style="thin">
        <color auto="1"/>
      </top>
      <bottom/>
      <diagonal/>
    </border>
    <border>
      <left style="double">
        <color theme="7" tint="-0.24994659260841701"/>
      </left>
      <right style="thin">
        <color auto="1"/>
      </right>
      <top style="double">
        <color theme="7" tint="-0.24994659260841701"/>
      </top>
      <bottom style="thin">
        <color auto="1"/>
      </bottom>
      <diagonal/>
    </border>
    <border>
      <left style="thin">
        <color auto="1"/>
      </left>
      <right style="thin">
        <color auto="1"/>
      </right>
      <top style="double">
        <color theme="7" tint="-0.24994659260841701"/>
      </top>
      <bottom style="thin">
        <color auto="1"/>
      </bottom>
      <diagonal/>
    </border>
    <border>
      <left style="thin">
        <color auto="1"/>
      </left>
      <right style="double">
        <color theme="7" tint="-0.24994659260841701"/>
      </right>
      <top style="double">
        <color theme="7" tint="-0.24994659260841701"/>
      </top>
      <bottom style="thin">
        <color auto="1"/>
      </bottom>
      <diagonal/>
    </border>
    <border>
      <left style="double">
        <color theme="7" tint="-0.24994659260841701"/>
      </left>
      <right/>
      <top style="thin">
        <color auto="1"/>
      </top>
      <bottom style="thin">
        <color auto="1"/>
      </bottom>
      <diagonal/>
    </border>
    <border>
      <left/>
      <right style="double">
        <color theme="7" tint="-0.24994659260841701"/>
      </right>
      <top style="thin">
        <color auto="1"/>
      </top>
      <bottom style="thin">
        <color auto="1"/>
      </bottom>
      <diagonal/>
    </border>
    <border>
      <left style="double">
        <color theme="7" tint="-0.24994659260841701"/>
      </left>
      <right/>
      <top style="thin">
        <color theme="2" tint="-0.499984740745262"/>
      </top>
      <bottom style="double">
        <color theme="7" tint="-0.24994659260841701"/>
      </bottom>
      <diagonal/>
    </border>
    <border>
      <left/>
      <right/>
      <top style="thin">
        <color theme="2" tint="-0.499984740745262"/>
      </top>
      <bottom style="double">
        <color theme="7" tint="-0.24994659260841701"/>
      </bottom>
      <diagonal/>
    </border>
    <border>
      <left style="double">
        <color theme="7" tint="-0.24994659260841701"/>
      </left>
      <right style="thin">
        <color auto="1"/>
      </right>
      <top style="double">
        <color theme="7" tint="-0.24994659260841701"/>
      </top>
      <bottom style="thin">
        <color theme="2" tint="-0.499984740745262"/>
      </bottom>
      <diagonal/>
    </border>
    <border>
      <left style="thin">
        <color auto="1"/>
      </left>
      <right style="thin">
        <color auto="1"/>
      </right>
      <top style="double">
        <color theme="7" tint="-0.24994659260841701"/>
      </top>
      <bottom style="thin">
        <color theme="2" tint="-0.499984740745262"/>
      </bottom>
      <diagonal/>
    </border>
    <border>
      <left style="thin">
        <color auto="1"/>
      </left>
      <right style="double">
        <color theme="7" tint="-0.24994659260841701"/>
      </right>
      <top style="double">
        <color theme="7" tint="-0.24994659260841701"/>
      </top>
      <bottom style="thin">
        <color theme="2" tint="-0.499984740745262"/>
      </bottom>
      <diagonal/>
    </border>
    <border>
      <left style="double">
        <color theme="7" tint="-0.24994659260841701"/>
      </left>
      <right/>
      <top style="thin">
        <color theme="2" tint="-0.499984740745262"/>
      </top>
      <bottom/>
      <diagonal/>
    </border>
    <border>
      <left/>
      <right style="double">
        <color theme="7" tint="-0.24994659260841701"/>
      </right>
      <top style="thin">
        <color theme="2" tint="-0.499984740745262"/>
      </top>
      <bottom style="double">
        <color theme="7" tint="-0.24994659260841701"/>
      </bottom>
      <diagonal/>
    </border>
    <border>
      <left style="double">
        <color theme="7" tint="-0.24994659260841701"/>
      </left>
      <right/>
      <top style="double">
        <color theme="7" tint="-0.24994659260841701"/>
      </top>
      <bottom style="thin">
        <color auto="1"/>
      </bottom>
      <diagonal/>
    </border>
    <border>
      <left/>
      <right/>
      <top style="thin">
        <color auto="1"/>
      </top>
      <bottom style="double">
        <color theme="7" tint="-0.24994659260841701"/>
      </bottom>
      <diagonal/>
    </border>
    <border>
      <left style="double">
        <color theme="7" tint="-0.24994659260841701"/>
      </left>
      <right/>
      <top style="thin">
        <color auto="1"/>
      </top>
      <bottom style="double">
        <color theme="7" tint="-0.24994659260841701"/>
      </bottom>
      <diagonal/>
    </border>
    <border>
      <left/>
      <right style="double">
        <color theme="7" tint="-0.24994659260841701"/>
      </right>
      <top style="thin">
        <color auto="1"/>
      </top>
      <bottom style="double">
        <color theme="7" tint="-0.24994659260841701"/>
      </bottom>
      <diagonal/>
    </border>
    <border>
      <left style="double">
        <color theme="7" tint="-0.24994659260841701"/>
      </left>
      <right/>
      <top style="thin">
        <color theme="2" tint="-0.499984740745262"/>
      </top>
      <bottom style="thin">
        <color auto="1"/>
      </bottom>
      <diagonal/>
    </border>
    <border>
      <left/>
      <right/>
      <top/>
      <bottom style="thin">
        <color theme="7"/>
      </bottom>
      <diagonal/>
    </border>
    <border>
      <left style="double">
        <color theme="7" tint="-0.24994659260841701"/>
      </left>
      <right style="thin">
        <color theme="7" tint="-0.24994659260841701"/>
      </right>
      <top/>
      <bottom/>
      <diagonal/>
    </border>
    <border>
      <left style="double">
        <color theme="7" tint="-0.24994659260841701"/>
      </left>
      <right style="thin">
        <color theme="7" tint="-0.24994659260841701"/>
      </right>
      <top/>
      <bottom style="thin">
        <color theme="7"/>
      </bottom>
      <diagonal/>
    </border>
  </borders>
  <cellStyleXfs count="154">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9" fontId="3" fillId="0" borderId="0" applyFon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164" fontId="2" fillId="0" borderId="0" applyFon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43" fontId="1" fillId="0" borderId="0" applyFont="0" applyFill="0" applyBorder="0" applyAlignment="0" applyProtection="0"/>
    <xf numFmtId="0" fontId="17" fillId="0" borderId="0"/>
  </cellStyleXfs>
  <cellXfs count="521">
    <xf numFmtId="0" fontId="0" fillId="0" borderId="0" xfId="0"/>
    <xf numFmtId="0" fontId="7" fillId="0" borderId="0" xfId="0" applyFont="1"/>
    <xf numFmtId="0" fontId="7" fillId="0" borderId="0" xfId="0" applyFont="1" applyAlignment="1">
      <alignment vertical="center"/>
    </xf>
    <xf numFmtId="0" fontId="7" fillId="0" borderId="2" xfId="0" applyFont="1" applyBorder="1"/>
    <xf numFmtId="0" fontId="7" fillId="0" borderId="0" xfId="0" applyFont="1" applyAlignment="1">
      <alignment horizontal="center" vertical="center" wrapText="1"/>
    </xf>
    <xf numFmtId="0" fontId="14" fillId="0" borderId="0" xfId="0" applyFont="1"/>
    <xf numFmtId="0" fontId="7" fillId="0" borderId="0" xfId="0" applyFont="1" applyAlignment="1">
      <alignment horizontal="center"/>
    </xf>
    <xf numFmtId="0" fontId="7" fillId="0" borderId="17" xfId="0" applyFont="1" applyBorder="1"/>
    <xf numFmtId="166" fontId="7" fillId="0" borderId="17" xfId="86" applyNumberFormat="1" applyFont="1" applyBorder="1"/>
    <xf numFmtId="166" fontId="7" fillId="0" borderId="17" xfId="86" applyNumberFormat="1" applyFont="1" applyFill="1" applyBorder="1"/>
    <xf numFmtId="0" fontId="16" fillId="0" borderId="0" xfId="0" applyFont="1"/>
    <xf numFmtId="166" fontId="0" fillId="0" borderId="0" xfId="0" applyNumberFormat="1" applyAlignment="1">
      <alignment vertical="center"/>
    </xf>
    <xf numFmtId="166" fontId="7" fillId="0" borderId="0" xfId="0" applyNumberFormat="1" applyFont="1"/>
    <xf numFmtId="172" fontId="7" fillId="0" borderId="0" xfId="0" applyNumberFormat="1" applyFont="1"/>
    <xf numFmtId="38" fontId="7" fillId="0" borderId="0" xfId="0" applyNumberFormat="1" applyFont="1"/>
    <xf numFmtId="38" fontId="7" fillId="0" borderId="0" xfId="0" applyNumberFormat="1" applyFont="1" applyAlignment="1">
      <alignment horizontal="center" wrapText="1"/>
    </xf>
    <xf numFmtId="38" fontId="18" fillId="0" borderId="9" xfId="0" applyNumberFormat="1" applyFont="1" applyBorder="1" applyAlignment="1">
      <alignment horizontal="center" wrapText="1"/>
    </xf>
    <xf numFmtId="38" fontId="7" fillId="0" borderId="9" xfId="0" applyNumberFormat="1" applyFont="1" applyBorder="1" applyAlignment="1">
      <alignment horizontal="center" wrapText="1"/>
    </xf>
    <xf numFmtId="38" fontId="7" fillId="0" borderId="9" xfId="0" applyNumberFormat="1" applyFont="1" applyBorder="1" applyAlignment="1">
      <alignment horizontal="left" wrapText="1"/>
    </xf>
    <xf numFmtId="38" fontId="7" fillId="4" borderId="9" xfId="0" applyNumberFormat="1" applyFont="1" applyFill="1" applyBorder="1" applyAlignment="1">
      <alignment wrapText="1"/>
    </xf>
    <xf numFmtId="38" fontId="7" fillId="0" borderId="9" xfId="0" applyNumberFormat="1" applyFont="1" applyBorder="1"/>
    <xf numFmtId="38" fontId="18" fillId="0" borderId="9" xfId="0" applyNumberFormat="1" applyFont="1" applyBorder="1"/>
    <xf numFmtId="0" fontId="7" fillId="0" borderId="9" xfId="0" applyFont="1" applyBorder="1" applyAlignment="1">
      <alignment horizontal="left"/>
    </xf>
    <xf numFmtId="38" fontId="18" fillId="3" borderId="9" xfId="0" applyNumberFormat="1" applyFont="1" applyFill="1" applyBorder="1"/>
    <xf numFmtId="38" fontId="7" fillId="4" borderId="9" xfId="0" applyNumberFormat="1" applyFont="1" applyFill="1" applyBorder="1"/>
    <xf numFmtId="38" fontId="18" fillId="4" borderId="9" xfId="0" applyNumberFormat="1" applyFont="1" applyFill="1" applyBorder="1"/>
    <xf numFmtId="165" fontId="7" fillId="0" borderId="9" xfId="0" applyNumberFormat="1" applyFont="1" applyBorder="1"/>
    <xf numFmtId="165" fontId="18" fillId="0" borderId="9" xfId="31" applyNumberFormat="1" applyFont="1" applyBorder="1"/>
    <xf numFmtId="165" fontId="7" fillId="4" borderId="9" xfId="31" applyNumberFormat="1" applyFont="1" applyFill="1" applyBorder="1"/>
    <xf numFmtId="165" fontId="7" fillId="0" borderId="0" xfId="0" applyNumberFormat="1" applyFont="1"/>
    <xf numFmtId="9" fontId="18" fillId="0" borderId="9" xfId="31" applyFont="1" applyBorder="1"/>
    <xf numFmtId="9" fontId="7" fillId="4" borderId="9" xfId="31" applyFont="1" applyFill="1" applyBorder="1"/>
    <xf numFmtId="38" fontId="20" fillId="0" borderId="9" xfId="0" applyNumberFormat="1" applyFont="1" applyBorder="1"/>
    <xf numFmtId="0" fontId="7" fillId="0" borderId="9" xfId="0" applyFont="1" applyBorder="1"/>
    <xf numFmtId="0" fontId="18" fillId="0" borderId="0" xfId="0" applyFont="1"/>
    <xf numFmtId="0" fontId="20" fillId="0" borderId="0" xfId="0" applyFont="1"/>
    <xf numFmtId="38" fontId="18" fillId="0" borderId="0" xfId="0" applyNumberFormat="1" applyFont="1"/>
    <xf numFmtId="0" fontId="20" fillId="0" borderId="0" xfId="0" applyFont="1" applyAlignment="1">
      <alignment horizontal="center"/>
    </xf>
    <xf numFmtId="0" fontId="18" fillId="0" borderId="0" xfId="0" applyFont="1" applyAlignment="1">
      <alignment horizontal="center"/>
    </xf>
    <xf numFmtId="174" fontId="20" fillId="0" borderId="0" xfId="0" applyNumberFormat="1" applyFont="1" applyAlignment="1">
      <alignment horizontal="right"/>
    </xf>
    <xf numFmtId="164" fontId="20" fillId="0" borderId="0" xfId="86" applyFont="1"/>
    <xf numFmtId="0" fontId="14" fillId="0" borderId="0" xfId="0" applyFont="1" applyAlignment="1">
      <alignment horizontal="center"/>
    </xf>
    <xf numFmtId="174" fontId="20" fillId="0" borderId="0" xfId="0" applyNumberFormat="1" applyFont="1"/>
    <xf numFmtId="164" fontId="7" fillId="0" borderId="0" xfId="86" applyFont="1"/>
    <xf numFmtId="38" fontId="7" fillId="0" borderId="0" xfId="0" applyNumberFormat="1" applyFont="1" applyAlignment="1">
      <alignment horizontal="center"/>
    </xf>
    <xf numFmtId="49" fontId="8" fillId="0" borderId="0" xfId="0" applyNumberFormat="1" applyFont="1" applyAlignment="1">
      <alignment horizontal="left"/>
    </xf>
    <xf numFmtId="49" fontId="8" fillId="0" borderId="0" xfId="0" applyNumberFormat="1" applyFont="1" applyAlignment="1">
      <alignment horizontal="center" wrapText="1"/>
    </xf>
    <xf numFmtId="38" fontId="7" fillId="0" borderId="5" xfId="0" applyNumberFormat="1" applyFont="1" applyBorder="1"/>
    <xf numFmtId="38" fontId="7" fillId="3" borderId="5" xfId="0" applyNumberFormat="1" applyFont="1" applyFill="1" applyBorder="1"/>
    <xf numFmtId="38" fontId="7" fillId="4" borderId="5" xfId="0" applyNumberFormat="1" applyFont="1" applyFill="1" applyBorder="1"/>
    <xf numFmtId="38" fontId="8" fillId="0" borderId="5" xfId="0" applyNumberFormat="1" applyFont="1" applyBorder="1"/>
    <xf numFmtId="9" fontId="7" fillId="4" borderId="5" xfId="31" applyFont="1" applyFill="1" applyBorder="1"/>
    <xf numFmtId="38" fontId="7" fillId="0" borderId="2" xfId="0" applyNumberFormat="1" applyFont="1" applyBorder="1"/>
    <xf numFmtId="166" fontId="7" fillId="0" borderId="0" xfId="86" applyNumberFormat="1" applyFont="1"/>
    <xf numFmtId="10" fontId="7" fillId="0" borderId="0" xfId="31" applyNumberFormat="1" applyFont="1"/>
    <xf numFmtId="9" fontId="7" fillId="0" borderId="0" xfId="31" applyFont="1"/>
    <xf numFmtId="38" fontId="8" fillId="0" borderId="9" xfId="0" applyNumberFormat="1" applyFont="1" applyBorder="1"/>
    <xf numFmtId="0" fontId="7" fillId="0" borderId="2" xfId="0" applyFont="1" applyBorder="1" applyAlignment="1">
      <alignment vertical="center"/>
    </xf>
    <xf numFmtId="0" fontId="7" fillId="0" borderId="12" xfId="0" applyFont="1" applyBorder="1"/>
    <xf numFmtId="167" fontId="7" fillId="0" borderId="0" xfId="0" applyNumberFormat="1" applyFont="1"/>
    <xf numFmtId="0" fontId="7" fillId="0" borderId="19" xfId="0" applyFont="1" applyBorder="1"/>
    <xf numFmtId="0" fontId="7" fillId="0" borderId="3" xfId="0" applyFont="1" applyBorder="1" applyAlignment="1">
      <alignment vertical="center"/>
    </xf>
    <xf numFmtId="173" fontId="7" fillId="0" borderId="0" xfId="0" applyNumberFormat="1" applyFont="1"/>
    <xf numFmtId="167" fontId="7" fillId="0" borderId="0" xfId="114" applyNumberFormat="1" applyFont="1" applyBorder="1"/>
    <xf numFmtId="167" fontId="7" fillId="0" borderId="0" xfId="152" applyNumberFormat="1" applyFont="1" applyBorder="1" applyAlignment="1">
      <alignment horizontal="right"/>
    </xf>
    <xf numFmtId="167" fontId="7" fillId="0" borderId="1" xfId="152" applyNumberFormat="1" applyFont="1" applyBorder="1" applyAlignment="1">
      <alignment horizontal="right"/>
    </xf>
    <xf numFmtId="167" fontId="7" fillId="0" borderId="2" xfId="114" applyNumberFormat="1" applyFont="1" applyBorder="1"/>
    <xf numFmtId="167" fontId="7" fillId="0" borderId="2" xfId="114" applyNumberFormat="1" applyFont="1" applyBorder="1" applyAlignment="1">
      <alignment horizontal="center"/>
    </xf>
    <xf numFmtId="167" fontId="7" fillId="0" borderId="1" xfId="114" applyNumberFormat="1" applyFont="1" applyBorder="1"/>
    <xf numFmtId="2" fontId="7" fillId="0" borderId="11" xfId="0" applyNumberFormat="1" applyFont="1" applyBorder="1" applyAlignment="1">
      <alignment horizontal="center"/>
    </xf>
    <xf numFmtId="2" fontId="7" fillId="0" borderId="10" xfId="0" quotePrefix="1" applyNumberFormat="1" applyFont="1" applyBorder="1" applyAlignment="1">
      <alignment horizontal="center"/>
    </xf>
    <xf numFmtId="1" fontId="7" fillId="0" borderId="10" xfId="0" quotePrefix="1" applyNumberFormat="1" applyFont="1" applyBorder="1" applyAlignment="1">
      <alignment horizontal="center"/>
    </xf>
    <xf numFmtId="2" fontId="7" fillId="0" borderId="6" xfId="0" applyNumberFormat="1" applyFont="1" applyBorder="1" applyAlignment="1">
      <alignment horizontal="center"/>
    </xf>
    <xf numFmtId="0" fontId="7" fillId="0" borderId="25" xfId="0" applyFont="1" applyBorder="1" applyAlignment="1">
      <alignment horizontal="center" vertical="center"/>
    </xf>
    <xf numFmtId="0" fontId="7" fillId="0" borderId="26" xfId="0" applyFont="1" applyBorder="1" applyAlignment="1">
      <alignment horizontal="center" vertical="center"/>
    </xf>
    <xf numFmtId="0" fontId="7" fillId="0" borderId="27" xfId="0" applyFont="1" applyBorder="1" applyAlignment="1">
      <alignment horizontal="center" vertical="center"/>
    </xf>
    <xf numFmtId="0" fontId="7" fillId="0" borderId="3" xfId="0" applyFont="1" applyBorder="1" applyAlignment="1">
      <alignment horizontal="center" vertical="center"/>
    </xf>
    <xf numFmtId="0" fontId="7" fillId="0" borderId="14" xfId="0" applyFont="1" applyBorder="1" applyAlignment="1">
      <alignment horizontal="center" vertical="center"/>
    </xf>
    <xf numFmtId="168" fontId="7" fillId="0" borderId="2" xfId="0" applyNumberFormat="1" applyFont="1" applyBorder="1" applyAlignment="1">
      <alignment horizontal="center"/>
    </xf>
    <xf numFmtId="166" fontId="22" fillId="0" borderId="0" xfId="0" applyNumberFormat="1" applyFont="1"/>
    <xf numFmtId="2" fontId="7" fillId="0" borderId="1" xfId="0" applyNumberFormat="1" applyFont="1" applyBorder="1" applyAlignment="1">
      <alignment horizontal="center"/>
    </xf>
    <xf numFmtId="167" fontId="7" fillId="0" borderId="2" xfId="0" applyNumberFormat="1" applyFont="1" applyBorder="1" applyAlignment="1">
      <alignment vertical="center"/>
    </xf>
    <xf numFmtId="0" fontId="7" fillId="0" borderId="1" xfId="0" applyFont="1" applyBorder="1"/>
    <xf numFmtId="166" fontId="24" fillId="0" borderId="0" xfId="86" applyNumberFormat="1" applyFont="1"/>
    <xf numFmtId="175" fontId="24" fillId="0" borderId="0" xfId="0" applyNumberFormat="1" applyFont="1"/>
    <xf numFmtId="38" fontId="26" fillId="3" borderId="5" xfId="0" applyNumberFormat="1" applyFont="1" applyFill="1" applyBorder="1"/>
    <xf numFmtId="38" fontId="8" fillId="3" borderId="5" xfId="0" applyNumberFormat="1" applyFont="1" applyFill="1" applyBorder="1"/>
    <xf numFmtId="9" fontId="7" fillId="0" borderId="17" xfId="31" applyFont="1" applyFill="1" applyBorder="1"/>
    <xf numFmtId="49" fontId="13" fillId="0" borderId="0" xfId="0" applyNumberFormat="1" applyFont="1" applyAlignment="1">
      <alignment horizontal="left"/>
    </xf>
    <xf numFmtId="38" fontId="13" fillId="0" borderId="0" xfId="0" applyNumberFormat="1" applyFont="1"/>
    <xf numFmtId="0" fontId="7" fillId="0" borderId="4" xfId="0" applyFont="1" applyBorder="1" applyAlignment="1">
      <alignment horizontal="center"/>
    </xf>
    <xf numFmtId="2" fontId="7" fillId="0" borderId="7" xfId="0" quotePrefix="1" applyNumberFormat="1" applyFont="1" applyBorder="1" applyAlignment="1">
      <alignment horizontal="center"/>
    </xf>
    <xf numFmtId="2" fontId="7" fillId="0" borderId="8" xfId="0" applyNumberFormat="1" applyFont="1" applyBorder="1" applyAlignment="1">
      <alignment horizontal="center"/>
    </xf>
    <xf numFmtId="0" fontId="13" fillId="0" borderId="0" xfId="0" applyFont="1"/>
    <xf numFmtId="0" fontId="13" fillId="0" borderId="9" xfId="0" applyFont="1" applyBorder="1"/>
    <xf numFmtId="41" fontId="13" fillId="0" borderId="9" xfId="0" applyNumberFormat="1" applyFont="1" applyBorder="1"/>
    <xf numFmtId="38" fontId="24" fillId="0" borderId="0" xfId="0" applyNumberFormat="1" applyFont="1"/>
    <xf numFmtId="38" fontId="24" fillId="0" borderId="0" xfId="0" applyNumberFormat="1" applyFont="1" applyAlignment="1">
      <alignment horizontal="center"/>
    </xf>
    <xf numFmtId="49" fontId="4" fillId="0" borderId="0" xfId="0" applyNumberFormat="1" applyFont="1" applyAlignment="1">
      <alignment horizontal="left"/>
    </xf>
    <xf numFmtId="167" fontId="16" fillId="0" borderId="0" xfId="0" applyNumberFormat="1" applyFont="1"/>
    <xf numFmtId="170" fontId="29" fillId="0" borderId="1" xfId="114" applyNumberFormat="1" applyFont="1" applyBorder="1"/>
    <xf numFmtId="170" fontId="29" fillId="0" borderId="0" xfId="114" applyNumberFormat="1" applyFont="1" applyBorder="1"/>
    <xf numFmtId="1" fontId="29" fillId="0" borderId="0" xfId="113" applyNumberFormat="1" applyFont="1" applyBorder="1" applyAlignment="1">
      <alignment horizontal="center"/>
    </xf>
    <xf numFmtId="167" fontId="29" fillId="0" borderId="1" xfId="114" applyNumberFormat="1" applyFont="1" applyFill="1" applyBorder="1"/>
    <xf numFmtId="10" fontId="29" fillId="0" borderId="8" xfId="113" applyNumberFormat="1" applyFont="1" applyBorder="1" applyAlignment="1">
      <alignment horizontal="right"/>
    </xf>
    <xf numFmtId="167" fontId="29" fillId="0" borderId="1" xfId="114" applyNumberFormat="1" applyFont="1" applyBorder="1"/>
    <xf numFmtId="10" fontId="29" fillId="0" borderId="24" xfId="113" applyNumberFormat="1" applyFont="1" applyBorder="1" applyAlignment="1">
      <alignment horizontal="right"/>
    </xf>
    <xf numFmtId="167" fontId="29" fillId="0" borderId="0" xfId="114" applyNumberFormat="1" applyFont="1" applyFill="1" applyBorder="1"/>
    <xf numFmtId="10" fontId="29" fillId="0" borderId="11" xfId="113" applyNumberFormat="1" applyFont="1" applyBorder="1" applyAlignment="1">
      <alignment horizontal="right"/>
    </xf>
    <xf numFmtId="171" fontId="29" fillId="0" borderId="0" xfId="0" applyNumberFormat="1" applyFont="1" applyAlignment="1">
      <alignment horizontal="center"/>
    </xf>
    <xf numFmtId="167" fontId="29" fillId="0" borderId="0" xfId="114" applyNumberFormat="1" applyFont="1" applyBorder="1"/>
    <xf numFmtId="170" fontId="29" fillId="0" borderId="0" xfId="0" applyNumberFormat="1" applyFont="1"/>
    <xf numFmtId="10" fontId="29" fillId="0" borderId="13" xfId="113" applyNumberFormat="1" applyFont="1" applyBorder="1" applyAlignment="1">
      <alignment horizontal="right"/>
    </xf>
    <xf numFmtId="167" fontId="29" fillId="0" borderId="2" xfId="114" applyNumberFormat="1" applyFont="1" applyFill="1" applyBorder="1"/>
    <xf numFmtId="9" fontId="29" fillId="0" borderId="6" xfId="113" applyFont="1" applyBorder="1" applyAlignment="1">
      <alignment horizontal="center"/>
    </xf>
    <xf numFmtId="171" fontId="29" fillId="0" borderId="2" xfId="114" applyNumberFormat="1" applyFont="1" applyBorder="1" applyAlignment="1">
      <alignment horizontal="center"/>
    </xf>
    <xf numFmtId="167" fontId="29" fillId="0" borderId="2" xfId="114" applyNumberFormat="1" applyFont="1" applyBorder="1"/>
    <xf numFmtId="170" fontId="29" fillId="0" borderId="2" xfId="0" applyNumberFormat="1" applyFont="1" applyBorder="1"/>
    <xf numFmtId="169" fontId="29" fillId="0" borderId="2" xfId="114" applyNumberFormat="1" applyFont="1" applyBorder="1"/>
    <xf numFmtId="9" fontId="29" fillId="0" borderId="20" xfId="113" applyFont="1" applyBorder="1" applyAlignment="1">
      <alignment horizontal="center"/>
    </xf>
    <xf numFmtId="0" fontId="7" fillId="0" borderId="17" xfId="0" applyFont="1" applyBorder="1" applyAlignment="1">
      <alignment horizontal="center"/>
    </xf>
    <xf numFmtId="0" fontId="7" fillId="0" borderId="17" xfId="0" quotePrefix="1" applyFont="1" applyBorder="1" applyAlignment="1">
      <alignment horizontal="center"/>
    </xf>
    <xf numFmtId="0" fontId="8" fillId="0" borderId="17" xfId="0" applyFont="1" applyBorder="1" applyAlignment="1">
      <alignment horizontal="center"/>
    </xf>
    <xf numFmtId="0" fontId="8" fillId="0" borderId="17" xfId="0" applyFont="1" applyBorder="1" applyAlignment="1">
      <alignment horizontal="center" vertical="center"/>
    </xf>
    <xf numFmtId="0" fontId="31" fillId="0" borderId="0" xfId="0" applyFont="1"/>
    <xf numFmtId="0" fontId="30" fillId="0" borderId="0" xfId="0" applyFont="1" applyAlignment="1">
      <alignment horizontal="right"/>
    </xf>
    <xf numFmtId="9" fontId="31" fillId="0" borderId="0" xfId="31" applyFont="1"/>
    <xf numFmtId="0" fontId="24" fillId="0" borderId="0" xfId="0" applyFont="1"/>
    <xf numFmtId="0" fontId="24" fillId="0" borderId="0" xfId="0" applyFont="1" applyAlignment="1">
      <alignment horizontal="center" vertical="top" wrapText="1"/>
    </xf>
    <xf numFmtId="10" fontId="29" fillId="0" borderId="0" xfId="31" applyNumberFormat="1" applyFont="1" applyBorder="1" applyAlignment="1">
      <alignment horizontal="center"/>
    </xf>
    <xf numFmtId="167" fontId="7" fillId="0" borderId="2" xfId="114" applyNumberFormat="1" applyFont="1" applyBorder="1" applyAlignment="1">
      <alignment vertical="center"/>
    </xf>
    <xf numFmtId="167" fontId="7" fillId="0" borderId="2" xfId="114" applyNumberFormat="1" applyFont="1" applyBorder="1" applyAlignment="1">
      <alignment horizontal="center" vertical="center"/>
    </xf>
    <xf numFmtId="167" fontId="7" fillId="0" borderId="2" xfId="152" applyNumberFormat="1" applyFont="1" applyBorder="1" applyAlignment="1">
      <alignment horizontal="right" vertical="center"/>
    </xf>
    <xf numFmtId="43" fontId="7" fillId="0" borderId="0" xfId="0" applyNumberFormat="1" applyFont="1"/>
    <xf numFmtId="165" fontId="16" fillId="0" borderId="0" xfId="31" applyNumberFormat="1" applyFont="1"/>
    <xf numFmtId="165" fontId="7" fillId="0" borderId="2" xfId="31" applyNumberFormat="1" applyFont="1" applyBorder="1" applyAlignment="1">
      <alignment horizontal="center"/>
    </xf>
    <xf numFmtId="176" fontId="24" fillId="0" borderId="0" xfId="31" applyNumberFormat="1" applyFont="1"/>
    <xf numFmtId="49" fontId="13" fillId="0" borderId="0" xfId="0" applyNumberFormat="1" applyFont="1" applyAlignment="1">
      <alignment horizontal="center"/>
    </xf>
    <xf numFmtId="0" fontId="24" fillId="0" borderId="0" xfId="0" applyFont="1" applyAlignment="1">
      <alignment horizontal="left" vertical="top" wrapText="1"/>
    </xf>
    <xf numFmtId="167" fontId="29" fillId="0" borderId="0" xfId="114" applyNumberFormat="1" applyFont="1" applyBorder="1" applyAlignment="1"/>
    <xf numFmtId="2" fontId="16" fillId="0" borderId="0" xfId="0" applyNumberFormat="1" applyFont="1"/>
    <xf numFmtId="10" fontId="29" fillId="0" borderId="0" xfId="31" applyNumberFormat="1" applyFont="1" applyBorder="1" applyAlignment="1">
      <alignment horizontal="right" indent="1"/>
    </xf>
    <xf numFmtId="9" fontId="29" fillId="0" borderId="2" xfId="31" applyFont="1" applyBorder="1" applyAlignment="1">
      <alignment horizontal="right" indent="1"/>
    </xf>
    <xf numFmtId="167" fontId="29" fillId="0" borderId="0" xfId="114" applyNumberFormat="1" applyFont="1" applyBorder="1" applyAlignment="1">
      <alignment horizontal="right" indent="1"/>
    </xf>
    <xf numFmtId="167" fontId="29" fillId="6" borderId="2" xfId="114" applyNumberFormat="1" applyFont="1" applyFill="1" applyBorder="1" applyAlignment="1">
      <alignment horizontal="right" indent="1"/>
    </xf>
    <xf numFmtId="166" fontId="8" fillId="5" borderId="17" xfId="86" applyNumberFormat="1" applyFont="1" applyFill="1" applyBorder="1"/>
    <xf numFmtId="166" fontId="8" fillId="5" borderId="17" xfId="86" applyNumberFormat="1" applyFont="1" applyFill="1" applyBorder="1" applyAlignment="1">
      <alignment vertical="center"/>
    </xf>
    <xf numFmtId="167" fontId="7" fillId="0" borderId="1" xfId="114" applyNumberFormat="1" applyFont="1" applyBorder="1" applyAlignment="1">
      <alignment vertical="center"/>
    </xf>
    <xf numFmtId="1" fontId="29" fillId="0" borderId="1" xfId="113" applyNumberFormat="1" applyFont="1" applyFill="1" applyBorder="1" applyAlignment="1">
      <alignment horizontal="center" vertical="center"/>
    </xf>
    <xf numFmtId="0" fontId="7" fillId="0" borderId="1" xfId="0" applyFont="1" applyBorder="1" applyAlignment="1">
      <alignment horizontal="center" vertical="center"/>
    </xf>
    <xf numFmtId="168" fontId="7" fillId="0" borderId="1" xfId="0" applyNumberFormat="1" applyFont="1" applyBorder="1" applyAlignment="1">
      <alignment horizontal="center" vertical="center"/>
    </xf>
    <xf numFmtId="167" fontId="7" fillId="0" borderId="0" xfId="114" applyNumberFormat="1" applyFont="1" applyBorder="1" applyAlignment="1">
      <alignment vertical="center"/>
    </xf>
    <xf numFmtId="1" fontId="29" fillId="0" borderId="0" xfId="113" applyNumberFormat="1" applyFont="1" applyFill="1" applyBorder="1" applyAlignment="1">
      <alignment horizontal="center" vertical="center"/>
    </xf>
    <xf numFmtId="1" fontId="29" fillId="0" borderId="0" xfId="113" applyNumberFormat="1" applyFont="1" applyBorder="1" applyAlignment="1">
      <alignment horizontal="center" vertical="center"/>
    </xf>
    <xf numFmtId="170" fontId="29" fillId="0" borderId="2" xfId="114" applyNumberFormat="1" applyFont="1" applyBorder="1" applyAlignment="1">
      <alignment vertical="center"/>
    </xf>
    <xf numFmtId="0" fontId="7" fillId="7" borderId="17" xfId="0" applyFont="1" applyFill="1" applyBorder="1" applyAlignment="1">
      <alignment horizontal="center" vertical="center" wrapText="1"/>
    </xf>
    <xf numFmtId="166" fontId="8" fillId="8" borderId="17" xfId="86" applyNumberFormat="1" applyFont="1" applyFill="1" applyBorder="1"/>
    <xf numFmtId="166" fontId="8" fillId="8" borderId="17" xfId="86" applyNumberFormat="1" applyFont="1" applyFill="1" applyBorder="1" applyAlignment="1">
      <alignment vertical="center"/>
    </xf>
    <xf numFmtId="167" fontId="24" fillId="0" borderId="0" xfId="0" applyNumberFormat="1" applyFont="1"/>
    <xf numFmtId="166" fontId="7" fillId="0" borderId="0" xfId="86" applyNumberFormat="1" applyFont="1" applyAlignment="1">
      <alignment horizontal="center" wrapText="1"/>
    </xf>
    <xf numFmtId="165" fontId="7" fillId="0" borderId="0" xfId="31" applyNumberFormat="1" applyFont="1" applyAlignment="1">
      <alignment wrapText="1"/>
    </xf>
    <xf numFmtId="38" fontId="7" fillId="9" borderId="1" xfId="0" applyNumberFormat="1" applyFont="1" applyFill="1" applyBorder="1" applyAlignment="1">
      <alignment horizontal="center" wrapText="1"/>
    </xf>
    <xf numFmtId="38" fontId="18" fillId="9" borderId="9" xfId="0" applyNumberFormat="1" applyFont="1" applyFill="1" applyBorder="1"/>
    <xf numFmtId="38" fontId="7" fillId="9" borderId="2" xfId="0" applyNumberFormat="1" applyFont="1" applyFill="1" applyBorder="1" applyAlignment="1">
      <alignment horizontal="center" wrapText="1"/>
    </xf>
    <xf numFmtId="0" fontId="7" fillId="9" borderId="18" xfId="0" applyFont="1" applyFill="1" applyBorder="1" applyAlignment="1">
      <alignment horizontal="center" vertical="center" wrapText="1"/>
    </xf>
    <xf numFmtId="0" fontId="7" fillId="9" borderId="5" xfId="0" applyFont="1" applyFill="1" applyBorder="1" applyAlignment="1">
      <alignment horizontal="center" vertical="center" wrapText="1"/>
    </xf>
    <xf numFmtId="167" fontId="29" fillId="9" borderId="2" xfId="114" applyNumberFormat="1" applyFont="1" applyFill="1" applyBorder="1"/>
    <xf numFmtId="0" fontId="7" fillId="9" borderId="1" xfId="0" applyFont="1" applyFill="1" applyBorder="1" applyAlignment="1">
      <alignment horizontal="center" vertical="center" wrapText="1"/>
    </xf>
    <xf numFmtId="0" fontId="7" fillId="9" borderId="15" xfId="0" applyFont="1" applyFill="1" applyBorder="1" applyAlignment="1">
      <alignment horizontal="center" vertical="center" wrapText="1"/>
    </xf>
    <xf numFmtId="0" fontId="7" fillId="9" borderId="20" xfId="0" applyFont="1" applyFill="1" applyBorder="1" applyAlignment="1">
      <alignment horizontal="center" vertical="center" wrapText="1"/>
    </xf>
    <xf numFmtId="38" fontId="8" fillId="0" borderId="0" xfId="0" applyNumberFormat="1" applyFont="1"/>
    <xf numFmtId="38" fontId="8" fillId="3" borderId="9" xfId="0" applyNumberFormat="1" applyFont="1" applyFill="1" applyBorder="1" applyAlignment="1">
      <alignment wrapText="1"/>
    </xf>
    <xf numFmtId="38" fontId="8" fillId="4" borderId="9" xfId="0" applyNumberFormat="1" applyFont="1" applyFill="1" applyBorder="1" applyAlignment="1">
      <alignment wrapText="1"/>
    </xf>
    <xf numFmtId="38" fontId="8" fillId="0" borderId="9" xfId="0" applyNumberFormat="1" applyFont="1" applyBorder="1" applyAlignment="1">
      <alignment horizontal="center" wrapText="1"/>
    </xf>
    <xf numFmtId="38" fontId="8" fillId="3" borderId="9" xfId="0" applyNumberFormat="1" applyFont="1" applyFill="1" applyBorder="1"/>
    <xf numFmtId="38" fontId="8" fillId="4" borderId="9" xfId="0" applyNumberFormat="1" applyFont="1" applyFill="1" applyBorder="1"/>
    <xf numFmtId="0" fontId="7" fillId="10" borderId="17" xfId="0" applyFont="1" applyFill="1" applyBorder="1" applyAlignment="1">
      <alignment horizontal="center" vertical="center" wrapText="1"/>
    </xf>
    <xf numFmtId="166" fontId="8" fillId="10" borderId="17" xfId="86" applyNumberFormat="1" applyFont="1" applyFill="1" applyBorder="1"/>
    <xf numFmtId="177" fontId="7" fillId="0" borderId="0" xfId="0" applyNumberFormat="1" applyFont="1"/>
    <xf numFmtId="0" fontId="35" fillId="0" borderId="0" xfId="0" applyFont="1"/>
    <xf numFmtId="166" fontId="35" fillId="0" borderId="0" xfId="0" applyNumberFormat="1" applyFont="1"/>
    <xf numFmtId="0" fontId="36" fillId="0" borderId="0" xfId="0" applyFont="1"/>
    <xf numFmtId="2" fontId="29" fillId="0" borderId="1" xfId="0" applyNumberFormat="1" applyFont="1" applyBorder="1" applyAlignment="1">
      <alignment horizontal="center"/>
    </xf>
    <xf numFmtId="38" fontId="7" fillId="3" borderId="9" xfId="0" applyNumberFormat="1" applyFont="1" applyFill="1" applyBorder="1" applyAlignment="1">
      <alignment vertical="center"/>
    </xf>
    <xf numFmtId="38" fontId="7" fillId="0" borderId="9" xfId="0" applyNumberFormat="1" applyFont="1" applyBorder="1" applyAlignment="1">
      <alignment vertical="center"/>
    </xf>
    <xf numFmtId="38" fontId="7" fillId="3" borderId="29" xfId="0" applyNumberFormat="1" applyFont="1" applyFill="1" applyBorder="1" applyAlignment="1">
      <alignment vertical="center"/>
    </xf>
    <xf numFmtId="38" fontId="7" fillId="0" borderId="29" xfId="0" applyNumberFormat="1" applyFont="1" applyBorder="1" applyAlignment="1">
      <alignment vertical="center"/>
    </xf>
    <xf numFmtId="38" fontId="7" fillId="0" borderId="0" xfId="0" applyNumberFormat="1" applyFont="1" applyAlignment="1">
      <alignment horizontal="center" vertical="center" wrapText="1"/>
    </xf>
    <xf numFmtId="0" fontId="39" fillId="0" borderId="0" xfId="0" applyFont="1" applyAlignment="1">
      <alignment horizontal="right"/>
    </xf>
    <xf numFmtId="0" fontId="40" fillId="0" borderId="0" xfId="0" applyFont="1" applyAlignment="1">
      <alignment horizontal="left" vertical="center" readingOrder="1"/>
    </xf>
    <xf numFmtId="0" fontId="7" fillId="9" borderId="9" xfId="0" applyFont="1" applyFill="1" applyBorder="1" applyAlignment="1">
      <alignment horizontal="center" vertical="center" wrapText="1"/>
    </xf>
    <xf numFmtId="38" fontId="7" fillId="11" borderId="5" xfId="0" applyNumberFormat="1" applyFont="1" applyFill="1" applyBorder="1"/>
    <xf numFmtId="0" fontId="41" fillId="9" borderId="5" xfId="0" applyFont="1" applyFill="1" applyBorder="1" applyAlignment="1">
      <alignment horizontal="center" vertical="center" wrapText="1"/>
    </xf>
    <xf numFmtId="0" fontId="41" fillId="9" borderId="2" xfId="0" applyFont="1" applyFill="1" applyBorder="1" applyAlignment="1">
      <alignment horizontal="center" vertical="center" wrapText="1"/>
    </xf>
    <xf numFmtId="0" fontId="7" fillId="0" borderId="31" xfId="0" applyFont="1" applyBorder="1" applyAlignment="1">
      <alignment wrapText="1"/>
    </xf>
    <xf numFmtId="41" fontId="7" fillId="0" borderId="31" xfId="0" applyNumberFormat="1" applyFont="1" applyBorder="1" applyAlignment="1">
      <alignment wrapText="1"/>
    </xf>
    <xf numFmtId="0" fontId="7" fillId="0" borderId="0" xfId="0" applyFont="1" applyAlignment="1">
      <alignment wrapText="1"/>
    </xf>
    <xf numFmtId="0" fontId="7" fillId="0" borderId="9" xfId="0" applyFont="1" applyBorder="1" applyAlignment="1">
      <alignment wrapText="1"/>
    </xf>
    <xf numFmtId="41" fontId="7" fillId="0" borderId="9" xfId="0" applyNumberFormat="1" applyFont="1" applyBorder="1" applyAlignment="1">
      <alignment wrapText="1"/>
    </xf>
    <xf numFmtId="38" fontId="7" fillId="0" borderId="0" xfId="0" applyNumberFormat="1" applyFont="1" applyAlignment="1">
      <alignment wrapText="1"/>
    </xf>
    <xf numFmtId="44" fontId="7" fillId="0" borderId="0" xfId="115" applyNumberFormat="1" applyFont="1" applyAlignment="1">
      <alignment wrapText="1"/>
    </xf>
    <xf numFmtId="165" fontId="7" fillId="0" borderId="9" xfId="113" applyNumberFormat="1" applyFont="1" applyBorder="1" applyAlignment="1">
      <alignment wrapText="1"/>
    </xf>
    <xf numFmtId="10" fontId="7" fillId="0" borderId="9" xfId="113" applyNumberFormat="1" applyFont="1" applyBorder="1" applyAlignment="1">
      <alignment wrapText="1"/>
    </xf>
    <xf numFmtId="10" fontId="7" fillId="0" borderId="9" xfId="113" applyNumberFormat="1" applyFont="1" applyFill="1" applyBorder="1" applyAlignment="1">
      <alignment wrapText="1"/>
    </xf>
    <xf numFmtId="41" fontId="0" fillId="0" borderId="0" xfId="0" applyNumberFormat="1"/>
    <xf numFmtId="167" fontId="42" fillId="0" borderId="0" xfId="0" applyNumberFormat="1" applyFont="1"/>
    <xf numFmtId="41" fontId="7" fillId="0" borderId="0" xfId="0" applyNumberFormat="1" applyFont="1"/>
    <xf numFmtId="38" fontId="7" fillId="0" borderId="31" xfId="0" applyNumberFormat="1" applyFont="1" applyBorder="1" applyAlignment="1">
      <alignment vertical="center"/>
    </xf>
    <xf numFmtId="38" fontId="7" fillId="0" borderId="30" xfId="0" applyNumberFormat="1" applyFont="1" applyBorder="1" applyAlignment="1">
      <alignment vertical="center"/>
    </xf>
    <xf numFmtId="38" fontId="7" fillId="3" borderId="31" xfId="0" applyNumberFormat="1" applyFont="1" applyFill="1" applyBorder="1" applyAlignment="1">
      <alignment vertical="center"/>
    </xf>
    <xf numFmtId="0" fontId="7" fillId="9" borderId="2" xfId="0" applyFont="1" applyFill="1" applyBorder="1" applyAlignment="1">
      <alignment horizontal="center" vertical="center" wrapText="1"/>
    </xf>
    <xf numFmtId="38" fontId="7" fillId="3" borderId="30" xfId="0" applyNumberFormat="1" applyFont="1" applyFill="1" applyBorder="1" applyAlignment="1">
      <alignment vertical="center"/>
    </xf>
    <xf numFmtId="0" fontId="7" fillId="9" borderId="39" xfId="0" applyFont="1" applyFill="1" applyBorder="1" applyAlignment="1">
      <alignment horizontal="center" vertical="center" wrapText="1"/>
    </xf>
    <xf numFmtId="0" fontId="7" fillId="0" borderId="40" xfId="0" applyFont="1" applyBorder="1" applyAlignment="1">
      <alignment horizontal="left" wrapText="1" indent="1"/>
    </xf>
    <xf numFmtId="41" fontId="7" fillId="0" borderId="41" xfId="0" applyNumberFormat="1" applyFont="1" applyBorder="1" applyAlignment="1">
      <alignment wrapText="1"/>
    </xf>
    <xf numFmtId="0" fontId="7" fillId="0" borderId="42" xfId="0" applyFont="1" applyBorder="1" applyAlignment="1">
      <alignment horizontal="left" wrapText="1" indent="1"/>
    </xf>
    <xf numFmtId="41" fontId="7" fillId="0" borderId="43" xfId="0" applyNumberFormat="1" applyFont="1" applyBorder="1" applyAlignment="1">
      <alignment wrapText="1"/>
    </xf>
    <xf numFmtId="165" fontId="7" fillId="0" borderId="43" xfId="113" applyNumberFormat="1" applyFont="1" applyBorder="1" applyAlignment="1">
      <alignment wrapText="1"/>
    </xf>
    <xf numFmtId="10" fontId="7" fillId="0" borderId="43" xfId="113" applyNumberFormat="1" applyFont="1" applyBorder="1" applyAlignment="1">
      <alignment wrapText="1"/>
    </xf>
    <xf numFmtId="0" fontId="7" fillId="0" borderId="44" xfId="0" applyFont="1" applyBorder="1" applyAlignment="1">
      <alignment horizontal="center" wrapText="1"/>
    </xf>
    <xf numFmtId="0" fontId="7" fillId="0" borderId="45" xfId="0" applyFont="1" applyBorder="1" applyAlignment="1">
      <alignment wrapText="1"/>
    </xf>
    <xf numFmtId="10" fontId="7" fillId="0" borderId="45" xfId="113" applyNumberFormat="1" applyFont="1" applyBorder="1" applyAlignment="1">
      <alignment wrapText="1"/>
    </xf>
    <xf numFmtId="10" fontId="7" fillId="0" borderId="46" xfId="113" applyNumberFormat="1" applyFont="1" applyBorder="1" applyAlignment="1">
      <alignment wrapText="1"/>
    </xf>
    <xf numFmtId="41" fontId="7" fillId="3" borderId="32" xfId="0" applyNumberFormat="1" applyFont="1" applyFill="1" applyBorder="1" applyAlignment="1">
      <alignment vertical="center" wrapText="1"/>
    </xf>
    <xf numFmtId="0" fontId="7" fillId="0" borderId="0" xfId="0" applyFont="1" applyAlignment="1">
      <alignment vertical="center" wrapText="1"/>
    </xf>
    <xf numFmtId="7" fontId="7" fillId="0" borderId="30" xfId="0" applyNumberFormat="1" applyFont="1" applyBorder="1" applyAlignment="1">
      <alignment vertical="center" wrapText="1"/>
    </xf>
    <xf numFmtId="41" fontId="7" fillId="3" borderId="33" xfId="0" applyNumberFormat="1" applyFont="1" applyFill="1" applyBorder="1" applyAlignment="1">
      <alignment vertical="center" wrapText="1"/>
    </xf>
    <xf numFmtId="38" fontId="7" fillId="3" borderId="33" xfId="0" applyNumberFormat="1" applyFont="1" applyFill="1" applyBorder="1" applyAlignment="1">
      <alignment vertical="center"/>
    </xf>
    <xf numFmtId="7" fontId="7" fillId="0" borderId="30" xfId="0" applyNumberFormat="1" applyFont="1" applyBorder="1" applyAlignment="1">
      <alignment horizontal="center" vertical="center" wrapText="1"/>
    </xf>
    <xf numFmtId="7" fontId="7" fillId="9" borderId="30" xfId="0" applyNumberFormat="1" applyFont="1" applyFill="1" applyBorder="1" applyAlignment="1">
      <alignment horizontal="center" vertical="center" wrapText="1"/>
    </xf>
    <xf numFmtId="41" fontId="7" fillId="0" borderId="1" xfId="0" applyNumberFormat="1" applyFont="1" applyBorder="1" applyAlignment="1">
      <alignment vertical="center" wrapText="1"/>
    </xf>
    <xf numFmtId="41" fontId="7" fillId="0" borderId="0" xfId="0" applyNumberFormat="1" applyFont="1" applyAlignment="1">
      <alignment vertical="center" wrapText="1"/>
    </xf>
    <xf numFmtId="0" fontId="41" fillId="9" borderId="39" xfId="0" applyFont="1" applyFill="1" applyBorder="1" applyAlignment="1">
      <alignment horizontal="center" vertical="center" wrapText="1"/>
    </xf>
    <xf numFmtId="0" fontId="7" fillId="0" borderId="48" xfId="0" applyFont="1" applyBorder="1" applyAlignment="1">
      <alignment vertical="center" wrapText="1"/>
    </xf>
    <xf numFmtId="41" fontId="7" fillId="3" borderId="49" xfId="0" applyNumberFormat="1" applyFont="1" applyFill="1" applyBorder="1" applyAlignment="1">
      <alignment vertical="center" wrapText="1"/>
    </xf>
    <xf numFmtId="0" fontId="7" fillId="0" borderId="50" xfId="0" applyFont="1" applyBorder="1" applyAlignment="1">
      <alignment vertical="center" wrapText="1"/>
    </xf>
    <xf numFmtId="7" fontId="7" fillId="0" borderId="51" xfId="0" applyNumberFormat="1" applyFont="1" applyBorder="1" applyAlignment="1">
      <alignment vertical="center" wrapText="1"/>
    </xf>
    <xf numFmtId="0" fontId="7" fillId="0" borderId="52" xfId="0" applyFont="1" applyBorder="1" applyAlignment="1">
      <alignment vertical="center" wrapText="1"/>
    </xf>
    <xf numFmtId="41" fontId="7" fillId="3" borderId="53" xfId="0" applyNumberFormat="1" applyFont="1" applyFill="1" applyBorder="1" applyAlignment="1">
      <alignment vertical="center" wrapText="1"/>
    </xf>
    <xf numFmtId="0" fontId="7" fillId="0" borderId="52" xfId="0" applyFont="1" applyBorder="1" applyAlignment="1">
      <alignment vertical="center"/>
    </xf>
    <xf numFmtId="38" fontId="7" fillId="3" borderId="53" xfId="0" applyNumberFormat="1" applyFont="1" applyFill="1" applyBorder="1" applyAlignment="1">
      <alignment vertical="center"/>
    </xf>
    <xf numFmtId="0" fontId="7" fillId="0" borderId="50" xfId="0" applyFont="1" applyBorder="1" applyAlignment="1">
      <alignment horizontal="left" vertical="center" wrapText="1"/>
    </xf>
    <xf numFmtId="7" fontId="7" fillId="9" borderId="51" xfId="0" applyNumberFormat="1" applyFont="1" applyFill="1" applyBorder="1" applyAlignment="1">
      <alignment horizontal="center" vertical="center" wrapText="1"/>
    </xf>
    <xf numFmtId="0" fontId="8" fillId="0" borderId="54" xfId="0" applyFont="1" applyBorder="1" applyAlignment="1">
      <alignment horizontal="left" vertical="center" wrapText="1"/>
    </xf>
    <xf numFmtId="7" fontId="8" fillId="0" borderId="0" xfId="0" applyNumberFormat="1" applyFont="1" applyAlignment="1">
      <alignment horizontal="center" vertical="center" wrapText="1"/>
    </xf>
    <xf numFmtId="7" fontId="8" fillId="9" borderId="0" xfId="0" applyNumberFormat="1" applyFont="1" applyFill="1" applyAlignment="1">
      <alignment horizontal="center" vertical="center" wrapText="1"/>
    </xf>
    <xf numFmtId="7" fontId="8" fillId="9" borderId="55" xfId="0" applyNumberFormat="1" applyFont="1" applyFill="1" applyBorder="1" applyAlignment="1">
      <alignment horizontal="center" vertical="center" wrapText="1"/>
    </xf>
    <xf numFmtId="0" fontId="7" fillId="0" borderId="56" xfId="0" applyFont="1" applyBorder="1" applyAlignment="1">
      <alignment vertical="center" wrapText="1"/>
    </xf>
    <xf numFmtId="41" fontId="7" fillId="0" borderId="57" xfId="0" applyNumberFormat="1" applyFont="1" applyBorder="1" applyAlignment="1">
      <alignment vertical="center" wrapText="1"/>
    </xf>
    <xf numFmtId="0" fontId="7" fillId="0" borderId="54" xfId="0" applyFont="1" applyBorder="1" applyAlignment="1">
      <alignment horizontal="left" vertical="center" wrapText="1"/>
    </xf>
    <xf numFmtId="41" fontId="7" fillId="0" borderId="55" xfId="0" applyNumberFormat="1" applyFont="1" applyBorder="1" applyAlignment="1">
      <alignment vertical="center" wrapText="1"/>
    </xf>
    <xf numFmtId="0" fontId="7" fillId="0" borderId="44" xfId="0" applyFont="1" applyBorder="1" applyAlignment="1">
      <alignment horizontal="left" vertical="center"/>
    </xf>
    <xf numFmtId="167" fontId="7" fillId="0" borderId="45" xfId="152" applyNumberFormat="1" applyFont="1" applyBorder="1" applyAlignment="1">
      <alignment vertical="center"/>
    </xf>
    <xf numFmtId="167" fontId="7" fillId="0" borderId="46" xfId="152" applyNumberFormat="1" applyFont="1" applyBorder="1" applyAlignment="1">
      <alignment vertical="center"/>
    </xf>
    <xf numFmtId="0" fontId="7" fillId="9" borderId="61" xfId="0" applyFont="1" applyFill="1" applyBorder="1" applyAlignment="1">
      <alignment horizontal="center" vertical="center" wrapText="1"/>
    </xf>
    <xf numFmtId="0" fontId="7" fillId="9" borderId="62" xfId="0" applyFont="1" applyFill="1" applyBorder="1" applyAlignment="1">
      <alignment horizontal="center" vertical="center" wrapText="1"/>
    </xf>
    <xf numFmtId="38" fontId="7" fillId="0" borderId="40" xfId="0" applyNumberFormat="1" applyFont="1" applyBorder="1" applyAlignment="1">
      <alignment horizontal="center" vertical="center" wrapText="1"/>
    </xf>
    <xf numFmtId="0" fontId="7" fillId="0" borderId="41" xfId="0" applyFont="1" applyBorder="1" applyAlignment="1">
      <alignment horizontal="center" vertical="center"/>
    </xf>
    <xf numFmtId="38" fontId="7" fillId="0" borderId="42" xfId="0" applyNumberFormat="1" applyFont="1" applyBorder="1" applyAlignment="1">
      <alignment horizontal="center" vertical="center" wrapText="1"/>
    </xf>
    <xf numFmtId="0" fontId="7" fillId="0" borderId="43" xfId="0" applyFont="1" applyBorder="1" applyAlignment="1">
      <alignment horizontal="center" vertical="center"/>
    </xf>
    <xf numFmtId="0" fontId="7" fillId="0" borderId="43" xfId="0" applyFont="1" applyBorder="1" applyAlignment="1">
      <alignment horizontal="center" vertical="center" wrapText="1"/>
    </xf>
    <xf numFmtId="0" fontId="7" fillId="9" borderId="63" xfId="0" applyFont="1" applyFill="1" applyBorder="1" applyAlignment="1">
      <alignment horizontal="center" vertical="center" wrapText="1"/>
    </xf>
    <xf numFmtId="38" fontId="7" fillId="9" borderId="64" xfId="0" applyNumberFormat="1" applyFont="1" applyFill="1" applyBorder="1" applyAlignment="1">
      <alignment vertical="center" wrapText="1"/>
    </xf>
    <xf numFmtId="38" fontId="7" fillId="9" borderId="45" xfId="0" applyNumberFormat="1" applyFont="1" applyFill="1" applyBorder="1" applyAlignment="1">
      <alignment vertical="center"/>
    </xf>
    <xf numFmtId="0" fontId="19" fillId="0" borderId="46" xfId="0" applyFont="1" applyBorder="1" applyAlignment="1">
      <alignment horizontal="center" vertical="center" wrapText="1"/>
    </xf>
    <xf numFmtId="0" fontId="7" fillId="9" borderId="44" xfId="0" applyFont="1" applyFill="1" applyBorder="1" applyAlignment="1">
      <alignment horizontal="center" vertical="center" wrapText="1"/>
    </xf>
    <xf numFmtId="38" fontId="7" fillId="9" borderId="45" xfId="0" applyNumberFormat="1" applyFont="1" applyFill="1" applyBorder="1" applyAlignment="1">
      <alignment vertical="center" wrapText="1"/>
    </xf>
    <xf numFmtId="38" fontId="7" fillId="0" borderId="68" xfId="0" applyNumberFormat="1" applyFont="1" applyBorder="1" applyAlignment="1">
      <alignment horizontal="center" vertical="center" wrapText="1"/>
    </xf>
    <xf numFmtId="0" fontId="19" fillId="9" borderId="69" xfId="0" applyFont="1" applyFill="1" applyBorder="1" applyAlignment="1">
      <alignment horizontal="center" vertical="center" wrapText="1"/>
    </xf>
    <xf numFmtId="0" fontId="7" fillId="0" borderId="56" xfId="0" applyFont="1" applyBorder="1" applyAlignment="1">
      <alignment horizontal="center"/>
    </xf>
    <xf numFmtId="172" fontId="7" fillId="0" borderId="57" xfId="0" applyNumberFormat="1" applyFont="1" applyBorder="1"/>
    <xf numFmtId="0" fontId="7" fillId="0" borderId="54" xfId="0" applyFont="1" applyBorder="1" applyAlignment="1">
      <alignment horizontal="center"/>
    </xf>
    <xf numFmtId="2" fontId="7" fillId="0" borderId="0" xfId="0" applyNumberFormat="1" applyFont="1" applyAlignment="1">
      <alignment horizontal="center"/>
    </xf>
    <xf numFmtId="172" fontId="7" fillId="0" borderId="55" xfId="0" applyNumberFormat="1" applyFont="1" applyBorder="1"/>
    <xf numFmtId="0" fontId="7" fillId="0" borderId="38" xfId="0" applyFont="1" applyBorder="1" applyAlignment="1">
      <alignment horizontal="center" vertical="center"/>
    </xf>
    <xf numFmtId="172" fontId="7" fillId="0" borderId="39" xfId="0" applyNumberFormat="1" applyFont="1" applyBorder="1" applyAlignment="1">
      <alignment vertical="center"/>
    </xf>
    <xf numFmtId="0" fontId="7" fillId="0" borderId="54" xfId="0" applyFont="1" applyBorder="1"/>
    <xf numFmtId="0" fontId="7" fillId="0" borderId="55" xfId="0" applyFont="1" applyBorder="1"/>
    <xf numFmtId="42" fontId="7" fillId="0" borderId="0" xfId="0" applyNumberFormat="1" applyFont="1"/>
    <xf numFmtId="10" fontId="7" fillId="9" borderId="55" xfId="113" applyNumberFormat="1" applyFont="1" applyFill="1" applyBorder="1"/>
    <xf numFmtId="0" fontId="7" fillId="0" borderId="56" xfId="0" applyFont="1" applyBorder="1"/>
    <xf numFmtId="0" fontId="7" fillId="0" borderId="57" xfId="0" applyFont="1" applyBorder="1"/>
    <xf numFmtId="0" fontId="7" fillId="0" borderId="54" xfId="0" applyFont="1" applyBorder="1" applyAlignment="1">
      <alignment horizontal="right"/>
    </xf>
    <xf numFmtId="167" fontId="7" fillId="0" borderId="55" xfId="114" applyNumberFormat="1" applyFont="1" applyBorder="1"/>
    <xf numFmtId="167" fontId="7" fillId="0" borderId="54" xfId="0" applyNumberFormat="1" applyFont="1" applyBorder="1" applyAlignment="1">
      <alignment horizontal="right"/>
    </xf>
    <xf numFmtId="0" fontId="7" fillId="0" borderId="0" xfId="0" applyFont="1" applyAlignment="1">
      <alignment horizontal="right"/>
    </xf>
    <xf numFmtId="172" fontId="7" fillId="0" borderId="39" xfId="0" applyNumberFormat="1" applyFont="1" applyBorder="1"/>
    <xf numFmtId="172" fontId="7" fillId="0" borderId="0" xfId="0" applyNumberFormat="1" applyFont="1" applyAlignment="1">
      <alignment horizontal="right"/>
    </xf>
    <xf numFmtId="42" fontId="7" fillId="0" borderId="55" xfId="113" applyNumberFormat="1" applyFont="1" applyBorder="1"/>
    <xf numFmtId="172" fontId="7" fillId="0" borderId="55" xfId="0" applyNumberFormat="1" applyFont="1" applyBorder="1" applyAlignment="1">
      <alignment horizontal="right"/>
    </xf>
    <xf numFmtId="9" fontId="7" fillId="0" borderId="54" xfId="0" applyNumberFormat="1" applyFont="1" applyBorder="1"/>
    <xf numFmtId="10" fontId="7" fillId="0" borderId="0" xfId="0" applyNumberFormat="1" applyFont="1"/>
    <xf numFmtId="10" fontId="7" fillId="0" borderId="55" xfId="0" applyNumberFormat="1" applyFont="1" applyBorder="1"/>
    <xf numFmtId="10" fontId="7" fillId="9" borderId="55" xfId="0" applyNumberFormat="1" applyFont="1" applyFill="1" applyBorder="1"/>
    <xf numFmtId="0" fontId="7" fillId="0" borderId="44" xfId="0" applyFont="1" applyBorder="1"/>
    <xf numFmtId="0" fontId="7" fillId="0" borderId="45" xfId="0" applyFont="1" applyBorder="1"/>
    <xf numFmtId="10" fontId="7" fillId="0" borderId="57" xfId="113" applyNumberFormat="1" applyFont="1" applyBorder="1" applyAlignment="1">
      <alignment horizontal="right" indent="1"/>
    </xf>
    <xf numFmtId="10" fontId="7" fillId="0" borderId="55" xfId="113" applyNumberFormat="1" applyFont="1" applyBorder="1" applyAlignment="1">
      <alignment horizontal="right" indent="1"/>
    </xf>
    <xf numFmtId="0" fontId="7" fillId="0" borderId="38" xfId="0" applyFont="1" applyBorder="1" applyAlignment="1">
      <alignment vertical="center"/>
    </xf>
    <xf numFmtId="10" fontId="23" fillId="0" borderId="39" xfId="113" applyNumberFormat="1" applyFont="1" applyBorder="1" applyAlignment="1">
      <alignment horizontal="right" vertical="center"/>
    </xf>
    <xf numFmtId="0" fontId="7" fillId="0" borderId="45" xfId="0" applyFont="1" applyBorder="1" applyAlignment="1">
      <alignment horizontal="center" vertical="center"/>
    </xf>
    <xf numFmtId="0" fontId="7" fillId="0" borderId="46" xfId="0" applyFont="1" applyBorder="1" applyAlignment="1">
      <alignment horizontal="center" vertical="center"/>
    </xf>
    <xf numFmtId="0" fontId="7" fillId="0" borderId="54" xfId="0" applyFont="1" applyBorder="1" applyAlignment="1">
      <alignment vertical="center"/>
    </xf>
    <xf numFmtId="10" fontId="7" fillId="0" borderId="57" xfId="113" applyNumberFormat="1" applyFont="1" applyBorder="1" applyAlignment="1">
      <alignment horizontal="right" vertical="center"/>
    </xf>
    <xf numFmtId="0" fontId="7" fillId="0" borderId="0" xfId="0" applyFont="1" applyAlignment="1">
      <alignment horizontal="center" vertical="center"/>
    </xf>
    <xf numFmtId="168" fontId="7" fillId="0" borderId="0" xfId="0" applyNumberFormat="1" applyFont="1" applyAlignment="1">
      <alignment horizontal="center" vertical="center"/>
    </xf>
    <xf numFmtId="10" fontId="7" fillId="0" borderId="55" xfId="113" applyNumberFormat="1" applyFont="1" applyBorder="1" applyAlignment="1">
      <alignment horizontal="right" vertical="center"/>
    </xf>
    <xf numFmtId="168" fontId="7" fillId="0" borderId="0" xfId="0" applyNumberFormat="1" applyFont="1" applyAlignment="1">
      <alignment horizontal="center"/>
    </xf>
    <xf numFmtId="0" fontId="7" fillId="0" borderId="38" xfId="0" applyFont="1" applyBorder="1"/>
    <xf numFmtId="10" fontId="7" fillId="0" borderId="39" xfId="113" applyNumberFormat="1" applyFont="1" applyBorder="1" applyAlignment="1">
      <alignment horizontal="right" indent="1"/>
    </xf>
    <xf numFmtId="0" fontId="7" fillId="0" borderId="45" xfId="0" applyFont="1" applyBorder="1" applyAlignment="1">
      <alignment vertical="center"/>
    </xf>
    <xf numFmtId="2" fontId="29" fillId="0" borderId="0" xfId="0" applyNumberFormat="1" applyFont="1" applyAlignment="1">
      <alignment horizontal="center"/>
    </xf>
    <xf numFmtId="10" fontId="7" fillId="0" borderId="39" xfId="113" applyNumberFormat="1" applyFont="1" applyBorder="1" applyAlignment="1">
      <alignment horizontal="right" vertical="center" indent="1"/>
    </xf>
    <xf numFmtId="10" fontId="29" fillId="0" borderId="55" xfId="113" applyNumberFormat="1" applyFont="1" applyBorder="1" applyAlignment="1">
      <alignment horizontal="right" indent="1"/>
    </xf>
    <xf numFmtId="10" fontId="29" fillId="0" borderId="39" xfId="113" applyNumberFormat="1" applyFont="1" applyBorder="1" applyAlignment="1">
      <alignment horizontal="right" indent="1"/>
    </xf>
    <xf numFmtId="0" fontId="7" fillId="0" borderId="71" xfId="0" applyFont="1" applyBorder="1" applyAlignment="1">
      <alignment vertical="center"/>
    </xf>
    <xf numFmtId="38" fontId="7" fillId="9" borderId="34" xfId="0" applyNumberFormat="1" applyFont="1" applyFill="1" applyBorder="1" applyAlignment="1">
      <alignment horizontal="center"/>
    </xf>
    <xf numFmtId="38" fontId="7" fillId="9" borderId="36" xfId="0" applyNumberFormat="1" applyFont="1" applyFill="1" applyBorder="1" applyAlignment="1">
      <alignment horizontal="center"/>
    </xf>
    <xf numFmtId="38" fontId="7" fillId="9" borderId="35" xfId="0" applyNumberFormat="1" applyFont="1" applyFill="1" applyBorder="1" applyAlignment="1">
      <alignment horizontal="center"/>
    </xf>
    <xf numFmtId="38" fontId="7" fillId="9" borderId="47" xfId="0" applyNumberFormat="1" applyFont="1" applyFill="1" applyBorder="1" applyAlignment="1">
      <alignment horizontal="center"/>
    </xf>
    <xf numFmtId="38" fontId="7" fillId="9" borderId="54" xfId="0" applyNumberFormat="1" applyFont="1" applyFill="1" applyBorder="1" applyAlignment="1">
      <alignment horizontal="center" wrapText="1"/>
    </xf>
    <xf numFmtId="38" fontId="7" fillId="9" borderId="0" xfId="0" applyNumberFormat="1" applyFont="1" applyFill="1" applyAlignment="1">
      <alignment horizontal="center" wrapText="1"/>
    </xf>
    <xf numFmtId="38" fontId="7" fillId="9" borderId="55" xfId="0" applyNumberFormat="1" applyFont="1" applyFill="1" applyBorder="1" applyAlignment="1">
      <alignment horizontal="center" wrapText="1"/>
    </xf>
    <xf numFmtId="38" fontId="7" fillId="0" borderId="42" xfId="0" applyNumberFormat="1" applyFont="1" applyBorder="1" applyAlignment="1">
      <alignment horizontal="left" wrapText="1"/>
    </xf>
    <xf numFmtId="38" fontId="7" fillId="0" borderId="43" xfId="0" applyNumberFormat="1" applyFont="1" applyBorder="1" applyAlignment="1">
      <alignment horizontal="center" wrapText="1"/>
    </xf>
    <xf numFmtId="38" fontId="7" fillId="0" borderId="42" xfId="0" applyNumberFormat="1" applyFont="1" applyBorder="1" applyAlignment="1">
      <alignment horizontal="center" wrapText="1"/>
    </xf>
    <xf numFmtId="38" fontId="7" fillId="0" borderId="43" xfId="0" applyNumberFormat="1" applyFont="1" applyBorder="1" applyAlignment="1">
      <alignment horizontal="center"/>
    </xf>
    <xf numFmtId="38" fontId="19" fillId="0" borderId="43" xfId="0" applyNumberFormat="1" applyFont="1" applyBorder="1" applyAlignment="1">
      <alignment horizontal="center"/>
    </xf>
    <xf numFmtId="38" fontId="7" fillId="0" borderId="42" xfId="0" applyNumberFormat="1" applyFont="1" applyBorder="1"/>
    <xf numFmtId="38" fontId="7" fillId="0" borderId="42" xfId="0" applyNumberFormat="1" applyFont="1" applyBorder="1" applyAlignment="1">
      <alignment horizontal="center"/>
    </xf>
    <xf numFmtId="0" fontId="7" fillId="0" borderId="42" xfId="0" applyFont="1" applyBorder="1" applyAlignment="1">
      <alignment horizontal="left"/>
    </xf>
    <xf numFmtId="38" fontId="7" fillId="0" borderId="42" xfId="0" applyNumberFormat="1" applyFont="1" applyBorder="1" applyAlignment="1">
      <alignment horizontal="left"/>
    </xf>
    <xf numFmtId="0" fontId="7" fillId="0" borderId="63" xfId="0" applyFont="1" applyBorder="1"/>
    <xf numFmtId="38" fontId="7" fillId="0" borderId="64" xfId="0" applyNumberFormat="1" applyFont="1" applyBorder="1"/>
    <xf numFmtId="38" fontId="7" fillId="4" borderId="64" xfId="0" applyNumberFormat="1" applyFont="1" applyFill="1" applyBorder="1"/>
    <xf numFmtId="38" fontId="19" fillId="0" borderId="69" xfId="0" applyNumberFormat="1" applyFont="1" applyBorder="1" applyAlignment="1">
      <alignment horizontal="center"/>
    </xf>
    <xf numFmtId="0" fontId="7" fillId="0" borderId="42" xfId="0" applyFont="1" applyBorder="1"/>
    <xf numFmtId="0" fontId="13" fillId="0" borderId="42" xfId="0" applyFont="1" applyBorder="1"/>
    <xf numFmtId="0" fontId="13" fillId="0" borderId="43" xfId="0" applyFont="1" applyBorder="1" applyAlignment="1">
      <alignment horizontal="center"/>
    </xf>
    <xf numFmtId="41" fontId="7" fillId="9" borderId="45" xfId="0" applyNumberFormat="1" applyFont="1" applyFill="1" applyBorder="1"/>
    <xf numFmtId="0" fontId="7" fillId="0" borderId="46" xfId="0" applyFont="1" applyBorder="1" applyAlignment="1">
      <alignment horizontal="center"/>
    </xf>
    <xf numFmtId="175" fontId="24" fillId="9" borderId="34" xfId="0" applyNumberFormat="1" applyFont="1" applyFill="1" applyBorder="1" applyAlignment="1">
      <alignment horizontal="center"/>
    </xf>
    <xf numFmtId="38" fontId="7" fillId="9" borderId="35" xfId="0" applyNumberFormat="1" applyFont="1" applyFill="1" applyBorder="1"/>
    <xf numFmtId="175" fontId="7" fillId="9" borderId="38" xfId="0" applyNumberFormat="1" applyFont="1" applyFill="1" applyBorder="1" applyAlignment="1">
      <alignment horizontal="center" wrapText="1"/>
    </xf>
    <xf numFmtId="38" fontId="7" fillId="9" borderId="39" xfId="0" applyNumberFormat="1" applyFont="1" applyFill="1" applyBorder="1" applyAlignment="1">
      <alignment horizontal="center" wrapText="1"/>
    </xf>
    <xf numFmtId="175" fontId="7" fillId="0" borderId="61" xfId="0" applyNumberFormat="1" applyFont="1" applyBorder="1"/>
    <xf numFmtId="38" fontId="7" fillId="0" borderId="62" xfId="0" applyNumberFormat="1" applyFont="1" applyBorder="1" applyAlignment="1">
      <alignment horizontal="center"/>
    </xf>
    <xf numFmtId="175" fontId="25" fillId="0" borderId="61" xfId="0" applyNumberFormat="1" applyFont="1" applyBorder="1" applyAlignment="1">
      <alignment horizontal="center"/>
    </xf>
    <xf numFmtId="38" fontId="7" fillId="0" borderId="55" xfId="0" applyNumberFormat="1" applyFont="1" applyBorder="1" applyAlignment="1">
      <alignment horizontal="center"/>
    </xf>
    <xf numFmtId="38" fontId="19" fillId="0" borderId="62" xfId="0" applyNumberFormat="1" applyFont="1" applyBorder="1" applyAlignment="1">
      <alignment horizontal="center"/>
    </xf>
    <xf numFmtId="38" fontId="8" fillId="0" borderId="62" xfId="0" applyNumberFormat="1" applyFont="1" applyBorder="1" applyAlignment="1">
      <alignment horizontal="center"/>
    </xf>
    <xf numFmtId="38" fontId="18" fillId="0" borderId="62" xfId="0" applyNumberFormat="1" applyFont="1" applyBorder="1" applyAlignment="1">
      <alignment horizontal="center"/>
    </xf>
    <xf numFmtId="175" fontId="25" fillId="0" borderId="61" xfId="0" quotePrefix="1" applyNumberFormat="1" applyFont="1" applyBorder="1" applyAlignment="1">
      <alignment horizontal="center"/>
    </xf>
    <xf numFmtId="175" fontId="24" fillId="0" borderId="61" xfId="0" applyNumberFormat="1" applyFont="1" applyBorder="1"/>
    <xf numFmtId="175" fontId="7" fillId="0" borderId="72" xfId="0" applyNumberFormat="1" applyFont="1" applyBorder="1"/>
    <xf numFmtId="38" fontId="7" fillId="0" borderId="71" xfId="0" applyNumberFormat="1" applyFont="1" applyBorder="1"/>
    <xf numFmtId="38" fontId="21" fillId="0" borderId="73" xfId="0" applyNumberFormat="1" applyFont="1" applyBorder="1" applyAlignment="1">
      <alignment horizontal="center"/>
    </xf>
    <xf numFmtId="38" fontId="21" fillId="0" borderId="62" xfId="0" applyNumberFormat="1" applyFont="1" applyBorder="1" applyAlignment="1">
      <alignment horizontal="center"/>
    </xf>
    <xf numFmtId="38" fontId="28" fillId="0" borderId="62" xfId="0" applyNumberFormat="1" applyFont="1" applyBorder="1" applyAlignment="1">
      <alignment horizontal="center"/>
    </xf>
    <xf numFmtId="175" fontId="7" fillId="0" borderId="44" xfId="0" applyNumberFormat="1" applyFont="1" applyBorder="1"/>
    <xf numFmtId="38" fontId="7" fillId="0" borderId="45" xfId="0" applyNumberFormat="1" applyFont="1" applyBorder="1"/>
    <xf numFmtId="38" fontId="7" fillId="9" borderId="45" xfId="0" applyNumberFormat="1" applyFont="1" applyFill="1" applyBorder="1"/>
    <xf numFmtId="38" fontId="18" fillId="0" borderId="46" xfId="0" applyNumberFormat="1" applyFont="1" applyBorder="1" applyAlignment="1">
      <alignment horizontal="center"/>
    </xf>
    <xf numFmtId="38" fontId="7" fillId="0" borderId="0" xfId="0" applyNumberFormat="1" applyFont="1" applyAlignment="1">
      <alignment horizontal="left"/>
    </xf>
    <xf numFmtId="165" fontId="7" fillId="0" borderId="42" xfId="0" applyNumberFormat="1" applyFont="1" applyBorder="1"/>
    <xf numFmtId="165" fontId="7" fillId="0" borderId="43" xfId="0" applyNumberFormat="1" applyFont="1" applyBorder="1" applyAlignment="1">
      <alignment horizontal="center"/>
    </xf>
    <xf numFmtId="38" fontId="7" fillId="0" borderId="74" xfId="0" applyNumberFormat="1" applyFont="1" applyBorder="1"/>
    <xf numFmtId="38" fontId="7" fillId="0" borderId="63" xfId="0" applyNumberFormat="1" applyFont="1" applyBorder="1"/>
    <xf numFmtId="38" fontId="7" fillId="0" borderId="69" xfId="0" applyNumberFormat="1" applyFont="1" applyBorder="1" applyAlignment="1">
      <alignment horizontal="center"/>
    </xf>
    <xf numFmtId="38" fontId="18" fillId="9" borderId="36" xfId="0" applyNumberFormat="1" applyFont="1" applyFill="1" applyBorder="1" applyAlignment="1">
      <alignment horizontal="center"/>
    </xf>
    <xf numFmtId="38" fontId="8" fillId="9" borderId="0" xfId="0" applyNumberFormat="1" applyFont="1" applyFill="1" applyAlignment="1">
      <alignment horizontal="center" wrapText="1"/>
    </xf>
    <xf numFmtId="38" fontId="7" fillId="9" borderId="0" xfId="0" applyNumberFormat="1" applyFont="1" applyFill="1" applyAlignment="1">
      <alignment horizontal="center" vertical="center" wrapText="1"/>
    </xf>
    <xf numFmtId="38" fontId="20" fillId="0" borderId="43" xfId="0" applyNumberFormat="1" applyFont="1" applyBorder="1" applyAlignment="1">
      <alignment horizontal="center"/>
    </xf>
    <xf numFmtId="0" fontId="7" fillId="0" borderId="43" xfId="0" applyFont="1" applyBorder="1" applyAlignment="1">
      <alignment horizontal="center"/>
    </xf>
    <xf numFmtId="0" fontId="7" fillId="0" borderId="64" xfId="0" applyFont="1" applyBorder="1"/>
    <xf numFmtId="10" fontId="18" fillId="0" borderId="64" xfId="31" applyNumberFormat="1" applyFont="1" applyBorder="1"/>
    <xf numFmtId="10" fontId="7" fillId="9" borderId="64" xfId="31" applyNumberFormat="1" applyFont="1" applyFill="1" applyBorder="1"/>
    <xf numFmtId="0" fontId="7" fillId="0" borderId="69" xfId="0" applyFont="1" applyBorder="1" applyAlignment="1">
      <alignment horizontal="center"/>
    </xf>
    <xf numFmtId="38" fontId="7" fillId="0" borderId="42" xfId="0" applyNumberFormat="1" applyFont="1" applyBorder="1" applyAlignment="1">
      <alignment horizontal="left" vertical="center" wrapText="1"/>
    </xf>
    <xf numFmtId="38" fontId="7" fillId="0" borderId="68" xfId="0" applyNumberFormat="1" applyFont="1" applyBorder="1" applyAlignment="1">
      <alignment horizontal="left" vertical="center" wrapText="1"/>
    </xf>
    <xf numFmtId="38" fontId="7" fillId="0" borderId="9" xfId="0" applyNumberFormat="1" applyFont="1" applyBorder="1" applyAlignment="1">
      <alignment wrapText="1"/>
    </xf>
    <xf numFmtId="38" fontId="7" fillId="0" borderId="42" xfId="0" applyNumberFormat="1" applyFont="1" applyBorder="1" applyAlignment="1">
      <alignment vertical="center"/>
    </xf>
    <xf numFmtId="165" fontId="7" fillId="0" borderId="0" xfId="31" applyNumberFormat="1" applyFont="1"/>
    <xf numFmtId="0" fontId="43" fillId="0" borderId="0" xfId="0" applyFont="1"/>
    <xf numFmtId="38" fontId="43" fillId="0" borderId="0" xfId="0" applyNumberFormat="1" applyFont="1"/>
    <xf numFmtId="10" fontId="43" fillId="0" borderId="0" xfId="31" applyNumberFormat="1" applyFont="1"/>
    <xf numFmtId="167" fontId="7" fillId="0" borderId="45" xfId="152" applyNumberFormat="1" applyFont="1" applyFill="1" applyBorder="1" applyAlignment="1">
      <alignment vertical="center"/>
    </xf>
    <xf numFmtId="0" fontId="19" fillId="0" borderId="0" xfId="0" applyFont="1" applyAlignment="1">
      <alignment vertical="center"/>
    </xf>
    <xf numFmtId="178" fontId="19" fillId="0" borderId="0" xfId="86" applyNumberFormat="1" applyFont="1" applyAlignment="1">
      <alignment horizontal="right" vertical="center" indent="2"/>
    </xf>
    <xf numFmtId="178" fontId="19" fillId="0" borderId="0" xfId="86" applyNumberFormat="1" applyFont="1" applyAlignment="1">
      <alignment horizontal="right" vertical="center" wrapText="1" indent="2"/>
    </xf>
    <xf numFmtId="38" fontId="7" fillId="8" borderId="9" xfId="0" applyNumberFormat="1" applyFont="1" applyFill="1" applyBorder="1" applyAlignment="1">
      <alignment vertical="center"/>
    </xf>
    <xf numFmtId="171" fontId="29" fillId="8" borderId="1" xfId="0" applyNumberFormat="1" applyFont="1" applyFill="1" applyBorder="1" applyAlignment="1">
      <alignment horizontal="center"/>
    </xf>
    <xf numFmtId="171" fontId="29" fillId="8" borderId="0" xfId="0" applyNumberFormat="1" applyFont="1" applyFill="1" applyAlignment="1">
      <alignment horizontal="center"/>
    </xf>
    <xf numFmtId="170" fontId="29" fillId="8" borderId="1" xfId="0" applyNumberFormat="1" applyFont="1" applyFill="1" applyBorder="1"/>
    <xf numFmtId="170" fontId="29" fillId="8" borderId="0" xfId="0" applyNumberFormat="1" applyFont="1" applyFill="1"/>
    <xf numFmtId="0" fontId="7" fillId="0" borderId="10" xfId="0" applyFont="1" applyBorder="1" applyAlignment="1">
      <alignment horizontal="center"/>
    </xf>
    <xf numFmtId="38" fontId="0" fillId="0" borderId="0" xfId="0" applyNumberFormat="1"/>
    <xf numFmtId="0" fontId="19" fillId="0" borderId="77" xfId="0" applyFont="1" applyBorder="1" applyAlignment="1">
      <alignment horizontal="center" vertical="center"/>
    </xf>
    <xf numFmtId="7" fontId="19" fillId="0" borderId="76" xfId="0" applyNumberFormat="1" applyFont="1" applyBorder="1" applyAlignment="1">
      <alignment vertical="center"/>
    </xf>
    <xf numFmtId="0" fontId="19" fillId="0" borderId="76" xfId="0" applyFont="1" applyBorder="1" applyAlignment="1">
      <alignment vertical="center" wrapText="1"/>
    </xf>
    <xf numFmtId="0" fontId="7" fillId="0" borderId="0" xfId="0" applyFont="1" applyAlignment="1">
      <alignment horizontal="center" wrapText="1"/>
    </xf>
    <xf numFmtId="0" fontId="13" fillId="0" borderId="0" xfId="0" applyFont="1" applyAlignment="1">
      <alignment horizontal="center" wrapText="1"/>
    </xf>
    <xf numFmtId="0" fontId="8" fillId="0" borderId="0" xfId="0" applyFont="1" applyAlignment="1">
      <alignment horizontal="center"/>
    </xf>
    <xf numFmtId="164" fontId="42" fillId="0" borderId="0" xfId="86" applyFont="1"/>
    <xf numFmtId="178" fontId="42" fillId="0" borderId="0" xfId="86" applyNumberFormat="1" applyFont="1"/>
    <xf numFmtId="0" fontId="8" fillId="0" borderId="0" xfId="0" applyFont="1" applyAlignment="1">
      <alignment horizontal="center" wrapText="1"/>
    </xf>
    <xf numFmtId="10" fontId="8" fillId="0" borderId="0" xfId="31" applyNumberFormat="1" applyFont="1" applyBorder="1" applyAlignment="1">
      <alignment horizontal="center"/>
    </xf>
    <xf numFmtId="164" fontId="7" fillId="0" borderId="0" xfId="86" applyFont="1" applyAlignment="1">
      <alignment vertical="center" wrapText="1"/>
    </xf>
    <xf numFmtId="166" fontId="7" fillId="0" borderId="0" xfId="86" applyNumberFormat="1" applyFont="1" applyAlignment="1">
      <alignment vertical="center" wrapText="1"/>
    </xf>
    <xf numFmtId="167" fontId="7" fillId="0" borderId="0" xfId="152" applyNumberFormat="1" applyFont="1" applyAlignment="1">
      <alignment vertical="center" wrapText="1"/>
    </xf>
    <xf numFmtId="0" fontId="19" fillId="0" borderId="0" xfId="0" applyFont="1"/>
    <xf numFmtId="0" fontId="46" fillId="0" borderId="0" xfId="0" applyFont="1" applyAlignment="1">
      <alignment horizontal="center"/>
    </xf>
    <xf numFmtId="0" fontId="46" fillId="0" borderId="0" xfId="0" applyFont="1"/>
    <xf numFmtId="167" fontId="46" fillId="6" borderId="0" xfId="114" applyNumberFormat="1" applyFont="1" applyFill="1"/>
    <xf numFmtId="167" fontId="46" fillId="0" borderId="0" xfId="114" applyNumberFormat="1" applyFont="1" applyFill="1"/>
    <xf numFmtId="10" fontId="46" fillId="0" borderId="0" xfId="31" applyNumberFormat="1" applyFont="1"/>
    <xf numFmtId="167" fontId="46" fillId="9" borderId="0" xfId="114" applyNumberFormat="1" applyFont="1" applyFill="1"/>
    <xf numFmtId="10" fontId="46" fillId="0" borderId="0" xfId="0" applyNumberFormat="1" applyFont="1"/>
    <xf numFmtId="167" fontId="46" fillId="0" borderId="0" xfId="152" applyNumberFormat="1" applyFont="1" applyBorder="1"/>
    <xf numFmtId="167" fontId="46" fillId="0" borderId="0" xfId="152" applyNumberFormat="1" applyFont="1"/>
    <xf numFmtId="167" fontId="46" fillId="0" borderId="0" xfId="0" applyNumberFormat="1" applyFont="1"/>
    <xf numFmtId="0" fontId="47" fillId="0" borderId="0" xfId="0" applyFont="1"/>
    <xf numFmtId="38" fontId="7" fillId="0" borderId="42" xfId="0" applyNumberFormat="1" applyFont="1" applyBorder="1" applyAlignment="1">
      <alignment horizontal="left"/>
    </xf>
    <xf numFmtId="38" fontId="7" fillId="0" borderId="9" xfId="0" applyNumberFormat="1" applyFont="1" applyBorder="1" applyAlignment="1">
      <alignment horizontal="left"/>
    </xf>
    <xf numFmtId="38" fontId="7" fillId="9" borderId="36" xfId="0" applyNumberFormat="1" applyFont="1" applyFill="1" applyBorder="1" applyAlignment="1">
      <alignment horizontal="center"/>
    </xf>
    <xf numFmtId="38" fontId="7" fillId="9" borderId="47" xfId="0" applyNumberFormat="1" applyFont="1" applyFill="1" applyBorder="1" applyAlignment="1">
      <alignment horizontal="center"/>
    </xf>
    <xf numFmtId="0" fontId="7" fillId="0" borderId="42" xfId="0" applyFont="1" applyBorder="1" applyAlignment="1">
      <alignment horizontal="left"/>
    </xf>
    <xf numFmtId="0" fontId="7" fillId="0" borderId="9" xfId="0" applyFont="1" applyBorder="1" applyAlignment="1">
      <alignment horizontal="left"/>
    </xf>
    <xf numFmtId="38" fontId="7" fillId="9" borderId="34" xfId="0" applyNumberFormat="1" applyFont="1" applyFill="1" applyBorder="1" applyAlignment="1">
      <alignment horizontal="center"/>
    </xf>
    <xf numFmtId="38" fontId="7" fillId="9" borderId="35" xfId="0" applyNumberFormat="1" applyFont="1" applyFill="1" applyBorder="1" applyAlignment="1">
      <alignment horizontal="center"/>
    </xf>
    <xf numFmtId="38" fontId="24" fillId="0" borderId="0" xfId="0" applyNumberFormat="1" applyFont="1" applyAlignment="1">
      <alignment horizontal="right"/>
    </xf>
    <xf numFmtId="38" fontId="7" fillId="0" borderId="0" xfId="0" applyNumberFormat="1" applyFont="1" applyAlignment="1">
      <alignment horizontal="center"/>
    </xf>
    <xf numFmtId="38" fontId="44" fillId="0" borderId="0" xfId="0" applyNumberFormat="1" applyFont="1" applyAlignment="1">
      <alignment horizontal="left"/>
    </xf>
    <xf numFmtId="38" fontId="37" fillId="0" borderId="0" xfId="0" applyNumberFormat="1" applyFont="1" applyAlignment="1">
      <alignment horizontal="center" vertical="center" wrapText="1"/>
    </xf>
    <xf numFmtId="38" fontId="7" fillId="0" borderId="0" xfId="0" applyNumberFormat="1" applyFont="1" applyAlignment="1">
      <alignment horizontal="center" wrapText="1"/>
    </xf>
    <xf numFmtId="0" fontId="7" fillId="0" borderId="44" xfId="0" applyFont="1" applyBorder="1"/>
    <xf numFmtId="0" fontId="7" fillId="0" borderId="45" xfId="0" applyFont="1" applyBorder="1"/>
    <xf numFmtId="38" fontId="7" fillId="0" borderId="42" xfId="0" applyNumberFormat="1" applyFont="1" applyBorder="1" applyAlignment="1">
      <alignment horizontal="left" wrapText="1"/>
    </xf>
    <xf numFmtId="38" fontId="7" fillId="0" borderId="9" xfId="0" applyNumberFormat="1" applyFont="1" applyBorder="1" applyAlignment="1">
      <alignment horizontal="left" wrapText="1"/>
    </xf>
    <xf numFmtId="172" fontId="7" fillId="0" borderId="16" xfId="0" applyNumberFormat="1" applyFont="1" applyBorder="1"/>
    <xf numFmtId="172" fontId="7" fillId="0" borderId="15" xfId="0" applyNumberFormat="1" applyFont="1" applyBorder="1"/>
    <xf numFmtId="172" fontId="7" fillId="7" borderId="16" xfId="0" applyNumberFormat="1" applyFont="1" applyFill="1" applyBorder="1"/>
    <xf numFmtId="0" fontId="7" fillId="7" borderId="15" xfId="0" applyFont="1" applyFill="1" applyBorder="1"/>
    <xf numFmtId="0" fontId="7" fillId="7" borderId="16" xfId="0" applyFont="1" applyFill="1" applyBorder="1" applyAlignment="1">
      <alignment horizontal="center" vertical="center" wrapText="1"/>
    </xf>
    <xf numFmtId="0" fontId="7" fillId="7" borderId="15" xfId="0" applyFont="1" applyFill="1" applyBorder="1" applyAlignment="1">
      <alignment horizontal="center" vertical="center" wrapText="1"/>
    </xf>
    <xf numFmtId="172" fontId="7" fillId="0" borderId="16" xfId="0" applyNumberFormat="1" applyFont="1" applyBorder="1" applyAlignment="1">
      <alignment horizontal="center"/>
    </xf>
    <xf numFmtId="172" fontId="7" fillId="0" borderId="15" xfId="0" applyNumberFormat="1" applyFont="1" applyBorder="1" applyAlignment="1">
      <alignment horizontal="center"/>
    </xf>
    <xf numFmtId="0" fontId="7" fillId="0" borderId="0" xfId="0" applyFont="1" applyAlignment="1">
      <alignment horizontal="center"/>
    </xf>
    <xf numFmtId="0" fontId="35" fillId="0" borderId="0" xfId="0" applyFont="1" applyAlignment="1">
      <alignment horizontal="center"/>
    </xf>
    <xf numFmtId="0" fontId="36" fillId="0" borderId="1" xfId="0" applyFont="1" applyBorder="1" applyAlignment="1">
      <alignment horizontal="left" wrapText="1"/>
    </xf>
    <xf numFmtId="0" fontId="8" fillId="7" borderId="16" xfId="0" applyFont="1" applyFill="1" applyBorder="1" applyAlignment="1">
      <alignment horizontal="center"/>
    </xf>
    <xf numFmtId="0" fontId="8" fillId="7" borderId="5" xfId="0" applyFont="1" applyFill="1" applyBorder="1" applyAlignment="1">
      <alignment horizontal="center"/>
    </xf>
    <xf numFmtId="0" fontId="8" fillId="7" borderId="15" xfId="0" applyFont="1" applyFill="1" applyBorder="1" applyAlignment="1">
      <alignment horizontal="center"/>
    </xf>
    <xf numFmtId="166" fontId="8" fillId="7" borderId="5" xfId="86" applyNumberFormat="1" applyFont="1" applyFill="1" applyBorder="1" applyAlignment="1">
      <alignment horizontal="center"/>
    </xf>
    <xf numFmtId="166" fontId="8" fillId="7" borderId="15" xfId="86" applyNumberFormat="1" applyFont="1" applyFill="1" applyBorder="1" applyAlignment="1">
      <alignment horizontal="center"/>
    </xf>
    <xf numFmtId="0" fontId="8" fillId="10" borderId="16" xfId="0" applyFont="1" applyFill="1" applyBorder="1" applyAlignment="1">
      <alignment horizontal="center"/>
    </xf>
    <xf numFmtId="0" fontId="8" fillId="10" borderId="5" xfId="0" applyFont="1" applyFill="1" applyBorder="1" applyAlignment="1">
      <alignment horizontal="center"/>
    </xf>
    <xf numFmtId="0" fontId="8" fillId="10" borderId="15" xfId="0" applyFont="1" applyFill="1" applyBorder="1" applyAlignment="1">
      <alignment horizontal="center"/>
    </xf>
    <xf numFmtId="166" fontId="8" fillId="10" borderId="5" xfId="86" applyNumberFormat="1" applyFont="1" applyFill="1" applyBorder="1" applyAlignment="1">
      <alignment horizontal="center"/>
    </xf>
    <xf numFmtId="166" fontId="8" fillId="10" borderId="15" xfId="86" applyNumberFormat="1" applyFont="1" applyFill="1" applyBorder="1" applyAlignment="1">
      <alignment horizontal="center"/>
    </xf>
    <xf numFmtId="172" fontId="7" fillId="10" borderId="16" xfId="0" applyNumberFormat="1" applyFont="1" applyFill="1" applyBorder="1"/>
    <xf numFmtId="0" fontId="7" fillId="10" borderId="15" xfId="0" applyFont="1" applyFill="1" applyBorder="1"/>
    <xf numFmtId="166" fontId="7" fillId="0" borderId="0" xfId="0" applyNumberFormat="1" applyFont="1" applyAlignment="1">
      <alignment horizontal="center"/>
    </xf>
    <xf numFmtId="166" fontId="35" fillId="0" borderId="0" xfId="0" applyNumberFormat="1" applyFont="1" applyAlignment="1">
      <alignment horizontal="center"/>
    </xf>
    <xf numFmtId="0" fontId="7" fillId="10" borderId="16" xfId="0" applyFont="1" applyFill="1" applyBorder="1" applyAlignment="1">
      <alignment horizontal="center" vertical="center" wrapText="1"/>
    </xf>
    <xf numFmtId="0" fontId="7" fillId="10" borderId="15" xfId="0" applyFont="1" applyFill="1" applyBorder="1" applyAlignment="1">
      <alignment horizontal="center" vertical="center" wrapText="1"/>
    </xf>
    <xf numFmtId="0" fontId="24" fillId="0" borderId="0" xfId="0" applyFont="1" applyAlignment="1">
      <alignment horizontal="center" vertical="center" wrapText="1"/>
    </xf>
    <xf numFmtId="0" fontId="7" fillId="9" borderId="70" xfId="0" applyFont="1" applyFill="1" applyBorder="1" applyAlignment="1">
      <alignment horizontal="center" vertical="center"/>
    </xf>
    <xf numFmtId="0" fontId="7" fillId="9" borderId="35" xfId="0" applyFont="1" applyFill="1" applyBorder="1" applyAlignment="1">
      <alignment horizontal="center" vertical="center"/>
    </xf>
    <xf numFmtId="0" fontId="7" fillId="9" borderId="37" xfId="0" applyFont="1" applyFill="1" applyBorder="1" applyAlignment="1">
      <alignment horizontal="center" vertical="center"/>
    </xf>
    <xf numFmtId="0" fontId="7" fillId="0" borderId="45" xfId="0" applyFont="1" applyBorder="1" applyAlignment="1">
      <alignment horizontal="center" vertical="center"/>
    </xf>
    <xf numFmtId="0" fontId="7" fillId="0" borderId="46" xfId="0" applyFont="1" applyBorder="1" applyAlignment="1">
      <alignment horizontal="center" vertical="center"/>
    </xf>
    <xf numFmtId="0" fontId="7" fillId="0" borderId="44" xfId="0" applyFont="1" applyBorder="1" applyAlignment="1">
      <alignment horizontal="center" vertical="center"/>
    </xf>
    <xf numFmtId="0" fontId="24" fillId="0" borderId="0" xfId="0" applyFont="1" applyAlignment="1">
      <alignment horizontal="left" vertical="top" wrapText="1"/>
    </xf>
    <xf numFmtId="0" fontId="7" fillId="9" borderId="58" xfId="0" applyFont="1" applyFill="1" applyBorder="1" applyAlignment="1">
      <alignment horizontal="center" vertical="center"/>
    </xf>
    <xf numFmtId="0" fontId="7" fillId="9" borderId="59" xfId="0" applyFont="1" applyFill="1" applyBorder="1" applyAlignment="1">
      <alignment horizontal="center" vertical="center"/>
    </xf>
    <xf numFmtId="0" fontId="7" fillId="9" borderId="60" xfId="0" applyFont="1" applyFill="1" applyBorder="1" applyAlignment="1">
      <alignment horizontal="center" vertical="center"/>
    </xf>
    <xf numFmtId="0" fontId="27" fillId="0" borderId="0" xfId="0" applyFont="1" applyAlignment="1">
      <alignment horizontal="center" wrapText="1"/>
    </xf>
    <xf numFmtId="0" fontId="7" fillId="9" borderId="21" xfId="0" applyFont="1" applyFill="1" applyBorder="1" applyAlignment="1">
      <alignment horizontal="center" vertical="center"/>
    </xf>
    <xf numFmtId="0" fontId="7" fillId="9" borderId="22" xfId="0" applyFont="1" applyFill="1" applyBorder="1" applyAlignment="1">
      <alignment horizontal="center" vertical="center"/>
    </xf>
    <xf numFmtId="0" fontId="7" fillId="9" borderId="23" xfId="0" applyFont="1" applyFill="1" applyBorder="1" applyAlignment="1">
      <alignment horizontal="center" vertical="center"/>
    </xf>
    <xf numFmtId="0" fontId="7" fillId="2" borderId="16" xfId="0" applyFont="1" applyFill="1" applyBorder="1" applyAlignment="1">
      <alignment horizontal="center" vertical="center" wrapText="1"/>
    </xf>
    <xf numFmtId="0" fontId="7" fillId="2" borderId="15" xfId="0" applyFont="1" applyFill="1" applyBorder="1" applyAlignment="1">
      <alignment horizontal="center" vertical="center" wrapText="1"/>
    </xf>
    <xf numFmtId="0" fontId="7" fillId="0" borderId="28" xfId="0" applyFont="1" applyBorder="1" applyAlignment="1">
      <alignment horizontal="left" vertical="center" wrapText="1"/>
    </xf>
    <xf numFmtId="0" fontId="43" fillId="0" borderId="0" xfId="0" applyFont="1" applyAlignment="1">
      <alignment vertical="top" wrapText="1"/>
    </xf>
    <xf numFmtId="0" fontId="7" fillId="0" borderId="0" xfId="0" applyFont="1" applyAlignment="1">
      <alignment horizontal="left" vertical="center" wrapText="1"/>
    </xf>
    <xf numFmtId="0" fontId="7" fillId="0" borderId="0" xfId="0" applyFont="1" applyAlignment="1">
      <alignment horizontal="left" wrapText="1"/>
    </xf>
    <xf numFmtId="0" fontId="30" fillId="0" borderId="0" xfId="0" applyFont="1" applyAlignment="1">
      <alignment horizontal="right"/>
    </xf>
    <xf numFmtId="0" fontId="7" fillId="9" borderId="0" xfId="0" applyFont="1" applyFill="1" applyAlignment="1">
      <alignment horizontal="right"/>
    </xf>
    <xf numFmtId="0" fontId="7" fillId="9" borderId="55" xfId="0" applyFont="1" applyFill="1" applyBorder="1" applyAlignment="1">
      <alignment horizontal="right"/>
    </xf>
    <xf numFmtId="0" fontId="7" fillId="9" borderId="45" xfId="0" applyFont="1" applyFill="1" applyBorder="1" applyAlignment="1">
      <alignment horizontal="right"/>
    </xf>
    <xf numFmtId="0" fontId="7" fillId="9" borderId="46" xfId="0" applyFont="1" applyFill="1" applyBorder="1" applyAlignment="1">
      <alignment horizontal="right"/>
    </xf>
    <xf numFmtId="0" fontId="7" fillId="9" borderId="65" xfId="0" applyFont="1" applyFill="1" applyBorder="1" applyAlignment="1">
      <alignment horizontal="center" vertical="center"/>
    </xf>
    <xf numFmtId="0" fontId="7" fillId="9" borderId="66" xfId="0" applyFont="1" applyFill="1" applyBorder="1" applyAlignment="1">
      <alignment horizontal="center" vertical="center"/>
    </xf>
    <xf numFmtId="0" fontId="7" fillId="9" borderId="67" xfId="0" applyFont="1" applyFill="1" applyBorder="1" applyAlignment="1">
      <alignment horizontal="center" vertical="center"/>
    </xf>
    <xf numFmtId="0" fontId="7" fillId="9" borderId="42" xfId="0" applyFont="1" applyFill="1" applyBorder="1" applyAlignment="1">
      <alignment horizontal="center" vertical="center" wrapText="1"/>
    </xf>
    <xf numFmtId="0" fontId="7" fillId="9" borderId="9" xfId="0" applyFont="1" applyFill="1" applyBorder="1" applyAlignment="1">
      <alignment horizontal="center" vertical="center" wrapText="1"/>
    </xf>
    <xf numFmtId="0" fontId="7" fillId="9" borderId="43" xfId="0" applyFont="1" applyFill="1" applyBorder="1" applyAlignment="1">
      <alignment horizontal="center" vertical="center" wrapText="1"/>
    </xf>
    <xf numFmtId="0" fontId="7" fillId="9" borderId="29" xfId="0" applyFont="1" applyFill="1" applyBorder="1" applyAlignment="1">
      <alignment horizontal="center" vertical="center" wrapText="1"/>
    </xf>
    <xf numFmtId="0" fontId="7" fillId="9" borderId="30" xfId="0" applyFont="1" applyFill="1" applyBorder="1" applyAlignment="1">
      <alignment horizontal="center" vertical="center" wrapText="1"/>
    </xf>
    <xf numFmtId="0" fontId="40" fillId="0" borderId="0" xfId="0" applyFont="1" applyAlignment="1">
      <alignment vertical="center" readingOrder="1"/>
    </xf>
    <xf numFmtId="0" fontId="40" fillId="0" borderId="0" xfId="0" applyFont="1" applyAlignment="1">
      <alignment horizontal="left" vertical="center" readingOrder="1"/>
    </xf>
    <xf numFmtId="0" fontId="7" fillId="9" borderId="61" xfId="0" applyFont="1" applyFill="1" applyBorder="1" applyAlignment="1">
      <alignment horizontal="center" vertical="center" wrapText="1"/>
    </xf>
    <xf numFmtId="0" fontId="7" fillId="9" borderId="5" xfId="0" applyFont="1" applyFill="1" applyBorder="1" applyAlignment="1">
      <alignment horizontal="center" vertical="center" wrapText="1"/>
    </xf>
    <xf numFmtId="0" fontId="7" fillId="9" borderId="1" xfId="0" applyFont="1" applyFill="1" applyBorder="1" applyAlignment="1">
      <alignment horizontal="center" vertical="center" wrapText="1"/>
    </xf>
    <xf numFmtId="0" fontId="7" fillId="9" borderId="2" xfId="0" applyFont="1" applyFill="1" applyBorder="1" applyAlignment="1">
      <alignment horizontal="center" vertical="center" wrapText="1"/>
    </xf>
    <xf numFmtId="0" fontId="7" fillId="9" borderId="62" xfId="0" applyFont="1" applyFill="1" applyBorder="1" applyAlignment="1">
      <alignment horizontal="center" vertical="center" wrapText="1"/>
    </xf>
    <xf numFmtId="0" fontId="7" fillId="9" borderId="1" xfId="0" applyFont="1" applyFill="1" applyBorder="1" applyAlignment="1">
      <alignment horizontal="center" vertical="center"/>
    </xf>
    <xf numFmtId="0" fontId="7" fillId="9" borderId="2" xfId="0" applyFont="1" applyFill="1" applyBorder="1" applyAlignment="1">
      <alignment horizontal="center" vertical="center"/>
    </xf>
    <xf numFmtId="0" fontId="7" fillId="0" borderId="0" xfId="0" applyFont="1" applyAlignment="1">
      <alignment horizontal="center" wrapText="1"/>
    </xf>
    <xf numFmtId="0" fontId="41" fillId="9" borderId="36" xfId="0" applyFont="1" applyFill="1" applyBorder="1" applyAlignment="1">
      <alignment horizontal="center" vertical="center" wrapText="1"/>
    </xf>
    <xf numFmtId="0" fontId="41" fillId="9" borderId="2" xfId="0" applyFont="1" applyFill="1" applyBorder="1" applyAlignment="1">
      <alignment horizontal="center" vertical="center" wrapText="1"/>
    </xf>
    <xf numFmtId="0" fontId="41" fillId="9" borderId="35" xfId="0" applyFont="1" applyFill="1" applyBorder="1" applyAlignment="1">
      <alignment horizontal="center" vertical="center" wrapText="1"/>
    </xf>
    <xf numFmtId="0" fontId="41" fillId="9" borderId="37" xfId="0" applyFont="1" applyFill="1" applyBorder="1" applyAlignment="1">
      <alignment horizontal="center" vertical="center" wrapText="1"/>
    </xf>
    <xf numFmtId="0" fontId="7" fillId="9" borderId="34" xfId="0" applyFont="1" applyFill="1" applyBorder="1" applyAlignment="1">
      <alignment horizontal="center" vertical="center" wrapText="1"/>
    </xf>
    <xf numFmtId="0" fontId="7" fillId="9" borderId="38" xfId="0" applyFont="1" applyFill="1" applyBorder="1" applyAlignment="1">
      <alignment horizontal="center" vertical="center" wrapText="1"/>
    </xf>
    <xf numFmtId="0" fontId="41" fillId="9" borderId="5" xfId="0" applyFont="1" applyFill="1" applyBorder="1" applyAlignment="1">
      <alignment horizontal="center" vertical="center" wrapText="1"/>
    </xf>
    <xf numFmtId="0" fontId="42" fillId="0" borderId="0" xfId="0" applyFont="1" applyAlignment="1">
      <alignment horizontal="center"/>
    </xf>
    <xf numFmtId="165" fontId="42" fillId="0" borderId="0" xfId="31" applyNumberFormat="1" applyFont="1" applyAlignment="1">
      <alignment horizontal="center"/>
    </xf>
    <xf numFmtId="0" fontId="19" fillId="0" borderId="0" xfId="0" applyFont="1" applyAlignment="1">
      <alignment vertical="center" wrapText="1"/>
    </xf>
    <xf numFmtId="0" fontId="19" fillId="0" borderId="75" xfId="0" applyFont="1" applyBorder="1" applyAlignment="1">
      <alignment horizontal="center" vertical="center"/>
    </xf>
  </cellXfs>
  <cellStyles count="154">
    <cellStyle name="Comma" xfId="152" builtinId="3"/>
    <cellStyle name="Comma 2" xfId="114" xr:uid="{00000000-0005-0000-0000-000000000000}"/>
    <cellStyle name="Currency" xfId="86" builtinId="4"/>
    <cellStyle name="Currency 2" xfId="115" xr:uid="{00000000-0005-0000-0000-000002000000}"/>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3" builtinId="9" hidden="1"/>
    <cellStyle name="Followed Hyperlink" xfId="35" builtinId="9" hidden="1"/>
    <cellStyle name="Followed Hyperlink" xfId="37" builtinId="9" hidden="1"/>
    <cellStyle name="Followed Hyperlink" xfId="39" builtinId="9" hidden="1"/>
    <cellStyle name="Followed Hyperlink" xfId="41" builtinId="9" hidden="1"/>
    <cellStyle name="Followed Hyperlink" xfId="43" builtinId="9" hidden="1"/>
    <cellStyle name="Followed Hyperlink" xfId="45" builtinId="9" hidden="1"/>
    <cellStyle name="Followed Hyperlink" xfId="47" builtinId="9" hidden="1"/>
    <cellStyle name="Followed Hyperlink" xfId="49" builtinId="9" hidden="1"/>
    <cellStyle name="Followed Hyperlink" xfId="51" builtinId="9" hidden="1"/>
    <cellStyle name="Followed Hyperlink" xfId="53" builtinId="9" hidden="1"/>
    <cellStyle name="Followed Hyperlink" xfId="55" builtinId="9" hidden="1"/>
    <cellStyle name="Followed Hyperlink" xfId="57" builtinId="9" hidden="1"/>
    <cellStyle name="Followed Hyperlink" xfId="59" builtinId="9" hidden="1"/>
    <cellStyle name="Followed Hyperlink" xfId="61" builtinId="9" hidden="1"/>
    <cellStyle name="Followed Hyperlink" xfId="63" builtinId="9" hidden="1"/>
    <cellStyle name="Followed Hyperlink" xfId="65" builtinId="9" hidden="1"/>
    <cellStyle name="Followed Hyperlink" xfId="67" builtinId="9" hidden="1"/>
    <cellStyle name="Followed Hyperlink" xfId="69" builtinId="9" hidden="1"/>
    <cellStyle name="Followed Hyperlink" xfId="71" builtinId="9" hidden="1"/>
    <cellStyle name="Followed Hyperlink" xfId="73" builtinId="9" hidden="1"/>
    <cellStyle name="Followed Hyperlink" xfId="75" builtinId="9" hidden="1"/>
    <cellStyle name="Followed Hyperlink" xfId="77" builtinId="9" hidden="1"/>
    <cellStyle name="Followed Hyperlink" xfId="79" builtinId="9" hidden="1"/>
    <cellStyle name="Followed Hyperlink" xfId="81" builtinId="9" hidden="1"/>
    <cellStyle name="Followed Hyperlink" xfId="83" builtinId="9" hidden="1"/>
    <cellStyle name="Followed Hyperlink" xfId="85"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7" builtinId="9" hidden="1"/>
    <cellStyle name="Followed Hyperlink" xfId="119" builtinId="9" hidden="1"/>
    <cellStyle name="Followed Hyperlink" xfId="121" builtinId="9" hidden="1"/>
    <cellStyle name="Followed Hyperlink" xfId="123" builtinId="9" hidden="1"/>
    <cellStyle name="Followed Hyperlink" xfId="125" builtinId="9" hidden="1"/>
    <cellStyle name="Followed Hyperlink" xfId="127" builtinId="9" hidden="1"/>
    <cellStyle name="Followed Hyperlink" xfId="129" builtinId="9" hidden="1"/>
    <cellStyle name="Followed Hyperlink" xfId="131" builtinId="9" hidden="1"/>
    <cellStyle name="Followed Hyperlink" xfId="133" builtinId="9" hidden="1"/>
    <cellStyle name="Followed Hyperlink" xfId="135" builtinId="9" hidden="1"/>
    <cellStyle name="Followed Hyperlink" xfId="137" builtinId="9" hidden="1"/>
    <cellStyle name="Followed Hyperlink" xfId="139" builtinId="9" hidden="1"/>
    <cellStyle name="Followed Hyperlink" xfId="141" builtinId="9" hidden="1"/>
    <cellStyle name="Followed Hyperlink" xfId="143" builtinId="9" hidden="1"/>
    <cellStyle name="Followed Hyperlink" xfId="145" builtinId="9" hidden="1"/>
    <cellStyle name="Followed Hyperlink" xfId="147" builtinId="9" hidden="1"/>
    <cellStyle name="Followed Hyperlink" xfId="149" builtinId="9" hidden="1"/>
    <cellStyle name="Followed Hyperlink" xfId="151"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2" builtinId="8" hidden="1"/>
    <cellStyle name="Hyperlink" xfId="34" builtinId="8" hidden="1"/>
    <cellStyle name="Hyperlink" xfId="36" builtinId="8" hidden="1"/>
    <cellStyle name="Hyperlink" xfId="38" builtinId="8" hidden="1"/>
    <cellStyle name="Hyperlink" xfId="40" builtinId="8" hidden="1"/>
    <cellStyle name="Hyperlink" xfId="42" builtinId="8" hidden="1"/>
    <cellStyle name="Hyperlink" xfId="44" builtinId="8" hidden="1"/>
    <cellStyle name="Hyperlink" xfId="46" builtinId="8" hidden="1"/>
    <cellStyle name="Hyperlink" xfId="48" builtinId="8" hidden="1"/>
    <cellStyle name="Hyperlink" xfId="50" builtinId="8" hidden="1"/>
    <cellStyle name="Hyperlink" xfId="52" builtinId="8" hidden="1"/>
    <cellStyle name="Hyperlink" xfId="54" builtinId="8" hidden="1"/>
    <cellStyle name="Hyperlink" xfId="56" builtinId="8" hidden="1"/>
    <cellStyle name="Hyperlink" xfId="58" builtinId="8" hidden="1"/>
    <cellStyle name="Hyperlink" xfId="60" builtinId="8" hidden="1"/>
    <cellStyle name="Hyperlink" xfId="62" builtinId="8" hidden="1"/>
    <cellStyle name="Hyperlink" xfId="64" builtinId="8" hidden="1"/>
    <cellStyle name="Hyperlink" xfId="66" builtinId="8" hidden="1"/>
    <cellStyle name="Hyperlink" xfId="68" builtinId="8" hidden="1"/>
    <cellStyle name="Hyperlink" xfId="70" builtinId="8" hidden="1"/>
    <cellStyle name="Hyperlink" xfId="72" builtinId="8" hidden="1"/>
    <cellStyle name="Hyperlink" xfId="74" builtinId="8" hidden="1"/>
    <cellStyle name="Hyperlink" xfId="76" builtinId="8" hidden="1"/>
    <cellStyle name="Hyperlink" xfId="78" builtinId="8" hidden="1"/>
    <cellStyle name="Hyperlink" xfId="80" builtinId="8" hidden="1"/>
    <cellStyle name="Hyperlink" xfId="82" builtinId="8" hidden="1"/>
    <cellStyle name="Hyperlink" xfId="84"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6" builtinId="8" hidden="1"/>
    <cellStyle name="Hyperlink" xfId="118" builtinId="8" hidden="1"/>
    <cellStyle name="Hyperlink" xfId="120" builtinId="8" hidden="1"/>
    <cellStyle name="Hyperlink" xfId="122" builtinId="8" hidden="1"/>
    <cellStyle name="Hyperlink" xfId="124" builtinId="8" hidden="1"/>
    <cellStyle name="Hyperlink" xfId="126" builtinId="8" hidden="1"/>
    <cellStyle name="Hyperlink" xfId="128" builtinId="8" hidden="1"/>
    <cellStyle name="Hyperlink" xfId="130" builtinId="8" hidden="1"/>
    <cellStyle name="Hyperlink" xfId="132" builtinId="8" hidden="1"/>
    <cellStyle name="Hyperlink" xfId="134" builtinId="8" hidden="1"/>
    <cellStyle name="Hyperlink" xfId="136" builtinId="8" hidden="1"/>
    <cellStyle name="Hyperlink" xfId="138" builtinId="8" hidden="1"/>
    <cellStyle name="Hyperlink" xfId="140" builtinId="8" hidden="1"/>
    <cellStyle name="Hyperlink" xfId="142" builtinId="8" hidden="1"/>
    <cellStyle name="Hyperlink" xfId="144" builtinId="8" hidden="1"/>
    <cellStyle name="Hyperlink" xfId="146" builtinId="8" hidden="1"/>
    <cellStyle name="Hyperlink" xfId="148" builtinId="8" hidden="1"/>
    <cellStyle name="Hyperlink" xfId="150" builtinId="8" hidden="1"/>
    <cellStyle name="Normal" xfId="0" builtinId="0"/>
    <cellStyle name="Normal 2" xfId="153" xr:uid="{93B68ED2-859F-B143-AAF2-99AD413EF1F0}"/>
    <cellStyle name="Percent" xfId="31" builtinId="5"/>
    <cellStyle name="Percent 2" xfId="113" xr:uid="{00000000-0005-0000-0000-000097000000}"/>
  </cellStyles>
  <dxfs count="0"/>
  <tableStyles count="0" defaultTableStyle="TableStyleMedium9" defaultPivotStyle="PivotStyleMedium4"/>
  <colors>
    <mruColors>
      <color rgb="FFF4F8E8"/>
      <color rgb="FFF7FFC7"/>
      <color rgb="FFE6ECF8"/>
      <color rgb="FFDEF3D1"/>
      <color rgb="FFD6F4F3"/>
      <color rgb="FFFFFD7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4.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 Id="rId27"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100"/>
              <a:t>Revenue Requirement by Customer Class FY23 (direct in blue; wholesale in tan)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lumMod val="60000"/>
                  <a:lumOff val="40000"/>
                </a:schemeClr>
              </a:solidFill>
              <a:ln w="19050">
                <a:solidFill>
                  <a:schemeClr val="lt1"/>
                </a:solidFill>
              </a:ln>
              <a:effectLst/>
            </c:spPr>
            <c:extLst>
              <c:ext xmlns:c16="http://schemas.microsoft.com/office/drawing/2014/chart" uri="{C3380CC4-5D6E-409C-BE32-E72D297353CC}">
                <c16:uniqueId val="{00000001-3DA1-0843-8344-7BAB244995C0}"/>
              </c:ext>
            </c:extLst>
          </c:dPt>
          <c:dPt>
            <c:idx val="1"/>
            <c:bubble3D val="0"/>
            <c:spPr>
              <a:solidFill>
                <a:schemeClr val="accent1">
                  <a:lumMod val="60000"/>
                  <a:lumOff val="40000"/>
                </a:schemeClr>
              </a:solidFill>
              <a:ln w="19050">
                <a:solidFill>
                  <a:schemeClr val="lt1"/>
                </a:solidFill>
              </a:ln>
              <a:effectLst/>
            </c:spPr>
            <c:extLst>
              <c:ext xmlns:c16="http://schemas.microsoft.com/office/drawing/2014/chart" uri="{C3380CC4-5D6E-409C-BE32-E72D297353CC}">
                <c16:uniqueId val="{00000006-3DA1-0843-8344-7BAB244995C0}"/>
              </c:ext>
            </c:extLst>
          </c:dPt>
          <c:dPt>
            <c:idx val="2"/>
            <c:bubble3D val="0"/>
            <c:spPr>
              <a:solidFill>
                <a:schemeClr val="accent1">
                  <a:lumMod val="60000"/>
                  <a:lumOff val="40000"/>
                </a:schemeClr>
              </a:solidFill>
              <a:ln w="19050">
                <a:solidFill>
                  <a:schemeClr val="lt1"/>
                </a:solidFill>
              </a:ln>
              <a:effectLst/>
            </c:spPr>
            <c:extLst>
              <c:ext xmlns:c16="http://schemas.microsoft.com/office/drawing/2014/chart" uri="{C3380CC4-5D6E-409C-BE32-E72D297353CC}">
                <c16:uniqueId val="{00000005-3DA1-0843-8344-7BAB244995C0}"/>
              </c:ext>
            </c:extLst>
          </c:dPt>
          <c:dPt>
            <c:idx val="3"/>
            <c:bubble3D val="0"/>
            <c:spPr>
              <a:solidFill>
                <a:schemeClr val="accent1">
                  <a:lumMod val="60000"/>
                  <a:lumOff val="40000"/>
                </a:schemeClr>
              </a:solidFill>
              <a:ln w="19050">
                <a:solidFill>
                  <a:schemeClr val="lt1"/>
                </a:solidFill>
              </a:ln>
              <a:effectLst/>
            </c:spPr>
            <c:extLst>
              <c:ext xmlns:c16="http://schemas.microsoft.com/office/drawing/2014/chart" uri="{C3380CC4-5D6E-409C-BE32-E72D297353CC}">
                <c16:uniqueId val="{00000004-3DA1-0843-8344-7BAB244995C0}"/>
              </c:ext>
            </c:extLst>
          </c:dPt>
          <c:dPt>
            <c:idx val="4"/>
            <c:bubble3D val="0"/>
            <c:spPr>
              <a:solidFill>
                <a:schemeClr val="accent1">
                  <a:lumMod val="60000"/>
                  <a:lumOff val="40000"/>
                </a:schemeClr>
              </a:solidFill>
              <a:ln w="19050">
                <a:solidFill>
                  <a:schemeClr val="lt1"/>
                </a:solidFill>
              </a:ln>
              <a:effectLst/>
            </c:spPr>
            <c:extLst>
              <c:ext xmlns:c16="http://schemas.microsoft.com/office/drawing/2014/chart" uri="{C3380CC4-5D6E-409C-BE32-E72D297353CC}">
                <c16:uniqueId val="{00000003-3DA1-0843-8344-7BAB244995C0}"/>
              </c:ext>
            </c:extLst>
          </c:dPt>
          <c:dPt>
            <c:idx val="5"/>
            <c:bubble3D val="0"/>
            <c:spPr>
              <a:solidFill>
                <a:schemeClr val="accent1">
                  <a:lumMod val="60000"/>
                  <a:lumOff val="40000"/>
                </a:schemeClr>
              </a:solidFill>
              <a:ln w="19050">
                <a:solidFill>
                  <a:schemeClr val="lt1"/>
                </a:solidFill>
              </a:ln>
              <a:effectLst/>
            </c:spPr>
            <c:extLst>
              <c:ext xmlns:c16="http://schemas.microsoft.com/office/drawing/2014/chart" uri="{C3380CC4-5D6E-409C-BE32-E72D297353CC}">
                <c16:uniqueId val="{00000002-3DA1-0843-8344-7BAB244995C0}"/>
              </c:ext>
            </c:extLst>
          </c:dPt>
          <c:dPt>
            <c:idx val="6"/>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9-3DA1-0843-8344-7BAB244995C0}"/>
              </c:ext>
            </c:extLst>
          </c:dPt>
          <c:dPt>
            <c:idx val="7"/>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8-3DA1-0843-8344-7BAB244995C0}"/>
              </c:ext>
            </c:extLst>
          </c:dPt>
          <c:dPt>
            <c:idx val="8"/>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3DA1-0843-8344-7BAB244995C0}"/>
              </c:ext>
            </c:extLst>
          </c:dPt>
          <c:dLbls>
            <c:dLbl>
              <c:idx val="5"/>
              <c:layout>
                <c:manualLayout>
                  <c:x val="4.730098566299331E-2"/>
                  <c:y val="3.6806412608321494E-2"/>
                </c:manualLayout>
              </c:layou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DA1-0843-8344-7BAB244995C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summary!$D$14:$L$14</c:f>
              <c:strCache>
                <c:ptCount val="9"/>
                <c:pt idx="0">
                  <c:v>O Res</c:v>
                </c:pt>
                <c:pt idx="1">
                  <c:v>N-O Res</c:v>
                </c:pt>
                <c:pt idx="2">
                  <c:v>O Com</c:v>
                </c:pt>
                <c:pt idx="3">
                  <c:v>N-O Com</c:v>
                </c:pt>
                <c:pt idx="4">
                  <c:v>Ind</c:v>
                </c:pt>
                <c:pt idx="5">
                  <c:v>City</c:v>
                </c:pt>
                <c:pt idx="6">
                  <c:v>W Bloom</c:v>
                </c:pt>
                <c:pt idx="7">
                  <c:v>W LC</c:v>
                </c:pt>
                <c:pt idx="8">
                  <c:v>W NN</c:v>
                </c:pt>
              </c:strCache>
            </c:strRef>
          </c:cat>
          <c:val>
            <c:numRef>
              <c:f>summary!$D$4:$L$4</c:f>
              <c:numCache>
                <c:formatCode>_(* #,##0_);_(* \(#,##0\);_(* "-"_);_(@_)</c:formatCode>
                <c:ptCount val="9"/>
                <c:pt idx="0">
                  <c:v>1760392.5162321776</c:v>
                </c:pt>
                <c:pt idx="1">
                  <c:v>2511793.5063530533</c:v>
                </c:pt>
                <c:pt idx="2">
                  <c:v>1051963.7548240279</c:v>
                </c:pt>
                <c:pt idx="3">
                  <c:v>356155.60395453637</c:v>
                </c:pt>
                <c:pt idx="4">
                  <c:v>1444560.4357195441</c:v>
                </c:pt>
                <c:pt idx="5">
                  <c:v>163043.0373563722</c:v>
                </c:pt>
                <c:pt idx="6">
                  <c:v>638480.7936952461</c:v>
                </c:pt>
                <c:pt idx="7">
                  <c:v>287409.80316598638</c:v>
                </c:pt>
                <c:pt idx="8">
                  <c:v>319157.36101846647</c:v>
                </c:pt>
              </c:numCache>
            </c:numRef>
          </c:val>
          <c:extLst>
            <c:ext xmlns:c16="http://schemas.microsoft.com/office/drawing/2014/chart" uri="{C3380CC4-5D6E-409C-BE32-E72D297353CC}">
              <c16:uniqueId val="{00000000-3DA1-0843-8344-7BAB244995C0}"/>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14</xdr:col>
      <xdr:colOff>643466</xdr:colOff>
      <xdr:row>49</xdr:row>
      <xdr:rowOff>25400</xdr:rowOff>
    </xdr:from>
    <xdr:to>
      <xdr:col>18</xdr:col>
      <xdr:colOff>365222</xdr:colOff>
      <xdr:row>74</xdr:row>
      <xdr:rowOff>71221</xdr:rowOff>
    </xdr:to>
    <xdr:pic>
      <xdr:nvPicPr>
        <xdr:cNvPr id="10" name="Picture 9">
          <a:extLst>
            <a:ext uri="{FF2B5EF4-FFF2-40B4-BE49-F238E27FC236}">
              <a16:creationId xmlns:a16="http://schemas.microsoft.com/office/drawing/2014/main" id="{60EF954F-3051-9262-9FF0-53173A017595}"/>
            </a:ext>
          </a:extLst>
        </xdr:cNvPr>
        <xdr:cNvPicPr>
          <a:picLocks noChangeAspect="1"/>
        </xdr:cNvPicPr>
      </xdr:nvPicPr>
      <xdr:blipFill>
        <a:blip xmlns:r="http://schemas.openxmlformats.org/officeDocument/2006/relationships" r:embed="rId1"/>
        <a:stretch>
          <a:fillRect/>
        </a:stretch>
      </xdr:blipFill>
      <xdr:spPr>
        <a:xfrm>
          <a:off x="11853333" y="10143067"/>
          <a:ext cx="3548689" cy="459242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643466</xdr:colOff>
      <xdr:row>51</xdr:row>
      <xdr:rowOff>25400</xdr:rowOff>
    </xdr:from>
    <xdr:to>
      <xdr:col>18</xdr:col>
      <xdr:colOff>365223</xdr:colOff>
      <xdr:row>77</xdr:row>
      <xdr:rowOff>58521</xdr:rowOff>
    </xdr:to>
    <xdr:pic>
      <xdr:nvPicPr>
        <xdr:cNvPr id="4" name="Picture 3">
          <a:extLst>
            <a:ext uri="{FF2B5EF4-FFF2-40B4-BE49-F238E27FC236}">
              <a16:creationId xmlns:a16="http://schemas.microsoft.com/office/drawing/2014/main" id="{FAF4903F-5B66-3848-83D5-8C5237B71075}"/>
            </a:ext>
          </a:extLst>
        </xdr:cNvPr>
        <xdr:cNvPicPr>
          <a:picLocks noChangeAspect="1"/>
        </xdr:cNvPicPr>
      </xdr:nvPicPr>
      <xdr:blipFill>
        <a:blip xmlns:r="http://schemas.openxmlformats.org/officeDocument/2006/relationships" r:embed="rId1"/>
        <a:stretch>
          <a:fillRect/>
        </a:stretch>
      </xdr:blipFill>
      <xdr:spPr>
        <a:xfrm>
          <a:off x="11794066" y="10134600"/>
          <a:ext cx="3531756" cy="459242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13</xdr:col>
      <xdr:colOff>846665</xdr:colOff>
      <xdr:row>1</xdr:row>
      <xdr:rowOff>190499</xdr:rowOff>
    </xdr:from>
    <xdr:to>
      <xdr:col>18</xdr:col>
      <xdr:colOff>0</xdr:colOff>
      <xdr:row>11</xdr:row>
      <xdr:rowOff>59267</xdr:rowOff>
    </xdr:to>
    <xdr:graphicFrame macro="">
      <xdr:nvGraphicFramePr>
        <xdr:cNvPr id="2" name="Chart 1">
          <a:extLst>
            <a:ext uri="{FF2B5EF4-FFF2-40B4-BE49-F238E27FC236}">
              <a16:creationId xmlns:a16="http://schemas.microsoft.com/office/drawing/2014/main" id="{BF9FEDEC-A863-A6A0-882D-3F6B822AFCD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onnieallen/Documents/Documents%20-%20Connie&#8217;s%20MacBook%20Pro/Documents%20-%20Connie&#8217;s%20MacBook%20Pro/clients/Clients/Bardstown/water/rate%20base/Bardstown%20just%20water%20CL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onnieallen/Documents/Documents%20-%20Connie&#8217;s%20MacBook%20Pro/Documents%20-%20Connie&#8217;s%20MacBook%20Pro/clients/Clients/Bardstown/water/rate%20base/Bardstown%20just%20water%20CLA%2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onnieallen/Documents/Documents%20-%20Connie&#8217;s%20MacBook%20Pro/Documents%20-%20Connie&#8217;s%20MacBook%20Pro/clients/Clients/Bardstown/water/rate%20base/bardstown%20summary%20expenses.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C:\Users\benjamin.rogness\AppData\Local\Microsoft\Windows\INetCache\Content.Outlook\QA8GHUWC\bardstown%20water.xlsx" TargetMode="External"/><Relationship Id="rId1" Type="http://schemas.openxmlformats.org/officeDocument/2006/relationships/externalLinkPath" Target="/Users/benjamin.rogness/AppData/Local/Microsoft/Windows/INetCache/Content.Outlook/QA8GHUWC/bardstown%20water.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connieallen/Documents/Documents%20-%20Connie&#8217;s%20MacBook%20Pro/Documents%20-%20Connie&#8217;s%20MacBook%20Pro/clients/Clients/Bardstown/water/SRE%20water%20loss%20bardstown.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connieallen/Documents/Documents%20-%20Connie&#8217;s%20MacBook%20Pro/Documents%20-%20Connie&#8217;s%20MacBook%20Pro/clients/Clients/Bardstown/water/bardstown%20water%20C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s"/>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Volume"/>
      <sheetName val="Revenue"/>
      <sheetName val="Customers"/>
    </sheetNames>
    <sheetDataSet>
      <sheetData sheetId="0">
        <row r="24">
          <cell r="B24">
            <v>196524700</v>
          </cell>
          <cell r="C24">
            <v>301874800</v>
          </cell>
          <cell r="D24">
            <v>172154000</v>
          </cell>
          <cell r="E24">
            <v>42388700</v>
          </cell>
          <cell r="F24">
            <v>241303300</v>
          </cell>
          <cell r="G24">
            <v>52896100</v>
          </cell>
          <cell r="H24">
            <v>43012500</v>
          </cell>
          <cell r="I24">
            <v>170084700</v>
          </cell>
          <cell r="J24">
            <v>53342000</v>
          </cell>
          <cell r="K24">
            <v>87672600</v>
          </cell>
          <cell r="L24">
            <v>19281000</v>
          </cell>
        </row>
      </sheetData>
      <sheetData sheetId="1">
        <row r="24">
          <cell r="B24">
            <v>1458426.46</v>
          </cell>
          <cell r="C24">
            <v>2646608.5</v>
          </cell>
          <cell r="D24">
            <v>945806.08</v>
          </cell>
          <cell r="E24">
            <v>304119.77999999997</v>
          </cell>
          <cell r="F24">
            <v>992139.71000000008</v>
          </cell>
          <cell r="G24">
            <v>213482.34</v>
          </cell>
          <cell r="H24">
            <v>177591.06</v>
          </cell>
          <cell r="I24">
            <v>447870.59000000008</v>
          </cell>
          <cell r="J24">
            <v>140822.88</v>
          </cell>
          <cell r="K24">
            <v>230828.30000000002</v>
          </cell>
          <cell r="L24">
            <v>50901.840000000004</v>
          </cell>
        </row>
      </sheetData>
      <sheetData sheetId="2">
        <row r="24">
          <cell r="B24">
            <v>58171</v>
          </cell>
          <cell r="C24">
            <v>72492</v>
          </cell>
          <cell r="D24">
            <v>13647</v>
          </cell>
          <cell r="E24">
            <v>5960</v>
          </cell>
          <cell r="F24">
            <v>672</v>
          </cell>
          <cell r="G24">
            <v>95</v>
          </cell>
          <cell r="H24">
            <v>213</v>
          </cell>
          <cell r="I24">
            <v>12</v>
          </cell>
          <cell r="K24">
            <v>12</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ater loss tracker"/>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splant"/>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15.xml.rels><?xml version="1.0" encoding="UTF-8" standalone="yes"?>
<Relationships xmlns="http://schemas.openxmlformats.org/package/2006/relationships"><Relationship Id="rId2" Type="http://schemas.openxmlformats.org/officeDocument/2006/relationships/comments" Target="../comments13.xml"/><Relationship Id="rId1" Type="http://schemas.openxmlformats.org/officeDocument/2006/relationships/vmlDrawing" Target="../drawings/vmlDrawing13.vml"/></Relationships>
</file>

<file path=xl/worksheets/_rels/sheet17.xml.rels><?xml version="1.0" encoding="UTF-8" standalone="yes"?>
<Relationships xmlns="http://schemas.openxmlformats.org/package/2006/relationships"><Relationship Id="rId2" Type="http://schemas.openxmlformats.org/officeDocument/2006/relationships/comments" Target="../comments14.xml"/><Relationship Id="rId1" Type="http://schemas.openxmlformats.org/officeDocument/2006/relationships/vmlDrawing" Target="../drawings/vmlDrawing14.v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79998168889431442"/>
  </sheetPr>
  <dimension ref="A1:O99"/>
  <sheetViews>
    <sheetView zoomScale="165" zoomScaleNormal="150" workbookViewId="0">
      <pane ySplit="2" topLeftCell="A60" activePane="bottomLeft" state="frozen"/>
      <selection pane="bottomLeft" activeCell="K55" sqref="K55"/>
    </sheetView>
  </sheetViews>
  <sheetFormatPr defaultColWidth="10.6640625" defaultRowHeight="12"/>
  <cols>
    <col min="1" max="1" width="3" style="14" customWidth="1"/>
    <col min="2" max="2" width="16.109375" style="14" customWidth="1"/>
    <col min="3" max="3" width="8.109375" style="36" customWidth="1"/>
    <col min="4" max="11" width="8.109375" style="14" customWidth="1"/>
    <col min="12" max="12" width="13.33203125" style="44" customWidth="1"/>
    <col min="13" max="16384" width="10.6640625" style="14"/>
  </cols>
  <sheetData>
    <row r="1" spans="1:15" ht="12.75" thickTop="1">
      <c r="A1" s="316"/>
      <c r="B1" s="317"/>
      <c r="C1" s="369"/>
      <c r="D1" s="317"/>
      <c r="E1" s="317"/>
      <c r="F1" s="318"/>
      <c r="G1" s="342" t="s">
        <v>4</v>
      </c>
      <c r="H1" s="342"/>
      <c r="I1" s="424"/>
      <c r="J1" s="424"/>
      <c r="K1" s="424"/>
      <c r="L1" s="425"/>
    </row>
    <row r="2" spans="1:15" s="15" customFormat="1" ht="36">
      <c r="A2" s="320"/>
      <c r="B2" s="321" t="s">
        <v>1</v>
      </c>
      <c r="C2" s="370" t="s">
        <v>150</v>
      </c>
      <c r="D2" s="321" t="s">
        <v>5</v>
      </c>
      <c r="E2" s="321" t="s">
        <v>6</v>
      </c>
      <c r="F2" s="321" t="s">
        <v>7</v>
      </c>
      <c r="G2" s="321" t="s">
        <v>8</v>
      </c>
      <c r="H2" s="321" t="s">
        <v>9</v>
      </c>
      <c r="I2" s="321" t="s">
        <v>10</v>
      </c>
      <c r="J2" s="371" t="s">
        <v>21</v>
      </c>
      <c r="K2" s="321" t="s">
        <v>11</v>
      </c>
      <c r="L2" s="322" t="s">
        <v>3</v>
      </c>
      <c r="M2"/>
    </row>
    <row r="3" spans="1:15" s="15" customFormat="1" ht="9" customHeight="1">
      <c r="A3" s="323"/>
      <c r="B3" s="18"/>
      <c r="C3" s="16"/>
      <c r="D3" s="17"/>
      <c r="E3" s="17"/>
      <c r="F3" s="17"/>
      <c r="G3" s="17"/>
      <c r="H3" s="17"/>
      <c r="I3" s="17"/>
      <c r="J3" s="17"/>
      <c r="K3" s="17"/>
      <c r="L3" s="324"/>
    </row>
    <row r="4" spans="1:15" ht="15.95" customHeight="1">
      <c r="A4" s="328" t="s">
        <v>166</v>
      </c>
      <c r="B4" s="20"/>
      <c r="C4" s="21"/>
      <c r="D4" s="20"/>
      <c r="E4" s="20"/>
      <c r="F4" s="20"/>
      <c r="G4" s="20"/>
      <c r="H4" s="20"/>
      <c r="I4" s="20"/>
      <c r="J4" s="20"/>
      <c r="K4" s="20"/>
      <c r="L4" s="326"/>
      <c r="N4" s="1"/>
      <c r="O4" s="1"/>
    </row>
    <row r="5" spans="1:15" ht="15.95" customHeight="1">
      <c r="A5" s="329" t="s">
        <v>96</v>
      </c>
      <c r="B5" s="22" t="s">
        <v>26</v>
      </c>
      <c r="C5" s="23">
        <v>119753</v>
      </c>
      <c r="D5" s="20">
        <f>C5*70%</f>
        <v>83827.099999999991</v>
      </c>
      <c r="E5" s="20">
        <f>C5*30%</f>
        <v>35925.9</v>
      </c>
      <c r="F5" s="20">
        <f t="shared" ref="F5:J7" si="0">0%*$C$5</f>
        <v>0</v>
      </c>
      <c r="G5" s="20">
        <f t="shared" si="0"/>
        <v>0</v>
      </c>
      <c r="H5" s="20">
        <f t="shared" si="0"/>
        <v>0</v>
      </c>
      <c r="I5" s="20">
        <f t="shared" si="0"/>
        <v>0</v>
      </c>
      <c r="J5" s="20">
        <f t="shared" si="0"/>
        <v>0</v>
      </c>
      <c r="K5" s="20">
        <v>0</v>
      </c>
      <c r="L5" s="326" t="s">
        <v>254</v>
      </c>
      <c r="N5" s="1"/>
      <c r="O5" s="1"/>
    </row>
    <row r="6" spans="1:15" ht="15.95" customHeight="1">
      <c r="A6" s="329" t="s">
        <v>114</v>
      </c>
      <c r="B6" s="22" t="s">
        <v>235</v>
      </c>
      <c r="C6" s="23">
        <f>62306+1514487</f>
        <v>1576793</v>
      </c>
      <c r="D6" s="20">
        <f>C6*70%</f>
        <v>1103755.0999999999</v>
      </c>
      <c r="E6" s="20">
        <f>C6*30%</f>
        <v>473037.89999999997</v>
      </c>
      <c r="F6" s="20">
        <f t="shared" si="0"/>
        <v>0</v>
      </c>
      <c r="G6" s="20">
        <f t="shared" si="0"/>
        <v>0</v>
      </c>
      <c r="H6" s="20">
        <f t="shared" si="0"/>
        <v>0</v>
      </c>
      <c r="I6" s="20">
        <f t="shared" si="0"/>
        <v>0</v>
      </c>
      <c r="J6" s="20">
        <f t="shared" si="0"/>
        <v>0</v>
      </c>
      <c r="K6" s="20">
        <v>0</v>
      </c>
      <c r="L6" s="326" t="s">
        <v>254</v>
      </c>
      <c r="N6" s="1"/>
      <c r="O6" s="1"/>
    </row>
    <row r="7" spans="1:15" ht="15.95" customHeight="1">
      <c r="A7" s="329" t="s">
        <v>98</v>
      </c>
      <c r="B7" s="22" t="s">
        <v>48</v>
      </c>
      <c r="C7" s="23">
        <f>121609+14742</f>
        <v>136351</v>
      </c>
      <c r="D7" s="20">
        <f>C7*70%</f>
        <v>95445.7</v>
      </c>
      <c r="E7" s="20">
        <f>C7*30%</f>
        <v>40905.299999999996</v>
      </c>
      <c r="F7" s="20">
        <f t="shared" si="0"/>
        <v>0</v>
      </c>
      <c r="G7" s="20">
        <f t="shared" si="0"/>
        <v>0</v>
      </c>
      <c r="H7" s="20">
        <f t="shared" si="0"/>
        <v>0</v>
      </c>
      <c r="I7" s="20">
        <f t="shared" si="0"/>
        <v>0</v>
      </c>
      <c r="J7" s="20">
        <f t="shared" si="0"/>
        <v>0</v>
      </c>
      <c r="K7" s="20">
        <v>0</v>
      </c>
      <c r="L7" s="326" t="s">
        <v>254</v>
      </c>
      <c r="N7" s="1"/>
      <c r="O7" s="1"/>
    </row>
    <row r="8" spans="1:15" ht="15.95" customHeight="1">
      <c r="A8" s="426" t="s">
        <v>24</v>
      </c>
      <c r="B8" s="427"/>
      <c r="C8" s="25">
        <f t="shared" ref="C8:K8" si="1">SUM(C5:C7)</f>
        <v>1832897</v>
      </c>
      <c r="D8" s="24">
        <f t="shared" si="1"/>
        <v>1283027.8999999999</v>
      </c>
      <c r="E8" s="24">
        <f t="shared" si="1"/>
        <v>549869.1</v>
      </c>
      <c r="F8" s="24">
        <f t="shared" si="1"/>
        <v>0</v>
      </c>
      <c r="G8" s="24">
        <f t="shared" si="1"/>
        <v>0</v>
      </c>
      <c r="H8" s="24">
        <f t="shared" si="1"/>
        <v>0</v>
      </c>
      <c r="I8" s="24">
        <f t="shared" si="1"/>
        <v>0</v>
      </c>
      <c r="J8" s="24">
        <f t="shared" si="1"/>
        <v>0</v>
      </c>
      <c r="K8" s="24">
        <f t="shared" si="1"/>
        <v>0</v>
      </c>
      <c r="L8" s="327" t="str">
        <f>IF(SUM(D8:K8)=C8,"balance","error")</f>
        <v>balance</v>
      </c>
      <c r="N8" s="1"/>
      <c r="O8" s="1"/>
    </row>
    <row r="9" spans="1:15" ht="9" customHeight="1">
      <c r="A9" s="330"/>
      <c r="B9" s="22"/>
      <c r="C9" s="21"/>
      <c r="D9" s="20"/>
      <c r="E9" s="20"/>
      <c r="F9" s="20"/>
      <c r="G9" s="20"/>
      <c r="H9" s="20"/>
      <c r="I9" s="20"/>
      <c r="J9" s="20"/>
      <c r="K9" s="20"/>
      <c r="L9" s="326"/>
      <c r="N9" s="1"/>
      <c r="O9" s="1"/>
    </row>
    <row r="10" spans="1:15" ht="15.95" customHeight="1">
      <c r="A10" s="422" t="s">
        <v>167</v>
      </c>
      <c r="B10" s="423"/>
      <c r="C10" s="21"/>
      <c r="D10" s="20"/>
      <c r="E10" s="20"/>
      <c r="F10" s="20"/>
      <c r="G10" s="20"/>
      <c r="H10" s="20"/>
      <c r="I10" s="20"/>
      <c r="J10" s="20"/>
      <c r="K10" s="20"/>
      <c r="L10" s="326"/>
      <c r="N10" s="1"/>
      <c r="O10" s="1"/>
    </row>
    <row r="11" spans="1:15" ht="15.95" customHeight="1">
      <c r="A11" s="329" t="s">
        <v>96</v>
      </c>
      <c r="B11" s="22" t="s">
        <v>26</v>
      </c>
      <c r="C11" s="23">
        <v>50497</v>
      </c>
      <c r="D11" s="20">
        <f>C11</f>
        <v>50497</v>
      </c>
      <c r="E11" s="20">
        <v>0</v>
      </c>
      <c r="F11" s="20">
        <f t="shared" ref="F11:J17" si="2">0%*$C$11</f>
        <v>0</v>
      </c>
      <c r="G11" s="20">
        <f t="shared" si="2"/>
        <v>0</v>
      </c>
      <c r="H11" s="20">
        <f t="shared" si="2"/>
        <v>0</v>
      </c>
      <c r="I11" s="20">
        <f t="shared" si="2"/>
        <v>0</v>
      </c>
      <c r="J11" s="20">
        <f t="shared" si="2"/>
        <v>0</v>
      </c>
      <c r="K11" s="20">
        <v>0</v>
      </c>
      <c r="L11" s="326" t="s">
        <v>143</v>
      </c>
      <c r="N11" s="1"/>
      <c r="O11" s="1"/>
    </row>
    <row r="12" spans="1:15" ht="15.95" customHeight="1">
      <c r="A12" s="329" t="s">
        <v>114</v>
      </c>
      <c r="B12" s="22" t="s">
        <v>113</v>
      </c>
      <c r="C12" s="23">
        <v>2390812</v>
      </c>
      <c r="D12" s="20">
        <f>C12</f>
        <v>2390812</v>
      </c>
      <c r="E12" s="20">
        <v>0</v>
      </c>
      <c r="F12" s="20">
        <f t="shared" si="2"/>
        <v>0</v>
      </c>
      <c r="G12" s="20">
        <f t="shared" si="2"/>
        <v>0</v>
      </c>
      <c r="H12" s="20">
        <f t="shared" si="2"/>
        <v>0</v>
      </c>
      <c r="I12" s="20">
        <f t="shared" si="2"/>
        <v>0</v>
      </c>
      <c r="J12" s="20">
        <f t="shared" si="2"/>
        <v>0</v>
      </c>
      <c r="K12" s="20">
        <v>0</v>
      </c>
      <c r="L12" s="326" t="s">
        <v>143</v>
      </c>
      <c r="N12" s="1"/>
      <c r="O12" s="1"/>
    </row>
    <row r="13" spans="1:15" ht="15.95" customHeight="1">
      <c r="A13" s="329" t="s">
        <v>233</v>
      </c>
      <c r="B13" s="22" t="s">
        <v>234</v>
      </c>
      <c r="C13" s="23">
        <v>17887365</v>
      </c>
      <c r="D13" s="20">
        <f>C13</f>
        <v>17887365</v>
      </c>
      <c r="E13" s="20">
        <v>0</v>
      </c>
      <c r="F13" s="20">
        <f t="shared" si="2"/>
        <v>0</v>
      </c>
      <c r="G13" s="20">
        <f t="shared" si="2"/>
        <v>0</v>
      </c>
      <c r="H13" s="20">
        <f t="shared" si="2"/>
        <v>0</v>
      </c>
      <c r="I13" s="20">
        <f t="shared" si="2"/>
        <v>0</v>
      </c>
      <c r="J13" s="20">
        <f t="shared" si="2"/>
        <v>0</v>
      </c>
      <c r="K13" s="20">
        <v>0</v>
      </c>
      <c r="L13" s="326" t="s">
        <v>143</v>
      </c>
      <c r="N13" s="1"/>
      <c r="O13" s="1"/>
    </row>
    <row r="14" spans="1:15" ht="15.95" customHeight="1">
      <c r="A14" s="329" t="s">
        <v>232</v>
      </c>
      <c r="B14" s="22" t="s">
        <v>231</v>
      </c>
      <c r="C14" s="23">
        <v>1041544</v>
      </c>
      <c r="D14" s="20">
        <f>C14*70%</f>
        <v>729080.79999999993</v>
      </c>
      <c r="E14" s="20">
        <f>C14*30%</f>
        <v>312463.2</v>
      </c>
      <c r="F14" s="20">
        <f t="shared" si="2"/>
        <v>0</v>
      </c>
      <c r="G14" s="20">
        <f t="shared" si="2"/>
        <v>0</v>
      </c>
      <c r="H14" s="20">
        <f t="shared" si="2"/>
        <v>0</v>
      </c>
      <c r="I14" s="20">
        <f t="shared" si="2"/>
        <v>0</v>
      </c>
      <c r="J14" s="20">
        <f t="shared" si="2"/>
        <v>0</v>
      </c>
      <c r="K14" s="20">
        <v>0</v>
      </c>
      <c r="L14" s="326" t="s">
        <v>254</v>
      </c>
      <c r="N14" s="1"/>
      <c r="O14" s="1"/>
    </row>
    <row r="15" spans="1:15" ht="15.95" customHeight="1">
      <c r="A15" s="329" t="s">
        <v>123</v>
      </c>
      <c r="B15" s="22" t="s">
        <v>184</v>
      </c>
      <c r="C15" s="23"/>
      <c r="D15" s="20">
        <f>C15</f>
        <v>0</v>
      </c>
      <c r="E15" s="20">
        <v>0</v>
      </c>
      <c r="F15" s="20">
        <v>0</v>
      </c>
      <c r="G15" s="20">
        <v>0</v>
      </c>
      <c r="H15" s="20">
        <v>0</v>
      </c>
      <c r="I15" s="20">
        <v>0</v>
      </c>
      <c r="J15" s="20">
        <v>0</v>
      </c>
      <c r="K15" s="20">
        <v>0</v>
      </c>
      <c r="L15" s="326" t="s">
        <v>143</v>
      </c>
      <c r="N15" s="1"/>
      <c r="O15" s="1"/>
    </row>
    <row r="16" spans="1:15" ht="15.95" customHeight="1">
      <c r="A16" s="329" t="s">
        <v>157</v>
      </c>
      <c r="B16" s="22" t="s">
        <v>28</v>
      </c>
      <c r="C16" s="23"/>
      <c r="D16" s="20">
        <f>C16*64%</f>
        <v>0</v>
      </c>
      <c r="E16" s="20">
        <f>C16*36%</f>
        <v>0</v>
      </c>
      <c r="F16" s="20">
        <f t="shared" si="2"/>
        <v>0</v>
      </c>
      <c r="G16" s="20">
        <f t="shared" si="2"/>
        <v>0</v>
      </c>
      <c r="H16" s="20">
        <f t="shared" si="2"/>
        <v>0</v>
      </c>
      <c r="I16" s="20">
        <f t="shared" si="2"/>
        <v>0</v>
      </c>
      <c r="J16" s="20">
        <f t="shared" si="2"/>
        <v>0</v>
      </c>
      <c r="K16" s="20">
        <v>0</v>
      </c>
      <c r="L16" s="326" t="s">
        <v>143</v>
      </c>
      <c r="N16" s="1"/>
      <c r="O16" s="1"/>
    </row>
    <row r="17" spans="1:15" ht="15.95" customHeight="1">
      <c r="A17" s="329" t="s">
        <v>98</v>
      </c>
      <c r="B17" s="22" t="s">
        <v>183</v>
      </c>
      <c r="C17" s="23">
        <v>249758</v>
      </c>
      <c r="D17" s="20">
        <f>C17</f>
        <v>249758</v>
      </c>
      <c r="E17" s="20">
        <v>0</v>
      </c>
      <c r="F17" s="20">
        <f t="shared" si="2"/>
        <v>0</v>
      </c>
      <c r="G17" s="20">
        <f t="shared" si="2"/>
        <v>0</v>
      </c>
      <c r="H17" s="20">
        <f t="shared" si="2"/>
        <v>0</v>
      </c>
      <c r="I17" s="20">
        <f t="shared" si="2"/>
        <v>0</v>
      </c>
      <c r="J17" s="20">
        <f t="shared" si="2"/>
        <v>0</v>
      </c>
      <c r="K17" s="20">
        <v>0</v>
      </c>
      <c r="L17" s="326" t="s">
        <v>143</v>
      </c>
      <c r="N17" s="1"/>
      <c r="O17" s="1"/>
    </row>
    <row r="18" spans="1:15" ht="15.95" customHeight="1">
      <c r="A18" s="328" t="s">
        <v>102</v>
      </c>
      <c r="B18" s="20"/>
      <c r="C18" s="25">
        <f t="shared" ref="C18:K18" si="3">SUM(C11:C17)</f>
        <v>21619976</v>
      </c>
      <c r="D18" s="24">
        <f t="shared" si="3"/>
        <v>21307512.800000001</v>
      </c>
      <c r="E18" s="24">
        <f t="shared" si="3"/>
        <v>312463.2</v>
      </c>
      <c r="F18" s="24">
        <f t="shared" si="3"/>
        <v>0</v>
      </c>
      <c r="G18" s="24">
        <f t="shared" si="3"/>
        <v>0</v>
      </c>
      <c r="H18" s="24">
        <f>SUM( (H11:H17))</f>
        <v>0</v>
      </c>
      <c r="I18" s="24">
        <f t="shared" si="3"/>
        <v>0</v>
      </c>
      <c r="J18" s="24">
        <f t="shared" si="3"/>
        <v>0</v>
      </c>
      <c r="K18" s="24">
        <f t="shared" si="3"/>
        <v>0</v>
      </c>
      <c r="L18" s="327" t="str">
        <f>IF(SUM(D18:K18)=C18,"balance","error")</f>
        <v>balance</v>
      </c>
      <c r="N18" s="1"/>
      <c r="O18" s="1"/>
    </row>
    <row r="19" spans="1:15" ht="9" customHeight="1">
      <c r="A19" s="328"/>
      <c r="B19" s="20"/>
      <c r="C19" s="21"/>
      <c r="D19" s="20"/>
      <c r="E19" s="20"/>
      <c r="F19" s="20"/>
      <c r="G19" s="20"/>
      <c r="H19" s="20"/>
      <c r="I19" s="20"/>
      <c r="J19" s="20"/>
      <c r="K19" s="20"/>
      <c r="L19" s="326"/>
      <c r="N19" s="1"/>
      <c r="O19" s="1"/>
    </row>
    <row r="20" spans="1:15" ht="15.95" customHeight="1">
      <c r="A20" s="328" t="s">
        <v>242</v>
      </c>
      <c r="B20" s="20"/>
      <c r="C20" s="21"/>
      <c r="D20" s="20"/>
      <c r="E20" s="20"/>
      <c r="F20" s="20"/>
      <c r="G20" s="20"/>
      <c r="H20" s="20"/>
      <c r="I20" s="20"/>
      <c r="J20" s="20"/>
      <c r="K20" s="20"/>
      <c r="L20" s="326"/>
      <c r="N20" s="1"/>
      <c r="O20" s="1"/>
    </row>
    <row r="21" spans="1:15" ht="15.95" customHeight="1">
      <c r="A21" s="329" t="s">
        <v>96</v>
      </c>
      <c r="B21" s="20" t="s">
        <v>26</v>
      </c>
      <c r="C21" s="23">
        <v>66016</v>
      </c>
      <c r="D21" s="20">
        <f>($C$21)*((D22+D23)/(($C$22)+($C$23)))</f>
        <v>2949.2547304471432</v>
      </c>
      <c r="E21" s="20">
        <f t="shared" ref="E21:K21" si="4">($C$21)*((E22+E23)/(($C$22)+($C$23)))</f>
        <v>16185.919614539504</v>
      </c>
      <c r="F21" s="20">
        <f t="shared" si="4"/>
        <v>16499.02245817109</v>
      </c>
      <c r="G21" s="20">
        <f t="shared" si="4"/>
        <v>0</v>
      </c>
      <c r="H21" s="20">
        <f t="shared" si="4"/>
        <v>0</v>
      </c>
      <c r="I21" s="20">
        <f t="shared" si="4"/>
        <v>7779.8569636381644</v>
      </c>
      <c r="J21" s="20">
        <f t="shared" si="4"/>
        <v>0</v>
      </c>
      <c r="K21" s="20">
        <f t="shared" si="4"/>
        <v>22601.9462332041</v>
      </c>
      <c r="L21" s="326" t="s">
        <v>241</v>
      </c>
      <c r="N21" s="1"/>
      <c r="O21" s="1"/>
    </row>
    <row r="22" spans="1:15" ht="15.95" customHeight="1">
      <c r="A22" s="329" t="s">
        <v>106</v>
      </c>
      <c r="B22" s="20" t="s">
        <v>103</v>
      </c>
      <c r="C22" s="23">
        <v>1896731</v>
      </c>
      <c r="D22" s="20">
        <f>100%*(C22-K22)</f>
        <v>1028331</v>
      </c>
      <c r="E22" s="20">
        <v>0</v>
      </c>
      <c r="F22" s="20">
        <v>0</v>
      </c>
      <c r="G22" s="20">
        <f t="shared" ref="G22:J22" si="5">0%*($C$22-$K$22)</f>
        <v>0</v>
      </c>
      <c r="H22" s="20">
        <f t="shared" si="5"/>
        <v>0</v>
      </c>
      <c r="I22" s="20">
        <v>0</v>
      </c>
      <c r="J22" s="20">
        <f t="shared" si="5"/>
        <v>0</v>
      </c>
      <c r="K22" s="56">
        <f>[1]DAs!$E$36</f>
        <v>868400</v>
      </c>
      <c r="L22" s="326" t="s">
        <v>44</v>
      </c>
      <c r="M22" s="363"/>
      <c r="N22" s="1"/>
      <c r="O22" s="1"/>
    </row>
    <row r="23" spans="1:15" ht="15.95" customHeight="1">
      <c r="A23" s="329" t="s">
        <v>243</v>
      </c>
      <c r="B23" s="20" t="s">
        <v>104</v>
      </c>
      <c r="C23" s="23">
        <v>21121389</v>
      </c>
      <c r="D23" s="20">
        <v>0</v>
      </c>
      <c r="E23" s="20">
        <f>(C23-K23)*'distr main analysis'!D28</f>
        <v>5643623.3640000001</v>
      </c>
      <c r="F23" s="20">
        <f>(C23-K23)*'distr main analysis'!D17</f>
        <v>5752794.4562663166</v>
      </c>
      <c r="G23" s="20">
        <v>0</v>
      </c>
      <c r="H23" s="20">
        <v>0</v>
      </c>
      <c r="I23" s="20">
        <f>(C23-K23)*'distr main analysis'!D32</f>
        <v>2712640.5897336844</v>
      </c>
      <c r="J23" s="20">
        <v>0</v>
      </c>
      <c r="K23" s="56">
        <f>[1]DAs!$E$37</f>
        <v>7012330.5899999999</v>
      </c>
      <c r="L23" s="326" t="s">
        <v>47</v>
      </c>
      <c r="M23" s="363"/>
      <c r="N23" s="1"/>
      <c r="O23" s="1"/>
    </row>
    <row r="24" spans="1:15" ht="15.95" customHeight="1">
      <c r="A24" s="329" t="s">
        <v>115</v>
      </c>
      <c r="B24" s="20" t="s">
        <v>105</v>
      </c>
      <c r="C24" s="23">
        <v>5880980</v>
      </c>
      <c r="D24" s="20">
        <v>0</v>
      </c>
      <c r="E24" s="20">
        <f>(C24-K24)*'distr main analysis'!D28</f>
        <v>1686149.568</v>
      </c>
      <c r="F24" s="20">
        <f>(C24-K24)*'distr main analysis'!D17</f>
        <v>1718766.6967823978</v>
      </c>
      <c r="G24" s="20">
        <v>0</v>
      </c>
      <c r="H24" s="20">
        <v>0</v>
      </c>
      <c r="I24" s="20">
        <f>(C24-K24)*'distr main analysis'!D32</f>
        <v>810457.65521760238</v>
      </c>
      <c r="J24" s="20">
        <f>0%*(C24-K24)</f>
        <v>0</v>
      </c>
      <c r="K24" s="56">
        <f>[1]DAs!$E$39</f>
        <v>1665606.08</v>
      </c>
      <c r="L24" s="326" t="s">
        <v>47</v>
      </c>
      <c r="N24" s="1"/>
      <c r="O24" s="1"/>
    </row>
    <row r="25" spans="1:15" ht="15.95" customHeight="1">
      <c r="A25" s="329" t="s">
        <v>97</v>
      </c>
      <c r="B25" s="20" t="s">
        <v>95</v>
      </c>
      <c r="C25" s="23">
        <v>1716024</v>
      </c>
      <c r="D25" s="20">
        <v>0</v>
      </c>
      <c r="E25" s="20">
        <f>(C25-K25)*'distr main analysis'!D28</f>
        <v>371365.31200000003</v>
      </c>
      <c r="F25" s="20">
        <f>(C25-K25)*'distr main analysis'!D17</f>
        <v>378549.057995432</v>
      </c>
      <c r="G25" s="20">
        <v>0</v>
      </c>
      <c r="H25" s="20">
        <v>0</v>
      </c>
      <c r="I25" s="20">
        <f>(C25-K25)*'distr main analysis'!D32</f>
        <v>178498.91000456808</v>
      </c>
      <c r="J25" s="20">
        <v>0</v>
      </c>
      <c r="K25" s="56">
        <f>[1]DAs!$E$38+116417</f>
        <v>787610.72</v>
      </c>
      <c r="L25" s="326" t="s">
        <v>47</v>
      </c>
      <c r="N25" s="1"/>
      <c r="O25" s="1"/>
    </row>
    <row r="26" spans="1:15" ht="15.95" customHeight="1">
      <c r="A26" s="329" t="s">
        <v>98</v>
      </c>
      <c r="B26" s="20" t="s">
        <v>185</v>
      </c>
      <c r="C26" s="23">
        <v>379402</v>
      </c>
      <c r="D26" s="20">
        <v>0</v>
      </c>
      <c r="E26" s="20">
        <f>(C26-K26)*'distr main analysis'!D28</f>
        <v>151760.80000000002</v>
      </c>
      <c r="F26" s="20">
        <f>(C26-K26)*'distr main analysis'!D17</f>
        <v>154696.48355480534</v>
      </c>
      <c r="G26" s="20">
        <v>0</v>
      </c>
      <c r="H26" s="20">
        <v>0</v>
      </c>
      <c r="I26" s="20">
        <f>(C26-K26)*'distr main analysis'!D32</f>
        <v>72944.716445194688</v>
      </c>
      <c r="J26" s="20">
        <v>0</v>
      </c>
      <c r="K26" s="56">
        <v>0</v>
      </c>
      <c r="L26" s="326" t="s">
        <v>47</v>
      </c>
      <c r="N26" s="1"/>
      <c r="O26" s="1"/>
    </row>
    <row r="27" spans="1:15" ht="15.95" customHeight="1">
      <c r="A27" s="329" t="s">
        <v>101</v>
      </c>
      <c r="B27" s="20" t="s">
        <v>46</v>
      </c>
      <c r="C27" s="23">
        <v>472591</v>
      </c>
      <c r="D27" s="20">
        <f>C27</f>
        <v>472591</v>
      </c>
      <c r="E27" s="20">
        <v>0</v>
      </c>
      <c r="F27" s="20">
        <v>0</v>
      </c>
      <c r="G27" s="20">
        <f t="shared" ref="G27:J27" si="6">($C$27)*((G22+G23)/(($C$22)+($C$23)))</f>
        <v>0</v>
      </c>
      <c r="H27" s="20">
        <f t="shared" si="6"/>
        <v>0</v>
      </c>
      <c r="I27" s="20">
        <v>0</v>
      </c>
      <c r="J27" s="20">
        <f t="shared" si="6"/>
        <v>0</v>
      </c>
      <c r="K27" s="20">
        <v>0</v>
      </c>
      <c r="L27" s="326" t="s">
        <v>143</v>
      </c>
      <c r="N27" s="1"/>
      <c r="O27" s="1"/>
    </row>
    <row r="28" spans="1:15" ht="15.95" customHeight="1">
      <c r="A28" s="329" t="s">
        <v>236</v>
      </c>
      <c r="B28" s="20" t="s">
        <v>237</v>
      </c>
      <c r="C28" s="23">
        <v>23536</v>
      </c>
      <c r="D28" s="20">
        <f>C28</f>
        <v>23536</v>
      </c>
      <c r="E28" s="20">
        <f>0%*C28</f>
        <v>0</v>
      </c>
      <c r="F28" s="20">
        <f>0%*C28</f>
        <v>0</v>
      </c>
      <c r="G28" s="20">
        <f>0%*C28</f>
        <v>0</v>
      </c>
      <c r="H28" s="20">
        <v>0</v>
      </c>
      <c r="I28" s="20">
        <f>0%*C28</f>
        <v>0</v>
      </c>
      <c r="J28" s="20">
        <f>0%*C28</f>
        <v>0</v>
      </c>
      <c r="K28" s="56">
        <v>0</v>
      </c>
      <c r="L28" s="326" t="s">
        <v>42</v>
      </c>
      <c r="N28" s="1"/>
      <c r="O28" s="1"/>
    </row>
    <row r="29" spans="1:15" ht="15.95" customHeight="1">
      <c r="A29" s="329" t="s">
        <v>107</v>
      </c>
      <c r="B29" s="20" t="s">
        <v>27</v>
      </c>
      <c r="C29" s="23">
        <v>1787596</v>
      </c>
      <c r="D29" s="20">
        <f>0%*C29</f>
        <v>0</v>
      </c>
      <c r="E29" s="20">
        <f>0%*C29</f>
        <v>0</v>
      </c>
      <c r="F29" s="20">
        <f>0%*C29</f>
        <v>0</v>
      </c>
      <c r="G29" s="20">
        <f>0%*C29</f>
        <v>0</v>
      </c>
      <c r="H29" s="20">
        <f>100%*(C29-K29)</f>
        <v>1787596</v>
      </c>
      <c r="I29" s="20">
        <f>0%*C29</f>
        <v>0</v>
      </c>
      <c r="J29" s="20">
        <f>0%*C29</f>
        <v>0</v>
      </c>
      <c r="K29" s="56">
        <v>0</v>
      </c>
      <c r="L29" s="326" t="s">
        <v>42</v>
      </c>
      <c r="N29" s="1"/>
      <c r="O29" s="1"/>
    </row>
    <row r="30" spans="1:15" ht="15.95" customHeight="1">
      <c r="A30" s="329" t="s">
        <v>124</v>
      </c>
      <c r="B30" s="20" t="s">
        <v>228</v>
      </c>
      <c r="C30" s="23">
        <v>81646</v>
      </c>
      <c r="D30" s="20">
        <f>C30</f>
        <v>81646</v>
      </c>
      <c r="E30" s="20">
        <f>0%*C30</f>
        <v>0</v>
      </c>
      <c r="F30" s="20">
        <f>0%*C30</f>
        <v>0</v>
      </c>
      <c r="G30" s="20">
        <f>0%*C30</f>
        <v>0</v>
      </c>
      <c r="H30" s="20">
        <f>0%*C30</f>
        <v>0</v>
      </c>
      <c r="I30" s="20">
        <v>0</v>
      </c>
      <c r="J30" s="20">
        <f>0%*C30</f>
        <v>0</v>
      </c>
      <c r="K30" s="56">
        <v>0</v>
      </c>
      <c r="L30" s="326" t="s">
        <v>43</v>
      </c>
      <c r="N30" s="1"/>
      <c r="O30" s="1"/>
    </row>
    <row r="31" spans="1:15" ht="15.95" customHeight="1">
      <c r="A31" s="329" t="s">
        <v>100</v>
      </c>
      <c r="B31" s="20" t="s">
        <v>99</v>
      </c>
      <c r="C31" s="23">
        <v>558609</v>
      </c>
      <c r="D31" s="20">
        <f>C31</f>
        <v>558609</v>
      </c>
      <c r="E31" s="20">
        <v>0</v>
      </c>
      <c r="F31" s="20">
        <v>0</v>
      </c>
      <c r="G31" s="20">
        <f t="shared" ref="G31:J31" si="7">($C$31)*((G22+G23)/(($C$22)+($C$23)))</f>
        <v>0</v>
      </c>
      <c r="H31" s="20">
        <f t="shared" si="7"/>
        <v>0</v>
      </c>
      <c r="I31" s="20">
        <v>0</v>
      </c>
      <c r="J31" s="20">
        <f t="shared" si="7"/>
        <v>0</v>
      </c>
      <c r="K31" s="20">
        <v>0</v>
      </c>
      <c r="L31" s="326" t="s">
        <v>143</v>
      </c>
      <c r="M31" s="1"/>
      <c r="N31" s="1"/>
      <c r="O31" s="1"/>
    </row>
    <row r="32" spans="1:15" ht="15.95" customHeight="1">
      <c r="A32" s="329" t="s">
        <v>123</v>
      </c>
      <c r="B32" s="22" t="s">
        <v>184</v>
      </c>
      <c r="C32" s="23">
        <v>68293</v>
      </c>
      <c r="D32" s="20">
        <f>$C$32*100%</f>
        <v>68293</v>
      </c>
      <c r="E32" s="20">
        <f>$C$32*0%</f>
        <v>0</v>
      </c>
      <c r="F32" s="20">
        <f t="shared" ref="F32:K32" si="8">$C$32*0%</f>
        <v>0</v>
      </c>
      <c r="G32" s="20">
        <f t="shared" si="8"/>
        <v>0</v>
      </c>
      <c r="H32" s="20">
        <f t="shared" si="8"/>
        <v>0</v>
      </c>
      <c r="I32" s="20">
        <f t="shared" si="8"/>
        <v>0</v>
      </c>
      <c r="J32" s="20">
        <f t="shared" si="8"/>
        <v>0</v>
      </c>
      <c r="K32" s="20">
        <f t="shared" si="8"/>
        <v>0</v>
      </c>
      <c r="L32" s="326" t="s">
        <v>44</v>
      </c>
      <c r="M32" s="1"/>
      <c r="N32" s="1"/>
      <c r="O32" s="1"/>
    </row>
    <row r="33" spans="1:15" ht="15.95" customHeight="1">
      <c r="A33" s="328" t="s">
        <v>45</v>
      </c>
      <c r="B33" s="20"/>
      <c r="C33" s="25">
        <f t="shared" ref="C33:K33" si="9">SUM(C21:C32)</f>
        <v>34052813</v>
      </c>
      <c r="D33" s="24">
        <f t="shared" si="9"/>
        <v>2235955.2547304472</v>
      </c>
      <c r="E33" s="24">
        <f t="shared" si="9"/>
        <v>7869084.9636145392</v>
      </c>
      <c r="F33" s="24">
        <f t="shared" si="9"/>
        <v>8021305.7170571238</v>
      </c>
      <c r="G33" s="24">
        <f t="shared" si="9"/>
        <v>0</v>
      </c>
      <c r="H33" s="24">
        <f t="shared" si="9"/>
        <v>1787596</v>
      </c>
      <c r="I33" s="24">
        <f t="shared" si="9"/>
        <v>3782321.7283646879</v>
      </c>
      <c r="J33" s="24">
        <f t="shared" si="9"/>
        <v>0</v>
      </c>
      <c r="K33" s="24">
        <f t="shared" si="9"/>
        <v>10356549.336233204</v>
      </c>
      <c r="L33" s="327" t="str">
        <f>IF(SUM(D33:K33)=C33,"balance","error")</f>
        <v>balance</v>
      </c>
      <c r="N33" s="1"/>
      <c r="O33" s="1"/>
    </row>
    <row r="34" spans="1:15" ht="9" customHeight="1">
      <c r="A34" s="328"/>
      <c r="B34" s="20"/>
      <c r="C34" s="21"/>
      <c r="D34" s="20"/>
      <c r="E34" s="20"/>
      <c r="F34" s="20"/>
      <c r="G34" s="20"/>
      <c r="H34" s="20"/>
      <c r="I34" s="20"/>
      <c r="J34" s="20"/>
      <c r="K34" s="20"/>
      <c r="L34" s="326"/>
      <c r="N34" s="1"/>
      <c r="O34" s="1"/>
    </row>
    <row r="35" spans="1:15" ht="15.95" customHeight="1">
      <c r="A35" s="328" t="s">
        <v>229</v>
      </c>
      <c r="B35" s="20"/>
      <c r="C35" s="21"/>
      <c r="D35" s="20"/>
      <c r="E35" s="20"/>
      <c r="F35" s="20"/>
      <c r="G35" s="20"/>
      <c r="H35" s="20"/>
      <c r="I35" s="20"/>
      <c r="J35" s="20"/>
      <c r="K35" s="20"/>
      <c r="L35" s="326"/>
      <c r="N35" s="1"/>
      <c r="O35" s="1"/>
    </row>
    <row r="36" spans="1:15" ht="15.95" customHeight="1">
      <c r="A36" s="329" t="s">
        <v>114</v>
      </c>
      <c r="B36" s="20" t="s">
        <v>113</v>
      </c>
      <c r="C36" s="23">
        <v>1461120</v>
      </c>
      <c r="D36" s="20">
        <f>C36</f>
        <v>1461120</v>
      </c>
      <c r="E36" s="20">
        <v>0</v>
      </c>
      <c r="F36" s="20">
        <v>0</v>
      </c>
      <c r="G36" s="20">
        <v>0</v>
      </c>
      <c r="H36" s="20">
        <v>0</v>
      </c>
      <c r="I36" s="20">
        <v>0</v>
      </c>
      <c r="J36" s="20">
        <v>0</v>
      </c>
      <c r="K36" s="20">
        <v>0</v>
      </c>
      <c r="L36" s="326" t="str">
        <f>L31</f>
        <v>COMM</v>
      </c>
      <c r="N36" s="1"/>
      <c r="O36" s="1"/>
    </row>
    <row r="37" spans="1:15" ht="15.95" customHeight="1">
      <c r="A37" s="329" t="s">
        <v>96</v>
      </c>
      <c r="B37" s="20" t="s">
        <v>230</v>
      </c>
      <c r="C37" s="23">
        <v>590000</v>
      </c>
      <c r="D37" s="20">
        <f>C37</f>
        <v>590000</v>
      </c>
      <c r="E37" s="20">
        <v>0</v>
      </c>
      <c r="F37" s="20">
        <v>0</v>
      </c>
      <c r="G37" s="20">
        <v>0</v>
      </c>
      <c r="H37" s="20">
        <v>0</v>
      </c>
      <c r="I37" s="20">
        <v>0</v>
      </c>
      <c r="J37" s="20">
        <v>0</v>
      </c>
      <c r="K37" s="20">
        <v>0</v>
      </c>
      <c r="L37" s="326" t="s">
        <v>143</v>
      </c>
      <c r="N37" s="1"/>
      <c r="O37" s="1"/>
    </row>
    <row r="38" spans="1:15" ht="15.95" customHeight="1">
      <c r="A38" s="331" t="s">
        <v>238</v>
      </c>
      <c r="B38" s="20"/>
      <c r="C38" s="25">
        <f t="shared" ref="C38:K38" si="10">SUM(C36:C37)</f>
        <v>2051120</v>
      </c>
      <c r="D38" s="25">
        <f t="shared" si="10"/>
        <v>2051120</v>
      </c>
      <c r="E38" s="25">
        <f t="shared" si="10"/>
        <v>0</v>
      </c>
      <c r="F38" s="25">
        <f t="shared" si="10"/>
        <v>0</v>
      </c>
      <c r="G38" s="25">
        <f t="shared" si="10"/>
        <v>0</v>
      </c>
      <c r="H38" s="25">
        <f t="shared" si="10"/>
        <v>0</v>
      </c>
      <c r="I38" s="25">
        <f t="shared" si="10"/>
        <v>0</v>
      </c>
      <c r="J38" s="25">
        <f t="shared" si="10"/>
        <v>0</v>
      </c>
      <c r="K38" s="25">
        <f t="shared" si="10"/>
        <v>0</v>
      </c>
      <c r="L38" s="327" t="str">
        <f>IF(SUM(D38:K38)=C38,"balance","error")</f>
        <v>balance</v>
      </c>
      <c r="N38" s="1"/>
      <c r="O38" s="1"/>
    </row>
    <row r="39" spans="1:15" ht="9" customHeight="1">
      <c r="A39" s="328"/>
      <c r="B39" s="20"/>
      <c r="C39" s="21"/>
      <c r="D39" s="20"/>
      <c r="E39" s="20"/>
      <c r="F39" s="20"/>
      <c r="G39" s="20"/>
      <c r="H39" s="20"/>
      <c r="I39" s="20"/>
      <c r="J39" s="20"/>
      <c r="K39" s="20"/>
      <c r="L39" s="326"/>
      <c r="N39" s="1"/>
      <c r="O39" s="1"/>
    </row>
    <row r="40" spans="1:15" ht="15.95" customHeight="1">
      <c r="A40" s="328" t="s">
        <v>239</v>
      </c>
      <c r="B40" s="20"/>
      <c r="C40" s="25">
        <f t="shared" ref="C40:K40" si="11">C33+C18+C8+C38</f>
        <v>59556806</v>
      </c>
      <c r="D40" s="25">
        <f t="shared" si="11"/>
        <v>26877615.954730447</v>
      </c>
      <c r="E40" s="25">
        <f t="shared" si="11"/>
        <v>8731417.2636145391</v>
      </c>
      <c r="F40" s="25">
        <f t="shared" si="11"/>
        <v>8021305.7170571238</v>
      </c>
      <c r="G40" s="25">
        <f t="shared" si="11"/>
        <v>0</v>
      </c>
      <c r="H40" s="25">
        <f t="shared" si="11"/>
        <v>1787596</v>
      </c>
      <c r="I40" s="25">
        <f t="shared" si="11"/>
        <v>3782321.7283646879</v>
      </c>
      <c r="J40" s="25">
        <f t="shared" si="11"/>
        <v>0</v>
      </c>
      <c r="K40" s="25">
        <f t="shared" si="11"/>
        <v>10356549.336233204</v>
      </c>
      <c r="L40" s="327" t="str">
        <f>IF(SUM(D40:K40)=C40,"balance","error")</f>
        <v>balance</v>
      </c>
      <c r="N40" s="1"/>
      <c r="O40" s="1"/>
    </row>
    <row r="41" spans="1:15" s="29" customFormat="1" ht="15.95" customHeight="1">
      <c r="A41" s="364"/>
      <c r="B41" s="26" t="s">
        <v>158</v>
      </c>
      <c r="C41" s="27"/>
      <c r="D41" s="28">
        <f>D40/$C$40</f>
        <v>0.451293777485825</v>
      </c>
      <c r="E41" s="28">
        <f t="shared" ref="E41:K41" si="12">E40/$C$40</f>
        <v>0.14660654004203214</v>
      </c>
      <c r="F41" s="28">
        <f t="shared" si="12"/>
        <v>0.1346832756118104</v>
      </c>
      <c r="G41" s="28">
        <f t="shared" si="12"/>
        <v>0</v>
      </c>
      <c r="H41" s="28">
        <f t="shared" si="12"/>
        <v>3.0014974275148334E-2</v>
      </c>
      <c r="I41" s="28">
        <f t="shared" si="12"/>
        <v>6.3507800071828699E-2</v>
      </c>
      <c r="J41" s="28">
        <f t="shared" si="12"/>
        <v>0</v>
      </c>
      <c r="K41" s="28">
        <f t="shared" si="12"/>
        <v>0.17389363251335546</v>
      </c>
      <c r="L41" s="365" t="s">
        <v>170</v>
      </c>
    </row>
    <row r="42" spans="1:15" ht="9" customHeight="1">
      <c r="A42" s="328"/>
      <c r="B42" s="20"/>
      <c r="C42" s="21"/>
      <c r="D42" s="20"/>
      <c r="E42" s="20"/>
      <c r="F42" s="20"/>
      <c r="G42" s="20"/>
      <c r="H42" s="20"/>
      <c r="I42" s="20"/>
      <c r="J42" s="20"/>
      <c r="K42" s="20"/>
      <c r="L42" s="326"/>
      <c r="N42" s="1"/>
      <c r="O42" s="1"/>
    </row>
    <row r="43" spans="1:15" ht="15.95" customHeight="1">
      <c r="A43" s="328" t="s">
        <v>168</v>
      </c>
      <c r="B43" s="20"/>
      <c r="C43" s="21"/>
      <c r="D43" s="20"/>
      <c r="E43" s="20"/>
      <c r="F43" s="20"/>
      <c r="G43" s="20"/>
      <c r="H43" s="20"/>
      <c r="I43" s="20"/>
      <c r="J43" s="20"/>
      <c r="K43" s="20"/>
      <c r="L43" s="326"/>
      <c r="N43" s="1"/>
      <c r="O43" s="1"/>
    </row>
    <row r="44" spans="1:15" ht="15.95" customHeight="1">
      <c r="A44" s="329" t="s">
        <v>114</v>
      </c>
      <c r="B44" s="20" t="s">
        <v>113</v>
      </c>
      <c r="C44" s="23"/>
      <c r="D44" s="20">
        <f>$D$41*$C$44</f>
        <v>0</v>
      </c>
      <c r="E44" s="20">
        <f>$E$41*$C$44</f>
        <v>0</v>
      </c>
      <c r="F44" s="20">
        <f>$F$41*$C$44</f>
        <v>0</v>
      </c>
      <c r="G44" s="20">
        <f>$G$41*$C$44</f>
        <v>0</v>
      </c>
      <c r="H44" s="20">
        <f>$H$41*$C$44</f>
        <v>0</v>
      </c>
      <c r="I44" s="20">
        <f>$I$41*$C$44</f>
        <v>0</v>
      </c>
      <c r="J44" s="20">
        <f>$J$41*$C$44</f>
        <v>0</v>
      </c>
      <c r="K44" s="20">
        <f>$K$41*$C$44</f>
        <v>0</v>
      </c>
      <c r="L44" s="326" t="s">
        <v>159</v>
      </c>
      <c r="N44" s="1"/>
      <c r="O44" s="1"/>
    </row>
    <row r="45" spans="1:15" ht="15.95" customHeight="1">
      <c r="A45" s="329" t="s">
        <v>111</v>
      </c>
      <c r="B45" s="20" t="s">
        <v>112</v>
      </c>
      <c r="C45" s="23"/>
      <c r="D45" s="20">
        <f t="shared" ref="D45:D48" si="13">$D$41*C45</f>
        <v>0</v>
      </c>
      <c r="E45" s="20">
        <f t="shared" ref="E45:E48" si="14">$E$41*C45</f>
        <v>0</v>
      </c>
      <c r="F45" s="20">
        <f t="shared" ref="F45:F48" si="15">$F$41*C45</f>
        <v>0</v>
      </c>
      <c r="G45" s="20">
        <f t="shared" ref="G45:G48" si="16">$G$41*C45</f>
        <v>0</v>
      </c>
      <c r="H45" s="20">
        <f t="shared" ref="H45:H48" si="17">$H$41*C45</f>
        <v>0</v>
      </c>
      <c r="I45" s="20">
        <f t="shared" ref="I45:I48" si="18">$I$41*C45</f>
        <v>0</v>
      </c>
      <c r="J45" s="20">
        <f t="shared" ref="J45:J48" si="19">$J$41*C45</f>
        <v>0</v>
      </c>
      <c r="K45" s="20">
        <f t="shared" ref="K45:K48" si="20">$K$41*C45</f>
        <v>0</v>
      </c>
      <c r="L45" s="326" t="s">
        <v>159</v>
      </c>
      <c r="N45" s="1"/>
      <c r="O45" s="1"/>
    </row>
    <row r="46" spans="1:15" ht="15.95" customHeight="1">
      <c r="A46" s="329" t="s">
        <v>101</v>
      </c>
      <c r="B46" s="20" t="s">
        <v>46</v>
      </c>
      <c r="C46" s="23"/>
      <c r="D46" s="20">
        <f t="shared" si="13"/>
        <v>0</v>
      </c>
      <c r="E46" s="20">
        <f t="shared" si="14"/>
        <v>0</v>
      </c>
      <c r="F46" s="20">
        <f t="shared" si="15"/>
        <v>0</v>
      </c>
      <c r="G46" s="20">
        <f t="shared" si="16"/>
        <v>0</v>
      </c>
      <c r="H46" s="20">
        <f t="shared" si="17"/>
        <v>0</v>
      </c>
      <c r="I46" s="20">
        <f t="shared" si="18"/>
        <v>0</v>
      </c>
      <c r="J46" s="20">
        <f t="shared" si="19"/>
        <v>0</v>
      </c>
      <c r="K46" s="20">
        <f t="shared" si="20"/>
        <v>0</v>
      </c>
      <c r="L46" s="326" t="s">
        <v>159</v>
      </c>
      <c r="N46" s="1"/>
      <c r="O46" s="1"/>
    </row>
    <row r="47" spans="1:15" ht="15.95" customHeight="1">
      <c r="A47" s="329" t="s">
        <v>123</v>
      </c>
      <c r="B47" s="22" t="s">
        <v>184</v>
      </c>
      <c r="C47" s="23"/>
      <c r="D47" s="20">
        <f t="shared" si="13"/>
        <v>0</v>
      </c>
      <c r="E47" s="20">
        <f t="shared" si="14"/>
        <v>0</v>
      </c>
      <c r="F47" s="20">
        <f t="shared" si="15"/>
        <v>0</v>
      </c>
      <c r="G47" s="20">
        <f t="shared" si="16"/>
        <v>0</v>
      </c>
      <c r="H47" s="20">
        <f t="shared" si="17"/>
        <v>0</v>
      </c>
      <c r="I47" s="20">
        <f t="shared" si="18"/>
        <v>0</v>
      </c>
      <c r="J47" s="20">
        <f t="shared" si="19"/>
        <v>0</v>
      </c>
      <c r="K47" s="20">
        <f t="shared" si="20"/>
        <v>0</v>
      </c>
      <c r="L47" s="326" t="s">
        <v>159</v>
      </c>
      <c r="N47" s="1"/>
      <c r="O47" s="1"/>
    </row>
    <row r="48" spans="1:15" ht="15.95" customHeight="1">
      <c r="A48" s="329" t="s">
        <v>160</v>
      </c>
      <c r="B48" s="20" t="s">
        <v>163</v>
      </c>
      <c r="C48" s="23"/>
      <c r="D48" s="20">
        <f t="shared" si="13"/>
        <v>0</v>
      </c>
      <c r="E48" s="20">
        <f t="shared" si="14"/>
        <v>0</v>
      </c>
      <c r="F48" s="20">
        <f t="shared" si="15"/>
        <v>0</v>
      </c>
      <c r="G48" s="20">
        <f t="shared" si="16"/>
        <v>0</v>
      </c>
      <c r="H48" s="20">
        <f t="shared" si="17"/>
        <v>0</v>
      </c>
      <c r="I48" s="20">
        <f t="shared" si="18"/>
        <v>0</v>
      </c>
      <c r="J48" s="20">
        <f t="shared" si="19"/>
        <v>0</v>
      </c>
      <c r="K48" s="20">
        <f t="shared" si="20"/>
        <v>0</v>
      </c>
      <c r="L48" s="326" t="s">
        <v>159</v>
      </c>
      <c r="N48" s="1"/>
      <c r="O48" s="1"/>
    </row>
    <row r="49" spans="1:15" ht="15.95" customHeight="1">
      <c r="A49" s="328" t="s">
        <v>29</v>
      </c>
      <c r="B49" s="20"/>
      <c r="C49" s="25">
        <f t="shared" ref="C49:K49" si="21">SUM(C44:C48)</f>
        <v>0</v>
      </c>
      <c r="D49" s="24">
        <f t="shared" si="21"/>
        <v>0</v>
      </c>
      <c r="E49" s="24">
        <f t="shared" si="21"/>
        <v>0</v>
      </c>
      <c r="F49" s="24">
        <f t="shared" si="21"/>
        <v>0</v>
      </c>
      <c r="G49" s="24">
        <f t="shared" si="21"/>
        <v>0</v>
      </c>
      <c r="H49" s="24">
        <f t="shared" si="21"/>
        <v>0</v>
      </c>
      <c r="I49" s="24">
        <f t="shared" si="21"/>
        <v>0</v>
      </c>
      <c r="J49" s="24">
        <f t="shared" si="21"/>
        <v>0</v>
      </c>
      <c r="K49" s="24">
        <f t="shared" si="21"/>
        <v>0</v>
      </c>
      <c r="L49" s="327" t="str">
        <f>IF(SUM(D49:K49)=C49,"balance","error")</f>
        <v>balance</v>
      </c>
      <c r="N49" s="1"/>
      <c r="O49" s="1"/>
    </row>
    <row r="50" spans="1:15" ht="9" customHeight="1">
      <c r="A50" s="328"/>
      <c r="B50" s="20"/>
      <c r="C50" s="21"/>
      <c r="D50" s="20"/>
      <c r="E50" s="20"/>
      <c r="F50" s="20"/>
      <c r="G50" s="20"/>
      <c r="H50" s="20"/>
      <c r="I50" s="20"/>
      <c r="J50" s="20"/>
      <c r="K50" s="20"/>
      <c r="L50" s="326"/>
      <c r="N50" s="1"/>
      <c r="O50" s="1"/>
    </row>
    <row r="51" spans="1:15" ht="15.95" customHeight="1">
      <c r="A51" s="328" t="s">
        <v>130</v>
      </c>
      <c r="B51" s="20"/>
      <c r="C51" s="25">
        <f>C40+C49</f>
        <v>59556806</v>
      </c>
      <c r="D51" s="25">
        <f t="shared" ref="D51:K51" si="22">D40+D49</f>
        <v>26877615.954730447</v>
      </c>
      <c r="E51" s="25">
        <f t="shared" si="22"/>
        <v>8731417.2636145391</v>
      </c>
      <c r="F51" s="25">
        <f t="shared" si="22"/>
        <v>8021305.7170571238</v>
      </c>
      <c r="G51" s="25">
        <f t="shared" si="22"/>
        <v>0</v>
      </c>
      <c r="H51" s="25">
        <f t="shared" si="22"/>
        <v>1787596</v>
      </c>
      <c r="I51" s="25">
        <f t="shared" si="22"/>
        <v>3782321.7283646879</v>
      </c>
      <c r="J51" s="25">
        <f t="shared" si="22"/>
        <v>0</v>
      </c>
      <c r="K51" s="25">
        <f t="shared" si="22"/>
        <v>10356549.336233204</v>
      </c>
      <c r="L51" s="327" t="str">
        <f>IF(SUM(D51:K51)=C51,"balance","error")</f>
        <v>balance</v>
      </c>
      <c r="N51" s="1"/>
      <c r="O51" s="1"/>
    </row>
    <row r="52" spans="1:15" ht="15.95" customHeight="1">
      <c r="A52" s="328"/>
      <c r="B52" s="20" t="s">
        <v>174</v>
      </c>
      <c r="C52" s="30"/>
      <c r="D52" s="31">
        <f>D51/$C$51</f>
        <v>0.451293777485825</v>
      </c>
      <c r="E52" s="31">
        <f t="shared" ref="E52:K52" si="23">E51/$C$51</f>
        <v>0.14660654004203214</v>
      </c>
      <c r="F52" s="31">
        <f t="shared" si="23"/>
        <v>0.1346832756118104</v>
      </c>
      <c r="G52" s="31">
        <f t="shared" si="23"/>
        <v>0</v>
      </c>
      <c r="H52" s="31">
        <f t="shared" si="23"/>
        <v>3.0014974275148334E-2</v>
      </c>
      <c r="I52" s="31">
        <f t="shared" si="23"/>
        <v>6.3507800071828699E-2</v>
      </c>
      <c r="J52" s="31">
        <f t="shared" si="23"/>
        <v>0</v>
      </c>
      <c r="K52" s="31">
        <f t="shared" si="23"/>
        <v>0.17389363251335546</v>
      </c>
      <c r="L52" s="326" t="s">
        <v>169</v>
      </c>
      <c r="N52" s="1"/>
      <c r="O52" s="1"/>
    </row>
    <row r="53" spans="1:15" ht="9" customHeight="1">
      <c r="A53" s="328"/>
      <c r="B53" s="20"/>
      <c r="C53" s="21"/>
      <c r="D53" s="20"/>
      <c r="E53" s="20"/>
      <c r="F53" s="20"/>
      <c r="G53" s="20"/>
      <c r="H53" s="20"/>
      <c r="I53" s="20"/>
      <c r="J53" s="20"/>
      <c r="K53" s="20"/>
      <c r="L53" s="326"/>
      <c r="N53" s="1"/>
      <c r="O53" s="1"/>
    </row>
    <row r="54" spans="1:15" ht="15.95" customHeight="1">
      <c r="A54" s="328" t="s">
        <v>30</v>
      </c>
      <c r="B54" s="20" t="s">
        <v>31</v>
      </c>
      <c r="C54" s="21"/>
      <c r="D54" s="20"/>
      <c r="E54" s="20"/>
      <c r="F54" s="20"/>
      <c r="G54" s="20"/>
      <c r="H54" s="20"/>
      <c r="I54" s="20"/>
      <c r="J54" s="20"/>
      <c r="K54" s="20"/>
      <c r="L54" s="326"/>
      <c r="N54" s="1"/>
      <c r="O54" s="1"/>
    </row>
    <row r="55" spans="1:15" ht="15.95" customHeight="1">
      <c r="A55" s="328"/>
      <c r="B55" s="32" t="s">
        <v>132</v>
      </c>
      <c r="C55" s="23">
        <f>'acc dep'!C51</f>
        <v>-31463614</v>
      </c>
      <c r="D55" s="23">
        <f>'acc dep'!D51</f>
        <v>-15229604.140821917</v>
      </c>
      <c r="E55" s="23">
        <f>'acc dep'!E51</f>
        <v>-4809626.9140533339</v>
      </c>
      <c r="F55" s="23">
        <f>'acc dep'!F51</f>
        <v>-4190603.1777377003</v>
      </c>
      <c r="G55" s="23">
        <f>'acc dep'!G51</f>
        <v>0</v>
      </c>
      <c r="H55" s="23">
        <f>'acc dep'!H51</f>
        <v>-798094</v>
      </c>
      <c r="I55" s="23">
        <f>'acc dep'!I51</f>
        <v>-1976013.6333423005</v>
      </c>
      <c r="J55" s="23">
        <f>'acc dep'!J51</f>
        <v>0</v>
      </c>
      <c r="K55" s="23">
        <f>'acc dep'!K51</f>
        <v>-4459672.1340447478</v>
      </c>
      <c r="L55" s="372" t="s">
        <v>133</v>
      </c>
      <c r="N55" s="1"/>
      <c r="O55" s="1"/>
    </row>
    <row r="56" spans="1:15" ht="15.95" customHeight="1">
      <c r="A56" s="328" t="s">
        <v>131</v>
      </c>
      <c r="B56" s="20"/>
      <c r="C56" s="25">
        <f>C51+C55</f>
        <v>28093192</v>
      </c>
      <c r="D56" s="24">
        <f t="shared" ref="D56:K56" si="24">D51+D55</f>
        <v>11648011.81390853</v>
      </c>
      <c r="E56" s="24">
        <f t="shared" si="24"/>
        <v>3921790.3495612051</v>
      </c>
      <c r="F56" s="24">
        <f t="shared" si="24"/>
        <v>3830702.5393194235</v>
      </c>
      <c r="G56" s="24">
        <f t="shared" si="24"/>
        <v>0</v>
      </c>
      <c r="H56" s="24">
        <f t="shared" si="24"/>
        <v>989502</v>
      </c>
      <c r="I56" s="24">
        <f t="shared" si="24"/>
        <v>1806308.0950223873</v>
      </c>
      <c r="J56" s="24">
        <f t="shared" si="24"/>
        <v>0</v>
      </c>
      <c r="K56" s="24">
        <f t="shared" si="24"/>
        <v>5896877.2021884564</v>
      </c>
      <c r="L56" s="327"/>
      <c r="N56" s="1"/>
      <c r="O56" s="1"/>
    </row>
    <row r="57" spans="1:15" ht="9" customHeight="1">
      <c r="A57" s="328"/>
      <c r="B57" s="20"/>
      <c r="C57" s="21"/>
      <c r="D57" s="20"/>
      <c r="E57" s="20"/>
      <c r="F57" s="20"/>
      <c r="G57" s="20"/>
      <c r="H57" s="20"/>
      <c r="I57" s="20"/>
      <c r="J57" s="20"/>
      <c r="K57" s="20"/>
      <c r="L57" s="326"/>
      <c r="N57" s="1"/>
      <c r="O57" s="1"/>
    </row>
    <row r="58" spans="1:15" ht="15.95" customHeight="1">
      <c r="A58" s="328" t="s">
        <v>30</v>
      </c>
      <c r="B58" s="20" t="s">
        <v>253</v>
      </c>
      <c r="C58" s="21"/>
      <c r="D58" s="20"/>
      <c r="E58" s="20"/>
      <c r="F58" s="20"/>
      <c r="G58" s="20"/>
      <c r="H58" s="20"/>
      <c r="I58" s="20"/>
      <c r="J58" s="20"/>
      <c r="K58" s="20"/>
      <c r="L58" s="373"/>
    </row>
    <row r="59" spans="1:15" ht="15.95" customHeight="1">
      <c r="A59" s="328"/>
      <c r="B59" s="20" t="s">
        <v>104</v>
      </c>
      <c r="C59" s="23">
        <v>-5463789</v>
      </c>
      <c r="D59" s="20">
        <f>C59*0%</f>
        <v>0</v>
      </c>
      <c r="E59" s="20">
        <v>0</v>
      </c>
      <c r="F59" s="20">
        <f>(C59-K59)</f>
        <v>-5203974</v>
      </c>
      <c r="G59" s="20">
        <f>($C$59-$K$59)*(G24/($C$24-$K$24))</f>
        <v>0</v>
      </c>
      <c r="H59" s="20">
        <f>($C$59-$K$59)*(H24/($C$24-$K$24))</f>
        <v>0</v>
      </c>
      <c r="I59" s="20">
        <v>0</v>
      </c>
      <c r="J59" s="20">
        <f>($C$59-$K$59)*(J24/($C$24-$K$24))</f>
        <v>0</v>
      </c>
      <c r="K59" s="20">
        <v>-259815</v>
      </c>
      <c r="L59" s="373" t="s">
        <v>251</v>
      </c>
    </row>
    <row r="60" spans="1:15" ht="15.95" customHeight="1">
      <c r="A60" s="328"/>
      <c r="B60" s="20" t="s">
        <v>103</v>
      </c>
      <c r="C60" s="23">
        <v>-1134310</v>
      </c>
      <c r="D60" s="20">
        <f>C60-K60</f>
        <v>-265910</v>
      </c>
      <c r="E60" s="20">
        <f t="shared" ref="E60:J60" si="25">($C$60-$K$60)*((E28+E29)/(($C$28-$K$28)+($C$29-$K$29)))</f>
        <v>0</v>
      </c>
      <c r="F60" s="20">
        <f t="shared" si="25"/>
        <v>0</v>
      </c>
      <c r="G60" s="20">
        <f t="shared" si="25"/>
        <v>0</v>
      </c>
      <c r="H60" s="20">
        <v>0</v>
      </c>
      <c r="I60" s="20">
        <f t="shared" si="25"/>
        <v>0</v>
      </c>
      <c r="J60" s="20">
        <f t="shared" si="25"/>
        <v>0</v>
      </c>
      <c r="K60" s="20">
        <v>-868400</v>
      </c>
      <c r="L60" s="373" t="s">
        <v>252</v>
      </c>
    </row>
    <row r="61" spans="1:15" ht="15.95" customHeight="1">
      <c r="A61" s="328" t="s">
        <v>33</v>
      </c>
      <c r="B61" s="20"/>
      <c r="C61" s="25">
        <f>SUM(C59:C60)</f>
        <v>-6598099</v>
      </c>
      <c r="D61" s="24">
        <f t="shared" ref="D61:K61" si="26">SUM(D59:D60)</f>
        <v>-265910</v>
      </c>
      <c r="E61" s="24">
        <f t="shared" si="26"/>
        <v>0</v>
      </c>
      <c r="F61" s="24">
        <f t="shared" si="26"/>
        <v>-5203974</v>
      </c>
      <c r="G61" s="24">
        <f t="shared" si="26"/>
        <v>0</v>
      </c>
      <c r="H61" s="24">
        <f t="shared" si="26"/>
        <v>0</v>
      </c>
      <c r="I61" s="24">
        <f t="shared" si="26"/>
        <v>0</v>
      </c>
      <c r="J61" s="24">
        <f t="shared" si="26"/>
        <v>0</v>
      </c>
      <c r="K61" s="24">
        <f t="shared" si="26"/>
        <v>-1128215</v>
      </c>
      <c r="L61" s="327" t="str">
        <f>IF(SUM(D61:K61)=C61,"balance","error")</f>
        <v>balance</v>
      </c>
    </row>
    <row r="62" spans="1:15" ht="9" customHeight="1">
      <c r="A62" s="328"/>
      <c r="B62" s="20"/>
      <c r="C62" s="21"/>
      <c r="D62" s="20"/>
      <c r="E62" s="20"/>
      <c r="F62" s="20"/>
      <c r="G62" s="20"/>
      <c r="H62" s="20"/>
      <c r="I62" s="20"/>
      <c r="J62" s="20"/>
      <c r="K62" s="20"/>
      <c r="L62" s="373"/>
    </row>
    <row r="63" spans="1:15" ht="15.95" customHeight="1">
      <c r="A63" s="328" t="s">
        <v>34</v>
      </c>
      <c r="B63" s="20"/>
      <c r="C63" s="21"/>
      <c r="D63" s="20"/>
      <c r="E63" s="20"/>
      <c r="F63" s="20"/>
      <c r="G63" s="20"/>
      <c r="H63" s="20"/>
      <c r="I63" s="20"/>
      <c r="J63" s="20"/>
      <c r="K63" s="20"/>
      <c r="L63" s="373"/>
    </row>
    <row r="64" spans="1:15" ht="15.95" customHeight="1">
      <c r="A64" s="328"/>
      <c r="B64" s="20" t="s">
        <v>35</v>
      </c>
      <c r="C64" s="23">
        <v>274898.96999999997</v>
      </c>
      <c r="D64" s="20">
        <f t="shared" ref="D64:K64" si="27">$C$64*D52</f>
        <v>124060.19459826247</v>
      </c>
      <c r="E64" s="20">
        <f t="shared" si="27"/>
        <v>40301.986852818387</v>
      </c>
      <c r="F64" s="20">
        <f t="shared" si="27"/>
        <v>37024.293741912792</v>
      </c>
      <c r="G64" s="20">
        <f t="shared" si="27"/>
        <v>0</v>
      </c>
      <c r="H64" s="20">
        <f t="shared" si="27"/>
        <v>8251.0855128147723</v>
      </c>
      <c r="I64" s="20">
        <f t="shared" si="27"/>
        <v>17458.228826711635</v>
      </c>
      <c r="J64" s="20">
        <f t="shared" si="27"/>
        <v>0</v>
      </c>
      <c r="K64" s="20">
        <f t="shared" si="27"/>
        <v>47803.18046747992</v>
      </c>
      <c r="L64" s="373" t="s">
        <v>165</v>
      </c>
    </row>
    <row r="65" spans="1:12" ht="15.95" customHeight="1">
      <c r="A65" s="328"/>
      <c r="B65" s="20" t="s">
        <v>36</v>
      </c>
      <c r="C65" s="23"/>
      <c r="D65" s="20">
        <f t="shared" ref="D65:K65" si="28">$C$65*D52</f>
        <v>0</v>
      </c>
      <c r="E65" s="20">
        <f t="shared" si="28"/>
        <v>0</v>
      </c>
      <c r="F65" s="20">
        <f t="shared" si="28"/>
        <v>0</v>
      </c>
      <c r="G65" s="20">
        <f t="shared" si="28"/>
        <v>0</v>
      </c>
      <c r="H65" s="20">
        <f t="shared" si="28"/>
        <v>0</v>
      </c>
      <c r="I65" s="20">
        <f t="shared" si="28"/>
        <v>0</v>
      </c>
      <c r="J65" s="20">
        <f t="shared" si="28"/>
        <v>0</v>
      </c>
      <c r="K65" s="20">
        <f t="shared" si="28"/>
        <v>0</v>
      </c>
      <c r="L65" s="373" t="s">
        <v>22</v>
      </c>
    </row>
    <row r="66" spans="1:12" ht="15.95" customHeight="1">
      <c r="A66" s="328"/>
      <c r="B66" s="20" t="s">
        <v>129</v>
      </c>
      <c r="C66" s="23">
        <f>(TYexpenses!C53)/8</f>
        <v>632143.03625</v>
      </c>
      <c r="D66" s="20">
        <f>$C$66*TYexpenses!D54</f>
        <v>381601.41737552354</v>
      </c>
      <c r="E66" s="20">
        <f>$C$66*TYexpenses!E54</f>
        <v>115954.30351514739</v>
      </c>
      <c r="F66" s="20">
        <f>$C$66*TYexpenses!F54</f>
        <v>49384.8151186209</v>
      </c>
      <c r="G66" s="20">
        <f>$C$66*TYexpenses!G54</f>
        <v>24086.2775</v>
      </c>
      <c r="H66" s="20">
        <f>$C$66*TYexpenses!H54</f>
        <v>31193.268202275136</v>
      </c>
      <c r="I66" s="20">
        <f>$C$66*TYexpenses!I54</f>
        <v>22420.792085397621</v>
      </c>
      <c r="J66" s="20">
        <f>$C$66*TYexpenses!J54</f>
        <v>0</v>
      </c>
      <c r="K66" s="20">
        <f>$C$66*TYexpenses!K54</f>
        <v>7502.1624530354293</v>
      </c>
      <c r="L66" s="373" t="s">
        <v>38</v>
      </c>
    </row>
    <row r="67" spans="1:12" ht="15.95" customHeight="1">
      <c r="A67" s="328" t="s">
        <v>37</v>
      </c>
      <c r="B67" s="20"/>
      <c r="C67" s="25">
        <f t="shared" ref="C67:K67" si="29">SUM(C64:C66)</f>
        <v>907042.00624999998</v>
      </c>
      <c r="D67" s="24">
        <f t="shared" si="29"/>
        <v>505661.61197378603</v>
      </c>
      <c r="E67" s="24">
        <f t="shared" si="29"/>
        <v>156256.29036796576</v>
      </c>
      <c r="F67" s="24">
        <f t="shared" si="29"/>
        <v>86409.108860533684</v>
      </c>
      <c r="G67" s="24">
        <f t="shared" si="29"/>
        <v>24086.2775</v>
      </c>
      <c r="H67" s="24">
        <f t="shared" si="29"/>
        <v>39444.353715089906</v>
      </c>
      <c r="I67" s="24">
        <f t="shared" si="29"/>
        <v>39879.020912109256</v>
      </c>
      <c r="J67" s="24">
        <f t="shared" si="29"/>
        <v>0</v>
      </c>
      <c r="K67" s="24">
        <f t="shared" si="29"/>
        <v>55305.342920515352</v>
      </c>
      <c r="L67" s="327" t="str">
        <f>IF(SUM(D67:K67)=C67,"balance","error")</f>
        <v>balance</v>
      </c>
    </row>
    <row r="68" spans="1:12" ht="9" customHeight="1">
      <c r="A68" s="328"/>
      <c r="B68" s="20"/>
      <c r="C68" s="21"/>
      <c r="D68" s="20"/>
      <c r="E68" s="20"/>
      <c r="F68" s="20"/>
      <c r="G68" s="20"/>
      <c r="H68" s="20"/>
      <c r="I68" s="20"/>
      <c r="J68" s="20"/>
      <c r="K68" s="20"/>
      <c r="L68" s="326"/>
    </row>
    <row r="69" spans="1:12" s="1" customFormat="1" ht="15.95" customHeight="1">
      <c r="A69" s="336" t="s">
        <v>39</v>
      </c>
      <c r="B69" s="33"/>
      <c r="C69" s="25">
        <f>C56+C61+C67</f>
        <v>22402135.006250001</v>
      </c>
      <c r="D69" s="25">
        <f t="shared" ref="D69:K69" si="30">D56+D61+D67</f>
        <v>11887763.425882317</v>
      </c>
      <c r="E69" s="25">
        <f t="shared" si="30"/>
        <v>4078046.6399291707</v>
      </c>
      <c r="F69" s="25">
        <f t="shared" si="30"/>
        <v>-1286862.3518200428</v>
      </c>
      <c r="G69" s="25">
        <f t="shared" si="30"/>
        <v>24086.2775</v>
      </c>
      <c r="H69" s="25">
        <f t="shared" si="30"/>
        <v>1028946.3537150898</v>
      </c>
      <c r="I69" s="25">
        <f t="shared" si="30"/>
        <v>1846187.1159344965</v>
      </c>
      <c r="J69" s="25">
        <f t="shared" si="30"/>
        <v>0</v>
      </c>
      <c r="K69" s="25">
        <f t="shared" si="30"/>
        <v>4823967.5451089721</v>
      </c>
      <c r="L69" s="327"/>
    </row>
    <row r="70" spans="1:12" s="1" customFormat="1" ht="15.95" customHeight="1" thickBot="1">
      <c r="A70" s="332"/>
      <c r="B70" s="374" t="s">
        <v>40</v>
      </c>
      <c r="C70" s="375"/>
      <c r="D70" s="376">
        <f>D69/$C$69</f>
        <v>0.53065314634367367</v>
      </c>
      <c r="E70" s="376">
        <f t="shared" ref="E70:K70" si="31">E69/$C$69</f>
        <v>0.18203830299172069</v>
      </c>
      <c r="F70" s="376">
        <f t="shared" si="31"/>
        <v>-5.7443737012611497E-2</v>
      </c>
      <c r="G70" s="376">
        <f t="shared" si="31"/>
        <v>1.0751777673547694E-3</v>
      </c>
      <c r="H70" s="376">
        <f t="shared" si="31"/>
        <v>4.593072729130606E-2</v>
      </c>
      <c r="I70" s="376">
        <f t="shared" si="31"/>
        <v>8.2411212833929728E-2</v>
      </c>
      <c r="J70" s="376">
        <f t="shared" si="31"/>
        <v>0</v>
      </c>
      <c r="K70" s="376">
        <f t="shared" si="31"/>
        <v>0.21533516978462663</v>
      </c>
      <c r="L70" s="377" t="s">
        <v>41</v>
      </c>
    </row>
    <row r="71" spans="1:12" s="1" customFormat="1" ht="12.75" thickTop="1">
      <c r="C71" s="34"/>
      <c r="L71" s="6"/>
    </row>
    <row r="72" spans="1:12" s="35" customFormat="1">
      <c r="C72" s="36"/>
      <c r="L72" s="37"/>
    </row>
    <row r="73" spans="1:12" s="37" customFormat="1">
      <c r="C73" s="38"/>
      <c r="I73" s="1"/>
      <c r="J73" s="1"/>
      <c r="K73" s="1"/>
      <c r="L73" s="1"/>
    </row>
    <row r="74" spans="1:12" s="35" customFormat="1">
      <c r="A74" s="39"/>
      <c r="C74" s="38"/>
      <c r="D74" s="40"/>
      <c r="E74" s="40"/>
      <c r="F74" s="40"/>
      <c r="G74" s="41"/>
      <c r="I74" s="1"/>
      <c r="J74" s="1"/>
      <c r="K74" s="1"/>
      <c r="L74" s="1"/>
    </row>
    <row r="75" spans="1:12" s="35" customFormat="1">
      <c r="A75" s="42"/>
      <c r="C75" s="38"/>
      <c r="D75" s="40"/>
      <c r="E75" s="40"/>
      <c r="F75" s="40"/>
      <c r="G75" s="41"/>
      <c r="L75" s="37"/>
    </row>
    <row r="76" spans="1:12" s="35" customFormat="1">
      <c r="A76" s="42"/>
      <c r="C76" s="38"/>
      <c r="D76" s="40"/>
      <c r="E76" s="40"/>
      <c r="F76" s="40"/>
      <c r="G76" s="41"/>
      <c r="L76" s="37"/>
    </row>
    <row r="77" spans="1:12" s="35" customFormat="1">
      <c r="A77" s="42"/>
      <c r="C77" s="38"/>
      <c r="D77" s="40"/>
      <c r="E77" s="40"/>
      <c r="F77" s="40"/>
      <c r="G77" s="41"/>
      <c r="L77" s="37"/>
    </row>
    <row r="78" spans="1:12" s="35" customFormat="1">
      <c r="A78" s="42"/>
      <c r="C78" s="38"/>
      <c r="D78" s="40"/>
      <c r="E78" s="40"/>
      <c r="F78" s="40"/>
      <c r="G78" s="41"/>
      <c r="L78" s="37"/>
    </row>
    <row r="79" spans="1:12" s="35" customFormat="1">
      <c r="A79" s="42"/>
      <c r="C79" s="38"/>
      <c r="D79" s="40"/>
      <c r="E79" s="40"/>
      <c r="F79" s="40"/>
      <c r="G79" s="41"/>
      <c r="L79" s="37"/>
    </row>
    <row r="80" spans="1:12" s="35" customFormat="1">
      <c r="A80" s="42"/>
      <c r="C80" s="38"/>
      <c r="D80" s="40"/>
      <c r="E80" s="40"/>
      <c r="F80" s="40"/>
      <c r="G80" s="41"/>
      <c r="H80" s="5"/>
      <c r="L80" s="37"/>
    </row>
    <row r="81" spans="1:12" s="35" customFormat="1">
      <c r="A81" s="42"/>
      <c r="C81" s="38"/>
      <c r="D81" s="40"/>
      <c r="E81" s="40"/>
      <c r="F81" s="40"/>
      <c r="G81" s="41"/>
      <c r="L81" s="37"/>
    </row>
    <row r="82" spans="1:12" s="35" customFormat="1">
      <c r="A82" s="42"/>
      <c r="C82" s="38"/>
      <c r="D82" s="40"/>
      <c r="E82" s="40"/>
      <c r="F82" s="40"/>
      <c r="G82" s="41"/>
      <c r="L82" s="37"/>
    </row>
    <row r="83" spans="1:12" s="35" customFormat="1">
      <c r="A83" s="42"/>
      <c r="C83" s="38"/>
      <c r="D83" s="40"/>
      <c r="E83" s="40"/>
      <c r="F83" s="40"/>
      <c r="G83" s="41"/>
      <c r="L83" s="37"/>
    </row>
    <row r="84" spans="1:12" s="35" customFormat="1">
      <c r="A84" s="42"/>
      <c r="C84" s="38"/>
      <c r="D84" s="40"/>
      <c r="E84" s="40"/>
      <c r="F84" s="40"/>
      <c r="G84" s="41"/>
      <c r="L84" s="37"/>
    </row>
    <row r="85" spans="1:12" s="35" customFormat="1">
      <c r="A85" s="42"/>
      <c r="C85" s="38"/>
      <c r="D85" s="40"/>
      <c r="E85" s="40"/>
      <c r="F85" s="40"/>
      <c r="G85" s="41"/>
      <c r="L85" s="37"/>
    </row>
    <row r="86" spans="1:12" s="35" customFormat="1">
      <c r="A86" s="42"/>
      <c r="C86" s="38"/>
      <c r="D86" s="40"/>
      <c r="E86" s="40"/>
      <c r="F86" s="40"/>
      <c r="G86" s="41"/>
      <c r="H86" s="5"/>
      <c r="L86" s="37"/>
    </row>
    <row r="87" spans="1:12" s="1" customFormat="1">
      <c r="C87" s="38"/>
      <c r="D87" s="43"/>
      <c r="E87" s="43"/>
      <c r="F87" s="43"/>
      <c r="G87" s="6"/>
      <c r="L87" s="6"/>
    </row>
    <row r="88" spans="1:12" s="1" customFormat="1">
      <c r="C88" s="38"/>
      <c r="D88" s="43"/>
      <c r="E88" s="43"/>
      <c r="F88" s="43"/>
      <c r="G88" s="6"/>
      <c r="L88" s="6"/>
    </row>
    <row r="89" spans="1:12" s="1" customFormat="1">
      <c r="C89" s="38"/>
      <c r="D89" s="43"/>
      <c r="E89" s="43"/>
      <c r="F89" s="43"/>
      <c r="G89" s="6"/>
      <c r="L89" s="6"/>
    </row>
    <row r="90" spans="1:12" s="1" customFormat="1">
      <c r="C90" s="38"/>
      <c r="D90" s="43"/>
      <c r="E90" s="43"/>
      <c r="F90" s="43"/>
      <c r="G90" s="6"/>
      <c r="L90" s="6"/>
    </row>
    <row r="91" spans="1:12" s="1" customFormat="1">
      <c r="C91" s="38"/>
      <c r="G91" s="6"/>
      <c r="L91" s="6"/>
    </row>
    <row r="92" spans="1:12" s="1" customFormat="1">
      <c r="C92" s="34"/>
      <c r="L92" s="6"/>
    </row>
    <row r="93" spans="1:12" s="1" customFormat="1">
      <c r="C93" s="34"/>
      <c r="L93" s="6"/>
    </row>
    <row r="94" spans="1:12" s="1" customFormat="1">
      <c r="C94" s="34"/>
      <c r="L94" s="6"/>
    </row>
    <row r="95" spans="1:12" s="1" customFormat="1">
      <c r="C95" s="34"/>
      <c r="L95" s="6"/>
    </row>
    <row r="96" spans="1:12" s="1" customFormat="1">
      <c r="C96" s="34"/>
      <c r="L96" s="6"/>
    </row>
    <row r="97" spans="3:12" s="1" customFormat="1">
      <c r="C97" s="34"/>
      <c r="L97" s="6"/>
    </row>
    <row r="98" spans="3:12" s="1" customFormat="1">
      <c r="C98" s="34"/>
      <c r="L98" s="6"/>
    </row>
    <row r="99" spans="3:12" s="1" customFormat="1">
      <c r="C99" s="34"/>
      <c r="L99" s="6"/>
    </row>
  </sheetData>
  <mergeCells count="3">
    <mergeCell ref="A10:B10"/>
    <mergeCell ref="I1:L1"/>
    <mergeCell ref="A8:B8"/>
  </mergeCells>
  <phoneticPr fontId="4" type="noConversion"/>
  <printOptions horizontalCentered="1"/>
  <pageMargins left="0.25" right="0.25" top="1.1499999999999999" bottom="0.75" header="0.45" footer="0.25"/>
  <pageSetup orientation="landscape" cellComments="asDisplayed" horizontalDpi="4294967292" verticalDpi="4294967292"/>
  <headerFooter>
    <oddHeader xml:space="preserve">&amp;C&amp;10&amp;K0C0B0ABardstown Water Utility
Functionalization and Allocation of Water Rate Base - Test Year (FY 23)
&amp;R&amp;14&amp;K31000A </oddHeader>
    <oddFooter>&amp;L&amp;"Avenir Book Oblique,Italic"&amp;9&amp;K817842SRE; cla
&amp;D</oddFooter>
  </headerFooter>
  <rowBreaks count="1" manualBreakCount="1">
    <brk id="49" max="16383" man="1"/>
  </rowBreaks>
  <legacy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8" tint="0.79998168889431442"/>
  </sheetPr>
  <dimension ref="A1:L19"/>
  <sheetViews>
    <sheetView zoomScale="150" zoomScaleNormal="150" workbookViewId="0">
      <selection activeCell="D2" sqref="D2"/>
    </sheetView>
  </sheetViews>
  <sheetFormatPr defaultColWidth="10.6640625" defaultRowHeight="12"/>
  <cols>
    <col min="1" max="1" width="24.33203125" style="1" customWidth="1"/>
    <col min="2" max="2" width="7.33203125" style="1" customWidth="1"/>
    <col min="3" max="3" width="6.6640625" style="1" customWidth="1"/>
    <col min="4" max="4" width="8.5546875" style="1" customWidth="1"/>
    <col min="5" max="5" width="8.33203125" style="1" customWidth="1"/>
    <col min="6" max="6" width="6.6640625" style="1" customWidth="1"/>
    <col min="7" max="7" width="8" style="1" customWidth="1"/>
    <col min="8" max="8" width="9.33203125" style="1" customWidth="1"/>
    <col min="9" max="9" width="6.6640625" style="1" customWidth="1"/>
    <col min="10" max="10" width="0.5546875" style="1" customWidth="1"/>
    <col min="11" max="12" width="6.5546875" style="1" customWidth="1"/>
    <col min="13" max="16384" width="10.6640625" style="1"/>
  </cols>
  <sheetData>
    <row r="1" spans="1:12" s="2" customFormat="1" ht="30" customHeight="1" thickTop="1">
      <c r="A1" s="478" t="s">
        <v>65</v>
      </c>
      <c r="B1" s="479"/>
      <c r="C1" s="479"/>
      <c r="D1" s="479"/>
      <c r="E1" s="479"/>
      <c r="F1" s="479"/>
      <c r="G1" s="479"/>
      <c r="H1" s="479"/>
      <c r="I1" s="480"/>
    </row>
    <row r="2" spans="1:12" s="4" customFormat="1" ht="60">
      <c r="A2" s="164" t="s">
        <v>54</v>
      </c>
      <c r="B2" s="165" t="s">
        <v>377</v>
      </c>
      <c r="C2" s="168" t="s">
        <v>53</v>
      </c>
      <c r="D2" s="165" t="s">
        <v>64</v>
      </c>
      <c r="E2" s="165" t="s">
        <v>63</v>
      </c>
      <c r="F2" s="168" t="s">
        <v>53</v>
      </c>
      <c r="G2" s="165" t="s">
        <v>404</v>
      </c>
      <c r="H2" s="165" t="s">
        <v>62</v>
      </c>
      <c r="I2" s="169" t="s">
        <v>53</v>
      </c>
      <c r="K2" s="481" t="s">
        <v>109</v>
      </c>
      <c r="L2" s="482"/>
    </row>
    <row r="3" spans="1:12">
      <c r="A3" s="58" t="s">
        <v>175</v>
      </c>
      <c r="B3" s="103">
        <f>[4]Customers!$B$24/12</f>
        <v>4847.583333333333</v>
      </c>
      <c r="C3" s="104">
        <f>B3/$B$14</f>
        <v>0.38451013312533883</v>
      </c>
      <c r="D3" s="391">
        <v>1</v>
      </c>
      <c r="E3" s="105">
        <f t="shared" ref="E3:E12" si="0">B3*D3</f>
        <v>4847.583333333333</v>
      </c>
      <c r="F3" s="104">
        <f>E3/$E$14</f>
        <v>0.35939860308359567</v>
      </c>
      <c r="G3" s="393">
        <f>650*(L3)</f>
        <v>650</v>
      </c>
      <c r="H3" s="100">
        <f t="shared" ref="H3:H12" si="1">G3*B3</f>
        <v>3150929.1666666665</v>
      </c>
      <c r="I3" s="106">
        <f>H3/H14</f>
        <v>0.31119967901564799</v>
      </c>
      <c r="K3" s="91" t="s">
        <v>110</v>
      </c>
      <c r="L3" s="92">
        <v>1</v>
      </c>
    </row>
    <row r="4" spans="1:12">
      <c r="A4" s="58" t="s">
        <v>176</v>
      </c>
      <c r="B4" s="107">
        <f>[4]Customers!$C$24/12</f>
        <v>6041</v>
      </c>
      <c r="C4" s="108">
        <f>B4/$B$14</f>
        <v>0.47917189958092626</v>
      </c>
      <c r="D4" s="392">
        <v>1</v>
      </c>
      <c r="E4" s="110">
        <f t="shared" si="0"/>
        <v>6041</v>
      </c>
      <c r="F4" s="108">
        <f>E4/$E$14</f>
        <v>0.44787821310852516</v>
      </c>
      <c r="G4" s="394">
        <f>650*L4</f>
        <v>650</v>
      </c>
      <c r="H4" s="101">
        <f t="shared" si="1"/>
        <v>3926650</v>
      </c>
      <c r="I4" s="112">
        <f>H4/$H$14</f>
        <v>0.38781329410191256</v>
      </c>
      <c r="K4" s="70" t="s">
        <v>110</v>
      </c>
      <c r="L4" s="69">
        <v>1</v>
      </c>
    </row>
    <row r="5" spans="1:12">
      <c r="A5" s="58" t="s">
        <v>177</v>
      </c>
      <c r="B5" s="107">
        <f>[4]Customers!$D$24/12</f>
        <v>1137.25</v>
      </c>
      <c r="C5" s="108">
        <f>B5/$B$14</f>
        <v>9.0206628504950911E-2</v>
      </c>
      <c r="D5" s="392">
        <v>1.5</v>
      </c>
      <c r="E5" s="110">
        <f t="shared" si="0"/>
        <v>1705.875</v>
      </c>
      <c r="F5" s="108">
        <f>E5/$E$14</f>
        <v>0.12647314133198234</v>
      </c>
      <c r="G5" s="394">
        <f>650*L5</f>
        <v>1625</v>
      </c>
      <c r="H5" s="101">
        <f t="shared" si="1"/>
        <v>1848031.25</v>
      </c>
      <c r="I5" s="112">
        <f t="shared" ref="I5:I12" si="2">H5/$H$14</f>
        <v>0.18251972716330081</v>
      </c>
      <c r="K5" s="71">
        <v>1</v>
      </c>
      <c r="L5" s="69">
        <v>2.5</v>
      </c>
    </row>
    <row r="6" spans="1:12">
      <c r="A6" s="58" t="s">
        <v>178</v>
      </c>
      <c r="B6" s="107">
        <f>[4]Customers!$E$24/12</f>
        <v>496.66666666666669</v>
      </c>
      <c r="C6" s="108">
        <f>B6/$B$14</f>
        <v>3.9395581878032347E-2</v>
      </c>
      <c r="D6" s="392">
        <v>1.5</v>
      </c>
      <c r="E6" s="110">
        <f t="shared" si="0"/>
        <v>745</v>
      </c>
      <c r="F6" s="108">
        <f>E6/$E$14</f>
        <v>5.523411169770754E-2</v>
      </c>
      <c r="G6" s="394">
        <f>650*L5</f>
        <v>1625</v>
      </c>
      <c r="H6" s="101">
        <f t="shared" si="1"/>
        <v>807083.33333333337</v>
      </c>
      <c r="I6" s="112">
        <f t="shared" si="2"/>
        <v>7.9711114083188456E-2</v>
      </c>
      <c r="K6" s="71">
        <v>1</v>
      </c>
      <c r="L6" s="69">
        <v>2.5</v>
      </c>
    </row>
    <row r="7" spans="1:12">
      <c r="A7" s="58" t="s">
        <v>206</v>
      </c>
      <c r="B7" s="107">
        <f>[4]Customers!$F$24/12</f>
        <v>56</v>
      </c>
      <c r="C7" s="108">
        <f t="shared" ref="C7:C12" si="3">B7/$B$14</f>
        <v>4.4419179567177407E-3</v>
      </c>
      <c r="D7" s="392">
        <v>2</v>
      </c>
      <c r="E7" s="110">
        <f t="shared" si="0"/>
        <v>112</v>
      </c>
      <c r="F7" s="108">
        <f t="shared" ref="F7:F12" si="4">E7/$E$14</f>
        <v>8.3036516914674428E-3</v>
      </c>
      <c r="G7" s="394">
        <f>650*L7</f>
        <v>5200</v>
      </c>
      <c r="H7" s="101">
        <f t="shared" si="1"/>
        <v>291200</v>
      </c>
      <c r="I7" s="112">
        <f t="shared" si="2"/>
        <v>2.876019794035041E-2</v>
      </c>
      <c r="K7" s="395">
        <v>2</v>
      </c>
      <c r="L7" s="69">
        <v>8</v>
      </c>
    </row>
    <row r="8" spans="1:12">
      <c r="A8" s="58" t="s">
        <v>207</v>
      </c>
      <c r="B8" s="107">
        <f>[4]Customers!$G$24/12</f>
        <v>7.916666666666667</v>
      </c>
      <c r="C8" s="108">
        <f t="shared" si="3"/>
        <v>6.2794971114313303E-4</v>
      </c>
      <c r="D8" s="392">
        <v>2</v>
      </c>
      <c r="E8" s="110">
        <f t="shared" si="0"/>
        <v>15.833333333333334</v>
      </c>
      <c r="F8" s="108">
        <f t="shared" si="4"/>
        <v>1.1738793313830463E-3</v>
      </c>
      <c r="G8" s="394">
        <f>650*L7</f>
        <v>5200</v>
      </c>
      <c r="H8" s="101">
        <f t="shared" si="1"/>
        <v>41166.666666666672</v>
      </c>
      <c r="I8" s="112">
        <f t="shared" si="2"/>
        <v>4.0658017921626332E-3</v>
      </c>
      <c r="K8" s="395">
        <v>3</v>
      </c>
      <c r="L8" s="69">
        <v>16</v>
      </c>
    </row>
    <row r="9" spans="1:12">
      <c r="A9" s="58" t="s">
        <v>227</v>
      </c>
      <c r="B9" s="107">
        <f>[4]Customers!$H$24/12</f>
        <v>17.75</v>
      </c>
      <c r="C9" s="108">
        <f t="shared" si="3"/>
        <v>1.4079293523524981E-3</v>
      </c>
      <c r="D9" s="392">
        <v>1</v>
      </c>
      <c r="E9" s="110">
        <f t="shared" si="0"/>
        <v>17.75</v>
      </c>
      <c r="F9" s="108">
        <f t="shared" si="4"/>
        <v>1.3159805136030991E-3</v>
      </c>
      <c r="G9" s="394">
        <f>650*L6</f>
        <v>1625</v>
      </c>
      <c r="H9" s="101">
        <f t="shared" si="1"/>
        <v>28843.75</v>
      </c>
      <c r="I9" s="112">
        <f t="shared" si="2"/>
        <v>2.8487361241139497E-3</v>
      </c>
      <c r="K9" s="395">
        <v>2</v>
      </c>
      <c r="L9" s="69">
        <v>8</v>
      </c>
    </row>
    <row r="10" spans="1:12">
      <c r="A10" s="58" t="s">
        <v>208</v>
      </c>
      <c r="B10" s="107">
        <f>[4]Customers!$I$24/12</f>
        <v>1</v>
      </c>
      <c r="C10" s="108">
        <f t="shared" si="3"/>
        <v>7.9319963512816804E-5</v>
      </c>
      <c r="D10" s="109">
        <v>1</v>
      </c>
      <c r="E10" s="110">
        <f t="shared" si="0"/>
        <v>1</v>
      </c>
      <c r="F10" s="108">
        <f t="shared" si="4"/>
        <v>7.4139747245245013E-5</v>
      </c>
      <c r="G10" s="111">
        <f t="shared" ref="G10:G12" si="5">650*L10</f>
        <v>10400</v>
      </c>
      <c r="H10" s="101">
        <f t="shared" si="1"/>
        <v>10400</v>
      </c>
      <c r="I10" s="112">
        <f t="shared" si="2"/>
        <v>1.0271499264410862E-3</v>
      </c>
      <c r="K10" s="395">
        <v>3</v>
      </c>
      <c r="L10" s="69">
        <v>16</v>
      </c>
    </row>
    <row r="11" spans="1:12">
      <c r="A11" s="58" t="s">
        <v>209</v>
      </c>
      <c r="B11" s="107">
        <v>1</v>
      </c>
      <c r="C11" s="108">
        <f t="shared" si="3"/>
        <v>7.9319963512816804E-5</v>
      </c>
      <c r="D11" s="109">
        <v>1</v>
      </c>
      <c r="E11" s="110">
        <f t="shared" si="0"/>
        <v>1</v>
      </c>
      <c r="F11" s="108">
        <f t="shared" si="4"/>
        <v>7.4139747245245013E-5</v>
      </c>
      <c r="G11" s="111">
        <f t="shared" si="5"/>
        <v>10400</v>
      </c>
      <c r="H11" s="101">
        <f t="shared" si="1"/>
        <v>10400</v>
      </c>
      <c r="I11" s="112">
        <f t="shared" si="2"/>
        <v>1.0271499264410862E-3</v>
      </c>
      <c r="K11" s="395">
        <v>3</v>
      </c>
      <c r="L11" s="69">
        <v>16</v>
      </c>
    </row>
    <row r="12" spans="1:12">
      <c r="A12" s="58" t="s">
        <v>210</v>
      </c>
      <c r="B12" s="107">
        <f>[4]Customers!$K$24/12</f>
        <v>1</v>
      </c>
      <c r="C12" s="108">
        <f t="shared" si="3"/>
        <v>7.9319963512816804E-5</v>
      </c>
      <c r="D12" s="109">
        <v>1</v>
      </c>
      <c r="E12" s="110">
        <f t="shared" si="0"/>
        <v>1</v>
      </c>
      <c r="F12" s="108">
        <f t="shared" si="4"/>
        <v>7.4139747245245013E-5</v>
      </c>
      <c r="G12" s="111">
        <f t="shared" si="5"/>
        <v>10400</v>
      </c>
      <c r="H12" s="101">
        <f t="shared" si="1"/>
        <v>10400</v>
      </c>
      <c r="I12" s="112">
        <f t="shared" si="2"/>
        <v>1.0271499264410862E-3</v>
      </c>
      <c r="K12" s="395">
        <v>3</v>
      </c>
      <c r="L12" s="69">
        <v>16</v>
      </c>
    </row>
    <row r="13" spans="1:12" ht="6" customHeight="1">
      <c r="A13" s="58"/>
      <c r="B13" s="107"/>
      <c r="C13" s="108"/>
      <c r="D13" s="109"/>
      <c r="E13" s="110"/>
      <c r="F13" s="108"/>
      <c r="G13" s="111"/>
      <c r="H13" s="101"/>
      <c r="I13" s="112"/>
      <c r="K13" s="90"/>
      <c r="L13" s="72"/>
    </row>
    <row r="14" spans="1:12">
      <c r="A14" s="60" t="s">
        <v>52</v>
      </c>
      <c r="B14" s="113">
        <f>SUM(B3:B13)</f>
        <v>12607.166666666664</v>
      </c>
      <c r="C14" s="114">
        <f>SUM(C3:C13)</f>
        <v>1.0000000000000002</v>
      </c>
      <c r="D14" s="115"/>
      <c r="E14" s="116">
        <f>SUM(E3:E13)</f>
        <v>13488.041666666666</v>
      </c>
      <c r="F14" s="114">
        <f>SUM(F3:F13)</f>
        <v>1.0000000000000002</v>
      </c>
      <c r="G14" s="117"/>
      <c r="H14" s="118">
        <f>SUM(H3:H13)</f>
        <v>10125104.166666666</v>
      </c>
      <c r="I14" s="119">
        <f>SUM(I3:I13)</f>
        <v>0.99999999999999989</v>
      </c>
    </row>
    <row r="15" spans="1:12" s="2" customFormat="1" ht="35.1" customHeight="1" thickBot="1">
      <c r="A15" s="73" t="s">
        <v>51</v>
      </c>
      <c r="B15" s="74" t="s">
        <v>138</v>
      </c>
      <c r="C15" s="75" t="s">
        <v>61</v>
      </c>
      <c r="D15" s="76"/>
      <c r="E15" s="76" t="s">
        <v>139</v>
      </c>
      <c r="F15" s="75" t="s">
        <v>60</v>
      </c>
      <c r="G15" s="61"/>
      <c r="H15" s="76" t="s">
        <v>134</v>
      </c>
      <c r="I15" s="77" t="s">
        <v>59</v>
      </c>
    </row>
    <row r="16" spans="1:12" ht="15.95" customHeight="1" thickTop="1">
      <c r="A16" s="483" t="s">
        <v>145</v>
      </c>
      <c r="B16" s="483"/>
      <c r="C16" s="483"/>
      <c r="D16" s="483"/>
      <c r="E16" s="483"/>
      <c r="F16" s="483"/>
      <c r="G16" s="483"/>
      <c r="H16" s="483"/>
      <c r="I16" s="483"/>
    </row>
    <row r="18" spans="1:9">
      <c r="A18" s="484" t="s">
        <v>405</v>
      </c>
      <c r="B18" s="484"/>
      <c r="C18" s="484"/>
      <c r="D18" s="484"/>
      <c r="E18" s="484"/>
      <c r="F18" s="484"/>
      <c r="G18" s="484"/>
      <c r="H18" s="484"/>
      <c r="I18" s="484"/>
    </row>
    <row r="19" spans="1:9">
      <c r="A19" s="484"/>
      <c r="B19" s="484"/>
      <c r="C19" s="484"/>
      <c r="D19" s="484"/>
      <c r="E19" s="484"/>
      <c r="F19" s="484"/>
      <c r="G19" s="484"/>
      <c r="H19" s="484"/>
      <c r="I19" s="484"/>
    </row>
  </sheetData>
  <mergeCells count="4">
    <mergeCell ref="A1:I1"/>
    <mergeCell ref="K2:L2"/>
    <mergeCell ref="A16:I16"/>
    <mergeCell ref="A18:I19"/>
  </mergeCells>
  <phoneticPr fontId="4" type="noConversion"/>
  <printOptions horizontalCentered="1"/>
  <pageMargins left="0.75" right="0.75" top="2" bottom="0.5" header="0.75" footer="0.5"/>
  <pageSetup orientation="landscape" cellComments="asDisplayed" horizontalDpi="4294967292" verticalDpi="4294967292"/>
  <headerFooter>
    <oddHeader xml:space="preserve">&amp;C&amp;10&amp;K16150BBardstown Water Utility
Cost of Service/Rate Study
Distribution Factors
Water - &amp;A
</oddHeader>
    <oddFooter xml:space="preserve">&amp;L&amp;"Avenir Book Oblique,Italic"&amp;9&amp;K817842SRE; cla
&amp;D
</oddFooter>
  </headerFooter>
  <legacyDrawing r:id="rId1"/>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8" tint="0.79998168889431442"/>
  </sheetPr>
  <dimension ref="A1:I17"/>
  <sheetViews>
    <sheetView zoomScale="150" zoomScaleNormal="150" workbookViewId="0">
      <selection activeCell="A10" sqref="A10"/>
    </sheetView>
  </sheetViews>
  <sheetFormatPr defaultColWidth="10.6640625" defaultRowHeight="12"/>
  <cols>
    <col min="1" max="1" width="28.6640625" style="1" customWidth="1"/>
    <col min="2" max="2" width="10.6640625" style="1"/>
    <col min="3" max="3" width="12.5546875" style="1" customWidth="1"/>
    <col min="4" max="5" width="10.6640625" style="1" customWidth="1"/>
    <col min="6" max="16384" width="10.6640625" style="1"/>
  </cols>
  <sheetData>
    <row r="1" spans="1:9" s="57" customFormat="1" ht="30" customHeight="1" thickTop="1">
      <c r="A1" s="474" t="s">
        <v>73</v>
      </c>
      <c r="B1" s="475"/>
      <c r="C1" s="475"/>
      <c r="D1" s="475"/>
      <c r="E1" s="475"/>
      <c r="F1" s="476"/>
    </row>
    <row r="2" spans="1:9" s="4" customFormat="1" ht="48">
      <c r="A2" s="254" t="s">
        <v>54</v>
      </c>
      <c r="B2" s="167" t="s">
        <v>72</v>
      </c>
      <c r="C2" s="165" t="s">
        <v>71</v>
      </c>
      <c r="D2" s="165" t="s">
        <v>70</v>
      </c>
      <c r="E2" s="167" t="s">
        <v>69</v>
      </c>
      <c r="F2" s="255" t="s">
        <v>53</v>
      </c>
      <c r="I2" s="4" t="s">
        <v>156</v>
      </c>
    </row>
    <row r="3" spans="1:9">
      <c r="A3" s="302" t="s">
        <v>175</v>
      </c>
      <c r="B3" s="147">
        <f>'CUST-X'!B3</f>
        <v>4847.583333333333</v>
      </c>
      <c r="C3" s="148">
        <v>750</v>
      </c>
      <c r="D3" s="149">
        <v>120</v>
      </c>
      <c r="E3" s="150">
        <f t="shared" ref="E3:E12" si="0">(B3*C3*D3)/1000000</f>
        <v>436.28250000000003</v>
      </c>
      <c r="F3" s="303">
        <f>E3/$E$14</f>
        <v>0.22904493408722221</v>
      </c>
    </row>
    <row r="4" spans="1:9">
      <c r="A4" s="302" t="s">
        <v>176</v>
      </c>
      <c r="B4" s="151">
        <f>'CUST-X'!B4</f>
        <v>6041</v>
      </c>
      <c r="C4" s="152">
        <v>750</v>
      </c>
      <c r="D4" s="304">
        <v>120</v>
      </c>
      <c r="E4" s="305">
        <f t="shared" si="0"/>
        <v>543.69000000000005</v>
      </c>
      <c r="F4" s="306">
        <f t="shared" ref="F4:F12" si="1">E4/$E$14</f>
        <v>0.28543303986266205</v>
      </c>
    </row>
    <row r="5" spans="1:9">
      <c r="A5" s="302" t="s">
        <v>177</v>
      </c>
      <c r="B5" s="151">
        <f>'CUST-X'!B5</f>
        <v>1137.25</v>
      </c>
      <c r="C5" s="152">
        <v>3000</v>
      </c>
      <c r="D5" s="304">
        <v>180</v>
      </c>
      <c r="E5" s="305">
        <f t="shared" si="0"/>
        <v>614.11500000000001</v>
      </c>
      <c r="F5" s="306">
        <f t="shared" si="1"/>
        <v>0.32240561951711211</v>
      </c>
    </row>
    <row r="6" spans="1:9">
      <c r="A6" s="302" t="s">
        <v>178</v>
      </c>
      <c r="B6" s="151">
        <f>'CUST-X'!B6</f>
        <v>496.66666666666669</v>
      </c>
      <c r="C6" s="152">
        <v>3000</v>
      </c>
      <c r="D6" s="304">
        <v>180</v>
      </c>
      <c r="E6" s="305">
        <f t="shared" si="0"/>
        <v>268.2</v>
      </c>
      <c r="F6" s="306">
        <f t="shared" si="1"/>
        <v>0.14080292315688342</v>
      </c>
    </row>
    <row r="7" spans="1:9" ht="12.95" customHeight="1">
      <c r="A7" s="302" t="s">
        <v>206</v>
      </c>
      <c r="B7" s="151">
        <f>'CUST-X'!B7</f>
        <v>56</v>
      </c>
      <c r="C7" s="152">
        <v>3000</v>
      </c>
      <c r="D7" s="304">
        <v>180</v>
      </c>
      <c r="E7" s="305">
        <f t="shared" si="0"/>
        <v>30.24</v>
      </c>
      <c r="F7" s="306">
        <f t="shared" si="1"/>
        <v>1.587576583245397E-2</v>
      </c>
    </row>
    <row r="8" spans="1:9" ht="12.95" customHeight="1">
      <c r="A8" s="302" t="s">
        <v>207</v>
      </c>
      <c r="B8" s="151">
        <f>'CUST-X'!B8</f>
        <v>7.916666666666667</v>
      </c>
      <c r="C8" s="153">
        <v>3000</v>
      </c>
      <c r="D8" s="304">
        <v>180</v>
      </c>
      <c r="E8" s="305">
        <f t="shared" si="0"/>
        <v>4.2750000000000004</v>
      </c>
      <c r="F8" s="306">
        <f t="shared" si="1"/>
        <v>2.2443418959570346E-3</v>
      </c>
    </row>
    <row r="9" spans="1:9" ht="12.95" customHeight="1">
      <c r="A9" s="302" t="s">
        <v>325</v>
      </c>
      <c r="B9" s="151">
        <f>'CUST-X'!B9</f>
        <v>17.75</v>
      </c>
      <c r="C9" s="153">
        <v>2500</v>
      </c>
      <c r="D9" s="304">
        <v>180</v>
      </c>
      <c r="E9" s="305">
        <f t="shared" si="0"/>
        <v>7.9874999999999998</v>
      </c>
      <c r="F9" s="306">
        <f t="shared" si="1"/>
        <v>4.1933756477091954E-3</v>
      </c>
    </row>
    <row r="10" spans="1:9" ht="12.95" customHeight="1">
      <c r="A10" s="302" t="s">
        <v>208</v>
      </c>
      <c r="B10" s="151">
        <f>'CUST-X'!B10</f>
        <v>1</v>
      </c>
      <c r="C10" s="153">
        <v>0</v>
      </c>
      <c r="D10" s="304">
        <v>120</v>
      </c>
      <c r="E10" s="305">
        <f t="shared" si="0"/>
        <v>0</v>
      </c>
      <c r="F10" s="306">
        <f t="shared" si="1"/>
        <v>0</v>
      </c>
      <c r="H10"/>
    </row>
    <row r="11" spans="1:9" ht="12.95" customHeight="1">
      <c r="A11" s="302" t="s">
        <v>209</v>
      </c>
      <c r="B11" s="151">
        <f>'CUST-X'!B11</f>
        <v>1</v>
      </c>
      <c r="C11" s="153">
        <v>0</v>
      </c>
      <c r="D11" s="304">
        <v>120</v>
      </c>
      <c r="E11" s="305">
        <f t="shared" si="0"/>
        <v>0</v>
      </c>
      <c r="F11" s="306">
        <f t="shared" si="1"/>
        <v>0</v>
      </c>
      <c r="H11"/>
    </row>
    <row r="12" spans="1:9" ht="12.95" customHeight="1">
      <c r="A12" s="302" t="s">
        <v>210</v>
      </c>
      <c r="B12" s="151">
        <f>'CUST-X'!B12</f>
        <v>1</v>
      </c>
      <c r="C12" s="153">
        <v>0</v>
      </c>
      <c r="D12" s="304">
        <v>120</v>
      </c>
      <c r="E12" s="305">
        <f t="shared" si="0"/>
        <v>0</v>
      </c>
      <c r="F12" s="306">
        <f t="shared" si="1"/>
        <v>0</v>
      </c>
      <c r="H12"/>
    </row>
    <row r="13" spans="1:9" ht="6" customHeight="1">
      <c r="A13" s="276"/>
      <c r="B13" s="63"/>
      <c r="C13" s="102"/>
      <c r="D13" s="6"/>
      <c r="E13" s="307"/>
      <c r="F13" s="297"/>
      <c r="H13"/>
    </row>
    <row r="14" spans="1:9" ht="15">
      <c r="A14" s="308" t="s">
        <v>52</v>
      </c>
      <c r="B14" s="66">
        <f>SUM(B3:B13)</f>
        <v>12607.166666666664</v>
      </c>
      <c r="C14" s="3"/>
      <c r="D14" s="67"/>
      <c r="E14" s="78">
        <f>SUM(E3:E13)</f>
        <v>1904.7900000000002</v>
      </c>
      <c r="F14" s="309">
        <f>SUM(F3:F13)</f>
        <v>0.99999999999999989</v>
      </c>
      <c r="H14"/>
    </row>
    <row r="15" spans="1:9" s="2" customFormat="1" ht="27.95" customHeight="1" thickBot="1">
      <c r="A15" s="472" t="s">
        <v>51</v>
      </c>
      <c r="B15" s="470"/>
      <c r="C15" s="310"/>
      <c r="D15" s="470" t="s">
        <v>68</v>
      </c>
      <c r="E15" s="470"/>
      <c r="F15" s="471"/>
      <c r="H15"/>
    </row>
    <row r="16" spans="1:9" s="2" customFormat="1" ht="53.1" customHeight="1" thickTop="1">
      <c r="A16" s="485" t="s">
        <v>67</v>
      </c>
      <c r="B16" s="485"/>
      <c r="C16" s="485"/>
      <c r="D16" s="485"/>
      <c r="E16" s="485"/>
      <c r="F16" s="485"/>
      <c r="H16"/>
    </row>
    <row r="17" spans="1:8" ht="53.1" customHeight="1">
      <c r="A17" s="486" t="s">
        <v>66</v>
      </c>
      <c r="B17" s="486"/>
      <c r="C17" s="486"/>
      <c r="D17" s="486"/>
      <c r="E17" s="486"/>
      <c r="F17" s="486"/>
      <c r="H17"/>
    </row>
  </sheetData>
  <mergeCells count="5">
    <mergeCell ref="A1:F1"/>
    <mergeCell ref="A15:B15"/>
    <mergeCell ref="D15:F15"/>
    <mergeCell ref="A16:F16"/>
    <mergeCell ref="A17:F17"/>
  </mergeCells>
  <phoneticPr fontId="4" type="noConversion"/>
  <printOptions horizontalCentered="1"/>
  <pageMargins left="0.75" right="0.75" top="2" bottom="0.5" header="0.75" footer="0.5"/>
  <pageSetup orientation="landscape" cellComments="asDisplayed" horizontalDpi="4294967292" verticalDpi="4294967292"/>
  <headerFooter>
    <oddHeader xml:space="preserve">&amp;C&amp;10&amp;K16150BBardstown Water Utility
Cost of Service/Rate Study
Distribution Factors
Water - &amp;A
</oddHeader>
    <oddFooter xml:space="preserve">&amp;L&amp;"Avenir Book Oblique,Italic"&amp;9&amp;K817842SRE; cla
&amp;D
</oddFooter>
  </headerFooter>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8" tint="0.79998168889431442"/>
  </sheetPr>
  <dimension ref="A1:Q21"/>
  <sheetViews>
    <sheetView zoomScale="150" zoomScaleNormal="150" workbookViewId="0">
      <selection activeCell="E21" sqref="E21"/>
    </sheetView>
  </sheetViews>
  <sheetFormatPr defaultColWidth="10.6640625" defaultRowHeight="12"/>
  <cols>
    <col min="1" max="1" width="28.6640625" style="1" customWidth="1"/>
    <col min="2" max="2" width="14.5546875" style="1" customWidth="1"/>
    <col min="3" max="3" width="13.88671875" style="1" customWidth="1"/>
    <col min="4" max="16" width="10.6640625" style="10"/>
    <col min="17" max="17" width="14.33203125" style="10" customWidth="1"/>
    <col min="18" max="16384" width="10.6640625" style="1"/>
  </cols>
  <sheetData>
    <row r="1" spans="1:17" s="57" customFormat="1" ht="24.95" customHeight="1" thickTop="1">
      <c r="A1" s="467" t="s">
        <v>77</v>
      </c>
      <c r="B1" s="468"/>
      <c r="C1" s="469"/>
      <c r="D1" s="10"/>
      <c r="E1" s="10"/>
      <c r="F1" s="10"/>
      <c r="G1" s="10"/>
      <c r="H1" s="10"/>
      <c r="I1" s="10"/>
      <c r="J1" s="10"/>
      <c r="K1" s="10"/>
      <c r="L1" s="10"/>
      <c r="M1" s="10"/>
      <c r="N1" s="10"/>
      <c r="O1" s="10"/>
      <c r="P1" s="10"/>
      <c r="Q1" s="10"/>
    </row>
    <row r="2" spans="1:17" s="4" customFormat="1" ht="30" customHeight="1">
      <c r="A2" s="254" t="s">
        <v>54</v>
      </c>
      <c r="B2" s="165" t="s">
        <v>76</v>
      </c>
      <c r="C2" s="255" t="s">
        <v>53</v>
      </c>
      <c r="D2" s="10"/>
      <c r="E2" s="10"/>
      <c r="F2" s="10"/>
      <c r="G2" s="10"/>
      <c r="H2" s="10"/>
      <c r="I2" s="10"/>
      <c r="J2" s="10"/>
      <c r="K2" s="10"/>
      <c r="L2" s="10"/>
      <c r="M2" s="10"/>
      <c r="N2" s="10"/>
      <c r="O2" s="10"/>
      <c r="P2" s="10"/>
      <c r="Q2" s="10"/>
    </row>
    <row r="3" spans="1:17" ht="18" customHeight="1">
      <c r="A3" s="276" t="s">
        <v>175</v>
      </c>
      <c r="B3" s="100">
        <f>[4]Revenue!$B$24</f>
        <v>1458426.46</v>
      </c>
      <c r="C3" s="296">
        <f>B3/$B$14</f>
        <v>0.1916813778535065</v>
      </c>
    </row>
    <row r="4" spans="1:17" ht="18" customHeight="1">
      <c r="A4" s="276" t="s">
        <v>176</v>
      </c>
      <c r="B4" s="101">
        <f>[4]Revenue!$C$24</f>
        <v>2646608.5</v>
      </c>
      <c r="C4" s="297">
        <f t="shared" ref="C4:C12" si="0">B4/$B$14</f>
        <v>0.34784445965057581</v>
      </c>
    </row>
    <row r="5" spans="1:17" ht="18" customHeight="1">
      <c r="A5" s="276" t="s">
        <v>177</v>
      </c>
      <c r="B5" s="101">
        <f>[4]Revenue!$D$24</f>
        <v>945806.08</v>
      </c>
      <c r="C5" s="297">
        <f t="shared" si="0"/>
        <v>0.12430754485668329</v>
      </c>
    </row>
    <row r="6" spans="1:17" ht="18" customHeight="1">
      <c r="A6" s="276" t="s">
        <v>178</v>
      </c>
      <c r="B6" s="101">
        <f>[4]Revenue!$E$24</f>
        <v>304119.77999999997</v>
      </c>
      <c r="C6" s="297">
        <f t="shared" si="0"/>
        <v>3.997054363845351E-2</v>
      </c>
    </row>
    <row r="7" spans="1:17" ht="18" customHeight="1">
      <c r="A7" s="276" t="s">
        <v>206</v>
      </c>
      <c r="B7" s="101">
        <f>[4]Revenue!$F$24</f>
        <v>992139.71000000008</v>
      </c>
      <c r="C7" s="297">
        <f t="shared" si="0"/>
        <v>0.13039718618104226</v>
      </c>
    </row>
    <row r="8" spans="1:17" ht="18" customHeight="1">
      <c r="A8" s="276" t="s">
        <v>207</v>
      </c>
      <c r="B8" s="101">
        <f>[4]Revenue!$G$24</f>
        <v>213482.34</v>
      </c>
      <c r="C8" s="297">
        <f t="shared" si="0"/>
        <v>2.8058040772649413E-2</v>
      </c>
    </row>
    <row r="9" spans="1:17" ht="18" customHeight="1">
      <c r="A9" s="276" t="s">
        <v>325</v>
      </c>
      <c r="B9" s="101">
        <f>[4]Revenue!$H$24</f>
        <v>177591.06</v>
      </c>
      <c r="C9" s="297">
        <f t="shared" si="0"/>
        <v>2.3340840288419304E-2</v>
      </c>
    </row>
    <row r="10" spans="1:17" ht="18" customHeight="1">
      <c r="A10" s="276" t="s">
        <v>208</v>
      </c>
      <c r="B10" s="101">
        <f>[4]Revenue!$I$24</f>
        <v>447870.59000000008</v>
      </c>
      <c r="C10" s="297">
        <f t="shared" si="0"/>
        <v>5.886375086150241E-2</v>
      </c>
    </row>
    <row r="11" spans="1:17" ht="18" customHeight="1">
      <c r="A11" s="276" t="s">
        <v>209</v>
      </c>
      <c r="B11" s="101">
        <f>[4]Revenue!$J$24+[4]Revenue!$L$24</f>
        <v>191724.72</v>
      </c>
      <c r="C11" s="297">
        <f t="shared" si="0"/>
        <v>2.5198430984430809E-2</v>
      </c>
    </row>
    <row r="12" spans="1:17" ht="18" customHeight="1">
      <c r="A12" s="276" t="s">
        <v>210</v>
      </c>
      <c r="B12" s="101">
        <f>[4]Revenue!$K$24</f>
        <v>230828.30000000002</v>
      </c>
      <c r="C12" s="297">
        <f t="shared" si="0"/>
        <v>3.0337824912736816E-2</v>
      </c>
    </row>
    <row r="13" spans="1:17" ht="6" customHeight="1">
      <c r="A13" s="276"/>
      <c r="B13" s="101"/>
      <c r="C13" s="297"/>
    </row>
    <row r="14" spans="1:17" ht="23.1" customHeight="1">
      <c r="A14" s="298" t="s">
        <v>52</v>
      </c>
      <c r="B14" s="154">
        <f>SUM(B3:B13)</f>
        <v>7608597.5399999991</v>
      </c>
      <c r="C14" s="299">
        <f>SUM(C3:C13)</f>
        <v>1.0000000000000002</v>
      </c>
      <c r="E14"/>
    </row>
    <row r="15" spans="1:17" s="2" customFormat="1" ht="24.95" customHeight="1" thickBot="1">
      <c r="A15" s="472" t="s">
        <v>75</v>
      </c>
      <c r="B15" s="470"/>
      <c r="C15" s="301" t="s">
        <v>74</v>
      </c>
      <c r="D15" s="10"/>
      <c r="E15" s="10"/>
      <c r="F15" s="10"/>
      <c r="G15" s="10"/>
      <c r="H15" s="10"/>
      <c r="I15" s="10"/>
      <c r="J15" s="10"/>
      <c r="K15" s="10"/>
      <c r="L15" s="10"/>
      <c r="M15" s="10"/>
      <c r="N15" s="10"/>
      <c r="O15" s="10"/>
      <c r="P15" s="10"/>
      <c r="Q15" s="10"/>
    </row>
    <row r="16" spans="1:17" ht="27" customHeight="1" thickTop="1"/>
    <row r="17" spans="1:17" s="35" customFormat="1">
      <c r="A17" s="487"/>
      <c r="B17" s="487"/>
      <c r="C17" s="124"/>
      <c r="D17" s="124"/>
      <c r="E17" s="124"/>
      <c r="F17" s="124"/>
      <c r="G17" s="124"/>
      <c r="H17" s="124"/>
      <c r="I17" s="124"/>
      <c r="J17" s="124"/>
      <c r="K17" s="124"/>
      <c r="L17" s="124"/>
      <c r="M17" s="124"/>
      <c r="N17" s="124"/>
      <c r="O17" s="124"/>
      <c r="P17" s="124"/>
      <c r="Q17" s="124"/>
    </row>
    <row r="18" spans="1:17" s="35" customFormat="1">
      <c r="A18" s="125"/>
      <c r="B18" s="125"/>
      <c r="C18" s="126"/>
      <c r="D18" s="124"/>
      <c r="E18" s="124"/>
      <c r="F18" s="124"/>
      <c r="G18" s="124"/>
      <c r="H18" s="124"/>
      <c r="I18" s="124"/>
      <c r="J18" s="124"/>
      <c r="K18" s="124"/>
      <c r="L18" s="124"/>
      <c r="M18" s="124"/>
      <c r="N18" s="124"/>
      <c r="O18" s="124"/>
      <c r="P18" s="124"/>
      <c r="Q18" s="124"/>
    </row>
    <row r="19" spans="1:17">
      <c r="A19" s="10"/>
      <c r="B19" s="10"/>
      <c r="C19" s="10"/>
    </row>
    <row r="20" spans="1:17">
      <c r="A20" s="10"/>
      <c r="B20" s="10"/>
      <c r="C20" s="10"/>
    </row>
    <row r="21" spans="1:17">
      <c r="B21" s="79"/>
    </row>
  </sheetData>
  <mergeCells count="3">
    <mergeCell ref="A1:C1"/>
    <mergeCell ref="A15:B15"/>
    <mergeCell ref="A17:B17"/>
  </mergeCells>
  <phoneticPr fontId="4" type="noConversion"/>
  <printOptions horizontalCentered="1"/>
  <pageMargins left="0.75" right="0.75" top="2" bottom="0.5" header="0.75" footer="0.5"/>
  <pageSetup orientation="landscape" cellComments="asDisplayed" horizontalDpi="4294967292" verticalDpi="4294967292"/>
  <headerFooter>
    <oddHeader xml:space="preserve">&amp;C&amp;10&amp;K0E0D0ABardstown Water Utility
Cost of Service/Rate Study
Distribution Factors
Water - &amp;A
</oddHeader>
    <oddFooter xml:space="preserve">&amp;L&amp;"Avenir Book Oblique,Italic"&amp;9&amp;K817842SRE; cla
&amp;D
</oddFooter>
  </headerFooter>
  <legacyDrawing r:id="rId1"/>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8" tint="0.79998168889431442"/>
  </sheetPr>
  <dimension ref="A1:E34"/>
  <sheetViews>
    <sheetView zoomScale="150" zoomScaleNormal="150" workbookViewId="0">
      <selection activeCell="C16" sqref="C16"/>
    </sheetView>
  </sheetViews>
  <sheetFormatPr defaultColWidth="10.6640625" defaultRowHeight="12"/>
  <cols>
    <col min="1" max="1" width="12.33203125" style="1" customWidth="1"/>
    <col min="2" max="6" width="15.109375" style="1" customWidth="1"/>
    <col min="7" max="16384" width="10.6640625" style="1"/>
  </cols>
  <sheetData>
    <row r="1" spans="1:4" s="2" customFormat="1" ht="18" customHeight="1" thickTop="1">
      <c r="A1" s="467" t="s">
        <v>92</v>
      </c>
      <c r="B1" s="468"/>
      <c r="C1" s="468"/>
      <c r="D1" s="469"/>
    </row>
    <row r="2" spans="1:4" s="4" customFormat="1">
      <c r="A2" s="254" t="s">
        <v>91</v>
      </c>
      <c r="B2" s="165" t="s">
        <v>90</v>
      </c>
      <c r="C2" s="165" t="s">
        <v>89</v>
      </c>
      <c r="D2" s="255" t="s">
        <v>88</v>
      </c>
    </row>
    <row r="3" spans="1:4" ht="15" customHeight="1">
      <c r="A3" s="269">
        <v>2</v>
      </c>
      <c r="B3" s="68">
        <v>92174</v>
      </c>
      <c r="C3" s="80">
        <v>32</v>
      </c>
      <c r="D3" s="270">
        <f t="shared" ref="D3:D13" si="0">B3*C3</f>
        <v>2949568</v>
      </c>
    </row>
    <row r="4" spans="1:4" ht="15" customHeight="1">
      <c r="A4" s="271">
        <v>3</v>
      </c>
      <c r="B4" s="63">
        <v>21511</v>
      </c>
      <c r="C4" s="272">
        <v>37</v>
      </c>
      <c r="D4" s="273">
        <f t="shared" si="0"/>
        <v>795907</v>
      </c>
    </row>
    <row r="5" spans="1:4" ht="15" customHeight="1">
      <c r="A5" s="271">
        <v>4</v>
      </c>
      <c r="B5" s="63">
        <v>420136</v>
      </c>
      <c r="C5" s="272">
        <v>60</v>
      </c>
      <c r="D5" s="273">
        <f t="shared" si="0"/>
        <v>25208160</v>
      </c>
    </row>
    <row r="6" spans="1:4" ht="15" customHeight="1">
      <c r="A6" s="271">
        <v>6</v>
      </c>
      <c r="B6" s="63">
        <v>739612</v>
      </c>
      <c r="C6" s="272">
        <v>75</v>
      </c>
      <c r="D6" s="273">
        <f t="shared" si="0"/>
        <v>55470900</v>
      </c>
    </row>
    <row r="7" spans="1:4" ht="15" customHeight="1">
      <c r="A7" s="271">
        <v>8</v>
      </c>
      <c r="B7" s="63">
        <v>410078</v>
      </c>
      <c r="C7" s="272">
        <v>82</v>
      </c>
      <c r="D7" s="273">
        <f t="shared" si="0"/>
        <v>33626396</v>
      </c>
    </row>
    <row r="8" spans="1:4" ht="15" customHeight="1">
      <c r="A8" s="271">
        <v>10</v>
      </c>
      <c r="B8" s="63">
        <v>21224</v>
      </c>
      <c r="C8" s="272">
        <v>90</v>
      </c>
      <c r="D8" s="273">
        <f t="shared" si="0"/>
        <v>1910160</v>
      </c>
    </row>
    <row r="9" spans="1:4" ht="15" customHeight="1">
      <c r="A9" s="271">
        <v>12</v>
      </c>
      <c r="B9" s="63">
        <v>91535</v>
      </c>
      <c r="C9" s="272">
        <v>130</v>
      </c>
      <c r="D9" s="273">
        <f t="shared" si="0"/>
        <v>11899550</v>
      </c>
    </row>
    <row r="10" spans="1:4" s="2" customFormat="1" ht="15" customHeight="1">
      <c r="A10" s="271">
        <v>16</v>
      </c>
      <c r="B10" s="63">
        <v>117597</v>
      </c>
      <c r="C10" s="272">
        <v>143</v>
      </c>
      <c r="D10" s="273">
        <f t="shared" si="0"/>
        <v>16816371</v>
      </c>
    </row>
    <row r="11" spans="1:4" s="2" customFormat="1" ht="15" customHeight="1">
      <c r="A11" s="271">
        <v>18</v>
      </c>
      <c r="B11" s="63">
        <v>247</v>
      </c>
      <c r="C11" s="272">
        <v>148</v>
      </c>
      <c r="D11" s="273">
        <f t="shared" si="0"/>
        <v>36556</v>
      </c>
    </row>
    <row r="12" spans="1:4" ht="15" customHeight="1">
      <c r="A12" s="271">
        <v>20</v>
      </c>
      <c r="B12" s="63">
        <v>13036</v>
      </c>
      <c r="C12" s="272">
        <v>162</v>
      </c>
      <c r="D12" s="273">
        <f t="shared" si="0"/>
        <v>2111832</v>
      </c>
    </row>
    <row r="13" spans="1:4" ht="15" customHeight="1">
      <c r="A13" s="271">
        <v>24</v>
      </c>
      <c r="B13" s="63">
        <v>4272</v>
      </c>
      <c r="C13" s="272">
        <v>177</v>
      </c>
      <c r="D13" s="273">
        <f t="shared" si="0"/>
        <v>756144</v>
      </c>
    </row>
    <row r="14" spans="1:4" ht="15" customHeight="1">
      <c r="A14" s="274" t="s">
        <v>87</v>
      </c>
      <c r="B14" s="81">
        <f>SUM(B3:B13)</f>
        <v>1931422</v>
      </c>
      <c r="C14" s="57"/>
      <c r="D14" s="275">
        <f>SUM(D3:D13)</f>
        <v>151581544</v>
      </c>
    </row>
    <row r="15" spans="1:4" ht="3" customHeight="1">
      <c r="A15" s="276"/>
      <c r="D15" s="277"/>
    </row>
    <row r="16" spans="1:4" ht="15" customHeight="1">
      <c r="A16" s="276" t="s">
        <v>155</v>
      </c>
      <c r="C16" s="278">
        <f>B14*C3</f>
        <v>61805504</v>
      </c>
      <c r="D16" s="277"/>
    </row>
    <row r="17" spans="1:5" ht="15" customHeight="1">
      <c r="A17" s="271" t="s">
        <v>81</v>
      </c>
      <c r="B17" s="13">
        <f>D14</f>
        <v>151581544</v>
      </c>
      <c r="C17" s="6" t="s">
        <v>82</v>
      </c>
      <c r="D17" s="279">
        <f>+C16/B17</f>
        <v>0.40773765967181336</v>
      </c>
    </row>
    <row r="18" spans="1:5" ht="15" customHeight="1">
      <c r="A18" s="276"/>
      <c r="C18" s="488" t="s">
        <v>86</v>
      </c>
      <c r="D18" s="489"/>
    </row>
    <row r="19" spans="1:5" ht="3" customHeight="1">
      <c r="A19" s="280"/>
      <c r="B19" s="82"/>
      <c r="C19" s="82"/>
      <c r="D19" s="281"/>
    </row>
    <row r="20" spans="1:5" ht="15" customHeight="1">
      <c r="A20" s="276" t="s">
        <v>85</v>
      </c>
      <c r="D20" s="273">
        <f>D3+D4+D5+D6</f>
        <v>84424535</v>
      </c>
    </row>
    <row r="21" spans="1:5" ht="15" customHeight="1">
      <c r="A21" s="276" t="s">
        <v>298</v>
      </c>
      <c r="D21" s="277"/>
    </row>
    <row r="22" spans="1:5" ht="15" customHeight="1">
      <c r="A22" s="282" t="s">
        <v>83</v>
      </c>
      <c r="B22" s="63">
        <f>B7</f>
        <v>410078</v>
      </c>
      <c r="C22" s="63">
        <f>B8</f>
        <v>21224</v>
      </c>
      <c r="D22" s="283">
        <f>B9</f>
        <v>91535</v>
      </c>
    </row>
    <row r="23" spans="1:5" ht="15" customHeight="1">
      <c r="A23" s="284">
        <f>B10</f>
        <v>117597</v>
      </c>
      <c r="B23" s="63">
        <f>B11</f>
        <v>247</v>
      </c>
      <c r="C23" s="63">
        <f>B12</f>
        <v>13036</v>
      </c>
      <c r="D23" s="283">
        <f>B13</f>
        <v>4272</v>
      </c>
    </row>
    <row r="24" spans="1:5" ht="15" customHeight="1">
      <c r="A24" s="276"/>
      <c r="C24" s="285" t="s">
        <v>84</v>
      </c>
      <c r="D24" s="286">
        <f>C6</f>
        <v>75</v>
      </c>
      <c r="E24" s="43"/>
    </row>
    <row r="25" spans="1:5" ht="15" customHeight="1">
      <c r="A25" s="282" t="s">
        <v>83</v>
      </c>
      <c r="B25" s="278">
        <f>-C16</f>
        <v>-61805504</v>
      </c>
      <c r="C25" s="287">
        <f>D20</f>
        <v>84424535</v>
      </c>
      <c r="D25" s="273">
        <f>(B22+C22+D22+A23+B23+C23+D23)*C6</f>
        <v>49349175</v>
      </c>
    </row>
    <row r="26" spans="1:5" ht="15" customHeight="1">
      <c r="A26" s="276"/>
      <c r="B26" s="6" t="s">
        <v>299</v>
      </c>
      <c r="C26" s="285" t="s">
        <v>82</v>
      </c>
      <c r="D26" s="288">
        <f>B25+C25+D25</f>
        <v>71968206</v>
      </c>
    </row>
    <row r="27" spans="1:5" ht="15" customHeight="1">
      <c r="A27" s="276"/>
      <c r="C27" s="285" t="s">
        <v>81</v>
      </c>
      <c r="D27" s="289">
        <f>D14</f>
        <v>151581544</v>
      </c>
    </row>
    <row r="28" spans="1:5" ht="15" customHeight="1">
      <c r="A28" s="276"/>
      <c r="D28" s="279">
        <f>ROUNDDOWN(D26/D27,1)</f>
        <v>0.4</v>
      </c>
    </row>
    <row r="29" spans="1:5" ht="15" customHeight="1">
      <c r="A29" s="276"/>
      <c r="C29" s="488" t="s">
        <v>80</v>
      </c>
      <c r="D29" s="489"/>
    </row>
    <row r="30" spans="1:5" ht="3" customHeight="1">
      <c r="A30" s="280"/>
      <c r="B30" s="82"/>
      <c r="C30" s="82"/>
      <c r="D30" s="281"/>
    </row>
    <row r="31" spans="1:5" ht="15" customHeight="1">
      <c r="A31" s="290">
        <v>1</v>
      </c>
      <c r="B31" s="6" t="s">
        <v>79</v>
      </c>
      <c r="C31" s="291">
        <f>D17</f>
        <v>0.40773765967181336</v>
      </c>
      <c r="D31" s="292">
        <f>D28</f>
        <v>0.4</v>
      </c>
    </row>
    <row r="32" spans="1:5" ht="15" customHeight="1">
      <c r="A32" s="276"/>
      <c r="D32" s="293">
        <f>1-(C31+D31)</f>
        <v>0.19226234032818668</v>
      </c>
    </row>
    <row r="33" spans="1:4" ht="15" customHeight="1" thickBot="1">
      <c r="A33" s="294"/>
      <c r="B33" s="295"/>
      <c r="C33" s="490" t="s">
        <v>78</v>
      </c>
      <c r="D33" s="491"/>
    </row>
    <row r="34" spans="1:4" ht="12.75" thickTop="1"/>
  </sheetData>
  <mergeCells count="4">
    <mergeCell ref="C18:D18"/>
    <mergeCell ref="C29:D29"/>
    <mergeCell ref="C33:D33"/>
    <mergeCell ref="A1:D1"/>
  </mergeCells>
  <phoneticPr fontId="4" type="noConversion"/>
  <printOptions horizontalCentered="1"/>
  <pageMargins left="0.25" right="0.25" top="1.5" bottom="0.5" header="0.5" footer="0.5"/>
  <pageSetup orientation="landscape" cellComments="asDisplayed" horizontalDpi="4294967292" verticalDpi="4294967292"/>
  <headerFooter>
    <oddHeader xml:space="preserve">&amp;C&amp;10&amp;K0A0A0ABardstown Water Utility
Cost of Service/Rate Study
Allocation Factors
Water - &amp;A
</oddHeader>
    <oddFooter>&amp;L&amp;"Avenir Book Oblique,Italic"&amp;9&amp;K6D6532SRE; cla
&amp;D</oddFooter>
  </headerFooter>
  <legacyDrawing r:id="rId1"/>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6097FD-884A-7A48-A79F-B026AFC56CDD}">
  <sheetPr>
    <tabColor theme="8" tint="0.79998168889431442"/>
  </sheetPr>
  <dimension ref="A1:N32"/>
  <sheetViews>
    <sheetView zoomScale="150" zoomScaleNormal="150" workbookViewId="0">
      <selection activeCell="J11" sqref="J11"/>
    </sheetView>
  </sheetViews>
  <sheetFormatPr defaultColWidth="10.6640625" defaultRowHeight="12"/>
  <cols>
    <col min="1" max="1" width="16.5546875" style="1" customWidth="1"/>
    <col min="2" max="11" width="7.5546875" style="1" customWidth="1"/>
    <col min="12" max="12" width="13.33203125" style="1" customWidth="1"/>
    <col min="13" max="16384" width="10.6640625" style="1"/>
  </cols>
  <sheetData>
    <row r="1" spans="1:14" s="2" customFormat="1" ht="12.75" thickTop="1">
      <c r="A1" s="492" t="s">
        <v>303</v>
      </c>
      <c r="B1" s="493"/>
      <c r="C1" s="493"/>
      <c r="D1" s="493"/>
      <c r="E1" s="493"/>
      <c r="F1" s="493"/>
      <c r="G1" s="493"/>
      <c r="H1" s="493"/>
      <c r="I1" s="493"/>
      <c r="J1" s="493"/>
      <c r="K1" s="493"/>
      <c r="L1" s="494"/>
    </row>
    <row r="2" spans="1:14" s="4" customFormat="1">
      <c r="A2" s="495" t="s">
        <v>304</v>
      </c>
      <c r="B2" s="496" t="s">
        <v>52</v>
      </c>
      <c r="C2" s="496" t="s">
        <v>305</v>
      </c>
      <c r="D2" s="496"/>
      <c r="E2" s="496" t="s">
        <v>306</v>
      </c>
      <c r="F2" s="496"/>
      <c r="G2" s="496" t="s">
        <v>307</v>
      </c>
      <c r="H2" s="498" t="s">
        <v>325</v>
      </c>
      <c r="I2" s="496" t="s">
        <v>308</v>
      </c>
      <c r="J2" s="496"/>
      <c r="K2" s="496"/>
      <c r="L2" s="497" t="s">
        <v>309</v>
      </c>
    </row>
    <row r="3" spans="1:14" s="4" customFormat="1" ht="24">
      <c r="A3" s="495"/>
      <c r="B3" s="496"/>
      <c r="C3" s="190" t="s">
        <v>310</v>
      </c>
      <c r="D3" s="190" t="s">
        <v>311</v>
      </c>
      <c r="E3" s="190" t="s">
        <v>310</v>
      </c>
      <c r="F3" s="190" t="s">
        <v>311</v>
      </c>
      <c r="G3" s="496"/>
      <c r="H3" s="499"/>
      <c r="I3" s="190" t="s">
        <v>317</v>
      </c>
      <c r="J3" s="190" t="s">
        <v>318</v>
      </c>
      <c r="K3" s="190" t="s">
        <v>319</v>
      </c>
      <c r="L3" s="497"/>
    </row>
    <row r="4" spans="1:14" s="2" customFormat="1">
      <c r="A4" s="258" t="s">
        <v>230</v>
      </c>
      <c r="B4" s="183">
        <f>ssplant!K21</f>
        <v>22601.9462332041</v>
      </c>
      <c r="C4" s="184">
        <f>B4*('COMM-1'!B3/'COMM-1'!B14)</f>
        <v>3217.479189867754</v>
      </c>
      <c r="D4" s="184">
        <f>B4*('COMM-1'!B4/'COMM-1'!B14)</f>
        <v>4942.2585911363321</v>
      </c>
      <c r="E4" s="184">
        <f>B4*('COMM-1'!B5/'COMM-1'!B14)</f>
        <v>2818.4849662790139</v>
      </c>
      <c r="F4" s="184">
        <f>B4*('COMM-1'!B6/'COMM-1'!B14)</f>
        <v>693.98279267464727</v>
      </c>
      <c r="G4" s="184">
        <f>B4*('COMM-1'!B7+'COMM-1'!B8)/'COMM-1'!B14</f>
        <v>4816.5978483700992</v>
      </c>
      <c r="H4" s="184">
        <f>B4*('COMM-1'!B9/'COMM-1'!B14)</f>
        <v>704.19557263889351</v>
      </c>
      <c r="I4" s="184">
        <f>B4*('COMM-1'!B10/'COMM-1'!B14)</f>
        <v>2784.606630947153</v>
      </c>
      <c r="J4" s="184">
        <f>B4*('COMM-1'!B11/'COMM-1'!B14)</f>
        <v>1188.9751833014675</v>
      </c>
      <c r="K4" s="184">
        <f>B4*('COMM-1'!B12/'COMM-1'!B14)</f>
        <v>1435.3654579887398</v>
      </c>
      <c r="L4" s="259" t="s">
        <v>324</v>
      </c>
    </row>
    <row r="5" spans="1:14" s="2" customFormat="1">
      <c r="A5" s="258" t="s">
        <v>103</v>
      </c>
      <c r="B5" s="183">
        <f>ssplant!K22</f>
        <v>868400</v>
      </c>
      <c r="C5" s="184"/>
      <c r="D5" s="184"/>
      <c r="E5" s="184"/>
      <c r="F5" s="184"/>
      <c r="G5" s="184">
        <f>B5</f>
        <v>868400</v>
      </c>
      <c r="H5" s="184"/>
      <c r="I5" s="184"/>
      <c r="J5" s="184"/>
      <c r="K5" s="184"/>
      <c r="L5" s="259" t="s">
        <v>320</v>
      </c>
    </row>
    <row r="6" spans="1:14" s="2" customFormat="1">
      <c r="A6" s="258" t="s">
        <v>104</v>
      </c>
      <c r="B6" s="183">
        <f>ssplant!K23</f>
        <v>7012330.5899999999</v>
      </c>
      <c r="C6" s="184">
        <f>B6*([1]DAs!$L$37/[1]DAs!$G$37)</f>
        <v>168093.66157217132</v>
      </c>
      <c r="D6" s="184">
        <f>B6*([1]DAs!$O$37/[1]DAs!$G$37)</f>
        <v>3797892.3451494453</v>
      </c>
      <c r="E6" s="184">
        <f>B6*([1]DAs!$N$37/[1]DAs!$G$37)</f>
        <v>232286.10936869038</v>
      </c>
      <c r="F6" s="184"/>
      <c r="G6" s="184">
        <f>B6*([1]DAs!$K$37/[1]DAs!$G$37)</f>
        <v>1540234.1524368306</v>
      </c>
      <c r="H6" s="184"/>
      <c r="I6" s="184"/>
      <c r="J6" s="184">
        <f>B6*([1]DAs!$M$37/[1]DAs!$G$37)</f>
        <v>1273824.3214728627</v>
      </c>
      <c r="K6" s="184"/>
      <c r="L6" s="259" t="s">
        <v>321</v>
      </c>
    </row>
    <row r="7" spans="1:14" s="2" customFormat="1">
      <c r="A7" s="258" t="s">
        <v>105</v>
      </c>
      <c r="B7" s="183">
        <f>ssplant!K24</f>
        <v>1665606.08</v>
      </c>
      <c r="C7" s="184"/>
      <c r="D7" s="184">
        <f>B7*([1]DAs!$O$39/[1]DAs!$G$39)</f>
        <v>407876.10525673343</v>
      </c>
      <c r="E7" s="184"/>
      <c r="F7" s="184"/>
      <c r="G7" s="184">
        <f>B7*([1]DAs!$K$39/[1]DAs!$G$39)</f>
        <v>1257729.9747432668</v>
      </c>
      <c r="H7" s="184"/>
      <c r="I7" s="184"/>
      <c r="J7" s="184"/>
      <c r="K7" s="184"/>
      <c r="L7" s="259" t="s">
        <v>322</v>
      </c>
    </row>
    <row r="8" spans="1:14" s="2" customFormat="1">
      <c r="A8" s="258" t="s">
        <v>95</v>
      </c>
      <c r="B8" s="183">
        <f>ssplant!K25</f>
        <v>787610.72</v>
      </c>
      <c r="C8" s="184">
        <f>B8*([1]DAs!$L$38/[1]DAs!$G$38)</f>
        <v>207505.06793107389</v>
      </c>
      <c r="D8" s="184"/>
      <c r="E8" s="184">
        <f>B8*([1]DAs!$N$38/[1]DAs!$G$38)</f>
        <v>207505.06793107389</v>
      </c>
      <c r="F8" s="184"/>
      <c r="G8" s="184">
        <f>B8*([1]DAs!$K$38/[1]DAs!$G$38)</f>
        <v>372600.58413785213</v>
      </c>
      <c r="H8" s="184"/>
      <c r="I8" s="184">
        <f>B8*([1]DAs!$M$38/[1]DAs!$G$38)</f>
        <v>0</v>
      </c>
      <c r="J8" s="184"/>
      <c r="K8" s="184"/>
      <c r="L8" s="259" t="s">
        <v>323</v>
      </c>
    </row>
    <row r="9" spans="1:14" s="2" customFormat="1">
      <c r="A9" s="258" t="s">
        <v>332</v>
      </c>
      <c r="B9" s="183">
        <f>ssplant!K59</f>
        <v>-259815</v>
      </c>
      <c r="C9" s="184"/>
      <c r="D9" s="184"/>
      <c r="E9" s="184">
        <v>-157996</v>
      </c>
      <c r="F9" s="184"/>
      <c r="G9" s="184">
        <f>B9-E9</f>
        <v>-101819</v>
      </c>
      <c r="H9" s="184"/>
      <c r="I9" s="184"/>
      <c r="J9" s="184"/>
      <c r="K9" s="184"/>
      <c r="L9" s="259"/>
    </row>
    <row r="10" spans="1:14" s="2" customFormat="1">
      <c r="A10" s="258" t="s">
        <v>332</v>
      </c>
      <c r="B10" s="183">
        <f>ssplant!K60</f>
        <v>-868400</v>
      </c>
      <c r="C10" s="184"/>
      <c r="D10" s="184"/>
      <c r="E10" s="184"/>
      <c r="F10" s="184"/>
      <c r="G10" s="184">
        <f>B10</f>
        <v>-868400</v>
      </c>
      <c r="H10" s="184"/>
      <c r="I10" s="184"/>
      <c r="J10" s="184"/>
      <c r="K10" s="184"/>
      <c r="L10" s="259"/>
    </row>
    <row r="11" spans="1:14" s="2" customFormat="1">
      <c r="A11" s="258" t="str">
        <f>[6]ssplant!B54</f>
        <v>accumulated depreciation</v>
      </c>
      <c r="B11" s="183">
        <f>'acc dep'!K51</f>
        <v>-4459672.1340447478</v>
      </c>
      <c r="C11" s="184">
        <f>-67423-166820</f>
        <v>-234243</v>
      </c>
      <c r="D11" s="184">
        <f>-639869-137863</f>
        <v>-777732</v>
      </c>
      <c r="E11" s="184">
        <f>-93170-166821</f>
        <v>-259991</v>
      </c>
      <c r="F11" s="184">
        <f>50%*-71694</f>
        <v>-35847</v>
      </c>
      <c r="G11" s="184">
        <f>-1501265-425120-299547-379146</f>
        <v>-2605078</v>
      </c>
      <c r="H11" s="184"/>
      <c r="I11" s="184">
        <f>[2]DAs!$M$41*-1</f>
        <v>0</v>
      </c>
      <c r="J11" s="184">
        <f>-510934-(50%*71694)</f>
        <v>-546781</v>
      </c>
      <c r="K11" s="184"/>
      <c r="L11" s="259" t="s">
        <v>326</v>
      </c>
    </row>
    <row r="12" spans="1:14" s="2" customFormat="1">
      <c r="A12" s="258" t="str">
        <f>[6]ssplant!B64</f>
        <v>materials &amp; supplies</v>
      </c>
      <c r="B12" s="183">
        <f>ssplant!K64</f>
        <v>47803.18046747992</v>
      </c>
      <c r="C12" s="184">
        <f>$B$12*25%</f>
        <v>11950.79511686998</v>
      </c>
      <c r="D12" s="184">
        <f t="shared" ref="D12:F12" si="0">$B$12*25%</f>
        <v>11950.79511686998</v>
      </c>
      <c r="E12" s="184">
        <f t="shared" si="0"/>
        <v>11950.79511686998</v>
      </c>
      <c r="F12" s="184">
        <f t="shared" si="0"/>
        <v>11950.79511686998</v>
      </c>
      <c r="G12" s="184"/>
      <c r="H12" s="184"/>
      <c r="I12" s="184"/>
      <c r="J12" s="184"/>
      <c r="K12" s="184"/>
      <c r="L12" s="260" t="s">
        <v>327</v>
      </c>
    </row>
    <row r="13" spans="1:14" s="2" customFormat="1">
      <c r="A13" s="267" t="str">
        <f>[6]ssplant!B66</f>
        <v>1/8 O&amp;M (working capital)</v>
      </c>
      <c r="B13" s="185">
        <f>ssplant!K66</f>
        <v>7502.1624530354293</v>
      </c>
      <c r="C13" s="186">
        <f t="shared" ref="C13:K13" si="1">$B$13*(C4/$B$4)</f>
        <v>1067.9634099911252</v>
      </c>
      <c r="D13" s="186">
        <f t="shared" si="1"/>
        <v>1640.4616864871891</v>
      </c>
      <c r="E13" s="186">
        <f t="shared" si="1"/>
        <v>935.52705020596466</v>
      </c>
      <c r="F13" s="186">
        <f t="shared" si="1"/>
        <v>230.35059001281161</v>
      </c>
      <c r="G13" s="186">
        <f t="shared" si="1"/>
        <v>1598.7516807879263</v>
      </c>
      <c r="H13" s="186">
        <f t="shared" si="1"/>
        <v>233.74047217598226</v>
      </c>
      <c r="I13" s="186">
        <f t="shared" si="1"/>
        <v>924.28196658902164</v>
      </c>
      <c r="J13" s="186">
        <f t="shared" si="1"/>
        <v>394.65119002235076</v>
      </c>
      <c r="K13" s="186">
        <f t="shared" si="1"/>
        <v>476.43440676305789</v>
      </c>
      <c r="L13" s="259" t="s">
        <v>324</v>
      </c>
    </row>
    <row r="14" spans="1:14" s="4" customFormat="1" ht="24.75" thickBot="1">
      <c r="A14" s="261" t="s">
        <v>312</v>
      </c>
      <c r="B14" s="262">
        <f>SUM(B4:B13)</f>
        <v>4823967.5451089721</v>
      </c>
      <c r="C14" s="262">
        <f>SUM(C4:C13)</f>
        <v>157591.96721997403</v>
      </c>
      <c r="D14" s="262">
        <f t="shared" ref="D14:K14" si="2">SUM(D4:D13)</f>
        <v>3446569.9658006723</v>
      </c>
      <c r="E14" s="262">
        <f t="shared" si="2"/>
        <v>37508.984433119193</v>
      </c>
      <c r="F14" s="262">
        <f t="shared" si="2"/>
        <v>-22971.871500442565</v>
      </c>
      <c r="G14" s="262">
        <f t="shared" si="2"/>
        <v>470083.06084710761</v>
      </c>
      <c r="H14" s="262">
        <f t="shared" si="2"/>
        <v>937.9360448148758</v>
      </c>
      <c r="I14" s="262">
        <f t="shared" si="2"/>
        <v>3708.8885975361745</v>
      </c>
      <c r="J14" s="262">
        <f t="shared" si="2"/>
        <v>728626.94784618646</v>
      </c>
      <c r="K14" s="262">
        <f t="shared" si="2"/>
        <v>1911.7998647517977</v>
      </c>
      <c r="L14" s="268"/>
      <c r="M14" s="187">
        <f>B14-ssplant!K69</f>
        <v>0</v>
      </c>
      <c r="N14" s="187"/>
    </row>
    <row r="15" spans="1:14" ht="12.75" thickTop="1"/>
    <row r="16" spans="1:14" customFormat="1" ht="15">
      <c r="A16" s="188" t="s">
        <v>313</v>
      </c>
      <c r="B16" s="189" t="s">
        <v>331</v>
      </c>
    </row>
    <row r="17" spans="1:2" customFormat="1" ht="15">
      <c r="A17" s="188" t="s">
        <v>314</v>
      </c>
      <c r="B17" s="189" t="s">
        <v>328</v>
      </c>
    </row>
    <row r="18" spans="1:2" customFormat="1" ht="15">
      <c r="A18" s="188" t="s">
        <v>315</v>
      </c>
      <c r="B18" s="189" t="s">
        <v>329</v>
      </c>
    </row>
    <row r="19" spans="1:2" customFormat="1" ht="15">
      <c r="A19" s="188" t="s">
        <v>316</v>
      </c>
      <c r="B19" s="189" t="s">
        <v>330</v>
      </c>
    </row>
    <row r="20" spans="1:2" customFormat="1" ht="15"/>
    <row r="21" spans="1:2" customFormat="1" ht="15"/>
    <row r="22" spans="1:2" customFormat="1" ht="15"/>
    <row r="23" spans="1:2" customFormat="1" ht="15"/>
    <row r="24" spans="1:2" customFormat="1" ht="15"/>
    <row r="25" spans="1:2" customFormat="1" ht="15"/>
    <row r="26" spans="1:2" customFormat="1" ht="15"/>
    <row r="27" spans="1:2" customFormat="1" ht="15"/>
    <row r="28" spans="1:2" customFormat="1" ht="15"/>
    <row r="29" spans="1:2" customFormat="1" ht="15"/>
    <row r="30" spans="1:2" customFormat="1" ht="15"/>
    <row r="31" spans="1:2" customFormat="1" ht="15"/>
    <row r="32" spans="1:2" customFormat="1" ht="15"/>
  </sheetData>
  <mergeCells count="9">
    <mergeCell ref="A1:L1"/>
    <mergeCell ref="A2:A3"/>
    <mergeCell ref="B2:B3"/>
    <mergeCell ref="C2:D2"/>
    <mergeCell ref="E2:F2"/>
    <mergeCell ref="G2:G3"/>
    <mergeCell ref="I2:K2"/>
    <mergeCell ref="L2:L3"/>
    <mergeCell ref="H2:H3"/>
  </mergeCells>
  <phoneticPr fontId="15" type="noConversion"/>
  <printOptions horizontalCentered="1"/>
  <pageMargins left="0.2" right="0.2" top="1.75" bottom="0.75" header="0.55000000000000004" footer="0.3"/>
  <pageSetup orientation="landscape" horizontalDpi="0" verticalDpi="0"/>
  <headerFooter>
    <oddHeader>&amp;C&amp;"Avenir Next Regular,Regular"&amp;10&amp;K000000City of Bardstown
Water Cost of Service Study July 2025
Direct Assignments for Rate Base</oddHead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9E404-F1C6-554A-B1A8-D329695BD297}">
  <sheetPr>
    <tabColor theme="8" tint="0.79998168889431442"/>
  </sheetPr>
  <dimension ref="A1:N34"/>
  <sheetViews>
    <sheetView zoomScale="150" zoomScaleNormal="150" workbookViewId="0">
      <selection activeCell="J14" sqref="J14"/>
    </sheetView>
  </sheetViews>
  <sheetFormatPr defaultColWidth="10.6640625" defaultRowHeight="12"/>
  <cols>
    <col min="1" max="1" width="16.5546875" style="1" customWidth="1"/>
    <col min="2" max="11" width="7.5546875" style="1" customWidth="1"/>
    <col min="12" max="12" width="13.33203125" style="1" customWidth="1"/>
    <col min="13" max="16384" width="10.6640625" style="1"/>
  </cols>
  <sheetData>
    <row r="1" spans="1:14" s="2" customFormat="1" ht="12.75" thickTop="1">
      <c r="A1" s="492" t="s">
        <v>411</v>
      </c>
      <c r="B1" s="493"/>
      <c r="C1" s="493"/>
      <c r="D1" s="493"/>
      <c r="E1" s="493"/>
      <c r="F1" s="493"/>
      <c r="G1" s="493"/>
      <c r="H1" s="493"/>
      <c r="I1" s="493"/>
      <c r="J1" s="493"/>
      <c r="K1" s="493"/>
      <c r="L1" s="494"/>
    </row>
    <row r="2" spans="1:14" s="4" customFormat="1">
      <c r="A2" s="495" t="s">
        <v>304</v>
      </c>
      <c r="B2" s="496" t="s">
        <v>52</v>
      </c>
      <c r="C2" s="496" t="s">
        <v>305</v>
      </c>
      <c r="D2" s="496"/>
      <c r="E2" s="496" t="s">
        <v>306</v>
      </c>
      <c r="F2" s="496"/>
      <c r="G2" s="496" t="s">
        <v>307</v>
      </c>
      <c r="H2" s="498" t="s">
        <v>325</v>
      </c>
      <c r="I2" s="496" t="s">
        <v>308</v>
      </c>
      <c r="J2" s="496"/>
      <c r="K2" s="496"/>
      <c r="L2" s="497" t="s">
        <v>309</v>
      </c>
    </row>
    <row r="3" spans="1:14" s="4" customFormat="1" ht="24">
      <c r="A3" s="495"/>
      <c r="B3" s="496"/>
      <c r="C3" s="190" t="s">
        <v>310</v>
      </c>
      <c r="D3" s="190" t="s">
        <v>311</v>
      </c>
      <c r="E3" s="190" t="s">
        <v>310</v>
      </c>
      <c r="F3" s="190" t="s">
        <v>311</v>
      </c>
      <c r="G3" s="496"/>
      <c r="H3" s="499"/>
      <c r="I3" s="190" t="s">
        <v>317</v>
      </c>
      <c r="J3" s="190" t="s">
        <v>318</v>
      </c>
      <c r="K3" s="190" t="s">
        <v>319</v>
      </c>
      <c r="L3" s="497"/>
    </row>
    <row r="4" spans="1:14" s="2" customFormat="1" ht="20.100000000000001" customHeight="1">
      <c r="A4" s="378"/>
      <c r="B4" s="183"/>
      <c r="C4" s="184"/>
      <c r="D4" s="184"/>
      <c r="E4" s="184"/>
      <c r="F4" s="184"/>
      <c r="G4" s="184"/>
      <c r="H4" s="184"/>
      <c r="I4" s="184"/>
      <c r="J4" s="184"/>
      <c r="K4" s="184"/>
      <c r="L4" s="259"/>
    </row>
    <row r="5" spans="1:14" s="2" customFormat="1" ht="20.100000000000001" customHeight="1">
      <c r="A5" s="378" t="s">
        <v>278</v>
      </c>
      <c r="B5" s="183">
        <v>36884</v>
      </c>
      <c r="C5" s="184"/>
      <c r="D5" s="184"/>
      <c r="E5" s="184"/>
      <c r="F5" s="184">
        <v>13237</v>
      </c>
      <c r="G5" s="184">
        <v>16165</v>
      </c>
      <c r="H5" s="184"/>
      <c r="I5" s="184">
        <v>7482</v>
      </c>
      <c r="J5" s="184"/>
      <c r="K5" s="184"/>
      <c r="L5" s="259" t="s">
        <v>379</v>
      </c>
    </row>
    <row r="6" spans="1:14" s="2" customFormat="1" ht="20.100000000000001" customHeight="1">
      <c r="A6" s="378" t="s">
        <v>378</v>
      </c>
      <c r="B6" s="183">
        <v>25914</v>
      </c>
      <c r="C6" s="184">
        <f>$B$6*('COMM-1'!B3/1050154100)</f>
        <v>4849.5178715199982</v>
      </c>
      <c r="D6" s="184">
        <f>$B$6*('COMM-1'!B4/1050154100)</f>
        <v>7449.1768086226584</v>
      </c>
      <c r="E6" s="184">
        <f>$B$6*('COMM-1'!B5/1050154100)</f>
        <v>4248.1372552847242</v>
      </c>
      <c r="F6" s="184">
        <f>$B$6*('COMM-1'!B6/1050154100)</f>
        <v>1045.9996031058681</v>
      </c>
      <c r="G6" s="184">
        <f>$B$6*(('COMM-1'!B7+'COMM-1'!B8)/1050154100)</f>
        <v>7259.7757334852095</v>
      </c>
      <c r="H6" s="184">
        <f>$B$6*('COMM-1'!B9/1050154100)</f>
        <v>1061.3927279815412</v>
      </c>
      <c r="I6" s="184"/>
      <c r="J6" s="184"/>
      <c r="K6" s="184"/>
      <c r="L6" s="259" t="s">
        <v>380</v>
      </c>
    </row>
    <row r="7" spans="1:14" s="2" customFormat="1" ht="20.100000000000001" customHeight="1">
      <c r="A7" s="378" t="s">
        <v>262</v>
      </c>
      <c r="B7" s="183">
        <v>9583</v>
      </c>
      <c r="C7" s="184">
        <f>$B$7*('COMM-1'!B3/1050154100)</f>
        <v>1793.3522328770605</v>
      </c>
      <c r="D7" s="184">
        <f>$B$7*('COMM-1'!B4/1050154100)</f>
        <v>2754.7063887099998</v>
      </c>
      <c r="E7" s="184">
        <f>$B$7*('COMM-1'!B5/1050154100)</f>
        <v>1570.9616160142591</v>
      </c>
      <c r="F7" s="184">
        <f>$B$7*('COMM-1'!B6/1050154100)</f>
        <v>386.81076624849635</v>
      </c>
      <c r="G7" s="184">
        <f>$B$7*(('COMM-1'!B7+'COMM-1'!B8)/1050154100)</f>
        <v>2684.6658506594413</v>
      </c>
      <c r="H7" s="184">
        <f>$B$7*('COMM-1'!B9/1050154100)</f>
        <v>392.50314549074278</v>
      </c>
      <c r="I7" s="184"/>
      <c r="J7" s="184"/>
      <c r="K7" s="184"/>
      <c r="L7" s="259" t="s">
        <v>380</v>
      </c>
    </row>
    <row r="8" spans="1:14" s="2" customFormat="1" ht="20.100000000000001" customHeight="1">
      <c r="A8" s="378" t="s">
        <v>261</v>
      </c>
      <c r="B8" s="183">
        <v>2381</v>
      </c>
      <c r="C8" s="184">
        <f>$B$8*('COMM-1'!B3/1050154100)</f>
        <v>445.57775920695826</v>
      </c>
      <c r="D8" s="184">
        <f>$B$8*('COMM-1'!B4/1050154100)</f>
        <v>684.4365972574883</v>
      </c>
      <c r="E8" s="184">
        <f>$B$8*('COMM-1'!B5/1050154100)</f>
        <v>390.32240506417105</v>
      </c>
      <c r="F8" s="184">
        <f>$B$8*('COMM-1'!B6/1050154100)</f>
        <v>96.107318630665731</v>
      </c>
      <c r="G8" s="184">
        <f>$B$8*(('COMM-1'!B7+'COMM-1'!B8)/1050154100)</f>
        <v>667.03426801837941</v>
      </c>
      <c r="H8" s="184">
        <f>$B$8*('COMM-1'!B9/1050154100)</f>
        <v>97.521651822337319</v>
      </c>
      <c r="I8" s="184"/>
      <c r="J8" s="184"/>
      <c r="K8" s="184"/>
      <c r="L8" s="259" t="s">
        <v>380</v>
      </c>
    </row>
    <row r="9" spans="1:14" s="2" customFormat="1" ht="20.100000000000001" customHeight="1">
      <c r="A9" s="378" t="s">
        <v>275</v>
      </c>
      <c r="B9" s="183">
        <v>30439</v>
      </c>
      <c r="C9" s="184">
        <f>$B$9*(C10/($C$10+$E$10+$G$10+$I$10))</f>
        <v>1888.9807985699094</v>
      </c>
      <c r="D9" s="184"/>
      <c r="E9" s="184">
        <f t="shared" ref="E9:I9" si="0">$B$9*(E10/($C$10+$E$10+$G$10+$I$10))</f>
        <v>2727.2248231649996</v>
      </c>
      <c r="F9" s="184"/>
      <c r="G9" s="184">
        <f t="shared" si="0"/>
        <v>23933.813579695183</v>
      </c>
      <c r="H9" s="184"/>
      <c r="I9" s="184">
        <f t="shared" si="0"/>
        <v>1888.9807985699094</v>
      </c>
      <c r="J9" s="184"/>
      <c r="K9" s="184"/>
      <c r="L9" s="259" t="s">
        <v>165</v>
      </c>
    </row>
    <row r="10" spans="1:14" s="2" customFormat="1" ht="20.100000000000001" customHeight="1">
      <c r="A10" s="381" t="s">
        <v>381</v>
      </c>
      <c r="B10" s="183">
        <f>'PF deprec'!K19</f>
        <v>64891.27</v>
      </c>
      <c r="C10" s="184">
        <v>4027</v>
      </c>
      <c r="E10" s="184">
        <v>5814</v>
      </c>
      <c r="F10" s="184"/>
      <c r="G10" s="184">
        <v>51023</v>
      </c>
      <c r="H10" s="184"/>
      <c r="I10" s="184">
        <v>4027</v>
      </c>
      <c r="J10" s="184"/>
      <c r="K10" s="184"/>
      <c r="L10" s="259" t="s">
        <v>396</v>
      </c>
    </row>
    <row r="11" spans="1:14" s="2" customFormat="1" ht="20.100000000000001" customHeight="1">
      <c r="A11" s="381" t="s">
        <v>382</v>
      </c>
      <c r="B11" s="183">
        <f>'PF deprec'!K20</f>
        <v>174354.87</v>
      </c>
      <c r="C11" s="184">
        <v>92</v>
      </c>
      <c r="D11" s="184">
        <v>65928.210000000006</v>
      </c>
      <c r="E11" s="184">
        <v>28843</v>
      </c>
      <c r="F11" s="184"/>
      <c r="G11" s="184">
        <v>61256.08</v>
      </c>
      <c r="H11" s="184"/>
      <c r="I11" s="184"/>
      <c r="J11" s="184">
        <v>18235</v>
      </c>
      <c r="K11" s="184"/>
      <c r="L11" s="259" t="s">
        <v>397</v>
      </c>
    </row>
    <row r="12" spans="1:14" s="2" customFormat="1" ht="20.100000000000001" customHeight="1">
      <c r="A12" s="381" t="s">
        <v>383</v>
      </c>
      <c r="B12" s="183">
        <f>'PF deprec'!K21</f>
        <v>98179</v>
      </c>
      <c r="C12" s="184">
        <v>6164</v>
      </c>
      <c r="D12" s="184"/>
      <c r="E12" s="184">
        <v>9246</v>
      </c>
      <c r="F12" s="184">
        <v>24474</v>
      </c>
      <c r="G12" s="184">
        <v>58296</v>
      </c>
      <c r="H12" s="184"/>
      <c r="I12" s="184"/>
      <c r="J12" s="184"/>
      <c r="K12" s="184"/>
      <c r="L12" s="259" t="s">
        <v>398</v>
      </c>
    </row>
    <row r="13" spans="1:14" s="2" customFormat="1" ht="20.100000000000001" customHeight="1">
      <c r="A13" s="381" t="s">
        <v>384</v>
      </c>
      <c r="B13" s="183">
        <f>'PF deprec'!K22</f>
        <v>20451</v>
      </c>
      <c r="C13" s="184">
        <v>14</v>
      </c>
      <c r="D13" s="184"/>
      <c r="E13" s="184">
        <v>14</v>
      </c>
      <c r="F13" s="184">
        <f>50%*3981</f>
        <v>1990.5</v>
      </c>
      <c r="G13" s="184">
        <v>10562</v>
      </c>
      <c r="H13" s="184"/>
      <c r="I13" s="184">
        <v>5881</v>
      </c>
      <c r="J13" s="184">
        <f>(50%*3981)</f>
        <v>1990.5</v>
      </c>
      <c r="K13" s="184"/>
      <c r="L13" s="259" t="s">
        <v>399</v>
      </c>
    </row>
    <row r="14" spans="1:14" s="2" customFormat="1" ht="20.100000000000001" customHeight="1">
      <c r="A14" s="378" t="s">
        <v>385</v>
      </c>
      <c r="B14" s="183">
        <f>'PF deprec'!K24+'PF deprec'!K26</f>
        <v>11376.29544710926</v>
      </c>
      <c r="C14" s="184">
        <f>$B$14*((C10+C11)/($B$10+$B$11))</f>
        <v>195.86088597560254</v>
      </c>
      <c r="D14" s="184">
        <f t="shared" ref="D14:K14" si="1">$B$14*((D10+D11)/($B$10+$B$11))</f>
        <v>3134.9253754274291</v>
      </c>
      <c r="E14" s="184">
        <f t="shared" si="1"/>
        <v>1647.9608461414075</v>
      </c>
      <c r="F14" s="184">
        <f t="shared" si="1"/>
        <v>0</v>
      </c>
      <c r="G14" s="184">
        <f t="shared" si="1"/>
        <v>5338.936655820723</v>
      </c>
      <c r="H14" s="184">
        <f t="shared" si="1"/>
        <v>0</v>
      </c>
      <c r="I14" s="184">
        <f t="shared" si="1"/>
        <v>191.48623156682484</v>
      </c>
      <c r="J14" s="184">
        <f t="shared" si="1"/>
        <v>867.08503417458417</v>
      </c>
      <c r="K14" s="184">
        <f t="shared" si="1"/>
        <v>0</v>
      </c>
      <c r="L14" s="260" t="s">
        <v>387</v>
      </c>
    </row>
    <row r="15" spans="1:14" s="2" customFormat="1" ht="20.100000000000001" customHeight="1">
      <c r="A15" s="379" t="s">
        <v>386</v>
      </c>
      <c r="B15" s="185">
        <f>'PF deprec'!K31</f>
        <v>24178.814969887713</v>
      </c>
      <c r="C15" s="184">
        <f>$B$15*((C10+C11)/($B$10+$B$11))</f>
        <v>416.27647100583312</v>
      </c>
      <c r="D15" s="184">
        <f t="shared" ref="D15:K15" si="2">$B$15*((D10+D11)/($B$10+$B$11))</f>
        <v>6662.8702594152664</v>
      </c>
      <c r="E15" s="184">
        <f t="shared" si="2"/>
        <v>3502.5233444159162</v>
      </c>
      <c r="F15" s="184">
        <f t="shared" si="2"/>
        <v>0</v>
      </c>
      <c r="G15" s="184">
        <f t="shared" si="2"/>
        <v>11347.205435829477</v>
      </c>
      <c r="H15" s="184">
        <f t="shared" si="2"/>
        <v>0</v>
      </c>
      <c r="I15" s="184">
        <f t="shared" si="2"/>
        <v>406.97872025746301</v>
      </c>
      <c r="J15" s="184">
        <f t="shared" si="2"/>
        <v>1842.8748358318444</v>
      </c>
      <c r="K15" s="184">
        <f t="shared" si="2"/>
        <v>0</v>
      </c>
      <c r="L15" s="259" t="s">
        <v>387</v>
      </c>
    </row>
    <row r="16" spans="1:14" s="4" customFormat="1" ht="24.75" thickBot="1">
      <c r="A16" s="261" t="s">
        <v>412</v>
      </c>
      <c r="B16" s="262">
        <f>SUM(B4:B15)</f>
        <v>498632.25041699701</v>
      </c>
      <c r="C16" s="262">
        <f>SUM(C4:C15)</f>
        <v>19886.566019155362</v>
      </c>
      <c r="D16" s="262">
        <f t="shared" ref="D16:K16" si="3">SUM(D4:D15)</f>
        <v>86614.325429432851</v>
      </c>
      <c r="E16" s="262">
        <f t="shared" si="3"/>
        <v>58004.130290085479</v>
      </c>
      <c r="F16" s="262">
        <f t="shared" si="3"/>
        <v>41230.417687985027</v>
      </c>
      <c r="G16" s="262">
        <f t="shared" si="3"/>
        <v>248533.51152350841</v>
      </c>
      <c r="H16" s="262">
        <f t="shared" si="3"/>
        <v>1551.4175252946213</v>
      </c>
      <c r="I16" s="262">
        <f t="shared" si="3"/>
        <v>19877.445750394196</v>
      </c>
      <c r="J16" s="262">
        <f t="shared" si="3"/>
        <v>22935.459870006427</v>
      </c>
      <c r="K16" s="262">
        <f t="shared" si="3"/>
        <v>0</v>
      </c>
      <c r="L16" s="268" t="s">
        <v>403</v>
      </c>
      <c r="M16" s="187"/>
      <c r="N16" s="187"/>
    </row>
    <row r="17" spans="1:12" ht="12.75" thickTop="1"/>
    <row r="18" spans="1:12" customFormat="1" ht="15">
      <c r="A18" s="188" t="s">
        <v>313</v>
      </c>
      <c r="B18" s="500" t="s">
        <v>400</v>
      </c>
      <c r="C18" s="500"/>
      <c r="D18" s="500"/>
      <c r="E18" s="500"/>
      <c r="F18" s="500"/>
      <c r="G18" s="500"/>
      <c r="H18" s="500"/>
      <c r="I18" s="500"/>
      <c r="J18" s="500"/>
      <c r="K18" s="500"/>
      <c r="L18" s="500"/>
    </row>
    <row r="19" spans="1:12" customFormat="1" ht="15">
      <c r="A19" s="188" t="s">
        <v>314</v>
      </c>
      <c r="B19" s="501" t="s">
        <v>401</v>
      </c>
      <c r="C19" s="501"/>
      <c r="D19" s="501"/>
      <c r="E19" s="501"/>
      <c r="F19" s="501"/>
      <c r="G19" s="501"/>
      <c r="H19" s="501"/>
      <c r="I19" s="501"/>
      <c r="J19" s="501"/>
      <c r="K19" s="501"/>
      <c r="L19" s="501"/>
    </row>
    <row r="20" spans="1:12" customFormat="1" ht="15">
      <c r="A20" s="188" t="s">
        <v>315</v>
      </c>
      <c r="B20" s="501" t="s">
        <v>402</v>
      </c>
      <c r="C20" s="501"/>
      <c r="D20" s="501"/>
      <c r="E20" s="501"/>
      <c r="F20" s="501"/>
      <c r="G20" s="501"/>
      <c r="H20" s="501"/>
      <c r="I20" s="501"/>
      <c r="J20" s="501"/>
      <c r="K20" s="501"/>
      <c r="L20" s="501"/>
    </row>
    <row r="21" spans="1:12" customFormat="1" ht="15">
      <c r="A21" s="188" t="s">
        <v>316</v>
      </c>
      <c r="B21" s="501" t="s">
        <v>431</v>
      </c>
      <c r="C21" s="501"/>
      <c r="D21" s="501"/>
      <c r="E21" s="501"/>
      <c r="F21" s="501"/>
      <c r="G21" s="501"/>
      <c r="H21" s="501"/>
      <c r="I21" s="501"/>
      <c r="J21" s="501"/>
      <c r="K21" s="501"/>
      <c r="L21" s="501"/>
    </row>
    <row r="22" spans="1:12" customFormat="1" ht="15"/>
    <row r="23" spans="1:12" customFormat="1" ht="15"/>
    <row r="24" spans="1:12" customFormat="1" ht="15"/>
    <row r="25" spans="1:12" customFormat="1" ht="15"/>
    <row r="26" spans="1:12" customFormat="1" ht="15"/>
    <row r="27" spans="1:12" customFormat="1" ht="15"/>
    <row r="28" spans="1:12" customFormat="1" ht="15"/>
    <row r="29" spans="1:12" customFormat="1" ht="15"/>
    <row r="30" spans="1:12" customFormat="1" ht="15"/>
    <row r="31" spans="1:12" customFormat="1" ht="15"/>
    <row r="32" spans="1:12" customFormat="1" ht="15"/>
    <row r="33" customFormat="1" ht="15"/>
    <row r="34" customFormat="1" ht="15"/>
  </sheetData>
  <mergeCells count="13">
    <mergeCell ref="B18:L18"/>
    <mergeCell ref="B19:L19"/>
    <mergeCell ref="B20:L20"/>
    <mergeCell ref="B21:L21"/>
    <mergeCell ref="A1:L1"/>
    <mergeCell ref="A2:A3"/>
    <mergeCell ref="B2:B3"/>
    <mergeCell ref="C2:D2"/>
    <mergeCell ref="E2:F2"/>
    <mergeCell ref="G2:G3"/>
    <mergeCell ref="H2:H3"/>
    <mergeCell ref="I2:K2"/>
    <mergeCell ref="L2:L3"/>
  </mergeCells>
  <phoneticPr fontId="15" type="noConversion"/>
  <printOptions horizontalCentered="1"/>
  <pageMargins left="0.2" right="0.2" top="1.75" bottom="0.75" header="0.55000000000000004" footer="0.3"/>
  <pageSetup orientation="landscape" cellComments="asDisplayed" horizontalDpi="0" verticalDpi="0"/>
  <headerFooter>
    <oddHeader>&amp;C&amp;"Avenir Next Regular,Regular"&amp;10&amp;K000000City of Bardstown
Water Cost of Service Study July 2025
Direct Assignments for Pro Forma Expenses</oddHeader>
  </headerFooter>
  <legacy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253FA0-BA97-FB4E-AC65-97142D535B7B}">
  <sheetPr>
    <tabColor theme="8" tint="0.79998168889431442"/>
  </sheetPr>
  <dimension ref="A1:L15"/>
  <sheetViews>
    <sheetView zoomScale="150" zoomScaleNormal="150" workbookViewId="0">
      <selection activeCell="L13" sqref="L13"/>
    </sheetView>
  </sheetViews>
  <sheetFormatPr defaultColWidth="10.6640625" defaultRowHeight="12"/>
  <cols>
    <col min="1" max="1" width="13.88671875" style="1" customWidth="1"/>
    <col min="2" max="2" width="8.109375" style="1" customWidth="1"/>
    <col min="3" max="11" width="7.5546875" style="1" customWidth="1"/>
    <col min="12" max="12" width="11.6640625" style="1" customWidth="1"/>
    <col min="13" max="16384" width="10.6640625" style="1"/>
  </cols>
  <sheetData>
    <row r="1" spans="1:12" s="2" customFormat="1" ht="12.75" thickTop="1">
      <c r="A1" s="474" t="s">
        <v>354</v>
      </c>
      <c r="B1" s="475"/>
      <c r="C1" s="475"/>
      <c r="D1" s="475"/>
      <c r="E1" s="475"/>
      <c r="F1" s="475"/>
      <c r="G1" s="475"/>
      <c r="H1" s="475"/>
      <c r="I1" s="475"/>
      <c r="J1" s="475"/>
      <c r="K1" s="475"/>
      <c r="L1" s="476"/>
    </row>
    <row r="2" spans="1:12" s="4" customFormat="1">
      <c r="A2" s="502" t="s">
        <v>304</v>
      </c>
      <c r="B2" s="503" t="s">
        <v>52</v>
      </c>
      <c r="C2" s="503" t="s">
        <v>305</v>
      </c>
      <c r="D2" s="503"/>
      <c r="E2" s="503" t="s">
        <v>306</v>
      </c>
      <c r="F2" s="503"/>
      <c r="G2" s="504" t="s">
        <v>307</v>
      </c>
      <c r="H2" s="507" t="s">
        <v>325</v>
      </c>
      <c r="I2" s="503" t="s">
        <v>308</v>
      </c>
      <c r="J2" s="503"/>
      <c r="K2" s="503"/>
      <c r="L2" s="506" t="s">
        <v>309</v>
      </c>
    </row>
    <row r="3" spans="1:12" s="4" customFormat="1" ht="24">
      <c r="A3" s="502"/>
      <c r="B3" s="503"/>
      <c r="C3" s="165" t="s">
        <v>310</v>
      </c>
      <c r="D3" s="165" t="s">
        <v>311</v>
      </c>
      <c r="E3" s="165" t="s">
        <v>310</v>
      </c>
      <c r="F3" s="165" t="s">
        <v>311</v>
      </c>
      <c r="G3" s="505"/>
      <c r="H3" s="508"/>
      <c r="I3" s="210" t="s">
        <v>317</v>
      </c>
      <c r="J3" s="210" t="s">
        <v>318</v>
      </c>
      <c r="K3" s="210" t="s">
        <v>319</v>
      </c>
      <c r="L3" s="506"/>
    </row>
    <row r="4" spans="1:12" s="2" customFormat="1" ht="27.95" customHeight="1">
      <c r="A4" s="256" t="s">
        <v>5</v>
      </c>
      <c r="B4" s="209">
        <f>ssplant!D69</f>
        <v>11887763.425882317</v>
      </c>
      <c r="C4" s="207">
        <f>B4*'COMM-1'!F3</f>
        <v>1692271.5876855331</v>
      </c>
      <c r="D4" s="207">
        <f>'COMM-1'!F4*B4</f>
        <v>2599439.9028633689</v>
      </c>
      <c r="E4" s="207">
        <f>'COMM-1'!F5*'rate base'!B4</f>
        <v>1482415.8129050203</v>
      </c>
      <c r="F4" s="207">
        <f>B4*'COMM-1'!F6</f>
        <v>365008.53403631068</v>
      </c>
      <c r="G4" s="207">
        <f>B4*('COMM-1'!C7+'COMM-1'!C8)</f>
        <v>2533347.1351648481</v>
      </c>
      <c r="H4" s="207">
        <f>B4*'COMM-1'!C9</f>
        <v>370380.06757076329</v>
      </c>
      <c r="I4" s="207">
        <f>B4*'COMM-1'!F10</f>
        <v>1464597.0980239001</v>
      </c>
      <c r="J4" s="207">
        <f>B4*'COMM-1'!F11</f>
        <v>625355.69072226784</v>
      </c>
      <c r="K4" s="207">
        <f>B4*'COMM-1'!F12</f>
        <v>754947.59691030532</v>
      </c>
      <c r="L4" s="257" t="s">
        <v>356</v>
      </c>
    </row>
    <row r="5" spans="1:12" s="2" customFormat="1" ht="27.95" customHeight="1">
      <c r="A5" s="258" t="s">
        <v>6</v>
      </c>
      <c r="B5" s="183">
        <f>ssplant!E69</f>
        <v>4078046.6399291707</v>
      </c>
      <c r="C5" s="184">
        <f>B5*'CAP-1'!F3</f>
        <v>827159.62685412227</v>
      </c>
      <c r="D5" s="184">
        <f>B5*'CAP-1'!F4</f>
        <v>1270571.3171151658</v>
      </c>
      <c r="E5" s="184">
        <f>B5*'CAP-1'!F5</f>
        <v>338139.63971962547</v>
      </c>
      <c r="F5" s="184">
        <f>B5*'CAP-1'!F6</f>
        <v>83258.5925751553</v>
      </c>
      <c r="G5" s="184">
        <f>B5*('CAP-1'!F7+'CAP-1'!F8)</f>
        <v>825510.70654123602</v>
      </c>
      <c r="H5" s="184">
        <f>B5*'CAP-1'!F9</f>
        <v>84483.841522360162</v>
      </c>
      <c r="I5" s="184">
        <f>B5*'CAP-1'!F10</f>
        <v>334075.18372980342</v>
      </c>
      <c r="J5" s="184">
        <f>B5*'CAP-1'!F11</f>
        <v>142643.88312416995</v>
      </c>
      <c r="K5" s="184">
        <f>B5*'CAP-1'!F12</f>
        <v>172203.84874753322</v>
      </c>
      <c r="L5" s="259" t="s">
        <v>357</v>
      </c>
    </row>
    <row r="6" spans="1:12" s="2" customFormat="1" ht="27.95" customHeight="1">
      <c r="A6" s="258" t="s">
        <v>7</v>
      </c>
      <c r="B6" s="183">
        <f>ssplant!F69</f>
        <v>-1286862.3518200428</v>
      </c>
      <c r="C6" s="184">
        <f>B6*'CUST-X'!C3</f>
        <v>-494811.61421231128</v>
      </c>
      <c r="D6" s="184">
        <f>B6*'CUST-X'!C4</f>
        <v>-616628.2776207882</v>
      </c>
      <c r="E6" s="184">
        <f>B6*'CUST-X'!C5</f>
        <v>-116083.51410763804</v>
      </c>
      <c r="F6" s="184">
        <f>B6*'CUST-X'!C6</f>
        <v>-50696.691146883764</v>
      </c>
      <c r="G6" s="184">
        <f>B6*('CUST-X'!C7+'CUST-X'!C8)</f>
        <v>-6524.2218304798398</v>
      </c>
      <c r="H6" s="184">
        <f>B6*'CUST-X'!C9</f>
        <v>-1811.8112775648056</v>
      </c>
      <c r="I6" s="184">
        <f>B6*'CUST-X'!C10</f>
        <v>-102.07387479238342</v>
      </c>
      <c r="J6" s="184">
        <f>B6*'CUST-X'!C11</f>
        <v>-102.07387479238342</v>
      </c>
      <c r="K6" s="184">
        <f>B6*'CUST-X'!C12</f>
        <v>-102.07387479238342</v>
      </c>
      <c r="L6" s="259" t="s">
        <v>358</v>
      </c>
    </row>
    <row r="7" spans="1:12" s="2" customFormat="1" ht="27.95" customHeight="1">
      <c r="A7" s="258" t="s">
        <v>8</v>
      </c>
      <c r="B7" s="183">
        <f>ssplant!G69</f>
        <v>24086.2775</v>
      </c>
      <c r="C7" s="184">
        <f>B7*'CUST-X'!F3</f>
        <v>8656.5744869838418</v>
      </c>
      <c r="D7" s="184">
        <f>B7*'CUST-X'!F4</f>
        <v>10787.718927136075</v>
      </c>
      <c r="E7" s="184">
        <f>B7*'CUST-X'!F5</f>
        <v>3046.2671784188465</v>
      </c>
      <c r="F7" s="184">
        <f>B7*'CUST-X'!F6</f>
        <v>1330.38414181698</v>
      </c>
      <c r="G7" s="184">
        <f>B7*('CUST-X'!F7+'CUST-X'!F8)</f>
        <v>228.27844223123574</v>
      </c>
      <c r="H7" s="184">
        <f>B7*'CUST-X'!F9</f>
        <v>31.69707183523677</v>
      </c>
      <c r="I7" s="184">
        <f>B7*'CUST-X'!F10</f>
        <v>1.785750525928832</v>
      </c>
      <c r="J7" s="184">
        <f>B7*'CUST-X'!F11</f>
        <v>1.785750525928832</v>
      </c>
      <c r="K7" s="184">
        <f>B7*'CUST-X'!F12</f>
        <v>1.785750525928832</v>
      </c>
      <c r="L7" s="259" t="s">
        <v>359</v>
      </c>
    </row>
    <row r="8" spans="1:12" s="2" customFormat="1" ht="27.95" customHeight="1">
      <c r="A8" s="258" t="s">
        <v>9</v>
      </c>
      <c r="B8" s="183">
        <f>ssplant!H69</f>
        <v>1028946.3537150898</v>
      </c>
      <c r="C8" s="184">
        <f>B8*'CUST-X'!I3</f>
        <v>320207.77500045736</v>
      </c>
      <c r="D8" s="184">
        <f>B8*'CUST-X'!I4</f>
        <v>399039.07488840068</v>
      </c>
      <c r="E8" s="184">
        <f>B8*'CUST-X'!I5</f>
        <v>187803.00774575141</v>
      </c>
      <c r="F8" s="184">
        <f>B8*'CUST-X'!I6</f>
        <v>82018.460186464305</v>
      </c>
      <c r="G8" s="184">
        <f>B8*('CUST-X'!I7+'CUST-X'!I8)</f>
        <v>33776.192731821815</v>
      </c>
      <c r="H8" s="184">
        <f>B8*'CUST-X'!I9</f>
        <v>2931.1966476035063</v>
      </c>
      <c r="I8" s="184">
        <f>B8*'CUST-X'!I10</f>
        <v>1056.8821715302784</v>
      </c>
      <c r="J8" s="184">
        <f>B8*'CUST-X'!I11</f>
        <v>1056.8821715302784</v>
      </c>
      <c r="K8" s="184">
        <f>B8*'CUST-X'!I12</f>
        <v>1056.8821715302784</v>
      </c>
      <c r="L8" s="259" t="s">
        <v>360</v>
      </c>
    </row>
    <row r="9" spans="1:12" s="2" customFormat="1" ht="27.95" customHeight="1">
      <c r="A9" s="258" t="s">
        <v>10</v>
      </c>
      <c r="B9" s="183">
        <f>ssplant!I69</f>
        <v>1846187.1159344965</v>
      </c>
      <c r="C9" s="184">
        <f>B9*'PFP-1'!F3</f>
        <v>422859.80628189561</v>
      </c>
      <c r="D9" s="184">
        <f>B9*'PFP-1'!F4</f>
        <v>526962.80065646418</v>
      </c>
      <c r="E9" s="184">
        <f>B9*'PFP-1'!F5</f>
        <v>595221.10085737181</v>
      </c>
      <c r="F9" s="184">
        <f>B9*'PFP-1'!F6</f>
        <v>259948.54261815312</v>
      </c>
      <c r="G9" s="184">
        <f>B9*('PFP-1'!F7+'PFP-1'!F8)</f>
        <v>33453.109427537493</v>
      </c>
      <c r="H9" s="184">
        <f>B9*'PFP-1'!F9</f>
        <v>7741.7560930741911</v>
      </c>
      <c r="I9" s="184">
        <f>B9*'PFP-1'!F10</f>
        <v>0</v>
      </c>
      <c r="J9" s="184">
        <f>B9*'PFP-1'!F11</f>
        <v>0</v>
      </c>
      <c r="K9" s="184">
        <f>B9*'PFP-1'!F12</f>
        <v>0</v>
      </c>
      <c r="L9" s="259" t="s">
        <v>361</v>
      </c>
    </row>
    <row r="10" spans="1:12" s="2" customFormat="1" ht="27.95" customHeight="1">
      <c r="A10" s="258" t="s">
        <v>21</v>
      </c>
      <c r="B10" s="183">
        <f>ssplant!J69</f>
        <v>0</v>
      </c>
      <c r="C10" s="208">
        <f>B10*'REV-1'!C3</f>
        <v>0</v>
      </c>
      <c r="D10" s="208">
        <f>B10*'REV-1'!C4</f>
        <v>0</v>
      </c>
      <c r="E10" s="208">
        <f>B10*'REV-1'!C5</f>
        <v>0</v>
      </c>
      <c r="F10" s="208">
        <f>B10*'REV-1'!C6</f>
        <v>0</v>
      </c>
      <c r="G10" s="208">
        <f>B10*('REV-1'!C7+'REV-1'!C8)</f>
        <v>0</v>
      </c>
      <c r="H10" s="208">
        <f>B10*'REV-1'!C9</f>
        <v>0</v>
      </c>
      <c r="I10" s="208">
        <f>B10*'REV-1'!C10</f>
        <v>0</v>
      </c>
      <c r="J10" s="208">
        <f>B10*'REV-1'!C11</f>
        <v>0</v>
      </c>
      <c r="K10" s="208">
        <f>B10*'REV-1'!C12</f>
        <v>0</v>
      </c>
      <c r="L10" s="259" t="s">
        <v>362</v>
      </c>
    </row>
    <row r="11" spans="1:12" s="2" customFormat="1" ht="27.95" customHeight="1">
      <c r="A11" s="258" t="s">
        <v>11</v>
      </c>
      <c r="B11" s="211">
        <f>ssplant!K69</f>
        <v>4823967.5451089721</v>
      </c>
      <c r="C11" s="208">
        <f>'DA rate base'!C14</f>
        <v>157591.96721997403</v>
      </c>
      <c r="D11" s="208">
        <f>'DA rate base'!D14</f>
        <v>3446569.9658006723</v>
      </c>
      <c r="E11" s="208">
        <f>'DA rate base'!E14</f>
        <v>37508.984433119193</v>
      </c>
      <c r="F11" s="208">
        <f>'DA rate base'!F14</f>
        <v>-22971.871500442565</v>
      </c>
      <c r="G11" s="208">
        <f>('DA rate base'!G14)</f>
        <v>470083.06084710761</v>
      </c>
      <c r="H11" s="208">
        <f>'DA rate base'!H14</f>
        <v>937.9360448148758</v>
      </c>
      <c r="I11" s="208">
        <f>'DA rate base'!I14</f>
        <v>3708.8885975361745</v>
      </c>
      <c r="J11" s="208">
        <f>'DA rate base'!J14</f>
        <v>728626.94784618646</v>
      </c>
      <c r="K11" s="208">
        <f>'DA rate base'!K14</f>
        <v>1911.7998647517977</v>
      </c>
      <c r="L11" s="260" t="s">
        <v>93</v>
      </c>
    </row>
    <row r="12" spans="1:12" s="4" customFormat="1" ht="12.75" thickBot="1">
      <c r="A12" s="265" t="s">
        <v>363</v>
      </c>
      <c r="B12" s="266">
        <f>ssplant!C69</f>
        <v>22402135.006250001</v>
      </c>
      <c r="C12" s="266">
        <f t="shared" ref="C12:K12" si="0">SUM(C4:C11)</f>
        <v>2933935.7233166546</v>
      </c>
      <c r="D12" s="266">
        <f t="shared" si="0"/>
        <v>7636742.50263042</v>
      </c>
      <c r="E12" s="266">
        <f t="shared" si="0"/>
        <v>2528051.2987316689</v>
      </c>
      <c r="F12" s="266">
        <f t="shared" si="0"/>
        <v>717895.95091057406</v>
      </c>
      <c r="G12" s="266">
        <f t="shared" si="0"/>
        <v>3889874.2613243023</v>
      </c>
      <c r="H12" s="266">
        <f t="shared" si="0"/>
        <v>464694.68367288652</v>
      </c>
      <c r="I12" s="266">
        <f t="shared" si="0"/>
        <v>1803337.7643985036</v>
      </c>
      <c r="J12" s="266">
        <f t="shared" si="0"/>
        <v>1497583.115739888</v>
      </c>
      <c r="K12" s="266">
        <f t="shared" si="0"/>
        <v>930019.83956985408</v>
      </c>
      <c r="L12" s="264" t="str">
        <f>IF(B12=SUM(C12:K12),"balance","rounding error")</f>
        <v>rounding error</v>
      </c>
    </row>
    <row r="13" spans="1:12" ht="12.75" thickTop="1">
      <c r="B13" s="14"/>
    </row>
    <row r="14" spans="1:12" customFormat="1" ht="15">
      <c r="C14" s="396">
        <f>B11-SUM(C11:K11)</f>
        <v>-0.13404474873095751</v>
      </c>
    </row>
    <row r="15" spans="1:12" customFormat="1" ht="15"/>
  </sheetData>
  <mergeCells count="9">
    <mergeCell ref="A1:L1"/>
    <mergeCell ref="A2:A3"/>
    <mergeCell ref="B2:B3"/>
    <mergeCell ref="C2:D2"/>
    <mergeCell ref="E2:F2"/>
    <mergeCell ref="G2:G3"/>
    <mergeCell ref="I2:K2"/>
    <mergeCell ref="L2:L3"/>
    <mergeCell ref="H2:H3"/>
  </mergeCells>
  <printOptions horizontalCentered="1"/>
  <pageMargins left="0.2" right="0.2" top="1.75" bottom="0.75" header="0.55000000000000004" footer="0.3"/>
  <pageSetup orientation="landscape" horizontalDpi="0" verticalDpi="0"/>
  <headerFooter>
    <oddHeader>&amp;C&amp;10&amp;K000000City of Bardstown
Water Cost of Service Study July 2025
Distribution of Rate Base</oddHead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5EB762-245E-6241-8AA0-8A6426BFDE8F}">
  <sheetPr>
    <tabColor theme="8" tint="0.79998168889431442"/>
  </sheetPr>
  <dimension ref="A1:L15"/>
  <sheetViews>
    <sheetView zoomScale="150" zoomScaleNormal="150" workbookViewId="0">
      <selection activeCell="J6" sqref="J6:J8"/>
    </sheetView>
  </sheetViews>
  <sheetFormatPr defaultColWidth="10.6640625" defaultRowHeight="12"/>
  <cols>
    <col min="1" max="1" width="13.88671875" style="1" customWidth="1"/>
    <col min="2" max="11" width="7.5546875" style="1" customWidth="1"/>
    <col min="12" max="12" width="8.109375" style="1" customWidth="1"/>
    <col min="13" max="16384" width="10.6640625" style="1"/>
  </cols>
  <sheetData>
    <row r="1" spans="1:12" s="2" customFormat="1" ht="12.75" thickTop="1">
      <c r="A1" s="474" t="s">
        <v>364</v>
      </c>
      <c r="B1" s="475"/>
      <c r="C1" s="475"/>
      <c r="D1" s="475"/>
      <c r="E1" s="475"/>
      <c r="F1" s="475"/>
      <c r="G1" s="475"/>
      <c r="H1" s="475"/>
      <c r="I1" s="475"/>
      <c r="J1" s="475"/>
      <c r="K1" s="475"/>
      <c r="L1" s="476"/>
    </row>
    <row r="2" spans="1:12" s="4" customFormat="1" ht="12.95" customHeight="1">
      <c r="A2" s="502" t="s">
        <v>365</v>
      </c>
      <c r="B2" s="503" t="s">
        <v>52</v>
      </c>
      <c r="C2" s="503" t="s">
        <v>305</v>
      </c>
      <c r="D2" s="503"/>
      <c r="E2" s="503" t="s">
        <v>306</v>
      </c>
      <c r="F2" s="503"/>
      <c r="G2" s="504" t="s">
        <v>307</v>
      </c>
      <c r="H2" s="507" t="s">
        <v>325</v>
      </c>
      <c r="I2" s="503" t="s">
        <v>308</v>
      </c>
      <c r="J2" s="503"/>
      <c r="K2" s="503"/>
      <c r="L2" s="506" t="s">
        <v>355</v>
      </c>
    </row>
    <row r="3" spans="1:12" s="4" customFormat="1" ht="24">
      <c r="A3" s="502"/>
      <c r="B3" s="503"/>
      <c r="C3" s="165" t="s">
        <v>310</v>
      </c>
      <c r="D3" s="165" t="s">
        <v>311</v>
      </c>
      <c r="E3" s="165" t="s">
        <v>310</v>
      </c>
      <c r="F3" s="165" t="s">
        <v>311</v>
      </c>
      <c r="G3" s="505"/>
      <c r="H3" s="508"/>
      <c r="I3" s="210" t="s">
        <v>317</v>
      </c>
      <c r="J3" s="210" t="s">
        <v>318</v>
      </c>
      <c r="K3" s="210" t="s">
        <v>319</v>
      </c>
      <c r="L3" s="506"/>
    </row>
    <row r="4" spans="1:12" s="2" customFormat="1" ht="24.95" customHeight="1">
      <c r="A4" s="256" t="s">
        <v>5</v>
      </c>
      <c r="B4" s="209">
        <f>PFexpenses!D68</f>
        <v>3973224.4901814247</v>
      </c>
      <c r="C4" s="207">
        <f>$B$4*'COMM-1'!F3</f>
        <v>565604.70421132387</v>
      </c>
      <c r="D4" s="207">
        <f>$B$4*'COMM-1'!F4</f>
        <v>868805.83948405739</v>
      </c>
      <c r="E4" s="207">
        <f>$B$4*'COMM-1'!F5</f>
        <v>495465.00897238997</v>
      </c>
      <c r="F4" s="207">
        <f>$B$4*'COMM-1'!F6</f>
        <v>121996.10596226603</v>
      </c>
      <c r="G4" s="207">
        <f>$B$4*('COMM-1'!F7+'COMM-1'!F8)</f>
        <v>846715.7798289425</v>
      </c>
      <c r="H4" s="207">
        <f>$B$4*'COMM-1'!F9</f>
        <v>123791.42336759485</v>
      </c>
      <c r="I4" s="207">
        <f>$B$4*'COMM-1'!F10</f>
        <v>489509.49389248143</v>
      </c>
      <c r="J4" s="207">
        <f>$B$4*'COMM-1'!F11</f>
        <v>209011.43944725001</v>
      </c>
      <c r="K4" s="207">
        <f>$B$4*'COMM-1'!F12</f>
        <v>252324.69501511878</v>
      </c>
      <c r="L4" s="257" t="s">
        <v>356</v>
      </c>
    </row>
    <row r="5" spans="1:12" s="2" customFormat="1" ht="24.95" customHeight="1">
      <c r="A5" s="258" t="s">
        <v>6</v>
      </c>
      <c r="B5" s="183">
        <f>PFexpenses!E68</f>
        <v>1568554.6100495539</v>
      </c>
      <c r="C5" s="184">
        <f>$B$5*'CAP-1'!F3</f>
        <v>318153.55745206407</v>
      </c>
      <c r="D5" s="184">
        <f>$B$5*'CAP-1'!F4</f>
        <v>488704.68457720772</v>
      </c>
      <c r="E5" s="184">
        <f>$B$5*'CAP-1'!F5</f>
        <v>130059.93740471928</v>
      </c>
      <c r="F5" s="184">
        <f>$B$5*'CAP-1'!F6</f>
        <v>32024.069546263367</v>
      </c>
      <c r="G5" s="184">
        <f>$B$5*('CAP-1'!F7+'CAP-1'!F8)</f>
        <v>317519.32695232978</v>
      </c>
      <c r="H5" s="184">
        <f>$B$5*'CAP-1'!F9</f>
        <v>32495.341715095139</v>
      </c>
      <c r="I5" s="184">
        <f>$B$5*'CAP-1'!F10</f>
        <v>128496.61021817941</v>
      </c>
      <c r="J5" s="184">
        <f>$B$5*'CAP-1'!F11</f>
        <v>54865.660014538887</v>
      </c>
      <c r="K5" s="184">
        <f>$B$5*'CAP-1'!F12</f>
        <v>66235.422169156634</v>
      </c>
      <c r="L5" s="259" t="s">
        <v>357</v>
      </c>
    </row>
    <row r="6" spans="1:12" s="2" customFormat="1" ht="24.95" customHeight="1">
      <c r="A6" s="258" t="s">
        <v>7</v>
      </c>
      <c r="B6" s="183">
        <f>PFexpenses!F68</f>
        <v>1313321.8821135228</v>
      </c>
      <c r="C6" s="390">
        <f>$B$6*'CUST-X'!C3</f>
        <v>504985.57172789122</v>
      </c>
      <c r="D6" s="390">
        <f>$B$6*'CUST-X'!C4</f>
        <v>629306.94101353409</v>
      </c>
      <c r="E6" s="390">
        <f>$B$6*'CUST-X'!C5</f>
        <v>118470.33912723749</v>
      </c>
      <c r="F6" s="390">
        <f>$B$6*'CUST-X'!C6</f>
        <v>51739.079739014836</v>
      </c>
      <c r="G6" s="390">
        <f>$B$6*('CUST-X'!C7+'CUST-X'!C8)</f>
        <v>6658.3681476215397</v>
      </c>
      <c r="H6" s="390">
        <f>$B$6*'CUST-X'!C9</f>
        <v>1849.0644269144561</v>
      </c>
      <c r="I6" s="390">
        <f>$B$6*'CUST-X'!C10</f>
        <v>104.17264376982853</v>
      </c>
      <c r="J6" s="390">
        <f>$B$6*'CUST-X'!C11</f>
        <v>104.17264376982853</v>
      </c>
      <c r="K6" s="390">
        <f>$B$6*'CUST-X'!C12</f>
        <v>104.17264376982853</v>
      </c>
      <c r="L6" s="259" t="s">
        <v>358</v>
      </c>
    </row>
    <row r="7" spans="1:12" s="2" customFormat="1" ht="24.95" customHeight="1">
      <c r="A7" s="258" t="s">
        <v>8</v>
      </c>
      <c r="B7" s="183">
        <f>PFexpenses!G68</f>
        <v>339402.68326400477</v>
      </c>
      <c r="C7" s="390">
        <f>$B$7*'CUST-X'!F3</f>
        <v>121980.85024790739</v>
      </c>
      <c r="D7" s="390">
        <f>$B$7*'CUST-X'!F4</f>
        <v>152011.06730452119</v>
      </c>
      <c r="E7" s="390">
        <f>$B$7*'CUST-X'!F5</f>
        <v>42925.323528902511</v>
      </c>
      <c r="F7" s="390">
        <f>$B$7*'CUST-X'!F6</f>
        <v>18746.605717905692</v>
      </c>
      <c r="G7" s="390">
        <f>$B$7*('CUST-X'!F7+'CUST-X'!F8)</f>
        <v>3216.699459873304</v>
      </c>
      <c r="H7" s="390">
        <f>$B$7*'CUST-X'!F9</f>
        <v>446.64731744003495</v>
      </c>
      <c r="I7" s="390">
        <f>$B$7*'CUST-X'!F10</f>
        <v>25.163229151551263</v>
      </c>
      <c r="J7" s="390">
        <f>$B$7*'CUST-X'!F11</f>
        <v>25.163229151551263</v>
      </c>
      <c r="K7" s="390">
        <f>$B$7*'CUST-X'!F12</f>
        <v>25.163229151551263</v>
      </c>
      <c r="L7" s="259" t="s">
        <v>359</v>
      </c>
    </row>
    <row r="8" spans="1:12" s="2" customFormat="1" ht="24.95" customHeight="1">
      <c r="A8" s="258" t="s">
        <v>9</v>
      </c>
      <c r="B8" s="183">
        <f>PFexpenses!H68</f>
        <v>455540.08156423678</v>
      </c>
      <c r="C8" s="390">
        <f>$B$8*'CUST-X'!I3</f>
        <v>141763.92716155259</v>
      </c>
      <c r="D8" s="390">
        <f>$B$8*'CUST-X'!I4</f>
        <v>176664.4996268806</v>
      </c>
      <c r="E8" s="390">
        <f>$B$8*'CUST-X'!I5</f>
        <v>83145.051399052289</v>
      </c>
      <c r="F8" s="390">
        <f>$B$8*'CUST-X'!I6</f>
        <v>36311.607411031851</v>
      </c>
      <c r="G8" s="390">
        <f>$B$8*('CUST-X'!I7+'CUST-X'!I8)</f>
        <v>14953.558595576607</v>
      </c>
      <c r="H8" s="390">
        <f>$B$8*'CUST-X'!I9</f>
        <v>1297.7134863338565</v>
      </c>
      <c r="I8" s="390">
        <f>$B$8*'CUST-X'!I10</f>
        <v>467.90796126967223</v>
      </c>
      <c r="J8" s="390">
        <f>$B$8*'CUST-X'!I11</f>
        <v>467.90796126967223</v>
      </c>
      <c r="K8" s="390">
        <f>$B$8*'CUST-X'!I12</f>
        <v>467.90796126967223</v>
      </c>
      <c r="L8" s="259" t="s">
        <v>360</v>
      </c>
    </row>
    <row r="9" spans="1:12" s="2" customFormat="1" ht="24.95" customHeight="1">
      <c r="A9" s="258" t="s">
        <v>10</v>
      </c>
      <c r="B9" s="183">
        <f>PFexpenses!I68</f>
        <v>384279.79105080396</v>
      </c>
      <c r="C9" s="184">
        <f>$B$9*'PFP-1'!F3</f>
        <v>88017.33941228292</v>
      </c>
      <c r="D9" s="184">
        <f>$B$9*'PFP-1'!F4</f>
        <v>109686.14891741957</v>
      </c>
      <c r="E9" s="184">
        <f>$B$9*'PFP-1'!F5</f>
        <v>123893.96410164084</v>
      </c>
      <c r="F9" s="184">
        <f>$B$9*'PFP-1'!F6</f>
        <v>54107.717890069565</v>
      </c>
      <c r="G9" s="184">
        <f>$B$9*('PFP-1'!F7+'PFP-1'!F8)</f>
        <v>6963.1912116918393</v>
      </c>
      <c r="H9" s="184">
        <f>$B$9*'PFP-1'!F9</f>
        <v>1611.4295176992193</v>
      </c>
      <c r="I9" s="184">
        <f>$B$9*'PFP-1'!F10</f>
        <v>0</v>
      </c>
      <c r="J9" s="184">
        <f>$B$9*'PFP-1'!F11</f>
        <v>0</v>
      </c>
      <c r="K9" s="184">
        <f>$B$9*'PFP-1'!F12</f>
        <v>0</v>
      </c>
      <c r="L9" s="259" t="s">
        <v>361</v>
      </c>
    </row>
    <row r="10" spans="1:12" s="2" customFormat="1" ht="24.95" customHeight="1">
      <c r="A10" s="258" t="s">
        <v>21</v>
      </c>
      <c r="B10" s="183">
        <f>PFexpenses!J68</f>
        <v>0</v>
      </c>
      <c r="C10" s="184">
        <f>$B$10*'REV-1'!C3</f>
        <v>0</v>
      </c>
      <c r="D10" s="184">
        <f>$B$10*'REV-1'!C4</f>
        <v>0</v>
      </c>
      <c r="E10" s="184">
        <f>$B$10*'REV-1'!C5</f>
        <v>0</v>
      </c>
      <c r="F10" s="184">
        <f>$B$10*'REV-1'!C6</f>
        <v>0</v>
      </c>
      <c r="G10" s="184">
        <f>$B$10*('REV-1'!C7+'REV-1'!C8)</f>
        <v>0</v>
      </c>
      <c r="H10" s="184">
        <f>$B$10*'REV-1'!C9</f>
        <v>0</v>
      </c>
      <c r="I10" s="184">
        <f>$B$10*'REV-1'!C10</f>
        <v>0</v>
      </c>
      <c r="J10" s="184">
        <f>$B$10*'REV-1'!C11</f>
        <v>0</v>
      </c>
      <c r="K10" s="184">
        <f>$B$10*'REV-1'!C12</f>
        <v>0</v>
      </c>
      <c r="L10" s="259" t="s">
        <v>362</v>
      </c>
    </row>
    <row r="11" spans="1:12" s="2" customFormat="1" ht="24.95" customHeight="1">
      <c r="A11" s="258" t="s">
        <v>11</v>
      </c>
      <c r="B11" s="183">
        <f>PFexpenses!K68</f>
        <v>498617.14177645225</v>
      </c>
      <c r="C11" s="184">
        <f>'DA expense'!C16</f>
        <v>19886.566019155362</v>
      </c>
      <c r="D11" s="184">
        <f>'DA expense'!D16</f>
        <v>86614.325429432851</v>
      </c>
      <c r="E11" s="184">
        <f>'DA expense'!E16</f>
        <v>58004.130290085479</v>
      </c>
      <c r="F11" s="184">
        <f>'DA expense'!F16</f>
        <v>41230.417687985027</v>
      </c>
      <c r="G11" s="184">
        <f>'DA expense'!G16</f>
        <v>248533.51152350841</v>
      </c>
      <c r="H11" s="184">
        <f>'DA expense'!H16</f>
        <v>1551.4175252946213</v>
      </c>
      <c r="I11" s="184">
        <f>'DA expense'!I16</f>
        <v>19877.445750394196</v>
      </c>
      <c r="J11" s="184">
        <f>'DA expense'!J16</f>
        <v>22935.459870006427</v>
      </c>
      <c r="K11" s="184">
        <f>'DA expense'!K16</f>
        <v>0</v>
      </c>
      <c r="L11" s="260" t="s">
        <v>366</v>
      </c>
    </row>
    <row r="12" spans="1:12" s="4" customFormat="1" ht="26.1" customHeight="1" thickBot="1">
      <c r="A12" s="261" t="s">
        <v>367</v>
      </c>
      <c r="B12" s="262">
        <f>PFexpenses!C68</f>
        <v>8532940.8000000007</v>
      </c>
      <c r="C12" s="263">
        <f t="shared" ref="C12:K12" si="0">SUM(C4:C11)</f>
        <v>1760392.5162321776</v>
      </c>
      <c r="D12" s="263">
        <f t="shared" si="0"/>
        <v>2511793.5063530533</v>
      </c>
      <c r="E12" s="263">
        <f t="shared" si="0"/>
        <v>1051963.7548240279</v>
      </c>
      <c r="F12" s="263">
        <f t="shared" si="0"/>
        <v>356155.60395453637</v>
      </c>
      <c r="G12" s="263">
        <f t="shared" si="0"/>
        <v>1444560.4357195441</v>
      </c>
      <c r="H12" s="263">
        <f t="shared" si="0"/>
        <v>163043.0373563722</v>
      </c>
      <c r="I12" s="263">
        <f t="shared" si="0"/>
        <v>638480.7936952461</v>
      </c>
      <c r="J12" s="263">
        <f t="shared" si="0"/>
        <v>287409.80316598638</v>
      </c>
      <c r="K12" s="263">
        <f t="shared" si="0"/>
        <v>319157.36101846647</v>
      </c>
      <c r="L12" s="264" t="str">
        <f>IF(B12=SUM(C12:J12),"balance","rounding error only")</f>
        <v>rounding error only</v>
      </c>
    </row>
    <row r="13" spans="1:12" ht="12.75" thickTop="1"/>
    <row r="15" spans="1:12">
      <c r="B15" s="14">
        <f>B11-SUM(C11:K11)</f>
        <v>-16.132319410156924</v>
      </c>
    </row>
  </sheetData>
  <mergeCells count="9">
    <mergeCell ref="A1:L1"/>
    <mergeCell ref="A2:A3"/>
    <mergeCell ref="B2:B3"/>
    <mergeCell ref="C2:D2"/>
    <mergeCell ref="E2:F2"/>
    <mergeCell ref="G2:G3"/>
    <mergeCell ref="L2:L3"/>
    <mergeCell ref="H2:H3"/>
    <mergeCell ref="I2:K2"/>
  </mergeCells>
  <printOptions horizontalCentered="1"/>
  <pageMargins left="0.2" right="0.2" top="1.75" bottom="0.75" header="0.55000000000000004" footer="0.3"/>
  <pageSetup orientation="landscape" horizontalDpi="0" verticalDpi="0"/>
  <headerFooter>
    <oddHeader>&amp;C&amp;10&amp;K000000City of Bardstown
Water Cost of Service Study July 2025
Distribution of Expenses</oddHeader>
  </headerFooter>
  <legacy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57667-D7B7-354D-921A-4123D631895D}">
  <sheetPr>
    <tabColor theme="8" tint="0.79998168889431442"/>
  </sheetPr>
  <dimension ref="A1:S16"/>
  <sheetViews>
    <sheetView zoomScale="150" zoomScaleNormal="150" workbookViewId="0">
      <selection activeCell="K12" sqref="K12"/>
    </sheetView>
  </sheetViews>
  <sheetFormatPr defaultColWidth="10.6640625" defaultRowHeight="12"/>
  <cols>
    <col min="1" max="1" width="3.109375" style="1" customWidth="1"/>
    <col min="2" max="2" width="15" style="1" customWidth="1"/>
    <col min="3" max="12" width="8.44140625" style="1" customWidth="1"/>
    <col min="13" max="15" width="10.6640625" style="1"/>
    <col min="16" max="16" width="14.5546875" style="1" bestFit="1" customWidth="1"/>
    <col min="17" max="16384" width="10.6640625" style="1"/>
  </cols>
  <sheetData>
    <row r="1" spans="1:19" s="4" customFormat="1" ht="15" customHeight="1" thickTop="1">
      <c r="A1" s="514" t="s">
        <v>334</v>
      </c>
      <c r="B1" s="512" t="s">
        <v>335</v>
      </c>
      <c r="C1" s="512" t="s">
        <v>52</v>
      </c>
      <c r="D1" s="512" t="s">
        <v>305</v>
      </c>
      <c r="E1" s="512"/>
      <c r="F1" s="512" t="s">
        <v>306</v>
      </c>
      <c r="G1" s="512"/>
      <c r="H1" s="510" t="s">
        <v>307</v>
      </c>
      <c r="I1" s="510" t="s">
        <v>325</v>
      </c>
      <c r="J1" s="512" t="s">
        <v>308</v>
      </c>
      <c r="K1" s="512"/>
      <c r="L1" s="513"/>
    </row>
    <row r="2" spans="1:19" s="4" customFormat="1" ht="24">
      <c r="A2" s="515"/>
      <c r="B2" s="516"/>
      <c r="C2" s="516"/>
      <c r="D2" s="192" t="s">
        <v>310</v>
      </c>
      <c r="E2" s="192" t="s">
        <v>311</v>
      </c>
      <c r="F2" s="192" t="s">
        <v>310</v>
      </c>
      <c r="G2" s="192" t="s">
        <v>311</v>
      </c>
      <c r="H2" s="511"/>
      <c r="I2" s="511"/>
      <c r="J2" s="210" t="s">
        <v>317</v>
      </c>
      <c r="K2" s="210" t="s">
        <v>318</v>
      </c>
      <c r="L2" s="212" t="s">
        <v>319</v>
      </c>
    </row>
    <row r="3" spans="1:19" s="196" customFormat="1" ht="27.95" customHeight="1">
      <c r="A3" s="213">
        <v>1</v>
      </c>
      <c r="B3" s="194" t="s">
        <v>336</v>
      </c>
      <c r="C3" s="195">
        <f>'REV-1'!B14</f>
        <v>7608597.5399999991</v>
      </c>
      <c r="D3" s="195">
        <f>'REV-1'!B3</f>
        <v>1458426.46</v>
      </c>
      <c r="E3" s="195">
        <f>'REV-1'!B4</f>
        <v>2646608.5</v>
      </c>
      <c r="F3" s="195">
        <f>'REV-1'!B5</f>
        <v>945806.08</v>
      </c>
      <c r="G3" s="195">
        <f>'REV-1'!B6</f>
        <v>304119.77999999997</v>
      </c>
      <c r="H3" s="195">
        <f>('REV-1'!B7+'REV-1'!B8)</f>
        <v>1205622.05</v>
      </c>
      <c r="I3" s="195">
        <f>'REV-1'!B9</f>
        <v>177591.06</v>
      </c>
      <c r="J3" s="195">
        <f>'REV-1'!B10</f>
        <v>447870.59000000008</v>
      </c>
      <c r="K3" s="195">
        <f>'REV-1'!B11</f>
        <v>191724.72</v>
      </c>
      <c r="L3" s="214">
        <f>'REV-1'!B12</f>
        <v>230828.30000000002</v>
      </c>
    </row>
    <row r="4" spans="1:19" s="196" customFormat="1" ht="27.95" customHeight="1">
      <c r="A4" s="215">
        <v>2</v>
      </c>
      <c r="B4" s="197" t="s">
        <v>337</v>
      </c>
      <c r="C4" s="198">
        <f>expenses!B12</f>
        <v>8532940.8000000007</v>
      </c>
      <c r="D4" s="198">
        <f>expenses!C12</f>
        <v>1760392.5162321776</v>
      </c>
      <c r="E4" s="198">
        <f>expenses!D12</f>
        <v>2511793.5063530533</v>
      </c>
      <c r="F4" s="198">
        <f>expenses!E12</f>
        <v>1051963.7548240279</v>
      </c>
      <c r="G4" s="198">
        <f>expenses!F12</f>
        <v>356155.60395453637</v>
      </c>
      <c r="H4" s="198">
        <f>expenses!G12</f>
        <v>1444560.4357195441</v>
      </c>
      <c r="I4" s="198">
        <f>expenses!H12</f>
        <v>163043.0373563722</v>
      </c>
      <c r="J4" s="198">
        <f>expenses!I12</f>
        <v>638480.7936952461</v>
      </c>
      <c r="K4" s="198">
        <f>expenses!J12</f>
        <v>287409.80316598638</v>
      </c>
      <c r="L4" s="216">
        <f>expenses!K12</f>
        <v>319157.36101846647</v>
      </c>
      <c r="N4" s="509"/>
      <c r="O4" s="509"/>
      <c r="P4" s="199"/>
      <c r="Q4" s="200"/>
    </row>
    <row r="5" spans="1:19" s="196" customFormat="1" ht="27.95" customHeight="1">
      <c r="A5" s="215">
        <v>3</v>
      </c>
      <c r="B5" s="197" t="s">
        <v>338</v>
      </c>
      <c r="C5" s="198">
        <f>C3-C4</f>
        <v>-924343.26000000164</v>
      </c>
      <c r="D5" s="198">
        <f t="shared" ref="D5:L5" si="0">D3-D4</f>
        <v>-301966.05623217765</v>
      </c>
      <c r="E5" s="198">
        <f t="shared" si="0"/>
        <v>134814.99364694674</v>
      </c>
      <c r="F5" s="198">
        <f t="shared" si="0"/>
        <v>-106157.67482402793</v>
      </c>
      <c r="G5" s="198">
        <f t="shared" si="0"/>
        <v>-52035.823954536405</v>
      </c>
      <c r="H5" s="198">
        <f t="shared" si="0"/>
        <v>-238938.38571954402</v>
      </c>
      <c r="I5" s="198">
        <f t="shared" si="0"/>
        <v>14548.022643627803</v>
      </c>
      <c r="J5" s="198">
        <f t="shared" si="0"/>
        <v>-190610.20369524602</v>
      </c>
      <c r="K5" s="198">
        <f t="shared" si="0"/>
        <v>-95685.083165986376</v>
      </c>
      <c r="L5" s="216">
        <f t="shared" si="0"/>
        <v>-88329.061018466455</v>
      </c>
      <c r="N5"/>
      <c r="O5"/>
      <c r="P5"/>
      <c r="Q5"/>
      <c r="R5"/>
      <c r="S5"/>
    </row>
    <row r="6" spans="1:19" s="196" customFormat="1" ht="27.95" customHeight="1">
      <c r="A6" s="215">
        <v>4</v>
      </c>
      <c r="B6" s="197" t="s">
        <v>339</v>
      </c>
      <c r="C6" s="198">
        <f>'rate base'!B12</f>
        <v>22402135.006250001</v>
      </c>
      <c r="D6" s="198">
        <f>'rate base'!C12</f>
        <v>2933935.7233166546</v>
      </c>
      <c r="E6" s="198">
        <f>'rate base'!D12</f>
        <v>7636742.50263042</v>
      </c>
      <c r="F6" s="198">
        <f>'rate base'!E12</f>
        <v>2528051.2987316689</v>
      </c>
      <c r="G6" s="198">
        <f>'rate base'!F12</f>
        <v>717895.95091057406</v>
      </c>
      <c r="H6" s="198">
        <f>'rate base'!G12</f>
        <v>3889874.2613243023</v>
      </c>
      <c r="I6" s="198">
        <f>'rate base'!H12</f>
        <v>464694.68367288652</v>
      </c>
      <c r="J6" s="198">
        <f>'rate base'!I12</f>
        <v>1803337.7643985036</v>
      </c>
      <c r="K6" s="198">
        <f>'rate base'!J12</f>
        <v>1497583.115739888</v>
      </c>
      <c r="L6" s="216">
        <f>'rate base'!K12</f>
        <v>930019.83956985408</v>
      </c>
      <c r="N6"/>
      <c r="O6"/>
      <c r="P6"/>
      <c r="Q6"/>
      <c r="R6"/>
      <c r="S6"/>
    </row>
    <row r="7" spans="1:19" s="196" customFormat="1" ht="27.95" customHeight="1">
      <c r="A7" s="215">
        <v>5</v>
      </c>
      <c r="B7" s="197" t="s">
        <v>340</v>
      </c>
      <c r="C7" s="201">
        <f t="shared" ref="C7:L7" si="1">C5/C6</f>
        <v>-4.1261391369265377E-2</v>
      </c>
      <c r="D7" s="201">
        <f t="shared" si="1"/>
        <v>-0.10292183766412628</v>
      </c>
      <c r="E7" s="201">
        <f t="shared" si="1"/>
        <v>1.7653468556850082E-2</v>
      </c>
      <c r="F7" s="201">
        <f t="shared" si="1"/>
        <v>-4.1991899008254917E-2</v>
      </c>
      <c r="G7" s="201">
        <f t="shared" si="1"/>
        <v>-7.2483796417202997E-2</v>
      </c>
      <c r="H7" s="201">
        <f t="shared" si="1"/>
        <v>-6.142573504116243E-2</v>
      </c>
      <c r="I7" s="201">
        <f t="shared" si="1"/>
        <v>3.130662595199523E-2</v>
      </c>
      <c r="J7" s="201">
        <f t="shared" si="1"/>
        <v>-0.10569855933717626</v>
      </c>
      <c r="K7" s="201">
        <f t="shared" si="1"/>
        <v>-6.3893003440221557E-2</v>
      </c>
      <c r="L7" s="217">
        <f t="shared" si="1"/>
        <v>-9.497545886689876E-2</v>
      </c>
      <c r="N7"/>
      <c r="O7"/>
      <c r="P7"/>
      <c r="Q7"/>
      <c r="R7"/>
      <c r="S7"/>
    </row>
    <row r="8" spans="1:19" s="196" customFormat="1" ht="27.95" customHeight="1">
      <c r="A8" s="215">
        <v>6</v>
      </c>
      <c r="B8" s="197" t="s">
        <v>341</v>
      </c>
      <c r="C8" s="202">
        <f>C9/C6</f>
        <v>2.2376363104347301E-2</v>
      </c>
      <c r="D8" s="203">
        <v>0</v>
      </c>
      <c r="E8" s="202">
        <v>0.06</v>
      </c>
      <c r="F8" s="202">
        <v>0</v>
      </c>
      <c r="G8" s="202">
        <v>0.06</v>
      </c>
      <c r="H8" s="202">
        <v>0</v>
      </c>
      <c r="I8" s="202">
        <v>0</v>
      </c>
      <c r="J8" s="202">
        <v>0</v>
      </c>
      <c r="K8" s="202">
        <v>0</v>
      </c>
      <c r="L8" s="218">
        <v>0</v>
      </c>
      <c r="N8"/>
      <c r="O8"/>
      <c r="P8"/>
      <c r="Q8"/>
      <c r="R8"/>
      <c r="S8"/>
    </row>
    <row r="9" spans="1:19" s="196" customFormat="1" ht="27.95" customHeight="1">
      <c r="A9" s="215">
        <v>7</v>
      </c>
      <c r="B9" s="197" t="s">
        <v>342</v>
      </c>
      <c r="C9" s="198">
        <f>SUM(D9:L9)</f>
        <v>501278.30721245962</v>
      </c>
      <c r="D9" s="198">
        <f t="shared" ref="D9:L9" si="2">D6*D8</f>
        <v>0</v>
      </c>
      <c r="E9" s="198">
        <f t="shared" si="2"/>
        <v>458204.55015782517</v>
      </c>
      <c r="F9" s="198">
        <f t="shared" si="2"/>
        <v>0</v>
      </c>
      <c r="G9" s="198">
        <f t="shared" si="2"/>
        <v>43073.757054634443</v>
      </c>
      <c r="H9" s="198">
        <f t="shared" si="2"/>
        <v>0</v>
      </c>
      <c r="I9" s="198">
        <f t="shared" si="2"/>
        <v>0</v>
      </c>
      <c r="J9" s="198">
        <f t="shared" si="2"/>
        <v>0</v>
      </c>
      <c r="K9" s="198">
        <f t="shared" si="2"/>
        <v>0</v>
      </c>
      <c r="L9" s="216">
        <f t="shared" si="2"/>
        <v>0</v>
      </c>
      <c r="N9"/>
      <c r="O9"/>
      <c r="P9"/>
      <c r="Q9"/>
      <c r="R9"/>
      <c r="S9"/>
    </row>
    <row r="10" spans="1:19" s="196" customFormat="1" ht="27.95" customHeight="1">
      <c r="A10" s="215">
        <v>8</v>
      </c>
      <c r="B10" s="197" t="s">
        <v>343</v>
      </c>
      <c r="C10" s="198">
        <f t="shared" ref="C10:L10" si="3">C4+C9</f>
        <v>9034219.1072124597</v>
      </c>
      <c r="D10" s="198">
        <f t="shared" si="3"/>
        <v>1760392.5162321776</v>
      </c>
      <c r="E10" s="198">
        <f t="shared" si="3"/>
        <v>2969998.0565108783</v>
      </c>
      <c r="F10" s="198">
        <f t="shared" si="3"/>
        <v>1051963.7548240279</v>
      </c>
      <c r="G10" s="198">
        <f t="shared" si="3"/>
        <v>399229.36100917083</v>
      </c>
      <c r="H10" s="198">
        <f t="shared" si="3"/>
        <v>1444560.4357195441</v>
      </c>
      <c r="I10" s="198">
        <f t="shared" si="3"/>
        <v>163043.0373563722</v>
      </c>
      <c r="J10" s="198">
        <f t="shared" si="3"/>
        <v>638480.7936952461</v>
      </c>
      <c r="K10" s="198">
        <f t="shared" si="3"/>
        <v>287409.80316598638</v>
      </c>
      <c r="L10" s="216">
        <f t="shared" si="3"/>
        <v>319157.36101846647</v>
      </c>
      <c r="N10" s="204"/>
      <c r="O10"/>
      <c r="P10"/>
      <c r="Q10"/>
      <c r="R10"/>
      <c r="S10"/>
    </row>
    <row r="11" spans="1:19" s="196" customFormat="1" ht="27.95" customHeight="1">
      <c r="A11" s="215">
        <v>9</v>
      </c>
      <c r="B11" s="197" t="s">
        <v>344</v>
      </c>
      <c r="C11" s="198">
        <f t="shared" ref="C11:L11" si="4">C3-C10</f>
        <v>-1425621.5672124606</v>
      </c>
      <c r="D11" s="198">
        <f t="shared" si="4"/>
        <v>-301966.05623217765</v>
      </c>
      <c r="E11" s="198">
        <f t="shared" si="4"/>
        <v>-323389.55651087826</v>
      </c>
      <c r="F11" s="198">
        <f t="shared" si="4"/>
        <v>-106157.67482402793</v>
      </c>
      <c r="G11" s="198">
        <f t="shared" si="4"/>
        <v>-95109.581009170855</v>
      </c>
      <c r="H11" s="198">
        <f t="shared" si="4"/>
        <v>-238938.38571954402</v>
      </c>
      <c r="I11" s="198">
        <f t="shared" si="4"/>
        <v>14548.022643627803</v>
      </c>
      <c r="J11" s="198">
        <f t="shared" si="4"/>
        <v>-190610.20369524602</v>
      </c>
      <c r="K11" s="198">
        <f t="shared" si="4"/>
        <v>-95685.083165986376</v>
      </c>
      <c r="L11" s="216">
        <f t="shared" si="4"/>
        <v>-88329.061018466455</v>
      </c>
      <c r="N11"/>
      <c r="O11"/>
      <c r="P11"/>
      <c r="Q11"/>
      <c r="R11"/>
      <c r="S11"/>
    </row>
    <row r="12" spans="1:19" s="196" customFormat="1" ht="27.95" customHeight="1" thickBot="1">
      <c r="A12" s="219">
        <v>10</v>
      </c>
      <c r="B12" s="220" t="s">
        <v>345</v>
      </c>
      <c r="C12" s="221">
        <f t="shared" ref="C12:L12" si="5">C11/C3</f>
        <v>-0.18736982206216951</v>
      </c>
      <c r="D12" s="221">
        <f t="shared" si="5"/>
        <v>-0.20704921675116733</v>
      </c>
      <c r="E12" s="221">
        <f t="shared" si="5"/>
        <v>-0.12219017527937293</v>
      </c>
      <c r="F12" s="221">
        <f t="shared" si="5"/>
        <v>-0.11224042334769928</v>
      </c>
      <c r="G12" s="221">
        <f t="shared" si="5"/>
        <v>-0.31273724125793745</v>
      </c>
      <c r="H12" s="221">
        <f t="shared" si="5"/>
        <v>-0.19818680797978439</v>
      </c>
      <c r="I12" s="221">
        <f t="shared" si="5"/>
        <v>8.1918665520819584E-2</v>
      </c>
      <c r="J12" s="221">
        <f t="shared" si="5"/>
        <v>-0.42559214190698696</v>
      </c>
      <c r="K12" s="221">
        <f t="shared" si="5"/>
        <v>-0.49907535744992287</v>
      </c>
      <c r="L12" s="222">
        <f t="shared" si="5"/>
        <v>-0.38266131587186858</v>
      </c>
      <c r="N12"/>
      <c r="O12"/>
      <c r="P12"/>
      <c r="Q12"/>
      <c r="R12"/>
      <c r="S12"/>
    </row>
    <row r="13" spans="1:19" ht="18.95" customHeight="1" thickTop="1">
      <c r="K13" s="205"/>
      <c r="L13" s="205"/>
      <c r="N13"/>
      <c r="O13"/>
      <c r="P13"/>
      <c r="Q13"/>
      <c r="R13"/>
      <c r="S13"/>
    </row>
    <row r="14" spans="1:19" ht="20.100000000000001" customHeight="1">
      <c r="A14"/>
      <c r="B14"/>
      <c r="C14"/>
      <c r="D14" s="402" t="s">
        <v>418</v>
      </c>
      <c r="E14" s="402" t="s">
        <v>419</v>
      </c>
      <c r="F14" s="405" t="s">
        <v>420</v>
      </c>
      <c r="G14" s="405" t="s">
        <v>421</v>
      </c>
      <c r="H14" s="405" t="s">
        <v>422</v>
      </c>
      <c r="I14" s="405" t="s">
        <v>423</v>
      </c>
      <c r="J14" s="405" t="s">
        <v>424</v>
      </c>
      <c r="K14" s="406" t="s">
        <v>425</v>
      </c>
      <c r="L14" s="406" t="s">
        <v>426</v>
      </c>
      <c r="N14"/>
      <c r="O14"/>
      <c r="P14"/>
      <c r="Q14"/>
      <c r="R14"/>
      <c r="S14"/>
    </row>
    <row r="15" spans="1:19" ht="15">
      <c r="E15"/>
      <c r="K15" s="401"/>
      <c r="L15" s="401"/>
    </row>
    <row r="16" spans="1:19" ht="15">
      <c r="E16"/>
      <c r="K16" s="401"/>
      <c r="L16" s="401"/>
    </row>
  </sheetData>
  <mergeCells count="9">
    <mergeCell ref="N4:O4"/>
    <mergeCell ref="I1:I2"/>
    <mergeCell ref="J1:L1"/>
    <mergeCell ref="H1:H2"/>
    <mergeCell ref="A1:A2"/>
    <mergeCell ref="B1:B2"/>
    <mergeCell ref="C1:C2"/>
    <mergeCell ref="D1:E1"/>
    <mergeCell ref="F1:G1"/>
  </mergeCells>
  <printOptions horizontalCentered="1"/>
  <pageMargins left="0.2" right="0.2" top="1.75" bottom="0.75" header="0.55000000000000004" footer="0.3"/>
  <pageSetup orientation="landscape" horizontalDpi="0" verticalDpi="0"/>
  <headerFooter>
    <oddHeader>&amp;C&amp;10&amp;K000000City of Bardstown
Water Cost of Service Study July 2025
Summary Sheet</oddHeader>
  </headerFooter>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BAA5DC-93CC-5649-8A1C-A5D56BA00658}">
  <sheetPr>
    <tabColor theme="5" tint="0.79998168889431442"/>
  </sheetPr>
  <dimension ref="A1:O24"/>
  <sheetViews>
    <sheetView tabSelected="1" zoomScale="150" zoomScaleNormal="150" workbookViewId="0">
      <pane ySplit="2" topLeftCell="A3" activePane="bottomLeft" state="frozen"/>
      <selection pane="bottomLeft" activeCell="M4" sqref="M4"/>
    </sheetView>
  </sheetViews>
  <sheetFormatPr defaultColWidth="10.6640625" defaultRowHeight="12"/>
  <cols>
    <col min="1" max="1" width="19" style="1" customWidth="1"/>
    <col min="2" max="2" width="8" style="1" customWidth="1"/>
    <col min="3" max="9" width="7.88671875" style="1" customWidth="1"/>
    <col min="10" max="11" width="7.44140625" style="1" customWidth="1"/>
    <col min="12" max="16384" width="10.6640625" style="1"/>
  </cols>
  <sheetData>
    <row r="1" spans="1:15" s="4" customFormat="1" ht="15" customHeight="1" thickTop="1">
      <c r="A1" s="514" t="s">
        <v>335</v>
      </c>
      <c r="B1" s="512" t="s">
        <v>52</v>
      </c>
      <c r="C1" s="512" t="s">
        <v>305</v>
      </c>
      <c r="D1" s="512"/>
      <c r="E1" s="512" t="s">
        <v>306</v>
      </c>
      <c r="F1" s="512"/>
      <c r="G1" s="510" t="s">
        <v>307</v>
      </c>
      <c r="H1" s="510" t="s">
        <v>325</v>
      </c>
      <c r="I1" s="512" t="s">
        <v>308</v>
      </c>
      <c r="J1" s="512"/>
      <c r="K1" s="513"/>
    </row>
    <row r="2" spans="1:15" s="4" customFormat="1" ht="25.5">
      <c r="A2" s="515"/>
      <c r="B2" s="516"/>
      <c r="C2" s="192" t="s">
        <v>310</v>
      </c>
      <c r="D2" s="192" t="s">
        <v>311</v>
      </c>
      <c r="E2" s="192" t="s">
        <v>310</v>
      </c>
      <c r="F2" s="192" t="s">
        <v>311</v>
      </c>
      <c r="G2" s="511"/>
      <c r="H2" s="511"/>
      <c r="I2" s="193" t="s">
        <v>317</v>
      </c>
      <c r="J2" s="193" t="s">
        <v>368</v>
      </c>
      <c r="K2" s="232" t="s">
        <v>319</v>
      </c>
    </row>
    <row r="3" spans="1:15" s="224" customFormat="1" ht="26.1" customHeight="1">
      <c r="A3" s="233" t="s">
        <v>346</v>
      </c>
      <c r="B3" s="223">
        <f>expenses!B4</f>
        <v>3973224.4901814247</v>
      </c>
      <c r="C3" s="223">
        <f>expenses!C4</f>
        <v>565604.70421132387</v>
      </c>
      <c r="D3" s="223">
        <f>expenses!D4</f>
        <v>868805.83948405739</v>
      </c>
      <c r="E3" s="223">
        <f>expenses!E4</f>
        <v>495465.00897238997</v>
      </c>
      <c r="F3" s="223">
        <f>expenses!F4</f>
        <v>121996.10596226603</v>
      </c>
      <c r="G3" s="223">
        <f>(expenses!G4)</f>
        <v>846715.7798289425</v>
      </c>
      <c r="H3" s="223">
        <f>expenses!H4</f>
        <v>123791.42336759485</v>
      </c>
      <c r="I3" s="223">
        <f>expenses!I4</f>
        <v>489509.49389248143</v>
      </c>
      <c r="J3" s="223">
        <f>expenses!J4</f>
        <v>209011.43944725001</v>
      </c>
      <c r="K3" s="234">
        <f>expenses!K4</f>
        <v>252324.69501511878</v>
      </c>
      <c r="M3" s="231">
        <f>B3+B5+B7+B9+B13</f>
        <v>8532940.6799999997</v>
      </c>
      <c r="N3" s="4" t="s">
        <v>413</v>
      </c>
    </row>
    <row r="4" spans="1:15" s="224" customFormat="1" ht="26.1" customHeight="1">
      <c r="A4" s="235" t="s">
        <v>369</v>
      </c>
      <c r="B4" s="225">
        <f t="shared" ref="B4:K4" si="0">B3/B17</f>
        <v>2.8780336731786074</v>
      </c>
      <c r="C4" s="225">
        <f t="shared" si="0"/>
        <v>2.8780336731786074</v>
      </c>
      <c r="D4" s="225">
        <f t="shared" si="0"/>
        <v>2.8780336731786074</v>
      </c>
      <c r="E4" s="225">
        <f t="shared" si="0"/>
        <v>2.8780336731786074</v>
      </c>
      <c r="F4" s="225">
        <f t="shared" si="0"/>
        <v>2.8780336731786074</v>
      </c>
      <c r="G4" s="225">
        <f t="shared" si="0"/>
        <v>2.8780336731786074</v>
      </c>
      <c r="H4" s="225">
        <f t="shared" si="0"/>
        <v>2.8780336731786074</v>
      </c>
      <c r="I4" s="225">
        <f t="shared" si="0"/>
        <v>2.8780336731786069</v>
      </c>
      <c r="J4" s="225">
        <f t="shared" si="0"/>
        <v>2.8780336731786074</v>
      </c>
      <c r="K4" s="236">
        <f t="shared" si="0"/>
        <v>2.8780336731786074</v>
      </c>
      <c r="M4" s="231">
        <f>M3+B11</f>
        <v>9034218.9872124586</v>
      </c>
      <c r="N4" s="400" t="s">
        <v>427</v>
      </c>
    </row>
    <row r="5" spans="1:15" s="224" customFormat="1" ht="26.1" customHeight="1">
      <c r="A5" s="237" t="s">
        <v>347</v>
      </c>
      <c r="B5" s="226">
        <f>expenses!B5</f>
        <v>1568554.6100495539</v>
      </c>
      <c r="C5" s="226">
        <f>expenses!C5</f>
        <v>318153.55745206407</v>
      </c>
      <c r="D5" s="226">
        <f>expenses!D5</f>
        <v>488704.68457720772</v>
      </c>
      <c r="E5" s="226">
        <f>expenses!E5</f>
        <v>130059.93740471928</v>
      </c>
      <c r="F5" s="226">
        <f>expenses!F5</f>
        <v>32024.069546263367</v>
      </c>
      <c r="G5" s="226">
        <f>expenses!G5</f>
        <v>317519.32695232978</v>
      </c>
      <c r="H5" s="226">
        <f>expenses!H5</f>
        <v>32495.341715095139</v>
      </c>
      <c r="I5" s="226">
        <f>expenses!I5</f>
        <v>128496.61021817941</v>
      </c>
      <c r="J5" s="226">
        <f>expenses!J5</f>
        <v>54865.660014538887</v>
      </c>
      <c r="K5" s="238">
        <f>expenses!K5</f>
        <v>66235.422169156634</v>
      </c>
      <c r="M5" s="231"/>
    </row>
    <row r="6" spans="1:15" s="224" customFormat="1" ht="26.1" customHeight="1">
      <c r="A6" s="235" t="s">
        <v>370</v>
      </c>
      <c r="B6" s="225">
        <f t="shared" ref="B6:K6" si="1">B5/B17</f>
        <v>1.1361937884702866</v>
      </c>
      <c r="C6" s="225">
        <f t="shared" si="1"/>
        <v>1.6188985784080274</v>
      </c>
      <c r="D6" s="225">
        <f t="shared" si="1"/>
        <v>1.6188985784080279</v>
      </c>
      <c r="E6" s="225">
        <f t="shared" si="1"/>
        <v>0.7554860032570796</v>
      </c>
      <c r="F6" s="225">
        <f t="shared" si="1"/>
        <v>0.7554860032570796</v>
      </c>
      <c r="G6" s="225">
        <f t="shared" si="1"/>
        <v>1.0792657189386849</v>
      </c>
      <c r="H6" s="225">
        <f t="shared" si="1"/>
        <v>0.75548600325707971</v>
      </c>
      <c r="I6" s="225">
        <f t="shared" si="1"/>
        <v>0.7554860032570796</v>
      </c>
      <c r="J6" s="225">
        <f t="shared" si="1"/>
        <v>0.75548600325707949</v>
      </c>
      <c r="K6" s="236">
        <f t="shared" si="1"/>
        <v>0.75548600325707949</v>
      </c>
      <c r="M6" s="408"/>
    </row>
    <row r="7" spans="1:15" s="224" customFormat="1" ht="26.1" customHeight="1">
      <c r="A7" s="237" t="s">
        <v>348</v>
      </c>
      <c r="B7" s="226">
        <f>expenses!B9</f>
        <v>384279.79105080396</v>
      </c>
      <c r="C7" s="226">
        <f>expenses!C9</f>
        <v>88017.33941228292</v>
      </c>
      <c r="D7" s="226">
        <f>expenses!D9</f>
        <v>109686.14891741957</v>
      </c>
      <c r="E7" s="226">
        <f>expenses!E9</f>
        <v>123893.96410164084</v>
      </c>
      <c r="F7" s="226">
        <f>expenses!F9</f>
        <v>54107.717890069565</v>
      </c>
      <c r="G7" s="226">
        <f>expenses!G9</f>
        <v>6963.1912116918393</v>
      </c>
      <c r="H7" s="226">
        <f>expenses!H9</f>
        <v>1611.4295176992193</v>
      </c>
      <c r="I7" s="226">
        <f>expenses!I9</f>
        <v>0</v>
      </c>
      <c r="J7" s="226">
        <f>expenses!J9</f>
        <v>0</v>
      </c>
      <c r="K7" s="238">
        <f>expenses!K9</f>
        <v>0</v>
      </c>
      <c r="M7" s="409"/>
      <c r="N7" s="407"/>
    </row>
    <row r="8" spans="1:15" s="224" customFormat="1" ht="26.1" customHeight="1">
      <c r="A8" s="235" t="s">
        <v>372</v>
      </c>
      <c r="B8" s="225">
        <f t="shared" ref="B8:K8" si="2">B7/B17</f>
        <v>0.27835582441901047</v>
      </c>
      <c r="C8" s="225">
        <f t="shared" si="2"/>
        <v>0.44786909437990702</v>
      </c>
      <c r="D8" s="225">
        <f t="shared" si="2"/>
        <v>0.36334980235985109</v>
      </c>
      <c r="E8" s="225">
        <f t="shared" si="2"/>
        <v>0.71966938962580507</v>
      </c>
      <c r="F8" s="225">
        <f t="shared" si="2"/>
        <v>1.2764656120633464</v>
      </c>
      <c r="G8" s="225">
        <f t="shared" si="2"/>
        <v>2.36682712870653E-2</v>
      </c>
      <c r="H8" s="225">
        <f t="shared" si="2"/>
        <v>3.7464214302800801E-2</v>
      </c>
      <c r="I8" s="225">
        <f t="shared" si="2"/>
        <v>0</v>
      </c>
      <c r="J8" s="225">
        <f t="shared" si="2"/>
        <v>0</v>
      </c>
      <c r="K8" s="236">
        <f t="shared" si="2"/>
        <v>0</v>
      </c>
      <c r="M8" s="408"/>
      <c r="N8" s="407"/>
    </row>
    <row r="9" spans="1:15" s="224" customFormat="1" ht="26.1" customHeight="1">
      <c r="A9" s="237" t="s">
        <v>374</v>
      </c>
      <c r="B9" s="226">
        <f>expenses!B10+expenses!B11</f>
        <v>498617.14177645225</v>
      </c>
      <c r="C9" s="226">
        <f>'DA expense'!C16</f>
        <v>19886.566019155362</v>
      </c>
      <c r="D9" s="226">
        <f>'DA expense'!D16</f>
        <v>86614.325429432851</v>
      </c>
      <c r="E9" s="226">
        <f>'DA expense'!E16</f>
        <v>58004.130290085479</v>
      </c>
      <c r="F9" s="226">
        <f>'DA expense'!F16</f>
        <v>41230.417687985027</v>
      </c>
      <c r="G9" s="226">
        <f>'DA expense'!G16</f>
        <v>248533.51152350841</v>
      </c>
      <c r="H9" s="226">
        <f>'DA expense'!H16</f>
        <v>1551.4175252946213</v>
      </c>
      <c r="I9" s="226">
        <f>'DA expense'!I16</f>
        <v>19877.445750394196</v>
      </c>
      <c r="J9" s="226">
        <f>'DA expense'!J16</f>
        <v>22935.459870006427</v>
      </c>
      <c r="K9" s="238">
        <f>'DA expense'!K16</f>
        <v>0</v>
      </c>
      <c r="M9" s="408"/>
      <c r="N9" s="407"/>
    </row>
    <row r="10" spans="1:15" s="224" customFormat="1" ht="26.1" customHeight="1">
      <c r="A10" s="235" t="s">
        <v>375</v>
      </c>
      <c r="B10" s="225">
        <f t="shared" ref="B10:K10" si="3">B9/B17</f>
        <v>0.36117690495539428</v>
      </c>
      <c r="C10" s="225">
        <f t="shared" si="3"/>
        <v>0.10119117861090926</v>
      </c>
      <c r="D10" s="225">
        <f t="shared" si="3"/>
        <v>0.28692135093566223</v>
      </c>
      <c r="E10" s="225">
        <f t="shared" si="3"/>
        <v>0.33693164428410305</v>
      </c>
      <c r="F10" s="225">
        <f t="shared" si="3"/>
        <v>0.97267473850306874</v>
      </c>
      <c r="G10" s="225">
        <f t="shared" si="3"/>
        <v>0.84477912437451741</v>
      </c>
      <c r="H10" s="225">
        <f t="shared" si="3"/>
        <v>3.6068992160293432E-2</v>
      </c>
      <c r="I10" s="225">
        <f t="shared" si="3"/>
        <v>0.11686792374854525</v>
      </c>
      <c r="J10" s="225">
        <f t="shared" si="3"/>
        <v>0.31581537350435024</v>
      </c>
      <c r="K10" s="236">
        <f t="shared" si="3"/>
        <v>0</v>
      </c>
      <c r="M10" s="408"/>
      <c r="N10" s="407"/>
    </row>
    <row r="11" spans="1:15" s="224" customFormat="1" ht="26.1" customHeight="1">
      <c r="A11" s="237" t="s">
        <v>349</v>
      </c>
      <c r="B11" s="226">
        <f>summary!C9</f>
        <v>501278.30721245962</v>
      </c>
      <c r="C11" s="226">
        <f>summary!D9</f>
        <v>0</v>
      </c>
      <c r="D11" s="226">
        <f>summary!E9</f>
        <v>458204.55015782517</v>
      </c>
      <c r="E11" s="226">
        <f>summary!F9</f>
        <v>0</v>
      </c>
      <c r="F11" s="226">
        <f>summary!G9</f>
        <v>43073.757054634443</v>
      </c>
      <c r="G11" s="226">
        <f>summary!H9</f>
        <v>0</v>
      </c>
      <c r="H11" s="226">
        <f>summary!I9</f>
        <v>0</v>
      </c>
      <c r="I11" s="226">
        <f>summary!J9</f>
        <v>0</v>
      </c>
      <c r="J11" s="226">
        <f>summary!K9</f>
        <v>0</v>
      </c>
      <c r="K11" s="238">
        <f>summary!L9</f>
        <v>0</v>
      </c>
    </row>
    <row r="12" spans="1:15" s="224" customFormat="1" ht="26.1" customHeight="1">
      <c r="A12" s="235" t="s">
        <v>373</v>
      </c>
      <c r="B12" s="225">
        <f t="shared" ref="B12:K12" si="4">B11/B17</f>
        <v>0.36310453923673303</v>
      </c>
      <c r="C12" s="225">
        <f t="shared" si="4"/>
        <v>0</v>
      </c>
      <c r="D12" s="225">
        <f t="shared" si="4"/>
        <v>1.5178628695002869</v>
      </c>
      <c r="E12" s="225">
        <f t="shared" si="4"/>
        <v>0</v>
      </c>
      <c r="F12" s="225">
        <f t="shared" si="4"/>
        <v>1.0161613131479486</v>
      </c>
      <c r="G12" s="225">
        <f t="shared" si="4"/>
        <v>0</v>
      </c>
      <c r="H12" s="225">
        <f t="shared" si="4"/>
        <v>0</v>
      </c>
      <c r="I12" s="225">
        <f t="shared" si="4"/>
        <v>0</v>
      </c>
      <c r="J12" s="225">
        <f t="shared" si="4"/>
        <v>0</v>
      </c>
      <c r="K12" s="236">
        <f t="shared" si="4"/>
        <v>0</v>
      </c>
    </row>
    <row r="13" spans="1:15" s="2" customFormat="1" ht="26.1" customHeight="1">
      <c r="A13" s="239" t="s">
        <v>350</v>
      </c>
      <c r="B13" s="227">
        <f>expenses!B6+expenses!B7+expenses!B8</f>
        <v>2108264.6469417643</v>
      </c>
      <c r="C13" s="227">
        <f>expenses!C6+expenses!C7+expenses!C8</f>
        <v>768730.34913735127</v>
      </c>
      <c r="D13" s="227">
        <f>expenses!D6+expenses!D7+expenses!D8</f>
        <v>957982.50794493593</v>
      </c>
      <c r="E13" s="227">
        <f>expenses!E6+expenses!E7+expenses!E8</f>
        <v>244540.71405519228</v>
      </c>
      <c r="F13" s="227">
        <f>expenses!F6+expenses!F7+expenses!F8</f>
        <v>106797.29286795238</v>
      </c>
      <c r="G13" s="227">
        <f>expenses!G6+expenses!G7+expenses!G8</f>
        <v>24828.62620307145</v>
      </c>
      <c r="H13" s="227">
        <f>expenses!H6+expenses!H7+expenses!H8</f>
        <v>3593.4252306883477</v>
      </c>
      <c r="I13" s="227">
        <f>expenses!I6+expenses!I7+expenses!I8</f>
        <v>597.24383419105197</v>
      </c>
      <c r="J13" s="227">
        <f>expenses!J6+expenses!J7+expenses!J8</f>
        <v>597.24383419105197</v>
      </c>
      <c r="K13" s="240">
        <f>expenses!K6+expenses!K7+expenses!K8</f>
        <v>597.24383419105197</v>
      </c>
      <c r="L13" s="397" t="s">
        <v>406</v>
      </c>
      <c r="M13" s="520" t="s">
        <v>391</v>
      </c>
      <c r="N13" s="520"/>
      <c r="O13" s="520"/>
    </row>
    <row r="14" spans="1:15" s="2" customFormat="1" ht="26.1" customHeight="1">
      <c r="A14" s="241" t="s">
        <v>351</v>
      </c>
      <c r="B14" s="228"/>
      <c r="C14" s="229">
        <f t="shared" ref="C14:K14" si="5">(C13/C18)/12</f>
        <v>13.21501004172786</v>
      </c>
      <c r="D14" s="229">
        <f t="shared" si="5"/>
        <v>13.215010041727858</v>
      </c>
      <c r="E14" s="229">
        <f t="shared" si="5"/>
        <v>17.919008870461806</v>
      </c>
      <c r="F14" s="229">
        <f t="shared" si="5"/>
        <v>17.919008870461806</v>
      </c>
      <c r="G14" s="229">
        <f t="shared" si="5"/>
        <v>32.371090225647265</v>
      </c>
      <c r="H14" s="229">
        <f t="shared" si="5"/>
        <v>16.870540989147173</v>
      </c>
      <c r="I14" s="229">
        <f t="shared" si="5"/>
        <v>49.770319515920995</v>
      </c>
      <c r="J14" s="229">
        <f t="shared" si="5"/>
        <v>49.770319515920995</v>
      </c>
      <c r="K14" s="242">
        <f t="shared" si="5"/>
        <v>49.770319515920995</v>
      </c>
      <c r="L14" s="398">
        <f>C14+(2*C15)</f>
        <v>23.306995090882765</v>
      </c>
      <c r="M14" s="388">
        <v>18.18</v>
      </c>
      <c r="N14" s="387" t="s">
        <v>388</v>
      </c>
      <c r="O14" s="387"/>
    </row>
    <row r="15" spans="1:15" s="2" customFormat="1" ht="26.1" customHeight="1">
      <c r="A15" s="243" t="s">
        <v>376</v>
      </c>
      <c r="B15" s="244"/>
      <c r="C15" s="245">
        <f t="shared" ref="C15:K15" si="6">C4+C6+C8+C10+C12</f>
        <v>5.0459925245774517</v>
      </c>
      <c r="D15" s="245">
        <f t="shared" si="6"/>
        <v>6.6650662743824354</v>
      </c>
      <c r="E15" s="245">
        <f t="shared" si="6"/>
        <v>4.6901207103455951</v>
      </c>
      <c r="F15" s="245">
        <f t="shared" si="6"/>
        <v>6.8988213401500511</v>
      </c>
      <c r="G15" s="245">
        <f t="shared" si="6"/>
        <v>4.8257467877788756</v>
      </c>
      <c r="H15" s="245">
        <f t="shared" si="6"/>
        <v>3.7070528828987812</v>
      </c>
      <c r="I15" s="245">
        <f t="shared" si="6"/>
        <v>3.750387600184232</v>
      </c>
      <c r="J15" s="245">
        <f t="shared" si="6"/>
        <v>3.949335049940037</v>
      </c>
      <c r="K15" s="246">
        <f t="shared" si="6"/>
        <v>3.6335196764356867</v>
      </c>
      <c r="L15" s="398">
        <f>D14+(2*D15)</f>
        <v>26.545142590492731</v>
      </c>
      <c r="M15" s="388">
        <v>26.63</v>
      </c>
      <c r="N15" s="387" t="s">
        <v>389</v>
      </c>
      <c r="O15" s="387"/>
    </row>
    <row r="16" spans="1:15" s="224" customFormat="1" ht="15" customHeight="1">
      <c r="A16" s="247" t="s">
        <v>352</v>
      </c>
      <c r="B16" s="230"/>
      <c r="C16" s="230"/>
      <c r="D16" s="230"/>
      <c r="E16" s="230"/>
      <c r="F16" s="230"/>
      <c r="G16" s="230"/>
      <c r="H16" s="230"/>
      <c r="I16" s="230"/>
      <c r="J16" s="230"/>
      <c r="K16" s="248"/>
      <c r="L16" s="399"/>
      <c r="M16" s="389">
        <v>5.72</v>
      </c>
      <c r="N16" s="519" t="s">
        <v>390</v>
      </c>
      <c r="O16" s="519"/>
    </row>
    <row r="17" spans="1:15" s="224" customFormat="1" ht="26.1" customHeight="1">
      <c r="A17" s="249" t="s">
        <v>371</v>
      </c>
      <c r="B17" s="231">
        <f>'COMM-1'!B14/1000</f>
        <v>1380534.4</v>
      </c>
      <c r="C17" s="231">
        <f>'COMM-1'!B3/1000</f>
        <v>196524.7</v>
      </c>
      <c r="D17" s="231">
        <f>'COMM-1'!B4/1000</f>
        <v>301874.8</v>
      </c>
      <c r="E17" s="231">
        <f>'COMM-1'!B5/1000</f>
        <v>172154</v>
      </c>
      <c r="F17" s="231">
        <f>'COMM-1'!B6/1000</f>
        <v>42388.7</v>
      </c>
      <c r="G17" s="231">
        <f>('COMM-1'!B7+'COMM-1'!B8)/1000</f>
        <v>294199.40000000002</v>
      </c>
      <c r="H17" s="231">
        <f>'COMM-1'!B9/1000</f>
        <v>43012.5</v>
      </c>
      <c r="I17" s="231">
        <f>'COMM-1'!B10/1000</f>
        <v>170084.7</v>
      </c>
      <c r="J17" s="231">
        <f>'COMM-1'!B11/1000</f>
        <v>72623</v>
      </c>
      <c r="K17" s="250">
        <f>'COMM-1'!B12/1000</f>
        <v>87672.6</v>
      </c>
      <c r="L17" s="399"/>
      <c r="M17" s="389">
        <v>4.3600000000000003</v>
      </c>
      <c r="N17" s="519" t="s">
        <v>430</v>
      </c>
      <c r="O17" s="519"/>
    </row>
    <row r="18" spans="1:15" s="2" customFormat="1" ht="26.1" customHeight="1" thickBot="1">
      <c r="A18" s="251" t="s">
        <v>353</v>
      </c>
      <c r="B18" s="252">
        <f>'CUST-X'!B14</f>
        <v>12607.166666666664</v>
      </c>
      <c r="C18" s="252">
        <f>'CUST-X'!B3</f>
        <v>4847.583333333333</v>
      </c>
      <c r="D18" s="252">
        <f>'CUST-X'!B4</f>
        <v>6041</v>
      </c>
      <c r="E18" s="252">
        <f>'CUST-X'!B5</f>
        <v>1137.25</v>
      </c>
      <c r="F18" s="252">
        <f>'CUST-X'!B6</f>
        <v>496.66666666666669</v>
      </c>
      <c r="G18" s="252">
        <f>('CUST-X'!B7+'CUST-X'!B8)</f>
        <v>63.916666666666664</v>
      </c>
      <c r="H18" s="252">
        <f>'CUST-X'!B9</f>
        <v>17.75</v>
      </c>
      <c r="I18" s="252">
        <f>'CUST-X'!B10</f>
        <v>1</v>
      </c>
      <c r="J18" s="386">
        <f>'CUST-X'!B11</f>
        <v>1</v>
      </c>
      <c r="K18" s="253">
        <f>'CUST-X'!B12</f>
        <v>1</v>
      </c>
    </row>
    <row r="19" spans="1:15" ht="12.75" thickTop="1"/>
    <row r="20" spans="1:15">
      <c r="A20" s="517" t="s">
        <v>414</v>
      </c>
      <c r="B20" s="517"/>
      <c r="C20" s="517"/>
      <c r="D20" s="403">
        <f>(C3+C5+C7+C9+E3+E5+E7+E9)/(C17+E17)</f>
        <v>4.879818681859466</v>
      </c>
      <c r="E20" s="517" t="s">
        <v>416</v>
      </c>
      <c r="F20" s="517"/>
      <c r="G20" s="403">
        <f>C14+(2*D20)</f>
        <v>22.974647405446792</v>
      </c>
      <c r="I20" s="404">
        <f>(I3+J3+I5+J5+I7+J7+I9+J9+I11+J11)/(I17+J17)</f>
        <v>3.8099166577444814</v>
      </c>
      <c r="J20" s="517" t="s">
        <v>408</v>
      </c>
      <c r="K20" s="517"/>
    </row>
    <row r="21" spans="1:15">
      <c r="A21" s="517" t="s">
        <v>415</v>
      </c>
      <c r="B21" s="517"/>
      <c r="C21" s="517"/>
      <c r="D21" s="403">
        <f>(D3+D5+D7+D9+D11+F3+F5+F7+F9+F11)/(D17+F17)</f>
        <v>6.6938482200615548</v>
      </c>
      <c r="E21" s="518" t="s">
        <v>416</v>
      </c>
      <c r="F21" s="518"/>
      <c r="G21" s="403">
        <f>C14+(D21*2)</f>
        <v>26.602706481850969</v>
      </c>
      <c r="H21" s="382"/>
    </row>
    <row r="22" spans="1:15">
      <c r="B22" s="53"/>
      <c r="C22" s="53"/>
      <c r="D22" s="53"/>
      <c r="E22" s="53"/>
      <c r="F22" s="53"/>
      <c r="G22" s="53"/>
      <c r="H22" s="53"/>
      <c r="I22" s="206"/>
    </row>
    <row r="23" spans="1:15">
      <c r="B23" s="13"/>
      <c r="C23" s="13"/>
      <c r="D23" s="13"/>
      <c r="E23" s="13"/>
      <c r="F23" s="13"/>
      <c r="G23" s="13"/>
      <c r="H23" s="13"/>
    </row>
    <row r="24" spans="1:15">
      <c r="B24" s="43"/>
      <c r="C24" s="43"/>
      <c r="D24" s="43"/>
      <c r="E24" s="43"/>
      <c r="F24" s="43"/>
      <c r="G24" s="43"/>
      <c r="H24" s="43"/>
      <c r="I24" s="133"/>
    </row>
  </sheetData>
  <mergeCells count="15">
    <mergeCell ref="J20:K20"/>
    <mergeCell ref="I1:K1"/>
    <mergeCell ref="N16:O16"/>
    <mergeCell ref="N17:O17"/>
    <mergeCell ref="M13:O13"/>
    <mergeCell ref="A20:C20"/>
    <mergeCell ref="A21:C21"/>
    <mergeCell ref="E20:F20"/>
    <mergeCell ref="E21:F21"/>
    <mergeCell ref="H1:H2"/>
    <mergeCell ref="A1:A2"/>
    <mergeCell ref="B1:B2"/>
    <mergeCell ref="C1:D1"/>
    <mergeCell ref="E1:F1"/>
    <mergeCell ref="G1:G2"/>
  </mergeCells>
  <printOptions horizontalCentered="1"/>
  <pageMargins left="0.2" right="0.2" top="1.25" bottom="0.25" header="0.55000000000000004" footer="0.3"/>
  <pageSetup orientation="landscape" horizontalDpi="0" verticalDpi="0"/>
  <headerFooter>
    <oddHeader>&amp;C&amp;10&amp;K000000City of Bardstown
Water Cost of Service Study July 2025
Unit Costs</oddHead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6FEBE-A004-8643-9E1E-63322AA271EF}">
  <sheetPr>
    <tabColor theme="8" tint="0.79998168889431442"/>
  </sheetPr>
  <dimension ref="A1:O108"/>
  <sheetViews>
    <sheetView topLeftCell="A17" zoomScale="150" zoomScaleNormal="150" workbookViewId="0">
      <selection activeCell="K23" sqref="K23"/>
    </sheetView>
  </sheetViews>
  <sheetFormatPr defaultColWidth="10.6640625" defaultRowHeight="12"/>
  <cols>
    <col min="1" max="1" width="3" style="14" customWidth="1"/>
    <col min="2" max="2" width="16.109375" style="14" customWidth="1"/>
    <col min="3" max="11" width="8.109375" style="14" customWidth="1"/>
    <col min="12" max="12" width="13.33203125" style="44" customWidth="1"/>
    <col min="13" max="16384" width="10.6640625" style="14"/>
  </cols>
  <sheetData>
    <row r="1" spans="1:15" ht="12.75" thickTop="1">
      <c r="A1" s="428"/>
      <c r="B1" s="424"/>
      <c r="C1" s="424"/>
      <c r="D1" s="424"/>
      <c r="E1" s="424"/>
      <c r="F1" s="424"/>
      <c r="G1" s="429" t="s">
        <v>4</v>
      </c>
      <c r="H1" s="429"/>
      <c r="I1" s="424"/>
      <c r="J1" s="424"/>
      <c r="K1" s="424"/>
      <c r="L1" s="425"/>
    </row>
    <row r="2" spans="1:15" s="15" customFormat="1" ht="36">
      <c r="A2" s="320"/>
      <c r="B2" s="321" t="s">
        <v>1</v>
      </c>
      <c r="C2" s="321" t="s">
        <v>2</v>
      </c>
      <c r="D2" s="321" t="s">
        <v>5</v>
      </c>
      <c r="E2" s="321" t="s">
        <v>6</v>
      </c>
      <c r="F2" s="321" t="s">
        <v>7</v>
      </c>
      <c r="G2" s="161" t="s">
        <v>8</v>
      </c>
      <c r="H2" s="161" t="s">
        <v>9</v>
      </c>
      <c r="I2" s="321" t="s">
        <v>10</v>
      </c>
      <c r="J2" s="321" t="s">
        <v>21</v>
      </c>
      <c r="K2" s="321" t="s">
        <v>11</v>
      </c>
      <c r="L2" s="322" t="s">
        <v>3</v>
      </c>
    </row>
    <row r="3" spans="1:15" s="15" customFormat="1" ht="9" customHeight="1">
      <c r="A3" s="323"/>
      <c r="B3" s="18"/>
      <c r="C3" s="16"/>
      <c r="D3" s="17"/>
      <c r="E3" s="17"/>
      <c r="F3" s="17"/>
      <c r="G3" s="17"/>
      <c r="H3" s="17"/>
      <c r="I3" s="17"/>
      <c r="J3" s="17"/>
      <c r="K3" s="17"/>
      <c r="L3" s="324"/>
    </row>
    <row r="4" spans="1:15" ht="15.95" customHeight="1">
      <c r="A4" s="328" t="s">
        <v>166</v>
      </c>
      <c r="B4" s="20"/>
      <c r="C4" s="21"/>
      <c r="D4" s="20"/>
      <c r="E4" s="20"/>
      <c r="F4" s="20"/>
      <c r="G4" s="20"/>
      <c r="H4" s="20"/>
      <c r="I4" s="20"/>
      <c r="J4" s="20"/>
      <c r="K4" s="20"/>
      <c r="L4" s="326"/>
      <c r="N4" s="1"/>
      <c r="O4" s="1"/>
    </row>
    <row r="5" spans="1:15" ht="15.95" customHeight="1">
      <c r="A5" s="329" t="s">
        <v>96</v>
      </c>
      <c r="B5" s="22" t="s">
        <v>26</v>
      </c>
      <c r="C5" s="23">
        <v>0</v>
      </c>
      <c r="D5" s="20">
        <f>C5*65%</f>
        <v>0</v>
      </c>
      <c r="E5" s="20">
        <f>C5*35%</f>
        <v>0</v>
      </c>
      <c r="F5" s="20">
        <f t="shared" ref="F5:J7" si="0">0%*$C$5</f>
        <v>0</v>
      </c>
      <c r="G5" s="20">
        <f t="shared" si="0"/>
        <v>0</v>
      </c>
      <c r="H5" s="20">
        <f t="shared" si="0"/>
        <v>0</v>
      </c>
      <c r="I5" s="20">
        <f t="shared" si="0"/>
        <v>0</v>
      </c>
      <c r="J5" s="20">
        <f t="shared" si="0"/>
        <v>0</v>
      </c>
      <c r="K5" s="20">
        <v>0</v>
      </c>
      <c r="L5" s="326" t="s">
        <v>195</v>
      </c>
      <c r="N5" s="1"/>
      <c r="O5" s="1"/>
    </row>
    <row r="6" spans="1:15" ht="15.95" customHeight="1">
      <c r="A6" s="329" t="s">
        <v>114</v>
      </c>
      <c r="B6" s="22" t="s">
        <v>235</v>
      </c>
      <c r="C6" s="23">
        <f>-62306-790438</f>
        <v>-852744</v>
      </c>
      <c r="D6" s="20">
        <f>C6*64%</f>
        <v>-545756.16000000003</v>
      </c>
      <c r="E6" s="20">
        <f>C6*36%</f>
        <v>-306987.83999999997</v>
      </c>
      <c r="F6" s="20">
        <f t="shared" si="0"/>
        <v>0</v>
      </c>
      <c r="G6" s="20">
        <f t="shared" si="0"/>
        <v>0</v>
      </c>
      <c r="H6" s="20">
        <f t="shared" si="0"/>
        <v>0</v>
      </c>
      <c r="I6" s="20">
        <f t="shared" si="0"/>
        <v>0</v>
      </c>
      <c r="J6" s="20">
        <f t="shared" si="0"/>
        <v>0</v>
      </c>
      <c r="K6" s="20">
        <v>0</v>
      </c>
      <c r="L6" s="326" t="s">
        <v>195</v>
      </c>
      <c r="N6" s="1"/>
      <c r="O6" s="1"/>
    </row>
    <row r="7" spans="1:15" ht="15.95" customHeight="1">
      <c r="A7" s="329" t="s">
        <v>98</v>
      </c>
      <c r="B7" s="22" t="s">
        <v>48</v>
      </c>
      <c r="C7" s="23">
        <v>-54359</v>
      </c>
      <c r="D7" s="20">
        <f>C7*64%</f>
        <v>-34789.760000000002</v>
      </c>
      <c r="E7" s="20">
        <f>C7*36%</f>
        <v>-19569.239999999998</v>
      </c>
      <c r="F7" s="20">
        <f t="shared" si="0"/>
        <v>0</v>
      </c>
      <c r="G7" s="20">
        <f t="shared" si="0"/>
        <v>0</v>
      </c>
      <c r="H7" s="20">
        <f t="shared" si="0"/>
        <v>0</v>
      </c>
      <c r="I7" s="20">
        <f t="shared" si="0"/>
        <v>0</v>
      </c>
      <c r="J7" s="20">
        <f t="shared" si="0"/>
        <v>0</v>
      </c>
      <c r="K7" s="20">
        <v>0</v>
      </c>
      <c r="L7" s="326" t="s">
        <v>195</v>
      </c>
      <c r="N7" s="1"/>
      <c r="O7" s="1"/>
    </row>
    <row r="8" spans="1:15" ht="15.95" customHeight="1">
      <c r="A8" s="426" t="s">
        <v>24</v>
      </c>
      <c r="B8" s="427"/>
      <c r="C8" s="25">
        <f t="shared" ref="C8:K8" si="1">SUM(C5:C7)</f>
        <v>-907103</v>
      </c>
      <c r="D8" s="24">
        <f t="shared" si="1"/>
        <v>-580545.92000000004</v>
      </c>
      <c r="E8" s="24">
        <f t="shared" si="1"/>
        <v>-326557.07999999996</v>
      </c>
      <c r="F8" s="24">
        <f t="shared" si="1"/>
        <v>0</v>
      </c>
      <c r="G8" s="24">
        <f t="shared" si="1"/>
        <v>0</v>
      </c>
      <c r="H8" s="24">
        <f t="shared" si="1"/>
        <v>0</v>
      </c>
      <c r="I8" s="24">
        <f t="shared" si="1"/>
        <v>0</v>
      </c>
      <c r="J8" s="24">
        <f t="shared" si="1"/>
        <v>0</v>
      </c>
      <c r="K8" s="24">
        <f t="shared" si="1"/>
        <v>0</v>
      </c>
      <c r="L8" s="327" t="str">
        <f>IF(SUM(D8:K8)=C8,"balance","error")</f>
        <v>balance</v>
      </c>
      <c r="N8" s="1"/>
      <c r="O8" s="1"/>
    </row>
    <row r="9" spans="1:15" ht="9" customHeight="1">
      <c r="A9" s="330"/>
      <c r="B9" s="22"/>
      <c r="C9" s="21"/>
      <c r="D9" s="20"/>
      <c r="E9" s="20"/>
      <c r="F9" s="20"/>
      <c r="G9" s="20"/>
      <c r="H9" s="20"/>
      <c r="I9" s="20"/>
      <c r="J9" s="20"/>
      <c r="K9" s="20"/>
      <c r="L9" s="326"/>
      <c r="N9" s="1"/>
      <c r="O9" s="1"/>
    </row>
    <row r="10" spans="1:15" ht="15.95" customHeight="1">
      <c r="A10" s="422" t="s">
        <v>167</v>
      </c>
      <c r="B10" s="423"/>
      <c r="C10" s="21"/>
      <c r="D10" s="20"/>
      <c r="E10" s="20"/>
      <c r="F10" s="20"/>
      <c r="G10" s="20"/>
      <c r="H10" s="20"/>
      <c r="I10" s="20"/>
      <c r="J10" s="20"/>
      <c r="K10" s="20"/>
      <c r="L10" s="326"/>
      <c r="N10" s="1"/>
      <c r="O10" s="1"/>
    </row>
    <row r="11" spans="1:15" ht="15.95" customHeight="1">
      <c r="A11" s="329" t="s">
        <v>96</v>
      </c>
      <c r="B11" s="22" t="s">
        <v>26</v>
      </c>
      <c r="C11" s="23">
        <v>0</v>
      </c>
      <c r="D11" s="20">
        <f>C11</f>
        <v>0</v>
      </c>
      <c r="E11" s="20">
        <v>0</v>
      </c>
      <c r="F11" s="20">
        <f t="shared" ref="F11:J17" si="2">0%*$C$11</f>
        <v>0</v>
      </c>
      <c r="G11" s="20">
        <f t="shared" si="2"/>
        <v>0</v>
      </c>
      <c r="H11" s="20">
        <f t="shared" si="2"/>
        <v>0</v>
      </c>
      <c r="I11" s="20">
        <f t="shared" si="2"/>
        <v>0</v>
      </c>
      <c r="J11" s="20">
        <f t="shared" si="2"/>
        <v>0</v>
      </c>
      <c r="K11" s="20">
        <v>0</v>
      </c>
      <c r="L11" s="326" t="s">
        <v>143</v>
      </c>
      <c r="N11" s="1"/>
      <c r="O11" s="1"/>
    </row>
    <row r="12" spans="1:15" ht="15.95" customHeight="1">
      <c r="A12" s="329" t="s">
        <v>114</v>
      </c>
      <c r="B12" s="22" t="s">
        <v>113</v>
      </c>
      <c r="C12" s="23">
        <v>-1890786</v>
      </c>
      <c r="D12" s="20">
        <f>C12</f>
        <v>-1890786</v>
      </c>
      <c r="E12" s="20">
        <v>0</v>
      </c>
      <c r="F12" s="20">
        <f t="shared" si="2"/>
        <v>0</v>
      </c>
      <c r="G12" s="20">
        <f t="shared" si="2"/>
        <v>0</v>
      </c>
      <c r="H12" s="20">
        <f t="shared" si="2"/>
        <v>0</v>
      </c>
      <c r="I12" s="20">
        <f t="shared" si="2"/>
        <v>0</v>
      </c>
      <c r="J12" s="20">
        <f t="shared" si="2"/>
        <v>0</v>
      </c>
      <c r="K12" s="20">
        <v>0</v>
      </c>
      <c r="L12" s="326" t="s">
        <v>143</v>
      </c>
      <c r="N12" s="1"/>
      <c r="O12" s="1"/>
    </row>
    <row r="13" spans="1:15" ht="15.95" customHeight="1">
      <c r="A13" s="329" t="s">
        <v>233</v>
      </c>
      <c r="B13" s="22" t="s">
        <v>234</v>
      </c>
      <c r="C13" s="23">
        <v>-10806589</v>
      </c>
      <c r="D13" s="20">
        <f>C13</f>
        <v>-10806589</v>
      </c>
      <c r="E13" s="20">
        <v>0</v>
      </c>
      <c r="F13" s="20">
        <f t="shared" si="2"/>
        <v>0</v>
      </c>
      <c r="G13" s="20">
        <f t="shared" si="2"/>
        <v>0</v>
      </c>
      <c r="H13" s="20">
        <f t="shared" si="2"/>
        <v>0</v>
      </c>
      <c r="I13" s="20">
        <f t="shared" si="2"/>
        <v>0</v>
      </c>
      <c r="J13" s="20">
        <f t="shared" si="2"/>
        <v>0</v>
      </c>
      <c r="K13" s="20">
        <v>0</v>
      </c>
      <c r="L13" s="326" t="s">
        <v>143</v>
      </c>
      <c r="N13" s="1"/>
      <c r="O13" s="1"/>
    </row>
    <row r="14" spans="1:15" ht="15.95" customHeight="1">
      <c r="A14" s="329" t="s">
        <v>232</v>
      </c>
      <c r="B14" s="22" t="s">
        <v>231</v>
      </c>
      <c r="C14" s="23">
        <v>-1033311</v>
      </c>
      <c r="D14" s="20">
        <f>C14*64%</f>
        <v>-661319.04</v>
      </c>
      <c r="E14" s="20">
        <f>C14*36%</f>
        <v>-371991.95999999996</v>
      </c>
      <c r="F14" s="20">
        <f t="shared" si="2"/>
        <v>0</v>
      </c>
      <c r="G14" s="20">
        <f t="shared" si="2"/>
        <v>0</v>
      </c>
      <c r="H14" s="20">
        <f t="shared" si="2"/>
        <v>0</v>
      </c>
      <c r="I14" s="20">
        <f t="shared" si="2"/>
        <v>0</v>
      </c>
      <c r="J14" s="20">
        <f t="shared" si="2"/>
        <v>0</v>
      </c>
      <c r="K14" s="20">
        <v>0</v>
      </c>
      <c r="L14" s="326" t="s">
        <v>195</v>
      </c>
      <c r="N14" s="1"/>
      <c r="O14" s="1"/>
    </row>
    <row r="15" spans="1:15" ht="15.95" customHeight="1">
      <c r="A15" s="329" t="s">
        <v>123</v>
      </c>
      <c r="B15" s="22" t="s">
        <v>184</v>
      </c>
      <c r="C15" s="23"/>
      <c r="D15" s="20">
        <f>C15</f>
        <v>0</v>
      </c>
      <c r="E15" s="20">
        <v>0</v>
      </c>
      <c r="F15" s="20">
        <v>0</v>
      </c>
      <c r="G15" s="20">
        <v>0</v>
      </c>
      <c r="H15" s="20">
        <v>0</v>
      </c>
      <c r="I15" s="20">
        <v>0</v>
      </c>
      <c r="J15" s="20">
        <v>0</v>
      </c>
      <c r="K15" s="20">
        <v>0</v>
      </c>
      <c r="L15" s="326" t="s">
        <v>143</v>
      </c>
      <c r="N15" s="1"/>
      <c r="O15" s="1"/>
    </row>
    <row r="16" spans="1:15" ht="15.95" customHeight="1">
      <c r="A16" s="329" t="s">
        <v>157</v>
      </c>
      <c r="B16" s="22" t="s">
        <v>28</v>
      </c>
      <c r="C16" s="23"/>
      <c r="D16" s="20">
        <f>C16*64%</f>
        <v>0</v>
      </c>
      <c r="E16" s="20">
        <f>C16*36%</f>
        <v>0</v>
      </c>
      <c r="F16" s="20">
        <f t="shared" si="2"/>
        <v>0</v>
      </c>
      <c r="G16" s="20">
        <f t="shared" si="2"/>
        <v>0</v>
      </c>
      <c r="H16" s="20">
        <f t="shared" si="2"/>
        <v>0</v>
      </c>
      <c r="I16" s="20">
        <f t="shared" si="2"/>
        <v>0</v>
      </c>
      <c r="J16" s="20">
        <f t="shared" si="2"/>
        <v>0</v>
      </c>
      <c r="K16" s="20">
        <v>0</v>
      </c>
      <c r="L16" s="326" t="s">
        <v>195</v>
      </c>
      <c r="N16" s="1"/>
      <c r="O16" s="1"/>
    </row>
    <row r="17" spans="1:15" ht="15.95" customHeight="1">
      <c r="A17" s="329" t="s">
        <v>98</v>
      </c>
      <c r="B17" s="22" t="s">
        <v>183</v>
      </c>
      <c r="C17" s="23">
        <v>-121986</v>
      </c>
      <c r="D17" s="20">
        <f>C17</f>
        <v>-121986</v>
      </c>
      <c r="E17" s="20">
        <v>0</v>
      </c>
      <c r="F17" s="20">
        <f t="shared" si="2"/>
        <v>0</v>
      </c>
      <c r="G17" s="20">
        <f t="shared" si="2"/>
        <v>0</v>
      </c>
      <c r="H17" s="20">
        <f t="shared" si="2"/>
        <v>0</v>
      </c>
      <c r="I17" s="20">
        <f t="shared" si="2"/>
        <v>0</v>
      </c>
      <c r="J17" s="20">
        <f t="shared" si="2"/>
        <v>0</v>
      </c>
      <c r="K17" s="20">
        <v>0</v>
      </c>
      <c r="L17" s="326" t="s">
        <v>143</v>
      </c>
      <c r="N17" s="1"/>
      <c r="O17" s="1"/>
    </row>
    <row r="18" spans="1:15" ht="15.95" customHeight="1">
      <c r="A18" s="328" t="s">
        <v>102</v>
      </c>
      <c r="B18" s="20"/>
      <c r="C18" s="25">
        <f t="shared" ref="C18:K18" si="3">SUM(C11:C17)</f>
        <v>-13852672</v>
      </c>
      <c r="D18" s="24">
        <f t="shared" si="3"/>
        <v>-13480680.039999999</v>
      </c>
      <c r="E18" s="24">
        <f t="shared" si="3"/>
        <v>-371991.95999999996</v>
      </c>
      <c r="F18" s="24">
        <f t="shared" si="3"/>
        <v>0</v>
      </c>
      <c r="G18" s="24">
        <f t="shared" si="3"/>
        <v>0</v>
      </c>
      <c r="H18" s="24">
        <f>SUM( (H11:H17))</f>
        <v>0</v>
      </c>
      <c r="I18" s="24">
        <f t="shared" si="3"/>
        <v>0</v>
      </c>
      <c r="J18" s="24">
        <f t="shared" si="3"/>
        <v>0</v>
      </c>
      <c r="K18" s="24">
        <f t="shared" si="3"/>
        <v>0</v>
      </c>
      <c r="L18" s="327" t="str">
        <f>IF(SUM(D18:K18)=C18,"balance","error")</f>
        <v>balance</v>
      </c>
      <c r="N18" s="1"/>
      <c r="O18" s="1"/>
    </row>
    <row r="19" spans="1:15" ht="9" customHeight="1">
      <c r="A19" s="328"/>
      <c r="B19" s="20"/>
      <c r="C19" s="21"/>
      <c r="D19" s="20"/>
      <c r="E19" s="20"/>
      <c r="F19" s="20"/>
      <c r="G19" s="20"/>
      <c r="H19" s="20"/>
      <c r="I19" s="20"/>
      <c r="J19" s="20"/>
      <c r="K19" s="20"/>
      <c r="L19" s="326"/>
      <c r="N19" s="1"/>
      <c r="O19" s="1"/>
    </row>
    <row r="20" spans="1:15" ht="15.95" customHeight="1">
      <c r="A20" s="328" t="s">
        <v>242</v>
      </c>
      <c r="B20" s="20"/>
      <c r="C20" s="21"/>
      <c r="D20" s="20"/>
      <c r="E20" s="20"/>
      <c r="F20" s="20"/>
      <c r="G20" s="20"/>
      <c r="H20" s="20"/>
      <c r="I20" s="20"/>
      <c r="J20" s="20"/>
      <c r="K20" s="20"/>
      <c r="L20" s="326"/>
      <c r="N20" s="1"/>
      <c r="O20" s="1"/>
    </row>
    <row r="21" spans="1:15" ht="15.95" customHeight="1">
      <c r="A21" s="329" t="s">
        <v>96</v>
      </c>
      <c r="B21" s="20" t="s">
        <v>26</v>
      </c>
      <c r="C21" s="23">
        <v>0</v>
      </c>
      <c r="D21" s="20">
        <f>($C$21)*((D22+D23)/(($C$22)+($C$23)))</f>
        <v>0</v>
      </c>
      <c r="E21" s="20">
        <f t="shared" ref="E21:K21" si="4">($C$21)*((E22+E23)/(($C$22)+($C$23)))</f>
        <v>0</v>
      </c>
      <c r="F21" s="20">
        <f t="shared" si="4"/>
        <v>0</v>
      </c>
      <c r="G21" s="20">
        <f t="shared" si="4"/>
        <v>0</v>
      </c>
      <c r="H21" s="20">
        <f t="shared" si="4"/>
        <v>0</v>
      </c>
      <c r="I21" s="20">
        <f t="shared" si="4"/>
        <v>0</v>
      </c>
      <c r="J21" s="20">
        <f t="shared" si="4"/>
        <v>0</v>
      </c>
      <c r="K21" s="20">
        <f t="shared" si="4"/>
        <v>0</v>
      </c>
      <c r="L21" s="326" t="s">
        <v>49</v>
      </c>
      <c r="N21" s="1"/>
      <c r="O21" s="1"/>
    </row>
    <row r="22" spans="1:15" ht="15.95" customHeight="1">
      <c r="A22" s="329" t="s">
        <v>106</v>
      </c>
      <c r="B22" s="20" t="s">
        <v>103</v>
      </c>
      <c r="C22" s="23">
        <v>-422890</v>
      </c>
      <c r="D22" s="20">
        <f>100%*(C22-K22)</f>
        <v>-43744.180821917835</v>
      </c>
      <c r="E22" s="20">
        <v>0</v>
      </c>
      <c r="F22" s="20">
        <v>0</v>
      </c>
      <c r="G22" s="20">
        <f t="shared" ref="G22:J22" si="5">0%*($C$22-$K$22)</f>
        <v>0</v>
      </c>
      <c r="H22" s="20">
        <f t="shared" si="5"/>
        <v>0</v>
      </c>
      <c r="I22" s="20">
        <v>0</v>
      </c>
      <c r="J22" s="20">
        <f t="shared" si="5"/>
        <v>0</v>
      </c>
      <c r="K22" s="56">
        <f>-1*[2]DAs!$G$36</f>
        <v>-379145.81917808217</v>
      </c>
      <c r="L22" s="326" t="s">
        <v>44</v>
      </c>
      <c r="M22" s="363"/>
      <c r="N22" s="1"/>
      <c r="O22" s="1"/>
    </row>
    <row r="23" spans="1:15" ht="15.95" customHeight="1">
      <c r="A23" s="329" t="s">
        <v>243</v>
      </c>
      <c r="B23" s="20" t="s">
        <v>104</v>
      </c>
      <c r="C23" s="23">
        <v>-10254512</v>
      </c>
      <c r="D23" s="20">
        <v>0</v>
      </c>
      <c r="E23" s="20">
        <f>(C23-K23)*'distr main analysis'!D28</f>
        <v>-2976740.6501497719</v>
      </c>
      <c r="F23" s="20">
        <f>(C23-K23)*'distr main analysis'!D17</f>
        <v>-3034323.1653550505</v>
      </c>
      <c r="G23" s="20">
        <v>0</v>
      </c>
      <c r="H23" s="20">
        <v>0</v>
      </c>
      <c r="I23" s="20">
        <f>(C23-K23)*'distr main analysis'!D32</f>
        <v>-1430787.8098696079</v>
      </c>
      <c r="J23" s="20">
        <v>0</v>
      </c>
      <c r="K23" s="56">
        <f>-1*[2]DAs!$G$37</f>
        <v>-2812660.3746255701</v>
      </c>
      <c r="L23" s="326" t="s">
        <v>47</v>
      </c>
      <c r="M23" s="363"/>
      <c r="O23" s="1"/>
    </row>
    <row r="24" spans="1:15" ht="15.95" customHeight="1">
      <c r="A24" s="329" t="s">
        <v>115</v>
      </c>
      <c r="B24" s="20" t="s">
        <v>105</v>
      </c>
      <c r="C24" s="23">
        <v>-2751884</v>
      </c>
      <c r="D24" s="20">
        <v>0</v>
      </c>
      <c r="E24" s="20">
        <f>(C24-K24)*'distr main analysis'!D28</f>
        <v>-875560.04560219182</v>
      </c>
      <c r="F24" s="20">
        <f>(C24-K24)*'distr main analysis'!D17</f>
        <v>-892497.00973995961</v>
      </c>
      <c r="G24" s="20">
        <v>0</v>
      </c>
      <c r="H24" s="20">
        <v>0</v>
      </c>
      <c r="I24" s="20">
        <f>(C24-K24)*'distr main analysis'!D32</f>
        <v>-420843.05866332812</v>
      </c>
      <c r="J24" s="20">
        <f>0%*(C24-K24)</f>
        <v>0</v>
      </c>
      <c r="K24" s="56">
        <f>-1*[2]DAs!$G$39</f>
        <v>-562983.8859945205</v>
      </c>
      <c r="L24" s="326" t="s">
        <v>47</v>
      </c>
      <c r="N24" s="1"/>
      <c r="O24" s="1"/>
    </row>
    <row r="25" spans="1:15" ht="15.95" customHeight="1">
      <c r="A25" s="329" t="s">
        <v>240</v>
      </c>
      <c r="B25" s="20" t="s">
        <v>95</v>
      </c>
      <c r="C25" s="23">
        <v>-1204057</v>
      </c>
      <c r="D25" s="20">
        <v>0</v>
      </c>
      <c r="E25" s="20">
        <f>(C25-K25)*'distr main analysis'!D28</f>
        <v>-199669.97830136988</v>
      </c>
      <c r="F25" s="20">
        <f>(C25-K25)*'distr main analysis'!D17</f>
        <v>-203532.42414830576</v>
      </c>
      <c r="G25" s="20">
        <v>0</v>
      </c>
      <c r="H25" s="20">
        <v>0</v>
      </c>
      <c r="I25" s="20">
        <f>(C25-K25)*'distr main analysis'!D32</f>
        <v>-95972.543303749058</v>
      </c>
      <c r="J25" s="20">
        <v>0</v>
      </c>
      <c r="K25" s="56">
        <f>-1*([2]DAs!$G$38+71694)</f>
        <v>-704882.05424657534</v>
      </c>
      <c r="L25" s="326" t="s">
        <v>47</v>
      </c>
      <c r="N25" s="1"/>
    </row>
    <row r="26" spans="1:15" ht="15.95" customHeight="1">
      <c r="A26" s="329" t="s">
        <v>98</v>
      </c>
      <c r="B26" s="20" t="s">
        <v>185</v>
      </c>
      <c r="C26" s="23">
        <v>-147768</v>
      </c>
      <c r="D26" s="20">
        <v>0</v>
      </c>
      <c r="E26" s="20">
        <f>(C26-K26)*'distr main analysis'!D28</f>
        <v>-59107.200000000004</v>
      </c>
      <c r="F26" s="20">
        <f>(C26-K26)*'distr main analysis'!D17</f>
        <v>-60250.578494384514</v>
      </c>
      <c r="G26" s="20">
        <v>0</v>
      </c>
      <c r="H26" s="20">
        <v>0</v>
      </c>
      <c r="I26" s="20">
        <f>(C26-K26)*'distr main analysis'!D32</f>
        <v>-28410.221505615489</v>
      </c>
      <c r="J26" s="20">
        <v>0</v>
      </c>
      <c r="K26" s="56">
        <v>0</v>
      </c>
      <c r="L26" s="326" t="s">
        <v>47</v>
      </c>
      <c r="N26" s="1"/>
      <c r="O26" s="1"/>
    </row>
    <row r="27" spans="1:15" ht="15.95" customHeight="1">
      <c r="A27" s="329" t="s">
        <v>101</v>
      </c>
      <c r="B27" s="20" t="s">
        <v>46</v>
      </c>
      <c r="C27" s="23">
        <v>-404855</v>
      </c>
      <c r="D27" s="20">
        <f>C27</f>
        <v>-404855</v>
      </c>
      <c r="E27" s="20">
        <v>0</v>
      </c>
      <c r="F27" s="20">
        <v>0</v>
      </c>
      <c r="G27" s="20">
        <f t="shared" ref="G27:J27" si="6">($C$27)*((G22+G23)/(($C$22)+($C$23)))</f>
        <v>0</v>
      </c>
      <c r="H27" s="20">
        <f t="shared" si="6"/>
        <v>0</v>
      </c>
      <c r="I27" s="20">
        <v>0</v>
      </c>
      <c r="J27" s="20">
        <f t="shared" si="6"/>
        <v>0</v>
      </c>
      <c r="K27" s="20">
        <v>0</v>
      </c>
      <c r="L27" s="326" t="s">
        <v>143</v>
      </c>
      <c r="O27" s="1"/>
    </row>
    <row r="28" spans="1:15" ht="15.95" customHeight="1">
      <c r="A28" s="329" t="s">
        <v>236</v>
      </c>
      <c r="B28" s="20" t="s">
        <v>237</v>
      </c>
      <c r="C28" s="23">
        <v>-12871</v>
      </c>
      <c r="D28" s="20">
        <f>0%*C28</f>
        <v>0</v>
      </c>
      <c r="E28" s="20">
        <f>0%*C28</f>
        <v>0</v>
      </c>
      <c r="F28" s="20">
        <f>0%*C28</f>
        <v>0</v>
      </c>
      <c r="G28" s="20">
        <f>0%*C28</f>
        <v>0</v>
      </c>
      <c r="H28" s="20">
        <f>100%*(C28-K28)</f>
        <v>-12871</v>
      </c>
      <c r="I28" s="20">
        <f>0%*C28</f>
        <v>0</v>
      </c>
      <c r="J28" s="20">
        <f>0%*C28</f>
        <v>0</v>
      </c>
      <c r="K28" s="56">
        <v>0</v>
      </c>
      <c r="L28" s="326" t="s">
        <v>42</v>
      </c>
      <c r="N28" s="1"/>
      <c r="O28" s="1"/>
    </row>
    <row r="29" spans="1:15" ht="15.95" customHeight="1">
      <c r="A29" s="329" t="s">
        <v>107</v>
      </c>
      <c r="B29" s="20" t="s">
        <v>27</v>
      </c>
      <c r="C29" s="23">
        <v>-785223</v>
      </c>
      <c r="D29" s="20">
        <f>0%*C29</f>
        <v>0</v>
      </c>
      <c r="E29" s="20">
        <f>0%*C29</f>
        <v>0</v>
      </c>
      <c r="F29" s="20">
        <f>0%*C29</f>
        <v>0</v>
      </c>
      <c r="G29" s="20">
        <f>0%*C29</f>
        <v>0</v>
      </c>
      <c r="H29" s="20">
        <f>100%*(C29-K29)</f>
        <v>-785223</v>
      </c>
      <c r="I29" s="20">
        <f>0%*C29</f>
        <v>0</v>
      </c>
      <c r="J29" s="20">
        <f>0%*C29</f>
        <v>0</v>
      </c>
      <c r="K29" s="56">
        <v>0</v>
      </c>
      <c r="L29" s="326" t="s">
        <v>42</v>
      </c>
      <c r="N29" s="1"/>
      <c r="O29" s="1"/>
    </row>
    <row r="30" spans="1:15" ht="15.95" customHeight="1">
      <c r="A30" s="329" t="s">
        <v>124</v>
      </c>
      <c r="B30" s="20" t="s">
        <v>228</v>
      </c>
      <c r="C30" s="23">
        <v>-81646</v>
      </c>
      <c r="D30" s="20">
        <f>C30</f>
        <v>-81646</v>
      </c>
      <c r="E30" s="20">
        <f>0%*C30</f>
        <v>0</v>
      </c>
      <c r="F30" s="20">
        <f>0%*C30</f>
        <v>0</v>
      </c>
      <c r="G30" s="20">
        <f>0%*C30</f>
        <v>0</v>
      </c>
      <c r="H30" s="20">
        <f>0%*C30</f>
        <v>0</v>
      </c>
      <c r="I30" s="20">
        <v>0</v>
      </c>
      <c r="J30" s="20">
        <f>0%*C30</f>
        <v>0</v>
      </c>
      <c r="K30" s="56">
        <v>0</v>
      </c>
      <c r="L30" s="326" t="s">
        <v>43</v>
      </c>
      <c r="N30" s="1"/>
      <c r="O30" s="1"/>
    </row>
    <row r="31" spans="1:15" ht="15.95" customHeight="1">
      <c r="A31" s="329" t="s">
        <v>100</v>
      </c>
      <c r="B31" s="20" t="s">
        <v>99</v>
      </c>
      <c r="C31" s="23">
        <v>-451945</v>
      </c>
      <c r="D31" s="20">
        <f>C31</f>
        <v>-451945</v>
      </c>
      <c r="E31" s="20">
        <v>0</v>
      </c>
      <c r="F31" s="20">
        <v>0</v>
      </c>
      <c r="G31" s="20">
        <v>0</v>
      </c>
      <c r="H31" s="20">
        <v>0</v>
      </c>
      <c r="I31" s="20">
        <v>0</v>
      </c>
      <c r="J31" s="20">
        <v>0</v>
      </c>
      <c r="K31" s="20">
        <v>0</v>
      </c>
      <c r="L31" s="326" t="s">
        <v>143</v>
      </c>
      <c r="M31" s="1"/>
      <c r="O31" s="1"/>
    </row>
    <row r="32" spans="1:15" ht="15.95" customHeight="1">
      <c r="A32" s="329" t="s">
        <v>123</v>
      </c>
      <c r="B32" s="22" t="s">
        <v>184</v>
      </c>
      <c r="C32" s="23">
        <v>-68293</v>
      </c>
      <c r="D32" s="20">
        <f>$C$32*100%</f>
        <v>-68293</v>
      </c>
      <c r="E32" s="20">
        <f>$C$32*0%</f>
        <v>0</v>
      </c>
      <c r="F32" s="20">
        <f t="shared" ref="F32:K32" si="7">$C$32*0%</f>
        <v>0</v>
      </c>
      <c r="G32" s="20">
        <f t="shared" si="7"/>
        <v>0</v>
      </c>
      <c r="H32" s="20">
        <f t="shared" si="7"/>
        <v>0</v>
      </c>
      <c r="I32" s="20">
        <f t="shared" si="7"/>
        <v>0</v>
      </c>
      <c r="J32" s="20">
        <f t="shared" si="7"/>
        <v>0</v>
      </c>
      <c r="K32" s="20">
        <f t="shared" si="7"/>
        <v>0</v>
      </c>
      <c r="L32" s="326" t="s">
        <v>44</v>
      </c>
      <c r="M32" s="1"/>
      <c r="N32" s="1"/>
      <c r="O32" s="1"/>
    </row>
    <row r="33" spans="1:15" ht="15.95" customHeight="1">
      <c r="A33" s="328" t="s">
        <v>45</v>
      </c>
      <c r="B33" s="20"/>
      <c r="C33" s="25">
        <f t="shared" ref="C33:K33" si="8">SUM(C21:C32)</f>
        <v>-16585944</v>
      </c>
      <c r="D33" s="24">
        <f t="shared" si="8"/>
        <v>-1050483.180821918</v>
      </c>
      <c r="E33" s="24">
        <f t="shared" si="8"/>
        <v>-4111077.8740533339</v>
      </c>
      <c r="F33" s="24">
        <f t="shared" si="8"/>
        <v>-4190603.1777377003</v>
      </c>
      <c r="G33" s="24">
        <f t="shared" si="8"/>
        <v>0</v>
      </c>
      <c r="H33" s="24">
        <f t="shared" si="8"/>
        <v>-798094</v>
      </c>
      <c r="I33" s="24">
        <f t="shared" si="8"/>
        <v>-1976013.6333423005</v>
      </c>
      <c r="J33" s="24">
        <f t="shared" si="8"/>
        <v>0</v>
      </c>
      <c r="K33" s="24">
        <f t="shared" si="8"/>
        <v>-4459672.1340447478</v>
      </c>
      <c r="L33" s="327" t="str">
        <f>IF(SUM(D33:K33)=C33,"balance","error")</f>
        <v>balance</v>
      </c>
      <c r="N33" s="1"/>
      <c r="O33" s="1"/>
    </row>
    <row r="34" spans="1:15" ht="9" customHeight="1">
      <c r="A34" s="328"/>
      <c r="B34" s="20"/>
      <c r="C34" s="21"/>
      <c r="D34" s="20"/>
      <c r="E34" s="20"/>
      <c r="F34" s="20"/>
      <c r="G34" s="20"/>
      <c r="H34" s="20"/>
      <c r="I34" s="20"/>
      <c r="J34" s="20"/>
      <c r="K34" s="20"/>
      <c r="L34" s="326"/>
      <c r="N34" s="1"/>
      <c r="O34" s="1"/>
    </row>
    <row r="35" spans="1:15" ht="15.95" customHeight="1">
      <c r="A35" s="328" t="s">
        <v>229</v>
      </c>
      <c r="B35" s="20"/>
      <c r="C35" s="21"/>
      <c r="D35" s="20"/>
      <c r="E35" s="20"/>
      <c r="F35" s="20"/>
      <c r="G35" s="20"/>
      <c r="H35" s="20"/>
      <c r="I35" s="20"/>
      <c r="J35" s="20"/>
      <c r="K35" s="20"/>
      <c r="L35" s="326"/>
      <c r="N35" s="1"/>
      <c r="O35" s="1"/>
    </row>
    <row r="36" spans="1:15" ht="15.95" customHeight="1">
      <c r="A36" s="329" t="s">
        <v>114</v>
      </c>
      <c r="B36" s="20" t="s">
        <v>113</v>
      </c>
      <c r="C36" s="23">
        <v>-117895</v>
      </c>
      <c r="D36" s="20">
        <f>C36</f>
        <v>-117895</v>
      </c>
      <c r="E36" s="20">
        <v>0</v>
      </c>
      <c r="F36" s="20">
        <v>0</v>
      </c>
      <c r="G36" s="20">
        <v>0</v>
      </c>
      <c r="H36" s="20">
        <v>0</v>
      </c>
      <c r="I36" s="20">
        <v>0</v>
      </c>
      <c r="J36" s="20">
        <f>C36*($J$33/$C$33)</f>
        <v>0</v>
      </c>
      <c r="K36" s="20">
        <v>0</v>
      </c>
      <c r="L36" s="326" t="str">
        <f>L31</f>
        <v>COMM</v>
      </c>
      <c r="O36" s="1"/>
    </row>
    <row r="37" spans="1:15" ht="15.95" customHeight="1">
      <c r="A37" s="329" t="s">
        <v>96</v>
      </c>
      <c r="B37" s="20" t="s">
        <v>230</v>
      </c>
      <c r="C37" s="23">
        <v>0</v>
      </c>
      <c r="D37" s="20">
        <f t="shared" ref="D37" si="9">C37*($D$33/$C$33)</f>
        <v>0</v>
      </c>
      <c r="E37" s="20">
        <f t="shared" ref="E37" si="10">C37*($E$33/$C$33)</f>
        <v>0</v>
      </c>
      <c r="F37" s="20">
        <f t="shared" ref="F37" si="11">C37*($F$33/$C$33)</f>
        <v>0</v>
      </c>
      <c r="G37" s="20">
        <f t="shared" ref="G37" si="12">C37*($G$33/$C$33)</f>
        <v>0</v>
      </c>
      <c r="H37" s="20">
        <f t="shared" ref="H37" si="13">C37*($H$33/$C$33)</f>
        <v>0</v>
      </c>
      <c r="I37" s="20">
        <f t="shared" ref="I37" si="14">C37*($I$33/$C$33)</f>
        <v>0</v>
      </c>
      <c r="J37" s="20">
        <f t="shared" ref="J37" si="15">C37*($J$33/$C$33)</f>
        <v>0</v>
      </c>
      <c r="K37" s="20">
        <f t="shared" ref="K37" si="16">C37*($K$33/$C$33)</f>
        <v>0</v>
      </c>
      <c r="L37" s="326" t="s">
        <v>49</v>
      </c>
      <c r="N37" s="1"/>
      <c r="O37" s="1"/>
    </row>
    <row r="38" spans="1:15" ht="15.95" customHeight="1">
      <c r="A38" s="331" t="s">
        <v>238</v>
      </c>
      <c r="B38" s="20"/>
      <c r="C38" s="25">
        <f t="shared" ref="C38:K38" si="17">SUM(C36:C37)</f>
        <v>-117895</v>
      </c>
      <c r="D38" s="25">
        <f t="shared" si="17"/>
        <v>-117895</v>
      </c>
      <c r="E38" s="25">
        <f t="shared" si="17"/>
        <v>0</v>
      </c>
      <c r="F38" s="25">
        <f t="shared" si="17"/>
        <v>0</v>
      </c>
      <c r="G38" s="25">
        <f t="shared" si="17"/>
        <v>0</v>
      </c>
      <c r="H38" s="25">
        <f t="shared" si="17"/>
        <v>0</v>
      </c>
      <c r="I38" s="25">
        <f t="shared" si="17"/>
        <v>0</v>
      </c>
      <c r="J38" s="25">
        <f t="shared" si="17"/>
        <v>0</v>
      </c>
      <c r="K38" s="25">
        <f t="shared" si="17"/>
        <v>0</v>
      </c>
      <c r="L38" s="327" t="str">
        <f>IF(SUM(D38:K38)=C38,"balance","error")</f>
        <v>balance</v>
      </c>
      <c r="N38" s="1"/>
      <c r="O38" s="1"/>
    </row>
    <row r="39" spans="1:15" ht="9" customHeight="1">
      <c r="A39" s="328"/>
      <c r="B39" s="20"/>
      <c r="C39" s="21"/>
      <c r="D39" s="20"/>
      <c r="E39" s="20"/>
      <c r="F39" s="20"/>
      <c r="G39" s="20"/>
      <c r="H39" s="20"/>
      <c r="I39" s="20"/>
      <c r="J39" s="20"/>
      <c r="K39" s="20"/>
      <c r="L39" s="326"/>
      <c r="N39" s="1"/>
      <c r="O39" s="1"/>
    </row>
    <row r="40" spans="1:15" ht="15.95" customHeight="1">
      <c r="A40" s="328" t="s">
        <v>244</v>
      </c>
      <c r="B40" s="20"/>
      <c r="C40" s="25">
        <f>C8+C18+C33+C38</f>
        <v>-31463614</v>
      </c>
      <c r="D40" s="25">
        <f t="shared" ref="D40:K40" si="18">D33+D18+D8+D38</f>
        <v>-15229604.140821917</v>
      </c>
      <c r="E40" s="25">
        <f t="shared" si="18"/>
        <v>-4809626.9140533339</v>
      </c>
      <c r="F40" s="25">
        <f t="shared" si="18"/>
        <v>-4190603.1777377003</v>
      </c>
      <c r="G40" s="25">
        <f t="shared" si="18"/>
        <v>0</v>
      </c>
      <c r="H40" s="25">
        <f t="shared" si="18"/>
        <v>-798094</v>
      </c>
      <c r="I40" s="25">
        <f t="shared" si="18"/>
        <v>-1976013.6333423005</v>
      </c>
      <c r="J40" s="25">
        <f t="shared" si="18"/>
        <v>0</v>
      </c>
      <c r="K40" s="25">
        <f t="shared" si="18"/>
        <v>-4459672.1340447478</v>
      </c>
      <c r="L40" s="327" t="str">
        <f>IF(SUM(D40:K40)=C40,"balance","error")</f>
        <v>balance</v>
      </c>
      <c r="N40" s="1"/>
      <c r="O40" s="1"/>
    </row>
    <row r="41" spans="1:15" s="29" customFormat="1" ht="15.95" customHeight="1">
      <c r="A41" s="364"/>
      <c r="B41" s="26" t="s">
        <v>158</v>
      </c>
      <c r="C41" s="27"/>
      <c r="D41" s="28">
        <f>D40/$C$40</f>
        <v>0.48403861491632577</v>
      </c>
      <c r="E41" s="28">
        <f t="shared" ref="E41:K41" si="19">E40/$C$40</f>
        <v>0.15286314261461934</v>
      </c>
      <c r="F41" s="28">
        <f t="shared" si="19"/>
        <v>0.13318886945847036</v>
      </c>
      <c r="G41" s="28">
        <f t="shared" si="19"/>
        <v>0</v>
      </c>
      <c r="H41" s="28">
        <f t="shared" si="19"/>
        <v>2.5365617567009308E-2</v>
      </c>
      <c r="I41" s="28">
        <f t="shared" si="19"/>
        <v>6.280313613503842E-2</v>
      </c>
      <c r="J41" s="28">
        <f t="shared" si="19"/>
        <v>0</v>
      </c>
      <c r="K41" s="28">
        <f t="shared" si="19"/>
        <v>0.14174061930853676</v>
      </c>
      <c r="L41" s="365" t="s">
        <v>170</v>
      </c>
    </row>
    <row r="42" spans="1:15" ht="9" customHeight="1">
      <c r="A42" s="328"/>
      <c r="B42" s="20"/>
      <c r="C42" s="21"/>
      <c r="D42" s="20"/>
      <c r="E42" s="20"/>
      <c r="F42" s="20"/>
      <c r="G42" s="20"/>
      <c r="H42" s="20"/>
      <c r="I42" s="20"/>
      <c r="J42" s="20"/>
      <c r="K42" s="20"/>
      <c r="L42" s="326"/>
      <c r="N42" s="1"/>
      <c r="O42" s="1"/>
    </row>
    <row r="43" spans="1:15" ht="15.95" customHeight="1">
      <c r="A43" s="328" t="s">
        <v>168</v>
      </c>
      <c r="B43" s="20"/>
      <c r="C43" s="21"/>
      <c r="D43" s="20"/>
      <c r="E43" s="20"/>
      <c r="F43" s="20"/>
      <c r="G43" s="20"/>
      <c r="H43" s="20"/>
      <c r="I43" s="20"/>
      <c r="J43" s="20"/>
      <c r="K43" s="20"/>
      <c r="L43" s="326"/>
      <c r="N43" s="1"/>
      <c r="O43" s="1"/>
    </row>
    <row r="44" spans="1:15" ht="15.95" customHeight="1">
      <c r="A44" s="329" t="s">
        <v>114</v>
      </c>
      <c r="B44" s="20" t="s">
        <v>113</v>
      </c>
      <c r="C44" s="23"/>
      <c r="D44" s="20">
        <f>$D$41*$C$44</f>
        <v>0</v>
      </c>
      <c r="E44" s="20">
        <f>$E$41*$C$44</f>
        <v>0</v>
      </c>
      <c r="F44" s="20">
        <f>$F$41*$C$44</f>
        <v>0</v>
      </c>
      <c r="G44" s="20">
        <f>$G$41*$C$44</f>
        <v>0</v>
      </c>
      <c r="H44" s="20">
        <f>$H$41*$C$44</f>
        <v>0</v>
      </c>
      <c r="I44" s="20">
        <f>$I$41*$C$44</f>
        <v>0</v>
      </c>
      <c r="J44" s="20">
        <f>$J$41*$C$44</f>
        <v>0</v>
      </c>
      <c r="K44" s="20">
        <f>$K$41*$C$44</f>
        <v>0</v>
      </c>
      <c r="L44" s="326" t="s">
        <v>159</v>
      </c>
      <c r="N44" s="1"/>
      <c r="O44" s="1"/>
    </row>
    <row r="45" spans="1:15" ht="15.95" customHeight="1">
      <c r="A45" s="329" t="s">
        <v>111</v>
      </c>
      <c r="B45" s="20" t="s">
        <v>112</v>
      </c>
      <c r="C45" s="23"/>
      <c r="D45" s="20">
        <f t="shared" ref="D45:D48" si="20">$D$41*C45</f>
        <v>0</v>
      </c>
      <c r="E45" s="20">
        <f t="shared" ref="E45:E48" si="21">$E$41*C45</f>
        <v>0</v>
      </c>
      <c r="F45" s="20">
        <f t="shared" ref="F45:F48" si="22">$F$41*C45</f>
        <v>0</v>
      </c>
      <c r="G45" s="20">
        <f t="shared" ref="G45:G48" si="23">$G$41*C45</f>
        <v>0</v>
      </c>
      <c r="H45" s="20">
        <f t="shared" ref="H45:H48" si="24">$H$41*C45</f>
        <v>0</v>
      </c>
      <c r="I45" s="20">
        <f t="shared" ref="I45:I48" si="25">$I$41*C45</f>
        <v>0</v>
      </c>
      <c r="J45" s="20">
        <f t="shared" ref="J45:J48" si="26">$J$41*C45</f>
        <v>0</v>
      </c>
      <c r="K45" s="20">
        <f t="shared" ref="K45:K48" si="27">$K$41*C45</f>
        <v>0</v>
      </c>
      <c r="L45" s="326" t="s">
        <v>159</v>
      </c>
      <c r="N45" s="1"/>
      <c r="O45" s="1"/>
    </row>
    <row r="46" spans="1:15" ht="15.95" customHeight="1">
      <c r="A46" s="329" t="s">
        <v>101</v>
      </c>
      <c r="B46" s="20" t="s">
        <v>46</v>
      </c>
      <c r="C46" s="23"/>
      <c r="D46" s="20">
        <f t="shared" si="20"/>
        <v>0</v>
      </c>
      <c r="E46" s="20">
        <f t="shared" si="21"/>
        <v>0</v>
      </c>
      <c r="F46" s="20">
        <f t="shared" si="22"/>
        <v>0</v>
      </c>
      <c r="G46" s="20">
        <f t="shared" si="23"/>
        <v>0</v>
      </c>
      <c r="H46" s="20">
        <f t="shared" si="24"/>
        <v>0</v>
      </c>
      <c r="I46" s="20">
        <f t="shared" si="25"/>
        <v>0</v>
      </c>
      <c r="J46" s="20">
        <f t="shared" si="26"/>
        <v>0</v>
      </c>
      <c r="K46" s="20">
        <f t="shared" si="27"/>
        <v>0</v>
      </c>
      <c r="L46" s="326" t="s">
        <v>159</v>
      </c>
      <c r="N46" s="1"/>
      <c r="O46" s="1"/>
    </row>
    <row r="47" spans="1:15" ht="15.95" customHeight="1">
      <c r="A47" s="329" t="s">
        <v>123</v>
      </c>
      <c r="B47" s="22" t="s">
        <v>184</v>
      </c>
      <c r="C47" s="23"/>
      <c r="D47" s="20">
        <f t="shared" si="20"/>
        <v>0</v>
      </c>
      <c r="E47" s="20">
        <f t="shared" si="21"/>
        <v>0</v>
      </c>
      <c r="F47" s="20">
        <f t="shared" si="22"/>
        <v>0</v>
      </c>
      <c r="G47" s="20">
        <f t="shared" si="23"/>
        <v>0</v>
      </c>
      <c r="H47" s="20">
        <f t="shared" si="24"/>
        <v>0</v>
      </c>
      <c r="I47" s="20">
        <f t="shared" si="25"/>
        <v>0</v>
      </c>
      <c r="J47" s="20">
        <f t="shared" si="26"/>
        <v>0</v>
      </c>
      <c r="K47" s="20">
        <f t="shared" si="27"/>
        <v>0</v>
      </c>
      <c r="L47" s="326" t="s">
        <v>159</v>
      </c>
      <c r="N47" s="1"/>
      <c r="O47" s="1"/>
    </row>
    <row r="48" spans="1:15" ht="15.95" customHeight="1">
      <c r="A48" s="329" t="s">
        <v>160</v>
      </c>
      <c r="B48" s="20" t="s">
        <v>163</v>
      </c>
      <c r="C48" s="23"/>
      <c r="D48" s="20">
        <f t="shared" si="20"/>
        <v>0</v>
      </c>
      <c r="E48" s="20">
        <f t="shared" si="21"/>
        <v>0</v>
      </c>
      <c r="F48" s="20">
        <f t="shared" si="22"/>
        <v>0</v>
      </c>
      <c r="G48" s="20">
        <f t="shared" si="23"/>
        <v>0</v>
      </c>
      <c r="H48" s="20">
        <f t="shared" si="24"/>
        <v>0</v>
      </c>
      <c r="I48" s="20">
        <f t="shared" si="25"/>
        <v>0</v>
      </c>
      <c r="J48" s="20">
        <f t="shared" si="26"/>
        <v>0</v>
      </c>
      <c r="K48" s="20">
        <f t="shared" si="27"/>
        <v>0</v>
      </c>
      <c r="L48" s="326" t="s">
        <v>159</v>
      </c>
      <c r="N48" s="1"/>
      <c r="O48" s="1"/>
    </row>
    <row r="49" spans="1:15" ht="15.95" customHeight="1">
      <c r="A49" s="328" t="s">
        <v>29</v>
      </c>
      <c r="B49" s="20"/>
      <c r="C49" s="25">
        <f t="shared" ref="C49:K49" si="28">SUM(C44:C48)</f>
        <v>0</v>
      </c>
      <c r="D49" s="24">
        <f t="shared" si="28"/>
        <v>0</v>
      </c>
      <c r="E49" s="24">
        <f t="shared" si="28"/>
        <v>0</v>
      </c>
      <c r="F49" s="24">
        <f t="shared" si="28"/>
        <v>0</v>
      </c>
      <c r="G49" s="24">
        <f t="shared" si="28"/>
        <v>0</v>
      </c>
      <c r="H49" s="24">
        <f t="shared" si="28"/>
        <v>0</v>
      </c>
      <c r="I49" s="24">
        <f t="shared" si="28"/>
        <v>0</v>
      </c>
      <c r="J49" s="24">
        <f t="shared" si="28"/>
        <v>0</v>
      </c>
      <c r="K49" s="24">
        <f t="shared" si="28"/>
        <v>0</v>
      </c>
      <c r="L49" s="327" t="str">
        <f>IF(SUM(D49:K49)=C49,"balance","error")</f>
        <v>balance</v>
      </c>
      <c r="N49" s="1"/>
      <c r="O49" s="1"/>
    </row>
    <row r="50" spans="1:15" ht="9" customHeight="1">
      <c r="A50" s="328"/>
      <c r="B50" s="20"/>
      <c r="C50" s="21"/>
      <c r="D50" s="20"/>
      <c r="E50" s="20"/>
      <c r="F50" s="20"/>
      <c r="G50" s="20"/>
      <c r="H50" s="20"/>
      <c r="I50" s="20"/>
      <c r="J50" s="20"/>
      <c r="K50" s="20"/>
      <c r="L50" s="326"/>
      <c r="N50" s="1"/>
      <c r="O50" s="1"/>
    </row>
    <row r="51" spans="1:15" ht="15.95" customHeight="1">
      <c r="A51" s="366" t="s">
        <v>32</v>
      </c>
      <c r="B51" s="20"/>
      <c r="C51" s="162">
        <f>C40+C49</f>
        <v>-31463614</v>
      </c>
      <c r="D51" s="162">
        <f t="shared" ref="D51:K51" si="29">D40+D49</f>
        <v>-15229604.140821917</v>
      </c>
      <c r="E51" s="162">
        <f t="shared" si="29"/>
        <v>-4809626.9140533339</v>
      </c>
      <c r="F51" s="162">
        <f t="shared" si="29"/>
        <v>-4190603.1777377003</v>
      </c>
      <c r="G51" s="162">
        <f t="shared" si="29"/>
        <v>0</v>
      </c>
      <c r="H51" s="162">
        <f t="shared" si="29"/>
        <v>-798094</v>
      </c>
      <c r="I51" s="162">
        <f t="shared" si="29"/>
        <v>-1976013.6333423005</v>
      </c>
      <c r="J51" s="162">
        <f t="shared" si="29"/>
        <v>0</v>
      </c>
      <c r="K51" s="162">
        <f t="shared" si="29"/>
        <v>-4459672.1340447478</v>
      </c>
      <c r="L51" s="327" t="str">
        <f>IF(SUM(D51:K51)=C51,"balance","error")</f>
        <v>balance</v>
      </c>
      <c r="N51" s="1"/>
      <c r="O51" s="1"/>
    </row>
    <row r="52" spans="1:15" ht="9" customHeight="1" thickBot="1">
      <c r="A52" s="367"/>
      <c r="B52" s="333"/>
      <c r="C52" s="333"/>
      <c r="D52" s="333"/>
      <c r="E52" s="333"/>
      <c r="F52" s="333"/>
      <c r="G52" s="333"/>
      <c r="H52" s="333"/>
      <c r="I52" s="333"/>
      <c r="J52" s="333"/>
      <c r="K52" s="333"/>
      <c r="L52" s="368"/>
      <c r="N52" s="1"/>
      <c r="O52" s="1"/>
    </row>
    <row r="53" spans="1:15" ht="9" customHeight="1" thickTop="1">
      <c r="B53" s="1"/>
      <c r="C53" s="1"/>
      <c r="L53" s="14"/>
    </row>
    <row r="54" spans="1:15" ht="15.95" customHeight="1">
      <c r="B54" s="1"/>
      <c r="C54" s="170">
        <v>31423700</v>
      </c>
      <c r="D54" s="14" t="s">
        <v>250</v>
      </c>
      <c r="L54" s="14"/>
    </row>
    <row r="55" spans="1:15" s="1" customFormat="1" ht="35.1" customHeight="1">
      <c r="C55" s="53"/>
      <c r="D55" s="54"/>
    </row>
    <row r="56" spans="1:15" s="1" customFormat="1" ht="15.95" customHeight="1">
      <c r="D56" s="55"/>
    </row>
    <row r="57" spans="1:15" s="1" customFormat="1" ht="17.100000000000001" customHeight="1">
      <c r="C57" s="12"/>
    </row>
    <row r="58" spans="1:15" s="1" customFormat="1" ht="12" customHeight="1"/>
    <row r="59" spans="1:15" s="1" customFormat="1" ht="12" customHeight="1"/>
    <row r="60" spans="1:15" s="1" customFormat="1" ht="12" customHeight="1"/>
    <row r="61" spans="1:15" s="1" customFormat="1" ht="12" customHeight="1"/>
    <row r="62" spans="1:15" s="1" customFormat="1" ht="12" customHeight="1"/>
    <row r="63" spans="1:15" s="1" customFormat="1" ht="12" customHeight="1"/>
    <row r="64" spans="1:15" s="1" customFormat="1" ht="12" customHeight="1"/>
    <row r="65" spans="12:12" s="1" customFormat="1" ht="9" customHeight="1"/>
    <row r="66" spans="12:12" s="1" customFormat="1" ht="15.95" customHeight="1"/>
    <row r="67" spans="12:12" s="1" customFormat="1" ht="15.95" customHeight="1"/>
    <row r="68" spans="12:12" ht="15.95" customHeight="1">
      <c r="L68" s="14"/>
    </row>
    <row r="69" spans="12:12" ht="15.95" customHeight="1">
      <c r="L69" s="14"/>
    </row>
    <row r="70" spans="12:12" ht="15.95" customHeight="1">
      <c r="L70" s="14"/>
    </row>
    <row r="71" spans="12:12" ht="9" customHeight="1">
      <c r="L71" s="14"/>
    </row>
    <row r="72" spans="12:12" ht="15.95" customHeight="1">
      <c r="L72" s="14"/>
    </row>
    <row r="73" spans="12:12" ht="15.95" customHeight="1">
      <c r="L73" s="14"/>
    </row>
    <row r="74" spans="12:12" ht="15.95" customHeight="1">
      <c r="L74" s="14"/>
    </row>
    <row r="75" spans="12:12" ht="15.95" customHeight="1">
      <c r="L75" s="14"/>
    </row>
    <row r="76" spans="12:12" ht="15.95" customHeight="1">
      <c r="L76" s="14"/>
    </row>
    <row r="77" spans="12:12" ht="9" customHeight="1">
      <c r="L77" s="14"/>
    </row>
    <row r="78" spans="12:12" s="1" customFormat="1" ht="15.95" customHeight="1"/>
    <row r="79" spans="12:12" s="1" customFormat="1" ht="15.95" customHeight="1"/>
    <row r="80" spans="12:12" s="1" customFormat="1"/>
    <row r="81" spans="12:12" s="1" customFormat="1">
      <c r="L81" s="6"/>
    </row>
    <row r="82" spans="12:12" s="1" customFormat="1">
      <c r="L82" s="6"/>
    </row>
    <row r="83" spans="12:12" s="1" customFormat="1">
      <c r="L83" s="6"/>
    </row>
    <row r="84" spans="12:12" s="1" customFormat="1">
      <c r="L84" s="6"/>
    </row>
    <row r="85" spans="12:12" s="1" customFormat="1">
      <c r="L85" s="6"/>
    </row>
    <row r="86" spans="12:12" s="1" customFormat="1">
      <c r="L86" s="6"/>
    </row>
    <row r="87" spans="12:12" s="1" customFormat="1">
      <c r="L87" s="6"/>
    </row>
    <row r="88" spans="12:12" s="1" customFormat="1">
      <c r="L88" s="6"/>
    </row>
    <row r="89" spans="12:12" s="1" customFormat="1">
      <c r="L89" s="6"/>
    </row>
    <row r="90" spans="12:12" s="1" customFormat="1">
      <c r="L90" s="6"/>
    </row>
    <row r="91" spans="12:12" s="1" customFormat="1">
      <c r="L91" s="6"/>
    </row>
    <row r="92" spans="12:12" s="1" customFormat="1">
      <c r="L92" s="6"/>
    </row>
    <row r="93" spans="12:12" s="1" customFormat="1">
      <c r="L93" s="6"/>
    </row>
    <row r="94" spans="12:12" s="1" customFormat="1">
      <c r="L94" s="6"/>
    </row>
    <row r="95" spans="12:12" s="1" customFormat="1">
      <c r="L95" s="6"/>
    </row>
    <row r="96" spans="12:12" s="1" customFormat="1">
      <c r="L96" s="6"/>
    </row>
    <row r="97" spans="12:12" s="1" customFormat="1">
      <c r="L97" s="6"/>
    </row>
    <row r="98" spans="12:12" s="1" customFormat="1">
      <c r="L98" s="6"/>
    </row>
    <row r="99" spans="12:12" s="1" customFormat="1">
      <c r="L99" s="6"/>
    </row>
    <row r="100" spans="12:12" s="1" customFormat="1">
      <c r="L100" s="6"/>
    </row>
    <row r="101" spans="12:12" s="1" customFormat="1">
      <c r="L101" s="6"/>
    </row>
    <row r="102" spans="12:12" s="1" customFormat="1">
      <c r="L102" s="6"/>
    </row>
    <row r="103" spans="12:12" s="1" customFormat="1">
      <c r="L103" s="6"/>
    </row>
    <row r="104" spans="12:12" s="1" customFormat="1">
      <c r="L104" s="6"/>
    </row>
    <row r="105" spans="12:12" s="1" customFormat="1">
      <c r="L105" s="6"/>
    </row>
    <row r="106" spans="12:12" s="1" customFormat="1">
      <c r="L106" s="6"/>
    </row>
    <row r="107" spans="12:12" s="1" customFormat="1">
      <c r="L107" s="6"/>
    </row>
    <row r="108" spans="12:12" s="1" customFormat="1">
      <c r="L108" s="6"/>
    </row>
  </sheetData>
  <mergeCells count="5">
    <mergeCell ref="A1:F1"/>
    <mergeCell ref="G1:H1"/>
    <mergeCell ref="I1:L1"/>
    <mergeCell ref="A8:B8"/>
    <mergeCell ref="A10:B10"/>
  </mergeCells>
  <printOptions horizontalCentered="1"/>
  <pageMargins left="0.25" right="0.25" top="1.1499999999999999" bottom="0.75" header="0.45" footer="0.25"/>
  <pageSetup orientation="landscape" horizontalDpi="0" verticalDpi="0"/>
  <headerFooter>
    <oddHeader>&amp;C&amp;10&amp;K0E0D0ABardstown Water Utility
Accumulated Depreciation - Test Year (FY23)</oddHeader>
    <oddFooter>&amp;L&amp;"Avenir Book Oblique,Italic"&amp;9&amp;K817842SRE; c allen
&amp;D</oddFooter>
  </headerFooter>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79998168889431442"/>
  </sheetPr>
  <dimension ref="A1:R87"/>
  <sheetViews>
    <sheetView zoomScale="150" zoomScaleNormal="150" workbookViewId="0">
      <pane ySplit="2" topLeftCell="A3" activePane="bottomLeft" state="frozen"/>
      <selection activeCell="H106" sqref="H106"/>
      <selection pane="bottomLeft" activeCell="C35" sqref="C35"/>
    </sheetView>
  </sheetViews>
  <sheetFormatPr defaultColWidth="10.6640625" defaultRowHeight="12"/>
  <cols>
    <col min="1" max="1" width="3.5546875" style="84" customWidth="1"/>
    <col min="2" max="2" width="16.109375" style="14" customWidth="1"/>
    <col min="3" max="11" width="8.109375" style="14" customWidth="1"/>
    <col min="12" max="12" width="13.33203125" style="44" customWidth="1"/>
    <col min="13" max="13" width="8.44140625" style="45" customWidth="1"/>
    <col min="14" max="16384" width="10.6640625" style="14"/>
  </cols>
  <sheetData>
    <row r="1" spans="1:18" ht="12.75" thickTop="1">
      <c r="A1" s="341"/>
      <c r="B1" s="317"/>
      <c r="C1" s="317"/>
      <c r="D1" s="317"/>
      <c r="E1" s="317"/>
      <c r="F1" s="318"/>
      <c r="G1" s="342" t="s">
        <v>4</v>
      </c>
      <c r="H1" s="342"/>
      <c r="I1" s="317"/>
      <c r="J1" s="317"/>
      <c r="K1" s="317"/>
      <c r="L1" s="319"/>
    </row>
    <row r="2" spans="1:18" s="15" customFormat="1" ht="48.95" customHeight="1">
      <c r="A2" s="343" t="s">
        <v>0</v>
      </c>
      <c r="B2" s="163" t="s">
        <v>1</v>
      </c>
      <c r="C2" s="163" t="s">
        <v>281</v>
      </c>
      <c r="D2" s="163" t="s">
        <v>5</v>
      </c>
      <c r="E2" s="163" t="s">
        <v>6</v>
      </c>
      <c r="F2" s="163" t="s">
        <v>7</v>
      </c>
      <c r="G2" s="163" t="s">
        <v>8</v>
      </c>
      <c r="H2" s="163" t="s">
        <v>9</v>
      </c>
      <c r="I2" s="163" t="s">
        <v>10</v>
      </c>
      <c r="J2" s="163" t="s">
        <v>21</v>
      </c>
      <c r="K2" s="163" t="s">
        <v>11</v>
      </c>
      <c r="L2" s="344" t="s">
        <v>3</v>
      </c>
      <c r="M2" s="46"/>
    </row>
    <row r="3" spans="1:18" ht="9.9499999999999993" customHeight="1">
      <c r="A3" s="345"/>
      <c r="B3" s="47"/>
      <c r="C3" s="47"/>
      <c r="D3" s="47"/>
      <c r="E3" s="47"/>
      <c r="F3" s="47"/>
      <c r="G3" s="47"/>
      <c r="H3" s="47"/>
      <c r="I3" s="47"/>
      <c r="J3" s="47"/>
      <c r="K3" s="47"/>
      <c r="L3" s="346"/>
      <c r="Q3" s="431" t="s">
        <v>284</v>
      </c>
      <c r="R3" s="431"/>
    </row>
    <row r="4" spans="1:18" ht="15.95" customHeight="1">
      <c r="A4" s="345" t="s">
        <v>204</v>
      </c>
      <c r="B4" s="47"/>
      <c r="C4" s="47"/>
      <c r="D4" s="47"/>
      <c r="E4" s="47"/>
      <c r="F4" s="47"/>
      <c r="G4" s="47"/>
      <c r="H4" s="47"/>
      <c r="I4" s="47"/>
      <c r="J4" s="47"/>
      <c r="K4" s="47"/>
      <c r="L4" s="346"/>
      <c r="Q4" s="44" t="s">
        <v>282</v>
      </c>
      <c r="R4" s="44" t="s">
        <v>283</v>
      </c>
    </row>
    <row r="5" spans="1:18" ht="15.95" customHeight="1">
      <c r="A5" s="347"/>
      <c r="B5" s="50" t="s">
        <v>256</v>
      </c>
      <c r="C5" s="48">
        <f>[3]Sheet1!$F$3</f>
        <v>576575.35</v>
      </c>
      <c r="D5" s="47">
        <f>C5</f>
        <v>576575.35</v>
      </c>
      <c r="E5" s="47">
        <v>0</v>
      </c>
      <c r="F5" s="47">
        <v>0</v>
      </c>
      <c r="G5" s="47">
        <v>0</v>
      </c>
      <c r="H5" s="47">
        <v>0</v>
      </c>
      <c r="I5" s="47">
        <v>0</v>
      </c>
      <c r="J5" s="47">
        <v>0</v>
      </c>
      <c r="K5" s="47">
        <v>0</v>
      </c>
      <c r="L5" s="346" t="s">
        <v>143</v>
      </c>
      <c r="P5" s="178">
        <v>44743</v>
      </c>
      <c r="Q5" s="14">
        <v>5349813</v>
      </c>
      <c r="R5" s="14">
        <v>6320580</v>
      </c>
    </row>
    <row r="6" spans="1:18" ht="15.95" customHeight="1">
      <c r="A6" s="347"/>
      <c r="B6" s="50" t="s">
        <v>257</v>
      </c>
      <c r="C6" s="48">
        <f>[3]Sheet1!$F$5</f>
        <v>24458.19</v>
      </c>
      <c r="D6" s="47">
        <f t="shared" ref="D6:D9" si="0">C6</f>
        <v>24458.19</v>
      </c>
      <c r="E6" s="47">
        <v>0</v>
      </c>
      <c r="F6" s="47">
        <v>0</v>
      </c>
      <c r="G6" s="47">
        <v>0</v>
      </c>
      <c r="H6" s="47">
        <v>0</v>
      </c>
      <c r="I6" s="47">
        <v>0</v>
      </c>
      <c r="J6" s="47">
        <v>0</v>
      </c>
      <c r="K6" s="47">
        <v>0</v>
      </c>
      <c r="L6" s="346" t="s">
        <v>143</v>
      </c>
      <c r="P6" s="178">
        <f>P5+31</f>
        <v>44774</v>
      </c>
      <c r="Q6" s="14">
        <v>4800326</v>
      </c>
      <c r="R6" s="14">
        <v>5561660</v>
      </c>
    </row>
    <row r="7" spans="1:18" ht="15.95" customHeight="1">
      <c r="A7" s="347"/>
      <c r="B7" s="50" t="s">
        <v>258</v>
      </c>
      <c r="C7" s="48">
        <f>[3]Sheet1!$F$8</f>
        <v>84832.46</v>
      </c>
      <c r="D7" s="47">
        <f>C7</f>
        <v>84832.46</v>
      </c>
      <c r="E7" s="47">
        <v>0</v>
      </c>
      <c r="F7" s="47">
        <v>0</v>
      </c>
      <c r="G7" s="47">
        <v>0</v>
      </c>
      <c r="H7" s="47">
        <v>0</v>
      </c>
      <c r="I7" s="47">
        <v>0</v>
      </c>
      <c r="J7" s="47">
        <v>0</v>
      </c>
      <c r="K7" s="47">
        <v>0</v>
      </c>
      <c r="L7" s="346" t="s">
        <v>143</v>
      </c>
      <c r="P7" s="178">
        <f t="shared" ref="P7:P16" si="1">P6+31</f>
        <v>44805</v>
      </c>
      <c r="Q7" s="14">
        <v>4351309</v>
      </c>
      <c r="R7" s="14">
        <v>4982840</v>
      </c>
    </row>
    <row r="8" spans="1:18" ht="15.95" customHeight="1">
      <c r="A8" s="347"/>
      <c r="B8" s="50" t="s">
        <v>259</v>
      </c>
      <c r="C8" s="86">
        <f>[3]Sheet1!$F$6</f>
        <v>118878.65</v>
      </c>
      <c r="D8" s="47">
        <f>C8</f>
        <v>118878.65</v>
      </c>
      <c r="E8" s="47">
        <v>0</v>
      </c>
      <c r="F8" s="47">
        <v>0</v>
      </c>
      <c r="G8" s="47">
        <v>0</v>
      </c>
      <c r="H8" s="47">
        <v>0</v>
      </c>
      <c r="I8" s="47">
        <v>0</v>
      </c>
      <c r="J8" s="47">
        <v>0</v>
      </c>
      <c r="K8" s="47">
        <v>0</v>
      </c>
      <c r="L8" s="346" t="s">
        <v>143</v>
      </c>
      <c r="N8" s="44"/>
      <c r="P8" s="178">
        <f t="shared" si="1"/>
        <v>44836</v>
      </c>
      <c r="Q8" s="14">
        <v>4348197</v>
      </c>
      <c r="R8" s="14">
        <v>4899600</v>
      </c>
    </row>
    <row r="9" spans="1:18" ht="15.95" customHeight="1">
      <c r="A9" s="347"/>
      <c r="B9" s="50" t="s">
        <v>269</v>
      </c>
      <c r="C9" s="86">
        <f>[3]Sheet1!$E$19</f>
        <v>2081.69</v>
      </c>
      <c r="D9" s="47">
        <f t="shared" si="0"/>
        <v>2081.69</v>
      </c>
      <c r="E9" s="47">
        <v>0</v>
      </c>
      <c r="F9" s="47">
        <v>0</v>
      </c>
      <c r="G9" s="47">
        <v>0</v>
      </c>
      <c r="H9" s="47">
        <v>0</v>
      </c>
      <c r="I9" s="47">
        <v>0</v>
      </c>
      <c r="J9" s="47">
        <v>0</v>
      </c>
      <c r="K9" s="47">
        <v>0</v>
      </c>
      <c r="L9" s="346" t="s">
        <v>143</v>
      </c>
      <c r="N9" s="44"/>
      <c r="P9" s="178">
        <f t="shared" si="1"/>
        <v>44867</v>
      </c>
      <c r="Q9" s="14">
        <v>4481482</v>
      </c>
      <c r="R9" s="14">
        <v>5042660</v>
      </c>
    </row>
    <row r="10" spans="1:18" ht="15.95" customHeight="1">
      <c r="A10" s="347"/>
      <c r="B10" s="14" t="s">
        <v>205</v>
      </c>
      <c r="C10" s="48">
        <f>[3]Sheet1!$E$30</f>
        <v>707328.05000000016</v>
      </c>
      <c r="D10" s="47">
        <f>C10*70%</f>
        <v>495129.63500000007</v>
      </c>
      <c r="E10" s="47">
        <f>C10*30%</f>
        <v>212198.41500000004</v>
      </c>
      <c r="F10" s="47">
        <v>0</v>
      </c>
      <c r="G10" s="47">
        <v>0</v>
      </c>
      <c r="H10" s="47">
        <v>0</v>
      </c>
      <c r="I10" s="47">
        <v>0</v>
      </c>
      <c r="J10" s="47">
        <v>0</v>
      </c>
      <c r="K10" s="47">
        <v>0</v>
      </c>
      <c r="L10" s="326" t="s">
        <v>254</v>
      </c>
      <c r="P10" s="178">
        <f t="shared" si="1"/>
        <v>44898</v>
      </c>
      <c r="Q10" s="14">
        <v>4329288</v>
      </c>
      <c r="R10" s="14">
        <v>5600190</v>
      </c>
    </row>
    <row r="11" spans="1:18" ht="15.95" customHeight="1">
      <c r="A11" s="347"/>
      <c r="B11" s="50" t="s">
        <v>272</v>
      </c>
      <c r="C11" s="48">
        <f>[3]Sheet1!$E$36</f>
        <v>21815.41</v>
      </c>
      <c r="D11" s="47">
        <f>C11</f>
        <v>21815.41</v>
      </c>
      <c r="E11" s="47">
        <v>0</v>
      </c>
      <c r="F11" s="47">
        <v>0</v>
      </c>
      <c r="G11" s="47">
        <v>0</v>
      </c>
      <c r="H11" s="47">
        <v>0</v>
      </c>
      <c r="I11" s="47">
        <v>0</v>
      </c>
      <c r="J11" s="47">
        <v>0</v>
      </c>
      <c r="K11" s="47">
        <v>0</v>
      </c>
      <c r="L11" s="326" t="s">
        <v>143</v>
      </c>
      <c r="M11" s="88"/>
      <c r="P11" s="178">
        <f t="shared" si="1"/>
        <v>44929</v>
      </c>
      <c r="Q11" s="14">
        <v>4297885</v>
      </c>
      <c r="R11" s="14">
        <v>4927820</v>
      </c>
    </row>
    <row r="12" spans="1:18" ht="15.95" customHeight="1">
      <c r="A12" s="347"/>
      <c r="B12" s="50" t="s">
        <v>267</v>
      </c>
      <c r="C12" s="48">
        <f>[3]Sheet1!$E$24+[3]Sheet1!$E$21</f>
        <v>134236.69999999998</v>
      </c>
      <c r="D12" s="47">
        <f>C12</f>
        <v>134236.69999999998</v>
      </c>
      <c r="E12" s="47">
        <v>0</v>
      </c>
      <c r="F12" s="47">
        <v>0</v>
      </c>
      <c r="G12" s="47">
        <v>0</v>
      </c>
      <c r="H12" s="47">
        <v>0</v>
      </c>
      <c r="I12" s="47">
        <v>0</v>
      </c>
      <c r="J12" s="47">
        <v>0</v>
      </c>
      <c r="K12" s="47">
        <v>0</v>
      </c>
      <c r="L12" s="346" t="s">
        <v>143</v>
      </c>
      <c r="P12" s="178">
        <f t="shared" si="1"/>
        <v>44960</v>
      </c>
      <c r="Q12" s="14">
        <v>4006974</v>
      </c>
      <c r="R12" s="14">
        <v>4606610</v>
      </c>
    </row>
    <row r="13" spans="1:18" ht="15.95" customHeight="1">
      <c r="A13" s="347"/>
      <c r="B13" s="50" t="s">
        <v>263</v>
      </c>
      <c r="C13" s="48">
        <f>[3]Sheet1!$E$13</f>
        <v>74014.61000000003</v>
      </c>
      <c r="D13" s="47">
        <f>C13</f>
        <v>74014.61000000003</v>
      </c>
      <c r="E13" s="47">
        <v>0</v>
      </c>
      <c r="F13" s="47">
        <v>0</v>
      </c>
      <c r="G13" s="47">
        <v>0</v>
      </c>
      <c r="H13" s="47">
        <v>0</v>
      </c>
      <c r="I13" s="47">
        <v>0</v>
      </c>
      <c r="J13" s="47">
        <v>0</v>
      </c>
      <c r="K13" s="47">
        <v>0</v>
      </c>
      <c r="L13" s="346" t="s">
        <v>143</v>
      </c>
      <c r="P13" s="178">
        <f t="shared" si="1"/>
        <v>44991</v>
      </c>
      <c r="Q13" s="14">
        <v>4037781</v>
      </c>
      <c r="R13" s="14">
        <v>4818540</v>
      </c>
    </row>
    <row r="14" spans="1:18" ht="15.95" customHeight="1">
      <c r="A14" s="347"/>
      <c r="B14" s="50" t="s">
        <v>12</v>
      </c>
      <c r="C14" s="48">
        <f>[3]Sheet1!$E$20</f>
        <v>846924.21000000008</v>
      </c>
      <c r="D14" s="47">
        <f>C14*70%</f>
        <v>592846.94700000004</v>
      </c>
      <c r="E14" s="47">
        <f>C14*30%</f>
        <v>254077.26300000001</v>
      </c>
      <c r="F14" s="47">
        <f t="shared" ref="F14:K14" si="2">0%*$C$14</f>
        <v>0</v>
      </c>
      <c r="G14" s="47">
        <f t="shared" si="2"/>
        <v>0</v>
      </c>
      <c r="H14" s="47">
        <f t="shared" si="2"/>
        <v>0</v>
      </c>
      <c r="I14" s="47">
        <f t="shared" si="2"/>
        <v>0</v>
      </c>
      <c r="J14" s="47">
        <f t="shared" si="2"/>
        <v>0</v>
      </c>
      <c r="K14" s="47">
        <f t="shared" si="2"/>
        <v>0</v>
      </c>
      <c r="L14" s="326" t="s">
        <v>254</v>
      </c>
      <c r="P14" s="178">
        <f t="shared" si="1"/>
        <v>45022</v>
      </c>
      <c r="Q14" s="14">
        <v>3896947</v>
      </c>
      <c r="R14" s="14">
        <v>4818540</v>
      </c>
    </row>
    <row r="15" spans="1:18" ht="15.95" customHeight="1">
      <c r="A15" s="345" t="s">
        <v>200</v>
      </c>
      <c r="B15" s="47"/>
      <c r="C15" s="49">
        <f t="shared" ref="C15:K15" si="3">SUM(C5:C14)</f>
        <v>2591145.3200000003</v>
      </c>
      <c r="D15" s="49">
        <f t="shared" si="3"/>
        <v>2124869.642</v>
      </c>
      <c r="E15" s="49">
        <f t="shared" si="3"/>
        <v>466275.67800000007</v>
      </c>
      <c r="F15" s="49">
        <f t="shared" si="3"/>
        <v>0</v>
      </c>
      <c r="G15" s="49">
        <f t="shared" si="3"/>
        <v>0</v>
      </c>
      <c r="H15" s="49">
        <f t="shared" si="3"/>
        <v>0</v>
      </c>
      <c r="I15" s="49">
        <f t="shared" si="3"/>
        <v>0</v>
      </c>
      <c r="J15" s="49">
        <f t="shared" si="3"/>
        <v>0</v>
      </c>
      <c r="K15" s="49">
        <f t="shared" si="3"/>
        <v>0</v>
      </c>
      <c r="L15" s="349" t="str">
        <f>IF(C15=SUM(D15:K15),"balance","error")</f>
        <v>balance</v>
      </c>
      <c r="P15" s="178">
        <f t="shared" si="1"/>
        <v>45053</v>
      </c>
      <c r="Q15" s="14">
        <v>4593605</v>
      </c>
      <c r="R15" s="14">
        <v>5439360</v>
      </c>
    </row>
    <row r="16" spans="1:18" ht="9.9499999999999993" customHeight="1">
      <c r="A16" s="345"/>
      <c r="B16" s="47"/>
      <c r="C16" s="47"/>
      <c r="D16" s="47"/>
      <c r="E16" s="47"/>
      <c r="F16" s="47"/>
      <c r="G16" s="47"/>
      <c r="H16" s="47"/>
      <c r="I16" s="47"/>
      <c r="J16" s="47"/>
      <c r="K16" s="47"/>
      <c r="L16" s="349"/>
      <c r="P16" s="178">
        <f t="shared" si="1"/>
        <v>45084</v>
      </c>
      <c r="Q16" s="52">
        <v>4914413</v>
      </c>
      <c r="R16" s="52">
        <v>5776140</v>
      </c>
    </row>
    <row r="17" spans="1:18" ht="15.95" customHeight="1">
      <c r="A17" s="345" t="s">
        <v>201</v>
      </c>
      <c r="B17" s="47"/>
      <c r="C17" s="47"/>
      <c r="D17" s="47"/>
      <c r="E17" s="47"/>
      <c r="F17" s="47"/>
      <c r="G17" s="47"/>
      <c r="H17" s="47"/>
      <c r="I17" s="47"/>
      <c r="J17" s="47"/>
      <c r="K17" s="47"/>
      <c r="L17" s="349"/>
      <c r="P17" s="178"/>
      <c r="Q17" s="14">
        <f>AVERAGE(Q5:Q16)</f>
        <v>4450668.333333333</v>
      </c>
      <c r="R17" s="14">
        <f>MAX(R5:R16)</f>
        <v>6320580</v>
      </c>
    </row>
    <row r="18" spans="1:18" ht="15.95" customHeight="1">
      <c r="A18" s="347"/>
      <c r="B18" s="50" t="s">
        <v>256</v>
      </c>
      <c r="C18" s="48">
        <f>[3]Sheet1!$G$3</f>
        <v>541991.44999999995</v>
      </c>
      <c r="D18" s="47">
        <v>0</v>
      </c>
      <c r="E18" s="47">
        <f>C18*'distr main analysis'!$D$28</f>
        <v>216796.58</v>
      </c>
      <c r="F18" s="47">
        <f>C18*'distr main analysis'!$D$17</f>
        <v>220990.32538513263</v>
      </c>
      <c r="G18" s="47">
        <v>0</v>
      </c>
      <c r="H18" s="47">
        <v>0</v>
      </c>
      <c r="I18" s="47">
        <f>C18*'distr main analysis'!$D$32</f>
        <v>104204.54461486737</v>
      </c>
      <c r="J18" s="47">
        <v>0</v>
      </c>
      <c r="K18" s="47">
        <v>0</v>
      </c>
      <c r="L18" s="350" t="s">
        <v>94</v>
      </c>
      <c r="Q18" s="55">
        <f>Q17/R17</f>
        <v>0.70415505117146415</v>
      </c>
      <c r="R18" s="55">
        <f>100%-Q18</f>
        <v>0.29584494882853585</v>
      </c>
    </row>
    <row r="19" spans="1:18" ht="15.95" customHeight="1">
      <c r="A19" s="347"/>
      <c r="B19" s="50" t="s">
        <v>257</v>
      </c>
      <c r="C19" s="48">
        <f>[3]Sheet1!$G$5</f>
        <v>56571.86</v>
      </c>
      <c r="D19" s="47">
        <v>0</v>
      </c>
      <c r="E19" s="47">
        <f>C19*'distr main analysis'!$D$28</f>
        <v>22628.744000000002</v>
      </c>
      <c r="F19" s="47">
        <f>C19*'distr main analysis'!$D$17</f>
        <v>23066.47779968147</v>
      </c>
      <c r="G19" s="47">
        <v>0</v>
      </c>
      <c r="H19" s="47">
        <v>0</v>
      </c>
      <c r="I19" s="47">
        <f>C19*'distr main analysis'!$D$32</f>
        <v>10876.63820031853</v>
      </c>
      <c r="J19" s="47">
        <v>0</v>
      </c>
      <c r="K19" s="47">
        <v>0</v>
      </c>
      <c r="L19" s="350" t="s">
        <v>94</v>
      </c>
      <c r="N19" s="89"/>
    </row>
    <row r="20" spans="1:18" ht="15.95" customHeight="1">
      <c r="A20" s="347"/>
      <c r="B20" s="50" t="s">
        <v>258</v>
      </c>
      <c r="C20" s="48">
        <f>[3]Sheet1!$G$8</f>
        <v>71527.48</v>
      </c>
      <c r="D20" s="47">
        <f t="shared" ref="D20:D25" si="4">C20</f>
        <v>71527.48</v>
      </c>
      <c r="E20" s="47">
        <v>0</v>
      </c>
      <c r="F20" s="47">
        <v>0</v>
      </c>
      <c r="G20" s="47">
        <v>0</v>
      </c>
      <c r="H20" s="47">
        <v>0</v>
      </c>
      <c r="I20" s="47">
        <v>0</v>
      </c>
      <c r="J20" s="47">
        <v>0</v>
      </c>
      <c r="K20" s="47">
        <v>0</v>
      </c>
      <c r="L20" s="350" t="s">
        <v>143</v>
      </c>
      <c r="N20" s="89"/>
    </row>
    <row r="21" spans="1:18" ht="15.95" customHeight="1">
      <c r="A21" s="347"/>
      <c r="B21" s="50" t="s">
        <v>259</v>
      </c>
      <c r="C21" s="48">
        <f>[3]Sheet1!$G$6</f>
        <v>111830.27</v>
      </c>
      <c r="D21" s="47">
        <f t="shared" si="4"/>
        <v>111830.27</v>
      </c>
      <c r="E21" s="47">
        <v>0</v>
      </c>
      <c r="F21" s="47">
        <v>0</v>
      </c>
      <c r="G21" s="47">
        <v>0</v>
      </c>
      <c r="H21" s="47">
        <v>0</v>
      </c>
      <c r="I21" s="47">
        <v>0</v>
      </c>
      <c r="J21" s="47">
        <v>0</v>
      </c>
      <c r="K21" s="47">
        <v>0</v>
      </c>
      <c r="L21" s="350" t="s">
        <v>143</v>
      </c>
      <c r="N21" s="89"/>
    </row>
    <row r="22" spans="1:18" ht="15.95" customHeight="1">
      <c r="A22" s="347"/>
      <c r="B22" s="50" t="s">
        <v>162</v>
      </c>
      <c r="C22" s="48">
        <f>[3]Sheet1!$E$28</f>
        <v>364492.49</v>
      </c>
      <c r="D22" s="47">
        <f>(C22-G22-3058.44)*70%</f>
        <v>204338.981</v>
      </c>
      <c r="E22" s="47">
        <f>((C22-G22-3058.44)*30%)+(3058.44*'distr main analysis'!D28)</f>
        <v>88797.225000000006</v>
      </c>
      <c r="F22" s="47">
        <f>3058.44*'distr main analysis'!D17</f>
        <v>1247.0411678466608</v>
      </c>
      <c r="G22" s="47">
        <f>5504.38+64016.84</f>
        <v>69521.22</v>
      </c>
      <c r="H22" s="47">
        <v>0</v>
      </c>
      <c r="I22" s="47">
        <f>3058.44*'distr main analysis'!D32</f>
        <v>588.02283215333932</v>
      </c>
      <c r="J22" s="47">
        <v>0</v>
      </c>
      <c r="K22" s="47">
        <v>0</v>
      </c>
      <c r="L22" s="350" t="s">
        <v>291</v>
      </c>
    </row>
    <row r="23" spans="1:18" ht="15.95" customHeight="1">
      <c r="A23" s="347"/>
      <c r="B23" s="50" t="s">
        <v>268</v>
      </c>
      <c r="C23" s="48">
        <f>[3]Sheet1!$E$18</f>
        <v>69672.11</v>
      </c>
      <c r="D23" s="47"/>
      <c r="E23" s="47">
        <f>C23*'distr main analysis'!D28</f>
        <v>27868.844000000001</v>
      </c>
      <c r="F23" s="47">
        <f>C23*'distr main analysis'!D17</f>
        <v>28407.943075797146</v>
      </c>
      <c r="G23" s="47">
        <v>0</v>
      </c>
      <c r="H23" s="47">
        <v>0</v>
      </c>
      <c r="I23" s="47">
        <f>C23*'distr main analysis'!D32</f>
        <v>13395.322924202859</v>
      </c>
      <c r="J23" s="47">
        <v>0</v>
      </c>
      <c r="K23" s="47">
        <v>0</v>
      </c>
      <c r="L23" s="350" t="s">
        <v>94</v>
      </c>
    </row>
    <row r="24" spans="1:18" ht="15.95" customHeight="1">
      <c r="A24" s="347"/>
      <c r="B24" s="50" t="s">
        <v>202</v>
      </c>
      <c r="C24" s="48">
        <f>[3]Sheet1!$E$12</f>
        <v>64188.640000000014</v>
      </c>
      <c r="D24" s="47">
        <f t="shared" si="4"/>
        <v>64188.640000000014</v>
      </c>
      <c r="E24" s="47">
        <v>0</v>
      </c>
      <c r="F24" s="47">
        <v>0</v>
      </c>
      <c r="G24" s="47">
        <v>0</v>
      </c>
      <c r="H24" s="47">
        <v>0</v>
      </c>
      <c r="I24" s="47">
        <v>0</v>
      </c>
      <c r="J24" s="47">
        <v>0</v>
      </c>
      <c r="K24" s="47">
        <v>0</v>
      </c>
      <c r="L24" s="350" t="s">
        <v>143</v>
      </c>
    </row>
    <row r="25" spans="1:18" ht="15.95" customHeight="1">
      <c r="A25" s="347"/>
      <c r="B25" s="47" t="s">
        <v>278</v>
      </c>
      <c r="C25" s="48">
        <f>[3]Sheet1!$E$26</f>
        <v>21032.54</v>
      </c>
      <c r="D25" s="47">
        <f t="shared" si="4"/>
        <v>21032.54</v>
      </c>
      <c r="E25" s="47">
        <v>0</v>
      </c>
      <c r="F25" s="47">
        <v>0</v>
      </c>
      <c r="G25" s="47">
        <v>0</v>
      </c>
      <c r="H25" s="47">
        <v>0</v>
      </c>
      <c r="I25" s="47">
        <v>0</v>
      </c>
      <c r="J25" s="47">
        <v>0</v>
      </c>
      <c r="K25" s="47">
        <v>0</v>
      </c>
      <c r="L25" s="350" t="s">
        <v>143</v>
      </c>
    </row>
    <row r="26" spans="1:18" ht="15.95" customHeight="1">
      <c r="A26" s="347"/>
      <c r="B26" s="47" t="s">
        <v>266</v>
      </c>
      <c r="C26" s="48">
        <f>[3]Sheet1!$E$17+[3]Sheet1!$E$23</f>
        <v>163436.31000000003</v>
      </c>
      <c r="D26" s="47">
        <v>0</v>
      </c>
      <c r="E26" s="47">
        <f>C26*'distr main analysis'!D28</f>
        <v>65374.524000000012</v>
      </c>
      <c r="F26" s="47">
        <f>C26*'distr main analysis'!D17</f>
        <v>66639.138544796995</v>
      </c>
      <c r="G26" s="47">
        <v>0</v>
      </c>
      <c r="H26" s="47">
        <v>0</v>
      </c>
      <c r="I26" s="47">
        <f>C26*'distr main analysis'!D32</f>
        <v>31422.647455203023</v>
      </c>
      <c r="J26" s="47">
        <v>0</v>
      </c>
      <c r="K26" s="47">
        <v>0</v>
      </c>
      <c r="L26" s="350" t="s">
        <v>94</v>
      </c>
    </row>
    <row r="27" spans="1:18" ht="15.95" customHeight="1">
      <c r="A27" s="347"/>
      <c r="B27" s="47" t="s">
        <v>285</v>
      </c>
      <c r="C27" s="48">
        <f>[3]Sheet1!$E$15+[3]Sheet1!$E$22</f>
        <v>245831.1100000001</v>
      </c>
      <c r="D27" s="47">
        <v>0</v>
      </c>
      <c r="E27" s="47">
        <v>0</v>
      </c>
      <c r="F27" s="47">
        <v>0</v>
      </c>
      <c r="G27" s="47">
        <v>0</v>
      </c>
      <c r="H27" s="47">
        <f>C27</f>
        <v>245831.1100000001</v>
      </c>
      <c r="I27" s="47">
        <v>0</v>
      </c>
      <c r="J27" s="47">
        <v>0</v>
      </c>
      <c r="K27" s="47">
        <v>0</v>
      </c>
      <c r="L27" s="350" t="s">
        <v>134</v>
      </c>
    </row>
    <row r="28" spans="1:18" ht="15.95" customHeight="1">
      <c r="A28" s="347"/>
      <c r="B28" s="47" t="s">
        <v>270</v>
      </c>
      <c r="C28" s="48">
        <f>[3]Sheet1!$E$25+[3]Sheet1!$E$47</f>
        <v>62921.67</v>
      </c>
      <c r="D28" s="47">
        <v>0</v>
      </c>
      <c r="E28" s="47">
        <f>C28*'distr main analysis'!$D$28</f>
        <v>25168.668000000001</v>
      </c>
      <c r="F28" s="47">
        <f>C28*'distr main analysis'!$D$17</f>
        <v>25655.534468442147</v>
      </c>
      <c r="G28" s="47">
        <v>0</v>
      </c>
      <c r="H28" s="47">
        <v>0</v>
      </c>
      <c r="I28" s="47">
        <f>C28*'distr main analysis'!$D$32</f>
        <v>12097.467531557853</v>
      </c>
      <c r="J28" s="47">
        <v>0</v>
      </c>
      <c r="K28" s="47">
        <v>0</v>
      </c>
      <c r="L28" s="350" t="s">
        <v>94</v>
      </c>
    </row>
    <row r="29" spans="1:18" ht="15.95" customHeight="1">
      <c r="A29" s="345" t="s">
        <v>164</v>
      </c>
      <c r="B29" s="47"/>
      <c r="C29" s="49">
        <f t="shared" ref="C29:K29" si="5">SUM(C18:C28)</f>
        <v>1773495.93</v>
      </c>
      <c r="D29" s="49">
        <f t="shared" si="5"/>
        <v>472917.91100000002</v>
      </c>
      <c r="E29" s="49">
        <f t="shared" si="5"/>
        <v>446634.58500000002</v>
      </c>
      <c r="F29" s="49">
        <f t="shared" si="5"/>
        <v>366006.4604416971</v>
      </c>
      <c r="G29" s="49">
        <f t="shared" si="5"/>
        <v>69521.22</v>
      </c>
      <c r="H29" s="49">
        <f t="shared" si="5"/>
        <v>245831.1100000001</v>
      </c>
      <c r="I29" s="49">
        <f t="shared" si="5"/>
        <v>172584.64355830298</v>
      </c>
      <c r="J29" s="49">
        <f t="shared" si="5"/>
        <v>0</v>
      </c>
      <c r="K29" s="49">
        <f t="shared" si="5"/>
        <v>0</v>
      </c>
      <c r="L29" s="351" t="str">
        <f>IF(SUM(D29:K29)=C29,"balance","")</f>
        <v>balance</v>
      </c>
    </row>
    <row r="30" spans="1:18" ht="9.9499999999999993" customHeight="1">
      <c r="A30" s="345"/>
      <c r="B30" s="47"/>
      <c r="C30" s="47"/>
      <c r="D30" s="47"/>
      <c r="E30" s="47"/>
      <c r="F30" s="47"/>
      <c r="G30" s="47"/>
      <c r="H30" s="47"/>
      <c r="I30" s="47"/>
      <c r="J30" s="47"/>
      <c r="K30" s="47"/>
      <c r="L30" s="346"/>
    </row>
    <row r="31" spans="1:18" ht="15.95" customHeight="1">
      <c r="A31" s="345" t="s">
        <v>141</v>
      </c>
      <c r="B31" s="47"/>
      <c r="C31" s="47"/>
      <c r="D31" s="47"/>
      <c r="E31" s="47"/>
      <c r="F31" s="47"/>
      <c r="G31" s="47"/>
      <c r="H31" s="47"/>
      <c r="I31" s="47"/>
      <c r="J31" s="47"/>
      <c r="K31" s="47"/>
      <c r="L31" s="346"/>
    </row>
    <row r="32" spans="1:18" ht="15.95" customHeight="1">
      <c r="A32" s="347"/>
      <c r="B32" s="50" t="s">
        <v>256</v>
      </c>
      <c r="C32" s="48">
        <f>[3]Sheet1!$H$3+[3]Sheet1!$I$3</f>
        <v>284719.63</v>
      </c>
      <c r="D32" s="47">
        <f>[3]Sheet1!$H$3</f>
        <v>243460.75</v>
      </c>
      <c r="E32" s="47">
        <v>0</v>
      </c>
      <c r="F32" s="47">
        <v>0</v>
      </c>
      <c r="G32" s="47">
        <f>[3]Sheet1!$I$3</f>
        <v>41258.879999999997</v>
      </c>
      <c r="H32" s="47">
        <v>0</v>
      </c>
      <c r="I32" s="47">
        <v>0</v>
      </c>
      <c r="J32" s="47">
        <v>0</v>
      </c>
      <c r="K32" s="47">
        <v>0</v>
      </c>
      <c r="L32" s="346" t="s">
        <v>279</v>
      </c>
    </row>
    <row r="33" spans="1:12" ht="15.95" customHeight="1">
      <c r="A33" s="347"/>
      <c r="B33" s="50" t="s">
        <v>257</v>
      </c>
      <c r="C33" s="48">
        <f>[3]Sheet1!$H$5+[3]Sheet1!$I$5</f>
        <v>5050.4400000000005</v>
      </c>
      <c r="D33" s="47">
        <f>[3]Sheet1!$H$5</f>
        <v>3509.81</v>
      </c>
      <c r="E33" s="47">
        <v>0</v>
      </c>
      <c r="F33" s="47">
        <v>0</v>
      </c>
      <c r="G33" s="47">
        <f>[3]Sheet1!$I$5</f>
        <v>1540.63</v>
      </c>
      <c r="H33" s="47">
        <v>0</v>
      </c>
      <c r="I33" s="47">
        <v>0</v>
      </c>
      <c r="J33" s="47">
        <v>0</v>
      </c>
      <c r="K33" s="47">
        <v>0</v>
      </c>
      <c r="L33" s="346" t="s">
        <v>279</v>
      </c>
    </row>
    <row r="34" spans="1:12" ht="15.95" customHeight="1">
      <c r="A34" s="347"/>
      <c r="B34" s="50" t="s">
        <v>258</v>
      </c>
      <c r="C34" s="48">
        <f>[3]Sheet1!$H$8+[3]Sheet1!$I$8</f>
        <v>40248.42</v>
      </c>
      <c r="D34" s="47">
        <f>[3]Sheet1!$H$8</f>
        <v>33962.5</v>
      </c>
      <c r="E34" s="47">
        <v>0</v>
      </c>
      <c r="F34" s="47">
        <v>0</v>
      </c>
      <c r="G34" s="47">
        <f>[3]Sheet1!$I$8</f>
        <v>6285.92</v>
      </c>
      <c r="H34" s="47">
        <v>0</v>
      </c>
      <c r="I34" s="47">
        <v>0</v>
      </c>
      <c r="J34" s="47">
        <v>0</v>
      </c>
      <c r="K34" s="47">
        <v>0</v>
      </c>
      <c r="L34" s="346" t="s">
        <v>279</v>
      </c>
    </row>
    <row r="35" spans="1:12" ht="15.95" customHeight="1">
      <c r="A35" s="347"/>
      <c r="B35" s="50" t="s">
        <v>259</v>
      </c>
      <c r="C35" s="48">
        <f>[3]Sheet1!$H$6+[3]Sheet1!$I$6</f>
        <v>56269.11</v>
      </c>
      <c r="D35" s="47">
        <f>[3]Sheet1!$H$6</f>
        <v>41640.1</v>
      </c>
      <c r="E35" s="47">
        <v>0</v>
      </c>
      <c r="F35" s="47">
        <v>0</v>
      </c>
      <c r="G35" s="47">
        <f>[3]Sheet1!$I$6</f>
        <v>14629.01</v>
      </c>
      <c r="H35" s="47">
        <v>0</v>
      </c>
      <c r="I35" s="47">
        <v>0</v>
      </c>
      <c r="J35" s="47">
        <v>0</v>
      </c>
      <c r="K35" s="47">
        <v>0</v>
      </c>
      <c r="L35" s="346" t="s">
        <v>279</v>
      </c>
    </row>
    <row r="36" spans="1:12" ht="15.95" customHeight="1">
      <c r="A36" s="347"/>
      <c r="B36" s="50" t="s">
        <v>260</v>
      </c>
      <c r="C36" s="48">
        <f>[3]Sheet1!$E$7+[3]Sheet1!$E$10</f>
        <v>25540.78</v>
      </c>
      <c r="D36" s="47">
        <f>C36</f>
        <v>25540.78</v>
      </c>
      <c r="E36" s="47">
        <v>0</v>
      </c>
      <c r="F36" s="47">
        <v>0</v>
      </c>
      <c r="G36" s="47">
        <v>0</v>
      </c>
      <c r="H36" s="47">
        <v>0</v>
      </c>
      <c r="I36" s="47">
        <v>0</v>
      </c>
      <c r="J36" s="47">
        <v>0</v>
      </c>
      <c r="K36" s="47">
        <v>0</v>
      </c>
      <c r="L36" s="346" t="s">
        <v>143</v>
      </c>
    </row>
    <row r="37" spans="1:12" ht="15.95" customHeight="1">
      <c r="A37" s="347"/>
      <c r="B37" s="50" t="s">
        <v>255</v>
      </c>
      <c r="C37" s="48">
        <f>[3]Sheet1!$E$2</f>
        <v>25914</v>
      </c>
      <c r="D37" s="47">
        <v>0</v>
      </c>
      <c r="E37" s="47">
        <v>0</v>
      </c>
      <c r="F37" s="47">
        <v>0</v>
      </c>
      <c r="G37" s="47">
        <v>0</v>
      </c>
      <c r="H37" s="47">
        <v>0</v>
      </c>
      <c r="I37" s="47">
        <v>0</v>
      </c>
      <c r="J37" s="47">
        <v>0</v>
      </c>
      <c r="K37" s="47">
        <f>C37</f>
        <v>25914</v>
      </c>
      <c r="L37" s="346" t="s">
        <v>280</v>
      </c>
    </row>
    <row r="38" spans="1:12" ht="15.95" customHeight="1">
      <c r="A38" s="347"/>
      <c r="B38" s="50" t="s">
        <v>262</v>
      </c>
      <c r="C38" s="48">
        <f>[3]Sheet1!$J$6</f>
        <v>9582.57</v>
      </c>
      <c r="D38" s="47">
        <v>0</v>
      </c>
      <c r="E38" s="47">
        <v>0</v>
      </c>
      <c r="F38" s="47">
        <v>0</v>
      </c>
      <c r="G38" s="47">
        <v>0</v>
      </c>
      <c r="H38" s="47">
        <v>0</v>
      </c>
      <c r="I38" s="47">
        <v>0</v>
      </c>
      <c r="J38" s="47">
        <v>0</v>
      </c>
      <c r="K38" s="47">
        <f>C38</f>
        <v>9582.57</v>
      </c>
      <c r="L38" s="346" t="s">
        <v>280</v>
      </c>
    </row>
    <row r="39" spans="1:12" ht="15.95" customHeight="1">
      <c r="A39" s="347"/>
      <c r="B39" s="50" t="s">
        <v>261</v>
      </c>
      <c r="C39" s="48">
        <f>[3]Sheet1!$J$8</f>
        <v>2381.1999999999998</v>
      </c>
      <c r="D39" s="47">
        <v>0</v>
      </c>
      <c r="E39" s="47">
        <v>0</v>
      </c>
      <c r="F39" s="47">
        <v>0</v>
      </c>
      <c r="G39" s="47">
        <v>0</v>
      </c>
      <c r="H39" s="47">
        <v>0</v>
      </c>
      <c r="I39" s="47">
        <v>0</v>
      </c>
      <c r="J39" s="47">
        <v>0</v>
      </c>
      <c r="K39" s="47">
        <f>C39</f>
        <v>2381.1999999999998</v>
      </c>
      <c r="L39" s="346" t="s">
        <v>280</v>
      </c>
    </row>
    <row r="40" spans="1:12" ht="15.95" customHeight="1">
      <c r="A40" s="347"/>
      <c r="B40" s="50" t="s">
        <v>276</v>
      </c>
      <c r="C40" s="48">
        <f>[3]Sheet1!$E$31</f>
        <v>7900.7799999999988</v>
      </c>
      <c r="D40" s="47">
        <f>C40</f>
        <v>7900.7799999999988</v>
      </c>
      <c r="E40" s="47">
        <v>0</v>
      </c>
      <c r="F40" s="47">
        <v>0</v>
      </c>
      <c r="G40" s="47">
        <v>0</v>
      </c>
      <c r="H40" s="47">
        <v>0</v>
      </c>
      <c r="I40" s="47">
        <v>0</v>
      </c>
      <c r="J40" s="47">
        <v>0</v>
      </c>
      <c r="K40" s="47">
        <v>0</v>
      </c>
      <c r="L40" s="346" t="s">
        <v>143</v>
      </c>
    </row>
    <row r="41" spans="1:12" ht="15.95" customHeight="1">
      <c r="A41" s="347"/>
      <c r="B41" s="14" t="s">
        <v>203</v>
      </c>
      <c r="C41" s="48">
        <f>[3]Sheet1!$E$29</f>
        <v>7119.5600000000013</v>
      </c>
      <c r="D41" s="47">
        <f t="shared" ref="D41" si="6">C41</f>
        <v>7119.5600000000013</v>
      </c>
      <c r="E41" s="47">
        <v>0</v>
      </c>
      <c r="F41" s="47">
        <v>0</v>
      </c>
      <c r="G41" s="47">
        <v>0</v>
      </c>
      <c r="H41" s="47">
        <v>0</v>
      </c>
      <c r="I41" s="47">
        <v>0</v>
      </c>
      <c r="J41" s="47">
        <v>0</v>
      </c>
      <c r="K41" s="47">
        <v>0</v>
      </c>
      <c r="L41" s="346" t="s">
        <v>143</v>
      </c>
    </row>
    <row r="42" spans="1:12" ht="15.95" customHeight="1">
      <c r="A42" s="347"/>
      <c r="B42" s="50" t="s">
        <v>271</v>
      </c>
      <c r="C42" s="48">
        <f>[3]Sheet1!$E$27</f>
        <v>31225.600000000002</v>
      </c>
      <c r="D42" s="47">
        <v>0</v>
      </c>
      <c r="E42" s="47">
        <v>0</v>
      </c>
      <c r="F42" s="47">
        <v>0</v>
      </c>
      <c r="G42" s="47">
        <f>C42</f>
        <v>31225.600000000002</v>
      </c>
      <c r="H42" s="47">
        <v>0</v>
      </c>
      <c r="I42" s="47">
        <v>0</v>
      </c>
      <c r="J42" s="47">
        <v>0</v>
      </c>
      <c r="K42" s="47">
        <v>0</v>
      </c>
      <c r="L42" s="346" t="s">
        <v>139</v>
      </c>
    </row>
    <row r="43" spans="1:12" ht="15.95" customHeight="1">
      <c r="A43" s="347"/>
      <c r="B43" s="50" t="s">
        <v>264</v>
      </c>
      <c r="C43" s="48">
        <f>[3]Sheet1!$E$14</f>
        <v>26203.889999999996</v>
      </c>
      <c r="D43" s="47">
        <v>0</v>
      </c>
      <c r="E43" s="47">
        <v>0</v>
      </c>
      <c r="F43" s="47">
        <v>0</v>
      </c>
      <c r="G43" s="47">
        <f>C43</f>
        <v>26203.889999999996</v>
      </c>
      <c r="H43" s="47">
        <v>0</v>
      </c>
      <c r="I43" s="47">
        <v>0</v>
      </c>
      <c r="J43" s="47">
        <v>0</v>
      </c>
      <c r="K43" s="47">
        <v>0</v>
      </c>
      <c r="L43" s="346" t="s">
        <v>139</v>
      </c>
    </row>
    <row r="44" spans="1:12" ht="15.95" customHeight="1">
      <c r="A44" s="347"/>
      <c r="B44" s="50" t="s">
        <v>275</v>
      </c>
      <c r="C44" s="48">
        <f>[3]Sheet1!$E$32</f>
        <v>105474.48000000001</v>
      </c>
      <c r="D44" s="47">
        <f>$C$44*ssplant!D56/ssplant!$C$56</f>
        <v>43731.87600418846</v>
      </c>
      <c r="E44" s="47">
        <f>$C$44*ssplant!E56/ssplant!$C$56</f>
        <v>14724.165121179052</v>
      </c>
      <c r="F44" s="47">
        <f>$C$44*ssplant!F56/ssplant!$C$56</f>
        <v>14382.180507270083</v>
      </c>
      <c r="G44" s="47">
        <f>$C$44*ssplant!G56/ssplant!$C$56</f>
        <v>0</v>
      </c>
      <c r="H44" s="47">
        <f>$C$44*ssplant!H56/ssplant!$C$56</f>
        <v>3715.0356182010219</v>
      </c>
      <c r="I44" s="47">
        <f>$C$44*ssplant!I56/ssplant!$C$56</f>
        <v>6781.6931248779747</v>
      </c>
      <c r="J44" s="47">
        <f>$C$44*ssplant!J56/ssplant!$C$56</f>
        <v>0</v>
      </c>
      <c r="K44" s="47">
        <f>$C$44*ssplant!K56/ssplant!$C$56</f>
        <v>22139.529624283434</v>
      </c>
      <c r="L44" s="346" t="s">
        <v>165</v>
      </c>
    </row>
    <row r="45" spans="1:12" ht="15.95" customHeight="1">
      <c r="A45" s="352"/>
      <c r="B45" s="50" t="s">
        <v>128</v>
      </c>
      <c r="C45" s="48">
        <f>[3]Sheet1!$E$33</f>
        <v>23670.17</v>
      </c>
      <c r="D45" s="47">
        <f>C45</f>
        <v>23670.17</v>
      </c>
      <c r="E45" s="47">
        <v>0</v>
      </c>
      <c r="F45" s="47">
        <v>0</v>
      </c>
      <c r="G45" s="47">
        <v>0</v>
      </c>
      <c r="H45" s="47">
        <v>0</v>
      </c>
      <c r="I45" s="47">
        <v>0</v>
      </c>
      <c r="J45" s="47">
        <v>0</v>
      </c>
      <c r="K45" s="47">
        <v>0</v>
      </c>
      <c r="L45" s="346" t="s">
        <v>143</v>
      </c>
    </row>
    <row r="46" spans="1:12" ht="15.95" customHeight="1">
      <c r="A46" s="347"/>
      <c r="B46" s="50" t="s">
        <v>273</v>
      </c>
      <c r="C46" s="48">
        <f>[3]Sheet1!$E$35</f>
        <v>14689.879999999997</v>
      </c>
      <c r="D46" s="47">
        <v>0</v>
      </c>
      <c r="E46" s="47">
        <v>0</v>
      </c>
      <c r="F46" s="47">
        <f>C46</f>
        <v>14689.879999999997</v>
      </c>
      <c r="G46" s="47">
        <v>0</v>
      </c>
      <c r="H46" s="47">
        <v>0</v>
      </c>
      <c r="I46" s="47">
        <v>0</v>
      </c>
      <c r="J46" s="47">
        <v>0</v>
      </c>
      <c r="K46" s="47">
        <v>0</v>
      </c>
      <c r="L46" s="346" t="s">
        <v>138</v>
      </c>
    </row>
    <row r="47" spans="1:12" ht="15.95" customHeight="1">
      <c r="A47" s="347"/>
      <c r="B47" s="50" t="s">
        <v>274</v>
      </c>
      <c r="C47" s="48">
        <f>[3]Sheet1!$E$34</f>
        <v>7058.0800000000008</v>
      </c>
      <c r="D47" s="47">
        <f>C47</f>
        <v>7058.0800000000008</v>
      </c>
      <c r="E47" s="47">
        <v>0</v>
      </c>
      <c r="F47" s="47">
        <v>0</v>
      </c>
      <c r="G47" s="47">
        <v>0</v>
      </c>
      <c r="H47" s="47">
        <v>0</v>
      </c>
      <c r="I47" s="47">
        <v>0</v>
      </c>
      <c r="J47" s="47">
        <v>0</v>
      </c>
      <c r="K47" s="47">
        <v>0</v>
      </c>
      <c r="L47" s="346" t="s">
        <v>143</v>
      </c>
    </row>
    <row r="48" spans="1:12" ht="15.95" customHeight="1">
      <c r="A48" s="347"/>
      <c r="B48" s="50" t="s">
        <v>140</v>
      </c>
      <c r="C48" s="48">
        <f>[3]Sheet1!$E$11</f>
        <v>2025.07</v>
      </c>
      <c r="D48" s="47">
        <v>0</v>
      </c>
      <c r="E48" s="47">
        <v>0</v>
      </c>
      <c r="F48" s="47">
        <v>0</v>
      </c>
      <c r="G48" s="47">
        <f>C48</f>
        <v>2025.07</v>
      </c>
      <c r="H48" s="47">
        <v>0</v>
      </c>
      <c r="I48" s="47">
        <v>0</v>
      </c>
      <c r="J48" s="47">
        <v>0</v>
      </c>
      <c r="K48" s="47">
        <v>0</v>
      </c>
      <c r="L48" s="346" t="s">
        <v>139</v>
      </c>
    </row>
    <row r="49" spans="1:17" ht="15.95" customHeight="1">
      <c r="A49" s="352"/>
      <c r="B49" s="47" t="s">
        <v>277</v>
      </c>
      <c r="C49" s="48">
        <f>[3]Sheet1!$E$37</f>
        <v>3964.95</v>
      </c>
      <c r="D49" s="47">
        <f>C49</f>
        <v>3964.95</v>
      </c>
      <c r="E49" s="47">
        <v>0</v>
      </c>
      <c r="F49" s="47">
        <v>0</v>
      </c>
      <c r="G49" s="47">
        <v>0</v>
      </c>
      <c r="H49" s="47">
        <v>0</v>
      </c>
      <c r="I49" s="47">
        <v>0</v>
      </c>
      <c r="J49" s="47">
        <v>0</v>
      </c>
      <c r="K49" s="47">
        <v>0</v>
      </c>
      <c r="L49" s="346" t="s">
        <v>143</v>
      </c>
    </row>
    <row r="50" spans="1:17" ht="15.95" customHeight="1">
      <c r="A50" s="347"/>
      <c r="B50" s="47" t="s">
        <v>265</v>
      </c>
      <c r="C50" s="48">
        <f>[3]Sheet1!$E$16</f>
        <v>13464.43</v>
      </c>
      <c r="D50" s="47">
        <f>C50</f>
        <v>13464.43</v>
      </c>
      <c r="E50" s="47">
        <v>0</v>
      </c>
      <c r="F50" s="47">
        <v>0</v>
      </c>
      <c r="G50" s="47">
        <v>0</v>
      </c>
      <c r="H50" s="47">
        <v>0</v>
      </c>
      <c r="I50" s="47">
        <v>0</v>
      </c>
      <c r="J50" s="47">
        <v>0</v>
      </c>
      <c r="K50" s="47">
        <v>0</v>
      </c>
      <c r="L50" s="346" t="s">
        <v>143</v>
      </c>
    </row>
    <row r="51" spans="1:17" ht="15.95" customHeight="1">
      <c r="A51" s="345" t="s">
        <v>142</v>
      </c>
      <c r="B51" s="47"/>
      <c r="C51" s="49">
        <f t="shared" ref="C51:K51" si="7">SUM(C32:C50)</f>
        <v>692503.04000000004</v>
      </c>
      <c r="D51" s="49">
        <f t="shared" si="7"/>
        <v>455023.78600418841</v>
      </c>
      <c r="E51" s="49">
        <f t="shared" si="7"/>
        <v>14724.165121179052</v>
      </c>
      <c r="F51" s="49">
        <f t="shared" si="7"/>
        <v>29072.060507270078</v>
      </c>
      <c r="G51" s="49">
        <f t="shared" si="7"/>
        <v>123169</v>
      </c>
      <c r="H51" s="49">
        <f t="shared" si="7"/>
        <v>3715.0356182010219</v>
      </c>
      <c r="I51" s="49">
        <f t="shared" si="7"/>
        <v>6781.6931248779747</v>
      </c>
      <c r="J51" s="49">
        <f t="shared" si="7"/>
        <v>0</v>
      </c>
      <c r="K51" s="49">
        <f t="shared" si="7"/>
        <v>60017.299624283434</v>
      </c>
      <c r="L51" s="351" t="str">
        <f>IF(C51=SUM(D51:K51),"balance","error")</f>
        <v>balance</v>
      </c>
    </row>
    <row r="52" spans="1:17" ht="9.9499999999999993" customHeight="1">
      <c r="A52" s="345"/>
      <c r="B52" s="47"/>
      <c r="C52" s="47"/>
      <c r="D52" s="47"/>
      <c r="E52" s="47"/>
      <c r="F52" s="47"/>
      <c r="G52" s="47"/>
      <c r="H52" s="47"/>
      <c r="I52" s="47"/>
      <c r="J52" s="47"/>
      <c r="K52" s="47"/>
      <c r="L52" s="349"/>
    </row>
    <row r="53" spans="1:17" ht="15.95" customHeight="1">
      <c r="A53" s="345" t="s">
        <v>144</v>
      </c>
      <c r="B53" s="47"/>
      <c r="C53" s="49">
        <f t="shared" ref="C53:K53" si="8">C51+C15+C29</f>
        <v>5057144.29</v>
      </c>
      <c r="D53" s="49">
        <f t="shared" si="8"/>
        <v>3052811.3390041883</v>
      </c>
      <c r="E53" s="49">
        <f t="shared" si="8"/>
        <v>927634.42812117911</v>
      </c>
      <c r="F53" s="49">
        <f t="shared" si="8"/>
        <v>395078.5209489672</v>
      </c>
      <c r="G53" s="49">
        <f t="shared" si="8"/>
        <v>192690.22</v>
      </c>
      <c r="H53" s="49">
        <f t="shared" si="8"/>
        <v>249546.14561820112</v>
      </c>
      <c r="I53" s="49">
        <f t="shared" si="8"/>
        <v>179366.33668318097</v>
      </c>
      <c r="J53" s="49">
        <f t="shared" si="8"/>
        <v>0</v>
      </c>
      <c r="K53" s="49">
        <f t="shared" si="8"/>
        <v>60017.299624283434</v>
      </c>
      <c r="L53" s="346"/>
    </row>
    <row r="54" spans="1:17" ht="15.95" customHeight="1">
      <c r="A54" s="353"/>
      <c r="B54" s="47"/>
      <c r="C54" s="49"/>
      <c r="D54" s="51">
        <f>D53/$C$53</f>
        <v>0.603663088087247</v>
      </c>
      <c r="E54" s="51">
        <f t="shared" ref="E54:K54" si="9">E53/$C$53</f>
        <v>0.1834304846621608</v>
      </c>
      <c r="F54" s="51">
        <f t="shared" si="9"/>
        <v>7.8122849239282269E-2</v>
      </c>
      <c r="G54" s="51">
        <f t="shared" si="9"/>
        <v>3.8102575079976608E-2</v>
      </c>
      <c r="H54" s="51">
        <f t="shared" si="9"/>
        <v>4.9345269050688111E-2</v>
      </c>
      <c r="I54" s="51">
        <f t="shared" si="9"/>
        <v>3.546790963387382E-2</v>
      </c>
      <c r="J54" s="51">
        <f t="shared" si="9"/>
        <v>0</v>
      </c>
      <c r="K54" s="51">
        <f t="shared" si="9"/>
        <v>1.186782424677138E-2</v>
      </c>
      <c r="L54" s="346" t="s">
        <v>153</v>
      </c>
    </row>
    <row r="55" spans="1:17" ht="9.9499999999999993" customHeight="1">
      <c r="A55" s="353"/>
      <c r="B55" s="47"/>
      <c r="C55" s="47"/>
      <c r="D55" s="47"/>
      <c r="E55" s="47"/>
      <c r="F55" s="47"/>
      <c r="G55" s="47"/>
      <c r="H55" s="47"/>
      <c r="I55" s="47"/>
      <c r="J55" s="47"/>
      <c r="K55" s="47"/>
      <c r="L55" s="346"/>
    </row>
    <row r="56" spans="1:17" ht="15.95" customHeight="1">
      <c r="A56" s="347"/>
      <c r="B56" s="47" t="s">
        <v>154</v>
      </c>
      <c r="C56" s="48">
        <f>[3]Sheet1!$E$9</f>
        <v>115930.07000000005</v>
      </c>
      <c r="D56" s="47">
        <v>65721</v>
      </c>
      <c r="E56" s="47">
        <v>18745</v>
      </c>
      <c r="F56" s="47">
        <v>19107</v>
      </c>
      <c r="G56" s="47">
        <v>3347</v>
      </c>
      <c r="H56" s="47">
        <v>0</v>
      </c>
      <c r="I56" s="47">
        <v>9010</v>
      </c>
      <c r="J56" s="47">
        <v>0</v>
      </c>
      <c r="K56" s="47">
        <v>0</v>
      </c>
      <c r="L56" s="346" t="s">
        <v>286</v>
      </c>
    </row>
    <row r="57" spans="1:17" ht="15.95" customHeight="1">
      <c r="A57" s="347"/>
      <c r="B57" s="47" t="s">
        <v>137</v>
      </c>
      <c r="C57" s="48"/>
      <c r="D57" s="47">
        <f>C57</f>
        <v>0</v>
      </c>
      <c r="E57" s="47">
        <f>0%*$C$57</f>
        <v>0</v>
      </c>
      <c r="F57" s="47">
        <f t="shared" ref="F57:K57" si="10">0%*$C$57</f>
        <v>0</v>
      </c>
      <c r="G57" s="47">
        <v>0</v>
      </c>
      <c r="H57" s="47">
        <f t="shared" si="10"/>
        <v>0</v>
      </c>
      <c r="I57" s="47">
        <f t="shared" si="10"/>
        <v>0</v>
      </c>
      <c r="J57" s="47">
        <f t="shared" si="10"/>
        <v>0</v>
      </c>
      <c r="K57" s="47">
        <f t="shared" si="10"/>
        <v>0</v>
      </c>
      <c r="L57" s="346" t="s">
        <v>143</v>
      </c>
    </row>
    <row r="58" spans="1:17" ht="15.95" customHeight="1">
      <c r="A58" s="345" t="s">
        <v>13</v>
      </c>
      <c r="B58" s="47"/>
      <c r="C58" s="49">
        <f t="shared" ref="C58:K58" si="11">SUM(C56:C57)</f>
        <v>115930.07000000005</v>
      </c>
      <c r="D58" s="49">
        <f t="shared" si="11"/>
        <v>65721</v>
      </c>
      <c r="E58" s="49">
        <f t="shared" si="11"/>
        <v>18745</v>
      </c>
      <c r="F58" s="49">
        <f t="shared" si="11"/>
        <v>19107</v>
      </c>
      <c r="G58" s="49">
        <f t="shared" si="11"/>
        <v>3347</v>
      </c>
      <c r="H58" s="49">
        <f>SUM(H56:H57)</f>
        <v>0</v>
      </c>
      <c r="I58" s="49">
        <f t="shared" si="11"/>
        <v>9010</v>
      </c>
      <c r="J58" s="49">
        <f t="shared" si="11"/>
        <v>0</v>
      </c>
      <c r="K58" s="49">
        <f t="shared" si="11"/>
        <v>0</v>
      </c>
      <c r="L58" s="351" t="str">
        <f>IF(C58=SUM(D58:K58),"balance","rounding error only")</f>
        <v>rounding error only</v>
      </c>
    </row>
    <row r="59" spans="1:17" ht="9.9499999999999993" customHeight="1">
      <c r="A59" s="345"/>
      <c r="B59" s="47"/>
      <c r="C59" s="47"/>
      <c r="D59" s="47"/>
      <c r="E59" s="47"/>
      <c r="F59" s="47"/>
      <c r="G59" s="47"/>
      <c r="H59" s="47"/>
      <c r="I59" s="47"/>
      <c r="J59" s="47"/>
      <c r="K59" s="47"/>
      <c r="L59" s="346"/>
    </row>
    <row r="60" spans="1:17" ht="15.95" customHeight="1">
      <c r="A60" s="345"/>
      <c r="B60" s="47" t="s">
        <v>14</v>
      </c>
      <c r="C60" s="85">
        <f>'debt svc'!H19</f>
        <v>373137.14</v>
      </c>
      <c r="D60" s="47">
        <f>(C60-H60)*70%</f>
        <v>228707.15700000001</v>
      </c>
      <c r="E60" s="47">
        <f>(C60-H60)*30%</f>
        <v>98017.353000000003</v>
      </c>
      <c r="F60" s="47">
        <v>0</v>
      </c>
      <c r="G60" s="47">
        <v>0</v>
      </c>
      <c r="H60" s="47">
        <f>53%*('debt svc'!H3)</f>
        <v>46412.630000000005</v>
      </c>
      <c r="I60" s="47">
        <v>0</v>
      </c>
      <c r="J60" s="47">
        <v>0</v>
      </c>
      <c r="K60" s="47">
        <v>0</v>
      </c>
      <c r="L60" s="326" t="s">
        <v>254</v>
      </c>
      <c r="M60" s="137"/>
      <c r="Q60" s="1"/>
    </row>
    <row r="61" spans="1:17" ht="15.95" customHeight="1">
      <c r="A61" s="345"/>
      <c r="B61" s="47" t="s">
        <v>15</v>
      </c>
      <c r="C61" s="86">
        <f>[3]Sheet1!$E$45</f>
        <v>140787.20999999996</v>
      </c>
      <c r="D61" s="47">
        <f>(C61-H61)*70%</f>
        <v>86596.313999999969</v>
      </c>
      <c r="E61" s="47">
        <f>(C61-H61)*30%</f>
        <v>37112.705999999984</v>
      </c>
      <c r="F61" s="47">
        <v>0</v>
      </c>
      <c r="G61" s="47">
        <v>0</v>
      </c>
      <c r="H61" s="47">
        <f>53%*'debt svc'!G3</f>
        <v>17078.190000000002</v>
      </c>
      <c r="I61" s="47">
        <v>0</v>
      </c>
      <c r="J61" s="47">
        <v>0</v>
      </c>
      <c r="K61" s="47">
        <v>0</v>
      </c>
      <c r="L61" s="326" t="s">
        <v>254</v>
      </c>
      <c r="M61" s="137"/>
    </row>
    <row r="62" spans="1:17" ht="15.95" customHeight="1">
      <c r="A62" s="345" t="s">
        <v>16</v>
      </c>
      <c r="B62" s="47"/>
      <c r="C62" s="49">
        <f>C60+C61</f>
        <v>513924.35</v>
      </c>
      <c r="D62" s="49">
        <f t="shared" ref="D62:K62" si="12">D60+D61</f>
        <v>315303.47099999996</v>
      </c>
      <c r="E62" s="49">
        <f t="shared" si="12"/>
        <v>135130.05899999998</v>
      </c>
      <c r="F62" s="49">
        <f t="shared" si="12"/>
        <v>0</v>
      </c>
      <c r="G62" s="49">
        <f t="shared" si="12"/>
        <v>0</v>
      </c>
      <c r="H62" s="49">
        <f t="shared" si="12"/>
        <v>63490.820000000007</v>
      </c>
      <c r="I62" s="49">
        <f t="shared" si="12"/>
        <v>0</v>
      </c>
      <c r="J62" s="49">
        <f t="shared" si="12"/>
        <v>0</v>
      </c>
      <c r="K62" s="49">
        <f t="shared" si="12"/>
        <v>0</v>
      </c>
      <c r="L62" s="351" t="str">
        <f>IF(C62=SUM(D62:K62),"balance","error")</f>
        <v>balance</v>
      </c>
    </row>
    <row r="63" spans="1:17" ht="9.9499999999999993" customHeight="1">
      <c r="A63" s="345"/>
      <c r="B63" s="47"/>
      <c r="C63" s="47"/>
      <c r="D63" s="47"/>
      <c r="E63" s="47"/>
      <c r="F63" s="47"/>
      <c r="G63" s="47"/>
      <c r="H63" s="47"/>
      <c r="I63" s="47"/>
      <c r="J63" s="47"/>
      <c r="K63" s="47"/>
      <c r="L63" s="351"/>
    </row>
    <row r="64" spans="1:17" ht="15.95" customHeight="1">
      <c r="A64" s="345" t="s">
        <v>152</v>
      </c>
      <c r="B64" s="47"/>
      <c r="C64" s="86">
        <f>3981+'TY depreciation'!C35</f>
        <v>1750196.54</v>
      </c>
      <c r="D64" s="86">
        <f>'TY depreciation'!D35</f>
        <v>585767.04546708765</v>
      </c>
      <c r="E64" s="86">
        <f>'TY depreciation'!E35</f>
        <v>559629.22593464446</v>
      </c>
      <c r="F64" s="86">
        <f>'TY depreciation'!F35</f>
        <v>348276.05461778876</v>
      </c>
      <c r="G64" s="86">
        <f>'TY depreciation'!G35</f>
        <v>0</v>
      </c>
      <c r="H64" s="86">
        <f>'TY depreciation'!H35</f>
        <v>52335.244090792912</v>
      </c>
      <c r="I64" s="86">
        <f>'TY depreciation'!I35</f>
        <v>164224.14695512693</v>
      </c>
      <c r="J64" s="86">
        <f>'TY depreciation'!J35</f>
        <v>0</v>
      </c>
      <c r="K64" s="86">
        <f>'TY depreciation'!K35+3981</f>
        <v>39964.822934559335</v>
      </c>
      <c r="L64" s="351" t="s">
        <v>172</v>
      </c>
    </row>
    <row r="65" spans="1:14" ht="9.9499999999999993" customHeight="1">
      <c r="A65" s="345"/>
      <c r="B65" s="47"/>
      <c r="C65" s="47"/>
      <c r="D65" s="47"/>
      <c r="E65" s="47"/>
      <c r="F65" s="47"/>
      <c r="G65" s="47"/>
      <c r="H65" s="47"/>
      <c r="I65" s="47"/>
      <c r="J65" s="47"/>
      <c r="K65" s="47"/>
      <c r="L65" s="351"/>
    </row>
    <row r="66" spans="1:14" ht="15.95" customHeight="1">
      <c r="A66" s="345" t="s">
        <v>17</v>
      </c>
      <c r="B66" s="47"/>
      <c r="C66" s="49">
        <f t="shared" ref="C66:K66" si="13">C64+C62+C58+C53</f>
        <v>7437195.25</v>
      </c>
      <c r="D66" s="49">
        <f t="shared" si="13"/>
        <v>4019602.8554712757</v>
      </c>
      <c r="E66" s="49">
        <f t="shared" si="13"/>
        <v>1641138.7130558235</v>
      </c>
      <c r="F66" s="49">
        <f t="shared" si="13"/>
        <v>762461.57556675596</v>
      </c>
      <c r="G66" s="49">
        <f t="shared" si="13"/>
        <v>196037.22</v>
      </c>
      <c r="H66" s="49">
        <f t="shared" si="13"/>
        <v>365372.20970899402</v>
      </c>
      <c r="I66" s="49">
        <f t="shared" si="13"/>
        <v>352600.48363830789</v>
      </c>
      <c r="J66" s="49">
        <f t="shared" si="13"/>
        <v>0</v>
      </c>
      <c r="K66" s="49">
        <f t="shared" si="13"/>
        <v>99982.122558842762</v>
      </c>
      <c r="L66" s="351" t="str">
        <f>IF(C66=SUM(D66:K66),"balance","rounding error only")</f>
        <v>rounding error only</v>
      </c>
    </row>
    <row r="67" spans="1:14" ht="9.9499999999999993" customHeight="1">
      <c r="A67" s="345"/>
      <c r="B67" s="47"/>
      <c r="C67" s="47"/>
      <c r="D67" s="47"/>
      <c r="E67" s="47"/>
      <c r="F67" s="47"/>
      <c r="G67" s="47"/>
      <c r="H67" s="47"/>
      <c r="I67" s="47"/>
      <c r="J67" s="47"/>
      <c r="K67" s="47"/>
      <c r="L67" s="357"/>
    </row>
    <row r="68" spans="1:14" ht="15.95" customHeight="1">
      <c r="A68" s="345" t="s">
        <v>18</v>
      </c>
      <c r="B68" s="47"/>
      <c r="C68" s="47"/>
      <c r="D68" s="47"/>
      <c r="E68" s="47"/>
      <c r="F68" s="47"/>
      <c r="G68" s="47"/>
      <c r="H68" s="47"/>
      <c r="I68" s="47"/>
      <c r="J68" s="47"/>
      <c r="K68" s="47"/>
      <c r="L68" s="346"/>
    </row>
    <row r="69" spans="1:14" ht="15.95" customHeight="1">
      <c r="A69" s="347" t="s">
        <v>125</v>
      </c>
      <c r="B69" s="47" t="s">
        <v>19</v>
      </c>
      <c r="C69" s="48">
        <v>-69177</v>
      </c>
      <c r="D69" s="47">
        <v>0</v>
      </c>
      <c r="E69" s="47">
        <v>0</v>
      </c>
      <c r="F69" s="47">
        <v>0</v>
      </c>
      <c r="G69" s="47">
        <f>C69</f>
        <v>-69177</v>
      </c>
      <c r="H69" s="47">
        <v>0</v>
      </c>
      <c r="I69" s="47">
        <v>0</v>
      </c>
      <c r="J69" s="47">
        <v>0</v>
      </c>
      <c r="K69" s="47">
        <v>0</v>
      </c>
      <c r="L69" s="346" t="s">
        <v>289</v>
      </c>
    </row>
    <row r="70" spans="1:14" ht="15.95" customHeight="1">
      <c r="A70" s="347" t="s">
        <v>126</v>
      </c>
      <c r="B70" s="47" t="s">
        <v>171</v>
      </c>
      <c r="C70" s="48">
        <f>-1*(31770+38903+350)</f>
        <v>-71023</v>
      </c>
      <c r="D70" s="47">
        <f>C70</f>
        <v>-71023</v>
      </c>
      <c r="E70" s="47">
        <v>0</v>
      </c>
      <c r="F70" s="47">
        <v>0</v>
      </c>
      <c r="G70" s="47">
        <v>0</v>
      </c>
      <c r="H70" s="47">
        <v>0</v>
      </c>
      <c r="I70" s="47">
        <v>0</v>
      </c>
      <c r="J70" s="47">
        <v>0</v>
      </c>
      <c r="K70" s="47">
        <v>0</v>
      </c>
      <c r="L70" s="346" t="s">
        <v>287</v>
      </c>
    </row>
    <row r="71" spans="1:14" ht="15.95" customHeight="1">
      <c r="A71" s="347" t="s">
        <v>127</v>
      </c>
      <c r="B71" s="47" t="s">
        <v>161</v>
      </c>
      <c r="C71" s="48">
        <v>-890432</v>
      </c>
      <c r="D71" s="47">
        <v>0</v>
      </c>
      <c r="E71" s="47">
        <v>0</v>
      </c>
      <c r="F71" s="47">
        <f>C71</f>
        <v>-890432</v>
      </c>
      <c r="G71" s="47">
        <v>0</v>
      </c>
      <c r="H71" s="47">
        <v>0</v>
      </c>
      <c r="I71" s="47">
        <v>0</v>
      </c>
      <c r="J71" s="47">
        <v>0</v>
      </c>
      <c r="K71" s="47">
        <v>0</v>
      </c>
      <c r="L71" s="346" t="s">
        <v>302</v>
      </c>
    </row>
    <row r="72" spans="1:14" ht="15.95" customHeight="1">
      <c r="A72" s="347" t="s">
        <v>125</v>
      </c>
      <c r="B72" s="47" t="s">
        <v>19</v>
      </c>
      <c r="C72" s="48">
        <f>-1*(275728+887)</f>
        <v>-276615</v>
      </c>
      <c r="D72" s="47">
        <v>0</v>
      </c>
      <c r="E72" s="47">
        <v>0</v>
      </c>
      <c r="F72" s="47">
        <v>0</v>
      </c>
      <c r="G72" s="47">
        <v>0</v>
      </c>
      <c r="H72" s="47">
        <f>C72</f>
        <v>-276615</v>
      </c>
      <c r="I72" s="47">
        <v>0</v>
      </c>
      <c r="J72" s="47">
        <v>0</v>
      </c>
      <c r="K72" s="47">
        <v>0</v>
      </c>
      <c r="L72" s="346" t="s">
        <v>288</v>
      </c>
    </row>
    <row r="73" spans="1:14" ht="15.95" customHeight="1">
      <c r="A73" s="345" t="s">
        <v>20</v>
      </c>
      <c r="B73" s="47"/>
      <c r="C73" s="49">
        <f>SUM(C69:C72)</f>
        <v>-1307247</v>
      </c>
      <c r="D73" s="49">
        <f t="shared" ref="D73:K73" si="14">SUM(D69:D72)</f>
        <v>-71023</v>
      </c>
      <c r="E73" s="49">
        <f t="shared" si="14"/>
        <v>0</v>
      </c>
      <c r="F73" s="49">
        <f t="shared" si="14"/>
        <v>-890432</v>
      </c>
      <c r="G73" s="49">
        <f t="shared" si="14"/>
        <v>-69177</v>
      </c>
      <c r="H73" s="49">
        <f t="shared" si="14"/>
        <v>-276615</v>
      </c>
      <c r="I73" s="49">
        <f t="shared" si="14"/>
        <v>0</v>
      </c>
      <c r="J73" s="49">
        <f t="shared" si="14"/>
        <v>0</v>
      </c>
      <c r="K73" s="49">
        <f t="shared" si="14"/>
        <v>0</v>
      </c>
      <c r="L73" s="351" t="str">
        <f>IF(C73=SUM(D73:K73),"balance","error")</f>
        <v>balance</v>
      </c>
    </row>
    <row r="74" spans="1:14" ht="9.9499999999999993" customHeight="1">
      <c r="A74" s="345"/>
      <c r="B74" s="47"/>
      <c r="C74" s="47"/>
      <c r="D74" s="47"/>
      <c r="E74" s="47"/>
      <c r="F74" s="47"/>
      <c r="G74" s="47"/>
      <c r="H74" s="47"/>
      <c r="I74" s="47"/>
      <c r="J74" s="47"/>
      <c r="K74" s="47"/>
      <c r="L74" s="358"/>
    </row>
    <row r="75" spans="1:14" ht="15.95" customHeight="1" thickBot="1">
      <c r="A75" s="359" t="s">
        <v>428</v>
      </c>
      <c r="B75" s="360"/>
      <c r="C75" s="361">
        <f>C73+C66</f>
        <v>6129948.25</v>
      </c>
      <c r="D75" s="361">
        <f t="shared" ref="D75:K75" si="15">D73+D66</f>
        <v>3948579.8554712757</v>
      </c>
      <c r="E75" s="361">
        <f t="shared" si="15"/>
        <v>1641138.7130558235</v>
      </c>
      <c r="F75" s="361">
        <f t="shared" si="15"/>
        <v>-127970.42443324404</v>
      </c>
      <c r="G75" s="361">
        <f t="shared" si="15"/>
        <v>126860.22</v>
      </c>
      <c r="H75" s="361">
        <f t="shared" si="15"/>
        <v>88757.209708994022</v>
      </c>
      <c r="I75" s="361">
        <f t="shared" si="15"/>
        <v>352600.48363830789</v>
      </c>
      <c r="J75" s="361">
        <f t="shared" si="15"/>
        <v>0</v>
      </c>
      <c r="K75" s="361">
        <f t="shared" si="15"/>
        <v>99982.122558842762</v>
      </c>
      <c r="L75" s="362" t="str">
        <f>IF(C75=SUM(D75:K75),"balance","rounding error only")</f>
        <v>rounding error only</v>
      </c>
    </row>
    <row r="76" spans="1:14" ht="6" customHeight="1" thickTop="1"/>
    <row r="77" spans="1:14" ht="15" customHeight="1">
      <c r="B77" s="430"/>
      <c r="C77" s="430"/>
      <c r="D77" s="83"/>
      <c r="E77" s="97"/>
      <c r="F77" s="136"/>
      <c r="G77" s="96"/>
    </row>
    <row r="78" spans="1:14" customFormat="1" ht="15" customHeight="1"/>
    <row r="79" spans="1:14" s="96" customFormat="1" ht="15" customHeight="1">
      <c r="A79" s="84"/>
      <c r="B79"/>
      <c r="C79"/>
      <c r="D79"/>
      <c r="E79"/>
      <c r="F79"/>
      <c r="G79"/>
      <c r="H79"/>
      <c r="I79"/>
      <c r="K79" s="83">
        <v>707328</v>
      </c>
      <c r="L79" s="432" t="s">
        <v>394</v>
      </c>
      <c r="M79" s="432"/>
    </row>
    <row r="80" spans="1:14" s="96" customFormat="1" ht="15">
      <c r="A80" s="84"/>
      <c r="B80"/>
      <c r="C80"/>
      <c r="D80"/>
      <c r="E80"/>
      <c r="F80"/>
      <c r="G80"/>
      <c r="H80"/>
      <c r="I80"/>
      <c r="K80" s="83">
        <v>362128</v>
      </c>
      <c r="L80" s="432" t="s">
        <v>393</v>
      </c>
      <c r="M80" s="432"/>
      <c r="N80" s="97" t="s">
        <v>301</v>
      </c>
    </row>
    <row r="81" spans="2:14" ht="15">
      <c r="B81"/>
      <c r="C81"/>
      <c r="D81"/>
      <c r="E81"/>
      <c r="F81"/>
      <c r="G81"/>
      <c r="H81"/>
      <c r="I81"/>
      <c r="K81" s="83">
        <f>K79-K80</f>
        <v>345200</v>
      </c>
      <c r="L81" s="432" t="s">
        <v>395</v>
      </c>
      <c r="M81" s="432"/>
      <c r="N81" s="44" t="s">
        <v>47</v>
      </c>
    </row>
    <row r="82" spans="2:14" ht="15">
      <c r="B82"/>
      <c r="C82"/>
      <c r="D82"/>
      <c r="E82"/>
      <c r="F82"/>
      <c r="G82"/>
      <c r="H82"/>
      <c r="I82"/>
    </row>
    <row r="83" spans="2:14" ht="15">
      <c r="B83"/>
      <c r="C83"/>
      <c r="D83"/>
      <c r="E83"/>
      <c r="F83"/>
      <c r="G83"/>
      <c r="H83"/>
      <c r="I83"/>
    </row>
    <row r="84" spans="2:14" ht="15">
      <c r="B84"/>
      <c r="C84"/>
      <c r="D84"/>
      <c r="E84"/>
      <c r="F84"/>
      <c r="G84"/>
      <c r="H84"/>
      <c r="I84"/>
    </row>
    <row r="85" spans="2:14" ht="15">
      <c r="B85"/>
      <c r="C85"/>
      <c r="D85"/>
      <c r="E85"/>
      <c r="F85"/>
      <c r="G85"/>
      <c r="H85"/>
      <c r="I85"/>
    </row>
    <row r="87" spans="2:14" ht="15">
      <c r="B87"/>
    </row>
  </sheetData>
  <mergeCells count="5">
    <mergeCell ref="B77:C77"/>
    <mergeCell ref="Q3:R3"/>
    <mergeCell ref="L79:M79"/>
    <mergeCell ref="L80:M80"/>
    <mergeCell ref="L81:M81"/>
  </mergeCells>
  <phoneticPr fontId="4" type="noConversion"/>
  <printOptions horizontalCentered="1"/>
  <pageMargins left="0.25" right="0.25" top="1.1499999999999999" bottom="0.75" header="0.45" footer="0.25"/>
  <pageSetup orientation="landscape" cellComments="asDisplayed" horizontalDpi="4294967292" verticalDpi="4294967292"/>
  <headerFooter>
    <oddHeader xml:space="preserve">&amp;C&amp;10&amp;K000000Bardstown Water Utility
Functionalization and Allocation of Expenses - Test Year (FY23)  &amp;R&amp;16&amp;K42000A </oddHeader>
    <oddFooter>&amp;L&amp;"Avenir Book Oblique,Italic"&amp;9&amp;K38351ESRE; c allen
&amp;D</oddFooter>
  </headerFooter>
  <drawing r:id="rId1"/>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327951-FCD3-174A-9469-57FCADF272CE}">
  <sheetPr>
    <tabColor theme="8" tint="0.79998168889431442"/>
  </sheetPr>
  <dimension ref="A1:R98"/>
  <sheetViews>
    <sheetView topLeftCell="A50" zoomScale="150" zoomScaleNormal="150" workbookViewId="0">
      <selection activeCell="B58" sqref="B58"/>
    </sheetView>
  </sheetViews>
  <sheetFormatPr defaultColWidth="10.6640625" defaultRowHeight="12"/>
  <cols>
    <col min="1" max="1" width="3.5546875" style="84" customWidth="1"/>
    <col min="2" max="2" width="16.109375" style="14" customWidth="1"/>
    <col min="3" max="11" width="8.109375" style="14" customWidth="1"/>
    <col min="12" max="12" width="13.33203125" style="44" customWidth="1"/>
    <col min="13" max="13" width="8.44140625" style="45" customWidth="1"/>
    <col min="14" max="16384" width="10.6640625" style="14"/>
  </cols>
  <sheetData>
    <row r="1" spans="1:18" ht="12.75" thickTop="1">
      <c r="A1" s="341"/>
      <c r="B1" s="317"/>
      <c r="C1" s="317"/>
      <c r="D1" s="317"/>
      <c r="E1" s="317"/>
      <c r="F1" s="318"/>
      <c r="G1" s="342" t="s">
        <v>4</v>
      </c>
      <c r="H1" s="342"/>
      <c r="I1" s="317"/>
      <c r="J1" s="317"/>
      <c r="K1" s="317"/>
      <c r="L1" s="319"/>
    </row>
    <row r="2" spans="1:18" s="15" customFormat="1" ht="48.95" customHeight="1">
      <c r="A2" s="343" t="s">
        <v>0</v>
      </c>
      <c r="B2" s="163" t="s">
        <v>1</v>
      </c>
      <c r="C2" s="163" t="s">
        <v>281</v>
      </c>
      <c r="D2" s="163" t="s">
        <v>5</v>
      </c>
      <c r="E2" s="163" t="s">
        <v>6</v>
      </c>
      <c r="F2" s="163" t="s">
        <v>7</v>
      </c>
      <c r="G2" s="163" t="s">
        <v>8</v>
      </c>
      <c r="H2" s="163" t="s">
        <v>9</v>
      </c>
      <c r="I2" s="163" t="s">
        <v>10</v>
      </c>
      <c r="J2" s="163" t="s">
        <v>21</v>
      </c>
      <c r="K2" s="163" t="s">
        <v>11</v>
      </c>
      <c r="L2" s="344" t="s">
        <v>3</v>
      </c>
      <c r="M2" s="46"/>
      <c r="N2" s="433"/>
      <c r="O2" s="433"/>
    </row>
    <row r="3" spans="1:18" ht="9.9499999999999993" customHeight="1">
      <c r="A3" s="345"/>
      <c r="B3" s="47"/>
      <c r="C3" s="47"/>
      <c r="D3" s="47"/>
      <c r="E3" s="47"/>
      <c r="F3" s="47"/>
      <c r="G3" s="47"/>
      <c r="H3" s="47"/>
      <c r="I3" s="47"/>
      <c r="J3" s="47"/>
      <c r="K3" s="47"/>
      <c r="L3" s="346"/>
      <c r="Q3" s="431"/>
      <c r="R3" s="431"/>
    </row>
    <row r="4" spans="1:18" ht="15.95" customHeight="1">
      <c r="A4" s="345" t="s">
        <v>204</v>
      </c>
      <c r="B4" s="47"/>
      <c r="C4" s="47"/>
      <c r="D4" s="47"/>
      <c r="E4" s="47"/>
      <c r="F4" s="47"/>
      <c r="G4" s="47"/>
      <c r="H4" s="47"/>
      <c r="I4" s="47"/>
      <c r="J4" s="47"/>
      <c r="K4" s="47"/>
      <c r="L4" s="346"/>
      <c r="Q4" s="44"/>
      <c r="R4" s="44"/>
    </row>
    <row r="5" spans="1:18" ht="15.95" customHeight="1">
      <c r="A5" s="345"/>
      <c r="B5" s="47" t="s">
        <v>333</v>
      </c>
      <c r="C5" s="191">
        <v>425628</v>
      </c>
      <c r="D5" s="47">
        <f>C5*70%</f>
        <v>297939.59999999998</v>
      </c>
      <c r="E5" s="47">
        <f>C5*30%</f>
        <v>127688.4</v>
      </c>
      <c r="F5" s="47">
        <v>0</v>
      </c>
      <c r="G5" s="47">
        <v>0</v>
      </c>
      <c r="H5" s="47">
        <v>0</v>
      </c>
      <c r="I5" s="47">
        <v>0</v>
      </c>
      <c r="J5" s="47">
        <v>0</v>
      </c>
      <c r="K5" s="47">
        <v>0</v>
      </c>
      <c r="L5" s="326" t="s">
        <v>254</v>
      </c>
      <c r="Q5" s="44"/>
      <c r="R5" s="44"/>
    </row>
    <row r="6" spans="1:18" ht="15.95" customHeight="1">
      <c r="A6" s="347"/>
      <c r="B6" s="50" t="s">
        <v>256</v>
      </c>
      <c r="C6" s="48">
        <v>747830.29</v>
      </c>
      <c r="D6" s="47">
        <f>C6</f>
        <v>747830.29</v>
      </c>
      <c r="E6" s="47">
        <v>0</v>
      </c>
      <c r="F6" s="47">
        <v>0</v>
      </c>
      <c r="G6" s="47">
        <v>0</v>
      </c>
      <c r="H6" s="47">
        <v>0</v>
      </c>
      <c r="I6" s="47">
        <v>0</v>
      </c>
      <c r="J6" s="47">
        <v>0</v>
      </c>
      <c r="K6" s="47">
        <v>0</v>
      </c>
      <c r="L6" s="346" t="s">
        <v>143</v>
      </c>
      <c r="P6" s="178"/>
    </row>
    <row r="7" spans="1:18" ht="15.95" customHeight="1">
      <c r="A7" s="347"/>
      <c r="B7" s="50" t="s">
        <v>257</v>
      </c>
      <c r="C7" s="48">
        <v>0</v>
      </c>
      <c r="D7" s="47">
        <f t="shared" ref="D7:D10" si="0">C7</f>
        <v>0</v>
      </c>
      <c r="E7" s="47">
        <v>0</v>
      </c>
      <c r="F7" s="47">
        <v>0</v>
      </c>
      <c r="G7" s="47">
        <v>0</v>
      </c>
      <c r="H7" s="47">
        <v>0</v>
      </c>
      <c r="I7" s="47">
        <v>0</v>
      </c>
      <c r="J7" s="47">
        <v>0</v>
      </c>
      <c r="K7" s="47">
        <v>0</v>
      </c>
      <c r="L7" s="346" t="s">
        <v>143</v>
      </c>
      <c r="P7" s="178"/>
    </row>
    <row r="8" spans="1:18" ht="15.95" customHeight="1">
      <c r="A8" s="347"/>
      <c r="B8" s="50" t="s">
        <v>258</v>
      </c>
      <c r="C8" s="48">
        <v>133436.56</v>
      </c>
      <c r="D8" s="47">
        <f>C8</f>
        <v>133436.56</v>
      </c>
      <c r="E8" s="47">
        <v>0</v>
      </c>
      <c r="F8" s="47">
        <v>0</v>
      </c>
      <c r="G8" s="47">
        <v>0</v>
      </c>
      <c r="H8" s="47">
        <v>0</v>
      </c>
      <c r="I8" s="47">
        <v>0</v>
      </c>
      <c r="J8" s="47">
        <v>0</v>
      </c>
      <c r="K8" s="47">
        <v>0</v>
      </c>
      <c r="L8" s="346" t="s">
        <v>143</v>
      </c>
      <c r="P8" s="178"/>
    </row>
    <row r="9" spans="1:18" ht="15.95" customHeight="1">
      <c r="A9" s="347"/>
      <c r="B9" s="50" t="s">
        <v>259</v>
      </c>
      <c r="C9" s="86">
        <f>[3]Sheet1!$F$6</f>
        <v>118878.65</v>
      </c>
      <c r="D9" s="47">
        <f>C9</f>
        <v>118878.65</v>
      </c>
      <c r="E9" s="47">
        <v>0</v>
      </c>
      <c r="F9" s="47">
        <v>0</v>
      </c>
      <c r="G9" s="47">
        <v>0</v>
      </c>
      <c r="H9" s="47">
        <v>0</v>
      </c>
      <c r="I9" s="47">
        <v>0</v>
      </c>
      <c r="J9" s="47">
        <v>0</v>
      </c>
      <c r="K9" s="47">
        <v>0</v>
      </c>
      <c r="L9" s="346" t="s">
        <v>143</v>
      </c>
      <c r="N9" s="44"/>
      <c r="P9" s="178"/>
    </row>
    <row r="10" spans="1:18" ht="15.95" customHeight="1">
      <c r="A10" s="347"/>
      <c r="B10" s="50" t="s">
        <v>269</v>
      </c>
      <c r="C10" s="86">
        <f>[3]Sheet1!$E$19</f>
        <v>2081.69</v>
      </c>
      <c r="D10" s="47">
        <f t="shared" si="0"/>
        <v>2081.69</v>
      </c>
      <c r="E10" s="47">
        <v>0</v>
      </c>
      <c r="F10" s="47">
        <v>0</v>
      </c>
      <c r="G10" s="47">
        <v>0</v>
      </c>
      <c r="H10" s="47">
        <v>0</v>
      </c>
      <c r="I10" s="47">
        <v>0</v>
      </c>
      <c r="J10" s="47">
        <v>0</v>
      </c>
      <c r="K10" s="47">
        <v>0</v>
      </c>
      <c r="L10" s="346" t="s">
        <v>143</v>
      </c>
      <c r="N10" s="44"/>
      <c r="P10" s="178"/>
    </row>
    <row r="11" spans="1:18" ht="15.95" customHeight="1">
      <c r="A11" s="347"/>
      <c r="B11" s="14" t="s">
        <v>205</v>
      </c>
      <c r="C11" s="48">
        <f>[3]Sheet1!$E$30</f>
        <v>707328.05000000016</v>
      </c>
      <c r="D11" s="47">
        <f>(70%*362128)</f>
        <v>253489.59999999998</v>
      </c>
      <c r="E11" s="47">
        <f>(30%*362128)+(345200*'distr main analysis'!$D$28)</f>
        <v>246718.4</v>
      </c>
      <c r="F11" s="47">
        <f>345200*'distr main analysis'!$D$17</f>
        <v>140751.04011870996</v>
      </c>
      <c r="G11" s="47">
        <v>0</v>
      </c>
      <c r="H11" s="47">
        <v>0</v>
      </c>
      <c r="I11" s="47">
        <f>345200*'distr main analysis'!$D$32</f>
        <v>66368.959881290037</v>
      </c>
      <c r="J11" s="47">
        <v>0</v>
      </c>
      <c r="K11" s="47">
        <v>0</v>
      </c>
      <c r="L11" s="326" t="s">
        <v>409</v>
      </c>
      <c r="P11" s="178"/>
    </row>
    <row r="12" spans="1:18" ht="15.95" customHeight="1">
      <c r="A12" s="347"/>
      <c r="B12" s="50" t="s">
        <v>272</v>
      </c>
      <c r="C12" s="48">
        <f>[3]Sheet1!$E$36</f>
        <v>21815.41</v>
      </c>
      <c r="D12" s="47">
        <f>C12</f>
        <v>21815.41</v>
      </c>
      <c r="E12" s="47">
        <v>0</v>
      </c>
      <c r="F12" s="47">
        <v>0</v>
      </c>
      <c r="G12" s="47">
        <v>0</v>
      </c>
      <c r="H12" s="47">
        <v>0</v>
      </c>
      <c r="I12" s="47">
        <v>0</v>
      </c>
      <c r="J12" s="47">
        <v>0</v>
      </c>
      <c r="K12" s="47">
        <v>0</v>
      </c>
      <c r="L12" s="326" t="s">
        <v>143</v>
      </c>
      <c r="M12" s="88"/>
      <c r="P12" s="178"/>
    </row>
    <row r="13" spans="1:18" ht="15.95" customHeight="1">
      <c r="A13" s="347"/>
      <c r="B13" s="50" t="s">
        <v>267</v>
      </c>
      <c r="C13" s="48">
        <f>[3]Sheet1!$E$24+[3]Sheet1!$E$21+10140+9200</f>
        <v>153576.69999999998</v>
      </c>
      <c r="D13" s="47">
        <f>C13</f>
        <v>153576.69999999998</v>
      </c>
      <c r="E13" s="47">
        <v>0</v>
      </c>
      <c r="F13" s="47">
        <v>0</v>
      </c>
      <c r="G13" s="47">
        <v>0</v>
      </c>
      <c r="H13" s="47">
        <v>0</v>
      </c>
      <c r="I13" s="47">
        <v>0</v>
      </c>
      <c r="J13" s="47">
        <v>0</v>
      </c>
      <c r="K13" s="47">
        <v>0</v>
      </c>
      <c r="L13" s="346" t="s">
        <v>143</v>
      </c>
      <c r="P13" s="178"/>
    </row>
    <row r="14" spans="1:18" ht="15.95" customHeight="1">
      <c r="A14" s="347"/>
      <c r="B14" s="50" t="s">
        <v>263</v>
      </c>
      <c r="C14" s="48">
        <f>[3]Sheet1!$E$13+24493</f>
        <v>98507.61000000003</v>
      </c>
      <c r="D14" s="47">
        <f>C14</f>
        <v>98507.61000000003</v>
      </c>
      <c r="E14" s="47">
        <v>0</v>
      </c>
      <c r="F14" s="47">
        <v>0</v>
      </c>
      <c r="G14" s="47">
        <v>0</v>
      </c>
      <c r="H14" s="47">
        <v>0</v>
      </c>
      <c r="I14" s="47">
        <v>0</v>
      </c>
      <c r="J14" s="47">
        <v>0</v>
      </c>
      <c r="K14" s="47">
        <v>0</v>
      </c>
      <c r="L14" s="346" t="s">
        <v>143</v>
      </c>
      <c r="P14" s="178"/>
    </row>
    <row r="15" spans="1:18" ht="15.95" customHeight="1">
      <c r="A15" s="347"/>
      <c r="B15" s="50" t="s">
        <v>12</v>
      </c>
      <c r="C15" s="48">
        <f>[3]Sheet1!$E$20</f>
        <v>846924.21000000008</v>
      </c>
      <c r="D15" s="47">
        <f>C15*70%</f>
        <v>592846.94700000004</v>
      </c>
      <c r="E15" s="47">
        <f>C15*30%</f>
        <v>254077.26300000001</v>
      </c>
      <c r="F15" s="47">
        <f t="shared" ref="F15:K15" si="1">0%*$C$15</f>
        <v>0</v>
      </c>
      <c r="G15" s="47">
        <f t="shared" si="1"/>
        <v>0</v>
      </c>
      <c r="H15" s="47">
        <f t="shared" si="1"/>
        <v>0</v>
      </c>
      <c r="I15" s="47">
        <f t="shared" si="1"/>
        <v>0</v>
      </c>
      <c r="J15" s="47">
        <f t="shared" si="1"/>
        <v>0</v>
      </c>
      <c r="K15" s="47">
        <f t="shared" si="1"/>
        <v>0</v>
      </c>
      <c r="L15" s="326" t="s">
        <v>254</v>
      </c>
      <c r="P15" s="178"/>
    </row>
    <row r="16" spans="1:18" ht="15.95" customHeight="1">
      <c r="A16" s="347"/>
      <c r="B16" s="50" t="s">
        <v>300</v>
      </c>
      <c r="C16" s="48">
        <f>2000+13292+21125</f>
        <v>36417</v>
      </c>
      <c r="D16" s="47">
        <f>C16</f>
        <v>36417</v>
      </c>
      <c r="E16" s="47">
        <v>0</v>
      </c>
      <c r="F16" s="47">
        <v>0</v>
      </c>
      <c r="G16" s="47">
        <v>0</v>
      </c>
      <c r="H16" s="47">
        <v>0</v>
      </c>
      <c r="I16" s="47">
        <v>0</v>
      </c>
      <c r="J16" s="47">
        <v>0</v>
      </c>
      <c r="K16" s="47">
        <v>0</v>
      </c>
      <c r="L16" s="348" t="s">
        <v>143</v>
      </c>
      <c r="P16" s="178"/>
    </row>
    <row r="17" spans="1:18" ht="15.95" customHeight="1">
      <c r="A17" s="345" t="s">
        <v>200</v>
      </c>
      <c r="B17" s="47"/>
      <c r="C17" s="49">
        <f>SUM(C5:C16)</f>
        <v>3292424.1700000004</v>
      </c>
      <c r="D17" s="49">
        <f t="shared" ref="D17:K17" si="2">SUM(D5:D16)</f>
        <v>2456820.0569999996</v>
      </c>
      <c r="E17" s="49">
        <f t="shared" si="2"/>
        <v>628484.06299999997</v>
      </c>
      <c r="F17" s="49">
        <f t="shared" si="2"/>
        <v>140751.04011870996</v>
      </c>
      <c r="G17" s="49">
        <f t="shared" si="2"/>
        <v>0</v>
      </c>
      <c r="H17" s="49">
        <f t="shared" si="2"/>
        <v>0</v>
      </c>
      <c r="I17" s="49">
        <f t="shared" si="2"/>
        <v>66368.959881290037</v>
      </c>
      <c r="J17" s="49">
        <f t="shared" si="2"/>
        <v>0</v>
      </c>
      <c r="K17" s="49">
        <f t="shared" si="2"/>
        <v>0</v>
      </c>
      <c r="L17" s="349" t="str">
        <f>IF(C17=SUM(D17:K17),"balance","rounding error only")</f>
        <v>rounding error only</v>
      </c>
      <c r="P17" s="178"/>
    </row>
    <row r="18" spans="1:18" ht="9.9499999999999993" customHeight="1">
      <c r="A18" s="345"/>
      <c r="B18" s="47"/>
      <c r="C18" s="47"/>
      <c r="D18" s="47"/>
      <c r="E18" s="47"/>
      <c r="F18" s="47"/>
      <c r="G18" s="47"/>
      <c r="H18" s="47"/>
      <c r="I18" s="47"/>
      <c r="J18" s="47"/>
      <c r="K18" s="47"/>
      <c r="L18" s="349"/>
      <c r="P18" s="178"/>
    </row>
    <row r="19" spans="1:18" ht="15.95" customHeight="1">
      <c r="A19" s="345" t="s">
        <v>201</v>
      </c>
      <c r="B19" s="47"/>
      <c r="C19" s="47"/>
      <c r="D19" s="47"/>
      <c r="E19" s="47"/>
      <c r="F19" s="47"/>
      <c r="G19" s="47"/>
      <c r="H19" s="47"/>
      <c r="I19" s="47"/>
      <c r="J19" s="47"/>
      <c r="K19" s="47"/>
      <c r="L19" s="349"/>
      <c r="P19" s="178"/>
    </row>
    <row r="20" spans="1:18" ht="15.95" customHeight="1">
      <c r="A20" s="347"/>
      <c r="B20" s="50" t="s">
        <v>256</v>
      </c>
      <c r="C20" s="48">
        <v>593678.74</v>
      </c>
      <c r="D20" s="47">
        <v>0</v>
      </c>
      <c r="E20" s="47">
        <f>C20*'distr main analysis'!$D$28</f>
        <v>237471.49600000001</v>
      </c>
      <c r="F20" s="47">
        <f>C20*'distr main analysis'!$D$17</f>
        <v>242065.18004451095</v>
      </c>
      <c r="G20" s="47">
        <v>0</v>
      </c>
      <c r="H20" s="47">
        <v>0</v>
      </c>
      <c r="I20" s="47">
        <f>C20*'distr main analysis'!$D$32</f>
        <v>114142.06395548905</v>
      </c>
      <c r="J20" s="47">
        <v>0</v>
      </c>
      <c r="K20" s="47">
        <v>0</v>
      </c>
      <c r="L20" s="350" t="s">
        <v>94</v>
      </c>
      <c r="Q20" s="55"/>
      <c r="R20" s="55"/>
    </row>
    <row r="21" spans="1:18" ht="15.95" customHeight="1">
      <c r="A21" s="347"/>
      <c r="B21" s="50" t="s">
        <v>257</v>
      </c>
      <c r="C21" s="48">
        <v>0</v>
      </c>
      <c r="D21" s="47">
        <v>0</v>
      </c>
      <c r="E21" s="47">
        <f>C21*'distr main analysis'!$D$28</f>
        <v>0</v>
      </c>
      <c r="F21" s="47">
        <f>C21*'distr main analysis'!$D$17</f>
        <v>0</v>
      </c>
      <c r="G21" s="47">
        <v>0</v>
      </c>
      <c r="H21" s="47">
        <v>0</v>
      </c>
      <c r="I21" s="47">
        <f>C21*'distr main analysis'!$D$32</f>
        <v>0</v>
      </c>
      <c r="J21" s="47">
        <v>0</v>
      </c>
      <c r="K21" s="47">
        <v>0</v>
      </c>
      <c r="L21" s="350" t="s">
        <v>94</v>
      </c>
      <c r="N21" s="89"/>
    </row>
    <row r="22" spans="1:18" ht="15.95" customHeight="1">
      <c r="A22" s="347"/>
      <c r="B22" s="50" t="s">
        <v>258</v>
      </c>
      <c r="C22" s="48">
        <v>109894.35</v>
      </c>
      <c r="D22" s="47">
        <v>0</v>
      </c>
      <c r="E22" s="47">
        <f>C22*'distr main analysis'!D28</f>
        <v>43957.740000000005</v>
      </c>
      <c r="F22" s="47">
        <f>C22*'distr main analysis'!D17</f>
        <v>44808.065080155146</v>
      </c>
      <c r="G22" s="47">
        <v>0</v>
      </c>
      <c r="H22" s="47">
        <v>0</v>
      </c>
      <c r="I22" s="47">
        <f>C22*'distr main analysis'!D32</f>
        <v>21128.544919844862</v>
      </c>
      <c r="J22" s="47">
        <v>0</v>
      </c>
      <c r="K22" s="47">
        <v>0</v>
      </c>
      <c r="L22" s="350" t="s">
        <v>94</v>
      </c>
      <c r="N22" s="89"/>
    </row>
    <row r="23" spans="1:18" ht="15.95" customHeight="1">
      <c r="A23" s="347"/>
      <c r="B23" s="50" t="s">
        <v>259</v>
      </c>
      <c r="C23" s="48">
        <f>[3]Sheet1!$G$6</f>
        <v>111830.27</v>
      </c>
      <c r="D23" s="47">
        <v>0</v>
      </c>
      <c r="E23" s="47">
        <f>C23*'distr main analysis'!D28</f>
        <v>44732.108000000007</v>
      </c>
      <c r="F23" s="47">
        <f>C23*'distr main analysis'!D17</f>
        <v>45597.412570266999</v>
      </c>
      <c r="G23" s="47">
        <v>0</v>
      </c>
      <c r="H23" s="47">
        <v>0</v>
      </c>
      <c r="I23" s="47">
        <f>C23*'distr main analysis'!D32</f>
        <v>21500.749429733005</v>
      </c>
      <c r="J23" s="47">
        <v>0</v>
      </c>
      <c r="K23" s="47">
        <v>0</v>
      </c>
      <c r="L23" s="350" t="s">
        <v>94</v>
      </c>
      <c r="N23" s="89"/>
    </row>
    <row r="24" spans="1:18" ht="15.95" customHeight="1">
      <c r="A24" s="347"/>
      <c r="B24" s="50" t="s">
        <v>162</v>
      </c>
      <c r="C24" s="48">
        <f>[3]Sheet1!$E$28</f>
        <v>364492.49</v>
      </c>
      <c r="D24" s="47">
        <f>(C24-G24-3058.44)*70%</f>
        <v>204338.981</v>
      </c>
      <c r="E24" s="47">
        <f>((C24-G24-3058.44)*30%)+(3058.44*'distr main analysis'!D28)</f>
        <v>88797.225000000006</v>
      </c>
      <c r="F24" s="47">
        <f>3058.44*'distr main analysis'!D17</f>
        <v>1247.0411678466608</v>
      </c>
      <c r="G24" s="47">
        <f>5504.38+64016.84</f>
        <v>69521.22</v>
      </c>
      <c r="H24" s="47">
        <v>0</v>
      </c>
      <c r="I24" s="47">
        <f>3058.44*'distr main analysis'!D32</f>
        <v>588.02283215333932</v>
      </c>
      <c r="J24" s="47">
        <v>0</v>
      </c>
      <c r="K24" s="47">
        <v>0</v>
      </c>
      <c r="L24" s="350" t="s">
        <v>429</v>
      </c>
    </row>
    <row r="25" spans="1:18" ht="15.95" customHeight="1">
      <c r="A25" s="347"/>
      <c r="B25" s="50" t="s">
        <v>268</v>
      </c>
      <c r="C25" s="48">
        <f>[3]Sheet1!$E$18</f>
        <v>69672.11</v>
      </c>
      <c r="D25" s="47"/>
      <c r="E25" s="47">
        <f>C25*'distr main analysis'!D28</f>
        <v>27868.844000000001</v>
      </c>
      <c r="F25" s="47">
        <f>C25*'distr main analysis'!D17</f>
        <v>28407.943075797146</v>
      </c>
      <c r="G25" s="47">
        <v>0</v>
      </c>
      <c r="H25" s="47">
        <v>0</v>
      </c>
      <c r="I25" s="47">
        <f>C25*'distr main analysis'!D32</f>
        <v>13395.322924202859</v>
      </c>
      <c r="J25" s="47">
        <v>0</v>
      </c>
      <c r="K25" s="47">
        <v>0</v>
      </c>
      <c r="L25" s="350" t="s">
        <v>94</v>
      </c>
    </row>
    <row r="26" spans="1:18" ht="15.95" customHeight="1">
      <c r="A26" s="347"/>
      <c r="B26" s="50" t="s">
        <v>202</v>
      </c>
      <c r="C26" s="48">
        <f>[3]Sheet1!$E$12</f>
        <v>64188.640000000014</v>
      </c>
      <c r="D26" s="47">
        <f t="shared" ref="D26" si="3">C26</f>
        <v>64188.640000000014</v>
      </c>
      <c r="E26" s="47">
        <v>0</v>
      </c>
      <c r="F26" s="47">
        <v>0</v>
      </c>
      <c r="G26" s="47">
        <v>0</v>
      </c>
      <c r="H26" s="47">
        <v>0</v>
      </c>
      <c r="I26" s="47">
        <v>0</v>
      </c>
      <c r="J26" s="47">
        <v>0</v>
      </c>
      <c r="K26" s="47">
        <v>0</v>
      </c>
      <c r="L26" s="350" t="s">
        <v>143</v>
      </c>
    </row>
    <row r="27" spans="1:18" ht="15.95" customHeight="1">
      <c r="A27" s="347"/>
      <c r="B27" s="47" t="s">
        <v>278</v>
      </c>
      <c r="C27" s="48">
        <f>[3]Sheet1!$E$26+28776+1250+5000+1658+1450</f>
        <v>59166.54</v>
      </c>
      <c r="D27" s="47">
        <f>C27-K27</f>
        <v>22282.260000000002</v>
      </c>
      <c r="E27" s="47">
        <v>0</v>
      </c>
      <c r="F27" s="47">
        <v>0</v>
      </c>
      <c r="G27" s="47">
        <v>0</v>
      </c>
      <c r="H27" s="47">
        <v>0</v>
      </c>
      <c r="I27" s="47">
        <v>0</v>
      </c>
      <c r="J27" s="47">
        <v>0</v>
      </c>
      <c r="K27" s="47">
        <f>5000+1658+1450+(28%*28776)+13237+7482</f>
        <v>36884.28</v>
      </c>
      <c r="L27" s="350" t="s">
        <v>143</v>
      </c>
    </row>
    <row r="28" spans="1:18" ht="15.95" customHeight="1">
      <c r="A28" s="347"/>
      <c r="B28" s="47" t="s">
        <v>266</v>
      </c>
      <c r="C28" s="48">
        <f>[3]Sheet1!$E$17+[3]Sheet1!$E$23+7615+3861+7667</f>
        <v>182579.31000000003</v>
      </c>
      <c r="D28" s="47">
        <v>0</v>
      </c>
      <c r="E28" s="47">
        <f>C28*'distr main analysis'!D28</f>
        <v>73031.724000000017</v>
      </c>
      <c r="F28" s="47">
        <f>C28*'distr main analysis'!D17</f>
        <v>74444.460563894521</v>
      </c>
      <c r="G28" s="47">
        <v>0</v>
      </c>
      <c r="H28" s="47">
        <v>0</v>
      </c>
      <c r="I28" s="47">
        <f>C28*'distr main analysis'!D32</f>
        <v>35103.125436105503</v>
      </c>
      <c r="J28" s="47">
        <v>0</v>
      </c>
      <c r="K28" s="47">
        <v>0</v>
      </c>
      <c r="L28" s="350" t="s">
        <v>94</v>
      </c>
    </row>
    <row r="29" spans="1:18" ht="15.95" customHeight="1">
      <c r="A29" s="347"/>
      <c r="B29" s="47" t="s">
        <v>285</v>
      </c>
      <c r="C29" s="48">
        <f>[3]Sheet1!$E$15+[3]Sheet1!$E$22</f>
        <v>245831.1100000001</v>
      </c>
      <c r="D29" s="47">
        <v>0</v>
      </c>
      <c r="E29" s="47">
        <v>0</v>
      </c>
      <c r="F29" s="47">
        <v>0</v>
      </c>
      <c r="G29" s="47">
        <v>0</v>
      </c>
      <c r="H29" s="47">
        <f>C29</f>
        <v>245831.1100000001</v>
      </c>
      <c r="I29" s="47">
        <v>0</v>
      </c>
      <c r="J29" s="47">
        <v>0</v>
      </c>
      <c r="K29" s="47">
        <v>0</v>
      </c>
      <c r="L29" s="350" t="s">
        <v>134</v>
      </c>
    </row>
    <row r="30" spans="1:18" ht="15.95" customHeight="1">
      <c r="A30" s="347"/>
      <c r="B30" s="47" t="s">
        <v>270</v>
      </c>
      <c r="C30" s="48">
        <f>[3]Sheet1!$E$25+[3]Sheet1!$E$47</f>
        <v>62921.67</v>
      </c>
      <c r="D30" s="47">
        <v>0</v>
      </c>
      <c r="E30" s="47">
        <f>C30*'distr main analysis'!$D$28</f>
        <v>25168.668000000001</v>
      </c>
      <c r="F30" s="47">
        <f>C30*'distr main analysis'!$D$17</f>
        <v>25655.534468442147</v>
      </c>
      <c r="G30" s="47">
        <v>0</v>
      </c>
      <c r="H30" s="47">
        <v>0</v>
      </c>
      <c r="I30" s="47">
        <f>C30*'distr main analysis'!$D$32</f>
        <v>12097.467531557853</v>
      </c>
      <c r="J30" s="47">
        <v>0</v>
      </c>
      <c r="K30" s="47">
        <v>0</v>
      </c>
      <c r="L30" s="350" t="s">
        <v>94</v>
      </c>
    </row>
    <row r="31" spans="1:18" ht="15.95" customHeight="1">
      <c r="A31" s="345" t="s">
        <v>164</v>
      </c>
      <c r="B31" s="47"/>
      <c r="C31" s="49">
        <f t="shared" ref="C31:K31" si="4">SUM(C20:C30)</f>
        <v>1864255.2300000002</v>
      </c>
      <c r="D31" s="49">
        <f t="shared" si="4"/>
        <v>290809.88100000005</v>
      </c>
      <c r="E31" s="49">
        <f t="shared" si="4"/>
        <v>541027.80499999993</v>
      </c>
      <c r="F31" s="49">
        <f t="shared" si="4"/>
        <v>462225.63697091356</v>
      </c>
      <c r="G31" s="49">
        <f t="shared" si="4"/>
        <v>69521.22</v>
      </c>
      <c r="H31" s="49">
        <f t="shared" si="4"/>
        <v>245831.1100000001</v>
      </c>
      <c r="I31" s="49">
        <f t="shared" si="4"/>
        <v>217955.29702908648</v>
      </c>
      <c r="J31" s="49">
        <f t="shared" si="4"/>
        <v>0</v>
      </c>
      <c r="K31" s="49">
        <f t="shared" si="4"/>
        <v>36884.28</v>
      </c>
      <c r="L31" s="351" t="str">
        <f>IF(SUM(D31:K31)=C31,"balance","")</f>
        <v>balance</v>
      </c>
    </row>
    <row r="32" spans="1:18" ht="9.9499999999999993" customHeight="1">
      <c r="A32" s="345"/>
      <c r="B32" s="47"/>
      <c r="C32" s="47"/>
      <c r="D32" s="47"/>
      <c r="E32" s="47"/>
      <c r="F32" s="47"/>
      <c r="G32" s="47"/>
      <c r="H32" s="47"/>
      <c r="I32" s="47"/>
      <c r="J32" s="47"/>
      <c r="K32" s="47"/>
      <c r="L32" s="346"/>
    </row>
    <row r="33" spans="1:12" ht="15.95" customHeight="1">
      <c r="A33" s="345" t="s">
        <v>141</v>
      </c>
      <c r="B33" s="47"/>
      <c r="C33" s="47"/>
      <c r="D33" s="47"/>
      <c r="E33" s="47"/>
      <c r="F33" s="47"/>
      <c r="G33" s="47"/>
      <c r="H33" s="47"/>
      <c r="I33" s="47"/>
      <c r="J33" s="47"/>
      <c r="K33" s="47"/>
      <c r="L33" s="346"/>
    </row>
    <row r="34" spans="1:12" ht="15.95" customHeight="1">
      <c r="A34" s="347"/>
      <c r="B34" s="50" t="s">
        <v>256</v>
      </c>
      <c r="C34" s="48">
        <f>354656.01+149894.64</f>
        <v>504550.65</v>
      </c>
      <c r="D34" s="47">
        <v>354656.01</v>
      </c>
      <c r="E34" s="47">
        <v>0</v>
      </c>
      <c r="F34" s="47">
        <v>0</v>
      </c>
      <c r="G34" s="47">
        <v>149894.64000000001</v>
      </c>
      <c r="H34" s="47">
        <v>0</v>
      </c>
      <c r="I34" s="47">
        <v>0</v>
      </c>
      <c r="J34" s="47">
        <v>0</v>
      </c>
      <c r="K34" s="47">
        <v>0</v>
      </c>
      <c r="L34" s="346" t="s">
        <v>279</v>
      </c>
    </row>
    <row r="35" spans="1:12" ht="15.95" customHeight="1">
      <c r="A35" s="347"/>
      <c r="B35" s="50" t="s">
        <v>257</v>
      </c>
      <c r="C35" s="48">
        <v>0</v>
      </c>
      <c r="D35" s="47">
        <v>0</v>
      </c>
      <c r="E35" s="47">
        <v>0</v>
      </c>
      <c r="F35" s="47">
        <v>0</v>
      </c>
      <c r="G35" s="47">
        <v>0</v>
      </c>
      <c r="H35" s="47">
        <v>0</v>
      </c>
      <c r="I35" s="47">
        <v>0</v>
      </c>
      <c r="J35" s="47">
        <v>0</v>
      </c>
      <c r="K35" s="47">
        <v>0</v>
      </c>
      <c r="L35" s="346" t="s">
        <v>279</v>
      </c>
    </row>
    <row r="36" spans="1:12" ht="15.95" customHeight="1">
      <c r="A36" s="347"/>
      <c r="B36" s="50" t="s">
        <v>258</v>
      </c>
      <c r="C36" s="48">
        <f>66036.95+27910.38</f>
        <v>93947.33</v>
      </c>
      <c r="D36" s="47">
        <f>C36-G36</f>
        <v>66036.95</v>
      </c>
      <c r="E36" s="47">
        <v>0</v>
      </c>
      <c r="F36" s="47">
        <v>0</v>
      </c>
      <c r="G36" s="47">
        <v>27910.38</v>
      </c>
      <c r="H36" s="47">
        <v>0</v>
      </c>
      <c r="I36" s="47">
        <v>0</v>
      </c>
      <c r="J36" s="47">
        <v>0</v>
      </c>
      <c r="K36" s="47">
        <v>0</v>
      </c>
      <c r="L36" s="346" t="s">
        <v>279</v>
      </c>
    </row>
    <row r="37" spans="1:12" ht="15.95" customHeight="1">
      <c r="A37" s="347"/>
      <c r="B37" s="50" t="s">
        <v>259</v>
      </c>
      <c r="C37" s="48">
        <f>[3]Sheet1!$H$6+[3]Sheet1!$I$6</f>
        <v>56269.11</v>
      </c>
      <c r="D37" s="47">
        <f>[3]Sheet1!$H$6</f>
        <v>41640.1</v>
      </c>
      <c r="E37" s="47">
        <v>0</v>
      </c>
      <c r="F37" s="47">
        <v>0</v>
      </c>
      <c r="G37" s="47">
        <f>[3]Sheet1!$I$6</f>
        <v>14629.01</v>
      </c>
      <c r="H37" s="47">
        <v>0</v>
      </c>
      <c r="I37" s="47">
        <v>0</v>
      </c>
      <c r="J37" s="47">
        <v>0</v>
      </c>
      <c r="K37" s="47">
        <v>0</v>
      </c>
      <c r="L37" s="346" t="s">
        <v>279</v>
      </c>
    </row>
    <row r="38" spans="1:12" ht="15.95" customHeight="1">
      <c r="A38" s="347"/>
      <c r="B38" s="50" t="s">
        <v>260</v>
      </c>
      <c r="C38" s="48">
        <f>[3]Sheet1!$E$7+[3]Sheet1!$E$10</f>
        <v>25540.78</v>
      </c>
      <c r="D38" s="47">
        <f>C38*(D34/C34)</f>
        <v>17952.986735995288</v>
      </c>
      <c r="E38" s="47">
        <v>0</v>
      </c>
      <c r="F38" s="47">
        <v>0</v>
      </c>
      <c r="G38" s="47">
        <f>C38*(G34/C34)</f>
        <v>7587.7932640047138</v>
      </c>
      <c r="H38" s="47">
        <v>0</v>
      </c>
      <c r="I38" s="47">
        <v>0</v>
      </c>
      <c r="J38" s="47">
        <v>0</v>
      </c>
      <c r="K38" s="47">
        <v>0</v>
      </c>
      <c r="L38" s="346" t="s">
        <v>279</v>
      </c>
    </row>
    <row r="39" spans="1:12" ht="15.95" customHeight="1">
      <c r="A39" s="347"/>
      <c r="B39" s="50" t="s">
        <v>255</v>
      </c>
      <c r="C39" s="48">
        <f>[3]Sheet1!$E$2</f>
        <v>25914</v>
      </c>
      <c r="D39" s="47">
        <v>0</v>
      </c>
      <c r="E39" s="47">
        <v>0</v>
      </c>
      <c r="F39" s="47">
        <v>0</v>
      </c>
      <c r="G39" s="47">
        <v>0</v>
      </c>
      <c r="H39" s="47">
        <v>0</v>
      </c>
      <c r="I39" s="47">
        <v>0</v>
      </c>
      <c r="J39" s="47">
        <v>0</v>
      </c>
      <c r="K39" s="47">
        <f>C39</f>
        <v>25914</v>
      </c>
      <c r="L39" s="346" t="s">
        <v>280</v>
      </c>
    </row>
    <row r="40" spans="1:12" ht="15.95" customHeight="1">
      <c r="A40" s="347"/>
      <c r="B40" s="50" t="s">
        <v>262</v>
      </c>
      <c r="C40" s="48">
        <f>[3]Sheet1!$J$6</f>
        <v>9582.57</v>
      </c>
      <c r="D40" s="47">
        <v>0</v>
      </c>
      <c r="E40" s="47">
        <v>0</v>
      </c>
      <c r="F40" s="47">
        <v>0</v>
      </c>
      <c r="G40" s="47">
        <v>0</v>
      </c>
      <c r="H40" s="47">
        <v>0</v>
      </c>
      <c r="I40" s="47">
        <v>0</v>
      </c>
      <c r="J40" s="47">
        <v>0</v>
      </c>
      <c r="K40" s="47">
        <f>C40</f>
        <v>9582.57</v>
      </c>
      <c r="L40" s="346" t="s">
        <v>280</v>
      </c>
    </row>
    <row r="41" spans="1:12" ht="15.95" customHeight="1">
      <c r="A41" s="347"/>
      <c r="B41" s="50" t="s">
        <v>261</v>
      </c>
      <c r="C41" s="48">
        <f>[3]Sheet1!$J$8</f>
        <v>2381.1999999999998</v>
      </c>
      <c r="D41" s="47">
        <v>0</v>
      </c>
      <c r="E41" s="47">
        <v>0</v>
      </c>
      <c r="F41" s="47">
        <v>0</v>
      </c>
      <c r="G41" s="47">
        <v>0</v>
      </c>
      <c r="H41" s="47">
        <v>0</v>
      </c>
      <c r="I41" s="47">
        <v>0</v>
      </c>
      <c r="J41" s="47">
        <v>0</v>
      </c>
      <c r="K41" s="47">
        <f>C41</f>
        <v>2381.1999999999998</v>
      </c>
      <c r="L41" s="346" t="s">
        <v>280</v>
      </c>
    </row>
    <row r="42" spans="1:12" ht="15.95" customHeight="1">
      <c r="A42" s="347"/>
      <c r="B42" s="50" t="s">
        <v>276</v>
      </c>
      <c r="C42" s="48">
        <f>[3]Sheet1!$E$31</f>
        <v>7900.7799999999988</v>
      </c>
      <c r="D42" s="47">
        <f>C42</f>
        <v>7900.7799999999988</v>
      </c>
      <c r="E42" s="47">
        <v>0</v>
      </c>
      <c r="F42" s="47">
        <v>0</v>
      </c>
      <c r="G42" s="47">
        <v>0</v>
      </c>
      <c r="H42" s="47">
        <v>0</v>
      </c>
      <c r="I42" s="47">
        <v>0</v>
      </c>
      <c r="J42" s="47">
        <v>0</v>
      </c>
      <c r="K42" s="47">
        <v>0</v>
      </c>
      <c r="L42" s="346" t="s">
        <v>143</v>
      </c>
    </row>
    <row r="43" spans="1:12" ht="15.95" customHeight="1">
      <c r="A43" s="347"/>
      <c r="B43" s="14" t="s">
        <v>203</v>
      </c>
      <c r="C43" s="48">
        <f>[3]Sheet1!$E$29</f>
        <v>7119.5600000000013</v>
      </c>
      <c r="D43" s="47">
        <f t="shared" ref="D43" si="5">C43</f>
        <v>7119.5600000000013</v>
      </c>
      <c r="E43" s="47">
        <v>0</v>
      </c>
      <c r="F43" s="47">
        <v>0</v>
      </c>
      <c r="G43" s="47">
        <v>0</v>
      </c>
      <c r="H43" s="47">
        <v>0</v>
      </c>
      <c r="I43" s="47">
        <v>0</v>
      </c>
      <c r="J43" s="47">
        <v>0</v>
      </c>
      <c r="K43" s="47">
        <v>0</v>
      </c>
      <c r="L43" s="346" t="s">
        <v>143</v>
      </c>
    </row>
    <row r="44" spans="1:12" ht="15.95" customHeight="1">
      <c r="A44" s="347"/>
      <c r="B44" s="50" t="s">
        <v>271</v>
      </c>
      <c r="C44" s="48">
        <f>[3]Sheet1!$E$27</f>
        <v>31225.600000000002</v>
      </c>
      <c r="D44" s="47">
        <v>0</v>
      </c>
      <c r="E44" s="47">
        <v>0</v>
      </c>
      <c r="F44" s="47">
        <v>0</v>
      </c>
      <c r="G44" s="47">
        <f>C44</f>
        <v>31225.600000000002</v>
      </c>
      <c r="H44" s="47">
        <v>0</v>
      </c>
      <c r="I44" s="47">
        <v>0</v>
      </c>
      <c r="J44" s="47">
        <v>0</v>
      </c>
      <c r="K44" s="47">
        <v>0</v>
      </c>
      <c r="L44" s="346" t="s">
        <v>139</v>
      </c>
    </row>
    <row r="45" spans="1:12" ht="15.95" customHeight="1">
      <c r="A45" s="347"/>
      <c r="B45" s="50" t="s">
        <v>264</v>
      </c>
      <c r="C45" s="48">
        <f>[3]Sheet1!$E$14</f>
        <v>26203.889999999996</v>
      </c>
      <c r="D45" s="47">
        <v>0</v>
      </c>
      <c r="E45" s="47">
        <v>0</v>
      </c>
      <c r="F45" s="47">
        <v>0</v>
      </c>
      <c r="G45" s="47">
        <f>C45</f>
        <v>26203.889999999996</v>
      </c>
      <c r="H45" s="47">
        <v>0</v>
      </c>
      <c r="I45" s="47">
        <v>0</v>
      </c>
      <c r="J45" s="47">
        <v>0</v>
      </c>
      <c r="K45" s="47">
        <v>0</v>
      </c>
      <c r="L45" s="346" t="s">
        <v>139</v>
      </c>
    </row>
    <row r="46" spans="1:12" ht="15.95" customHeight="1">
      <c r="A46" s="347"/>
      <c r="B46" s="50" t="s">
        <v>275</v>
      </c>
      <c r="C46" s="48">
        <f>126159.13+18782.47</f>
        <v>144941.6</v>
      </c>
      <c r="D46" s="47">
        <f>$C$46*ssplant!D56/ssplant!$C$56</f>
        <v>60095.750925235006</v>
      </c>
      <c r="E46" s="47">
        <f>$C$46*ssplant!E56/ssplant!$C$56</f>
        <v>20233.748024430988</v>
      </c>
      <c r="F46" s="47">
        <f>$C$46*ssplant!F56/ssplant!$C$56</f>
        <v>19763.797405898913</v>
      </c>
      <c r="G46" s="47">
        <f>$C$46*ssplant!G56/ssplant!$C$56</f>
        <v>0</v>
      </c>
      <c r="H46" s="47">
        <f>$C$46*ssplant!H56/ssplant!$C$56</f>
        <v>5105.1515642366312</v>
      </c>
      <c r="I46" s="47">
        <f>$C$46*ssplant!I56/ssplant!$C$56</f>
        <v>9319.3107207431913</v>
      </c>
      <c r="J46" s="47">
        <f>$C$46*ssplant!J56/ssplant!$C$56</f>
        <v>0</v>
      </c>
      <c r="K46" s="47">
        <f>$C$46*ssplant!K56/ssplant!$C$56</f>
        <v>30423.841359455288</v>
      </c>
      <c r="L46" s="346" t="s">
        <v>165</v>
      </c>
    </row>
    <row r="47" spans="1:12" ht="15.95" customHeight="1">
      <c r="A47" s="352"/>
      <c r="B47" s="50" t="s">
        <v>128</v>
      </c>
      <c r="C47" s="48">
        <f>[3]Sheet1!$E$33</f>
        <v>23670.17</v>
      </c>
      <c r="D47" s="47">
        <f>C47</f>
        <v>23670.17</v>
      </c>
      <c r="E47" s="47">
        <v>0</v>
      </c>
      <c r="F47" s="47">
        <v>0</v>
      </c>
      <c r="G47" s="47">
        <v>0</v>
      </c>
      <c r="H47" s="47">
        <v>0</v>
      </c>
      <c r="I47" s="47">
        <v>0</v>
      </c>
      <c r="J47" s="47">
        <v>0</v>
      </c>
      <c r="K47" s="47">
        <v>0</v>
      </c>
      <c r="L47" s="346" t="s">
        <v>143</v>
      </c>
    </row>
    <row r="48" spans="1:12" ht="15.95" customHeight="1">
      <c r="A48" s="347"/>
      <c r="B48" s="50" t="s">
        <v>273</v>
      </c>
      <c r="C48" s="48">
        <f>[3]Sheet1!$E$35</f>
        <v>14689.879999999997</v>
      </c>
      <c r="D48" s="47">
        <v>0</v>
      </c>
      <c r="E48" s="47">
        <v>0</v>
      </c>
      <c r="F48" s="47">
        <f>C48</f>
        <v>14689.879999999997</v>
      </c>
      <c r="G48" s="47">
        <v>0</v>
      </c>
      <c r="H48" s="47">
        <v>0</v>
      </c>
      <c r="I48" s="47">
        <v>0</v>
      </c>
      <c r="J48" s="47">
        <v>0</v>
      </c>
      <c r="K48" s="47">
        <v>0</v>
      </c>
      <c r="L48" s="346" t="s">
        <v>138</v>
      </c>
    </row>
    <row r="49" spans="1:17" ht="15.95" customHeight="1">
      <c r="A49" s="347"/>
      <c r="B49" s="50" t="s">
        <v>274</v>
      </c>
      <c r="C49" s="48">
        <f>[3]Sheet1!$E$34</f>
        <v>7058.0800000000008</v>
      </c>
      <c r="D49" s="47">
        <v>0</v>
      </c>
      <c r="E49" s="47">
        <v>0</v>
      </c>
      <c r="F49" s="47">
        <v>0</v>
      </c>
      <c r="G49" s="47">
        <f>C49</f>
        <v>7058.0800000000008</v>
      </c>
      <c r="H49" s="47">
        <v>0</v>
      </c>
      <c r="I49" s="47">
        <v>0</v>
      </c>
      <c r="J49" s="47">
        <v>0</v>
      </c>
      <c r="K49" s="47">
        <v>0</v>
      </c>
      <c r="L49" s="346" t="s">
        <v>139</v>
      </c>
    </row>
    <row r="50" spans="1:17" ht="15.95" customHeight="1">
      <c r="A50" s="347"/>
      <c r="B50" s="50" t="s">
        <v>140</v>
      </c>
      <c r="C50" s="48">
        <f>[3]Sheet1!$E$11</f>
        <v>2025.07</v>
      </c>
      <c r="D50" s="47">
        <v>0</v>
      </c>
      <c r="E50" s="47">
        <v>0</v>
      </c>
      <c r="F50" s="47">
        <v>0</v>
      </c>
      <c r="G50" s="47">
        <f>C50</f>
        <v>2025.07</v>
      </c>
      <c r="H50" s="47">
        <v>0</v>
      </c>
      <c r="I50" s="47">
        <v>0</v>
      </c>
      <c r="J50" s="47">
        <v>0</v>
      </c>
      <c r="K50" s="47">
        <v>0</v>
      </c>
      <c r="L50" s="346" t="s">
        <v>139</v>
      </c>
    </row>
    <row r="51" spans="1:17" ht="15.95" customHeight="1">
      <c r="A51" s="352"/>
      <c r="B51" s="47" t="s">
        <v>277</v>
      </c>
      <c r="C51" s="48">
        <f>[3]Sheet1!$E$37</f>
        <v>3964.95</v>
      </c>
      <c r="D51" s="47">
        <f>C51</f>
        <v>3964.95</v>
      </c>
      <c r="E51" s="47">
        <v>0</v>
      </c>
      <c r="F51" s="47">
        <v>0</v>
      </c>
      <c r="G51" s="47">
        <v>0</v>
      </c>
      <c r="H51" s="47">
        <v>0</v>
      </c>
      <c r="I51" s="47">
        <v>0</v>
      </c>
      <c r="J51" s="47">
        <v>0</v>
      </c>
      <c r="K51" s="47">
        <v>0</v>
      </c>
      <c r="L51" s="346" t="s">
        <v>143</v>
      </c>
    </row>
    <row r="52" spans="1:17" ht="15.95" customHeight="1">
      <c r="A52" s="347"/>
      <c r="B52" s="47" t="s">
        <v>265</v>
      </c>
      <c r="C52" s="48">
        <f>[3]Sheet1!$E$16</f>
        <v>13464.43</v>
      </c>
      <c r="D52" s="47">
        <f>C52</f>
        <v>13464.43</v>
      </c>
      <c r="E52" s="47">
        <v>0</v>
      </c>
      <c r="F52" s="47">
        <v>0</v>
      </c>
      <c r="G52" s="47">
        <v>0</v>
      </c>
      <c r="H52" s="47">
        <v>0</v>
      </c>
      <c r="I52" s="47">
        <v>0</v>
      </c>
      <c r="J52" s="47">
        <v>0</v>
      </c>
      <c r="K52" s="47">
        <v>0</v>
      </c>
      <c r="L52" s="346" t="s">
        <v>143</v>
      </c>
    </row>
    <row r="53" spans="1:17" ht="15.95" customHeight="1">
      <c r="A53" s="345" t="s">
        <v>142</v>
      </c>
      <c r="B53" s="47"/>
      <c r="C53" s="49">
        <f t="shared" ref="C53:K53" si="6">SUM(C34:C52)</f>
        <v>1000449.6499999999</v>
      </c>
      <c r="D53" s="49">
        <f t="shared" si="6"/>
        <v>596501.68766123033</v>
      </c>
      <c r="E53" s="49">
        <f t="shared" si="6"/>
        <v>20233.748024430988</v>
      </c>
      <c r="F53" s="49">
        <f t="shared" si="6"/>
        <v>34453.67740589891</v>
      </c>
      <c r="G53" s="49">
        <f t="shared" si="6"/>
        <v>266534.46326400473</v>
      </c>
      <c r="H53" s="49">
        <f t="shared" si="6"/>
        <v>5105.1515642366312</v>
      </c>
      <c r="I53" s="49">
        <f t="shared" si="6"/>
        <v>9319.3107207431913</v>
      </c>
      <c r="J53" s="49">
        <f t="shared" si="6"/>
        <v>0</v>
      </c>
      <c r="K53" s="49">
        <f t="shared" si="6"/>
        <v>68301.611359455288</v>
      </c>
      <c r="L53" s="351" t="str">
        <f>IF(C53=SUM(D53:K53),"balance","error")</f>
        <v>balance</v>
      </c>
    </row>
    <row r="54" spans="1:17" ht="9.9499999999999993" customHeight="1">
      <c r="A54" s="345"/>
      <c r="B54" s="47"/>
      <c r="C54" s="47"/>
      <c r="D54" s="47"/>
      <c r="E54" s="47"/>
      <c r="F54" s="47"/>
      <c r="G54" s="47"/>
      <c r="H54" s="47"/>
      <c r="I54" s="47"/>
      <c r="J54" s="47"/>
      <c r="K54" s="47"/>
      <c r="L54" s="349"/>
    </row>
    <row r="55" spans="1:17" ht="15.95" customHeight="1">
      <c r="A55" s="345" t="s">
        <v>144</v>
      </c>
      <c r="B55" s="47"/>
      <c r="C55" s="49">
        <f t="shared" ref="C55:K55" si="7">C53+C17+C31</f>
        <v>6157129.0500000007</v>
      </c>
      <c r="D55" s="49">
        <f t="shared" si="7"/>
        <v>3344131.6256612297</v>
      </c>
      <c r="E55" s="49">
        <f t="shared" si="7"/>
        <v>1189745.6160244308</v>
      </c>
      <c r="F55" s="49">
        <f t="shared" si="7"/>
        <v>637430.35449552245</v>
      </c>
      <c r="G55" s="49">
        <f t="shared" si="7"/>
        <v>336055.68326400477</v>
      </c>
      <c r="H55" s="49">
        <f t="shared" si="7"/>
        <v>250936.26156423675</v>
      </c>
      <c r="I55" s="49">
        <f t="shared" si="7"/>
        <v>293643.56763111969</v>
      </c>
      <c r="J55" s="49">
        <f t="shared" si="7"/>
        <v>0</v>
      </c>
      <c r="K55" s="49">
        <f t="shared" si="7"/>
        <v>105185.89135945529</v>
      </c>
      <c r="L55" s="346"/>
    </row>
    <row r="56" spans="1:17" ht="15.95" customHeight="1">
      <c r="A56" s="353"/>
      <c r="B56" s="47"/>
      <c r="C56" s="49"/>
      <c r="D56" s="51">
        <f>D55/$C$55</f>
        <v>0.54313164439215855</v>
      </c>
      <c r="E56" s="51">
        <f t="shared" ref="E56:K56" si="8">E55/$C$55</f>
        <v>0.1932305797658132</v>
      </c>
      <c r="F56" s="51">
        <f t="shared" si="8"/>
        <v>0.10352720388336223</v>
      </c>
      <c r="G56" s="51">
        <f t="shared" si="8"/>
        <v>5.4579931740102915E-2</v>
      </c>
      <c r="H56" s="51">
        <f t="shared" si="8"/>
        <v>4.0755400695107524E-2</v>
      </c>
      <c r="I56" s="51">
        <f t="shared" si="8"/>
        <v>4.769163765231129E-2</v>
      </c>
      <c r="J56" s="51">
        <f t="shared" si="8"/>
        <v>0</v>
      </c>
      <c r="K56" s="51">
        <f t="shared" si="8"/>
        <v>1.7083593750476168E-2</v>
      </c>
      <c r="L56" s="346" t="s">
        <v>153</v>
      </c>
    </row>
    <row r="57" spans="1:17" ht="9.9499999999999993" customHeight="1">
      <c r="A57" s="353"/>
      <c r="B57" s="47"/>
      <c r="C57" s="47"/>
      <c r="D57" s="47"/>
      <c r="E57" s="47"/>
      <c r="F57" s="47"/>
      <c r="G57" s="47"/>
      <c r="H57" s="47"/>
      <c r="I57" s="47"/>
      <c r="J57" s="47"/>
      <c r="K57" s="47"/>
      <c r="L57" s="346"/>
    </row>
    <row r="58" spans="1:17" ht="15.95" customHeight="1">
      <c r="A58" s="347"/>
      <c r="B58" s="47" t="s">
        <v>154</v>
      </c>
      <c r="C58" s="48">
        <f>[3]Sheet1!$E$9</f>
        <v>115930.07000000005</v>
      </c>
      <c r="D58" s="47">
        <v>65721</v>
      </c>
      <c r="E58" s="47">
        <v>18745</v>
      </c>
      <c r="F58" s="47">
        <v>19107</v>
      </c>
      <c r="G58" s="47">
        <v>3347</v>
      </c>
      <c r="H58" s="47">
        <v>0</v>
      </c>
      <c r="I58" s="47">
        <v>9010</v>
      </c>
      <c r="J58" s="47">
        <v>0</v>
      </c>
      <c r="K58" s="47">
        <v>0</v>
      </c>
      <c r="L58" s="346" t="s">
        <v>286</v>
      </c>
    </row>
    <row r="59" spans="1:17" ht="15.95" customHeight="1">
      <c r="A59" s="347"/>
      <c r="B59" s="47" t="s">
        <v>137</v>
      </c>
      <c r="C59" s="48"/>
      <c r="D59" s="47">
        <f>C59</f>
        <v>0</v>
      </c>
      <c r="E59" s="47">
        <f>0%*$C$59</f>
        <v>0</v>
      </c>
      <c r="F59" s="47">
        <f t="shared" ref="F59:K59" si="9">0%*$C$59</f>
        <v>0</v>
      </c>
      <c r="G59" s="47">
        <v>0</v>
      </c>
      <c r="H59" s="47">
        <f t="shared" si="9"/>
        <v>0</v>
      </c>
      <c r="I59" s="47">
        <f t="shared" si="9"/>
        <v>0</v>
      </c>
      <c r="J59" s="47">
        <f t="shared" si="9"/>
        <v>0</v>
      </c>
      <c r="K59" s="47">
        <f t="shared" si="9"/>
        <v>0</v>
      </c>
      <c r="L59" s="346" t="s">
        <v>143</v>
      </c>
    </row>
    <row r="60" spans="1:17" ht="15.95" customHeight="1">
      <c r="A60" s="345" t="s">
        <v>13</v>
      </c>
      <c r="B60" s="47"/>
      <c r="C60" s="49">
        <f t="shared" ref="C60:K60" si="10">SUM(C58:C59)</f>
        <v>115930.07000000005</v>
      </c>
      <c r="D60" s="49">
        <f t="shared" si="10"/>
        <v>65721</v>
      </c>
      <c r="E60" s="49">
        <f t="shared" si="10"/>
        <v>18745</v>
      </c>
      <c r="F60" s="49">
        <f t="shared" si="10"/>
        <v>19107</v>
      </c>
      <c r="G60" s="49">
        <f t="shared" si="10"/>
        <v>3347</v>
      </c>
      <c r="H60" s="49">
        <f>SUM(H58:H59)</f>
        <v>0</v>
      </c>
      <c r="I60" s="49">
        <f t="shared" si="10"/>
        <v>9010</v>
      </c>
      <c r="J60" s="49">
        <f t="shared" si="10"/>
        <v>0</v>
      </c>
      <c r="K60" s="49">
        <f t="shared" si="10"/>
        <v>0</v>
      </c>
      <c r="L60" s="351" t="str">
        <f>IF(C60=SUM(D60:K60),"balance","rounding error only")</f>
        <v>rounding error only</v>
      </c>
    </row>
    <row r="61" spans="1:17" ht="9.9499999999999993" customHeight="1">
      <c r="A61" s="345"/>
      <c r="B61" s="47"/>
      <c r="C61" s="47"/>
      <c r="D61" s="47"/>
      <c r="E61" s="47"/>
      <c r="F61" s="47"/>
      <c r="G61" s="47"/>
      <c r="H61" s="47"/>
      <c r="I61" s="47"/>
      <c r="J61" s="47"/>
      <c r="K61" s="47"/>
      <c r="L61" s="346"/>
    </row>
    <row r="62" spans="1:17" ht="15.95" customHeight="1">
      <c r="A62" s="345"/>
      <c r="B62" s="47" t="s">
        <v>14</v>
      </c>
      <c r="C62" s="85">
        <f>'debt svc'!H8</f>
        <v>373137.14</v>
      </c>
      <c r="D62" s="47"/>
      <c r="E62" s="47"/>
      <c r="F62" s="47">
        <f>C62-H62</f>
        <v>326724.51</v>
      </c>
      <c r="G62" s="47">
        <v>0</v>
      </c>
      <c r="H62" s="47">
        <f>53%*('debt svc'!H3)</f>
        <v>46412.630000000005</v>
      </c>
      <c r="I62" s="47">
        <v>0</v>
      </c>
      <c r="J62" s="47">
        <v>0</v>
      </c>
      <c r="K62" s="47">
        <v>0</v>
      </c>
      <c r="L62" s="326" t="s">
        <v>407</v>
      </c>
      <c r="M62" s="137"/>
      <c r="Q62" s="1"/>
    </row>
    <row r="63" spans="1:17" ht="15.95" customHeight="1">
      <c r="A63" s="345"/>
      <c r="B63" s="47" t="s">
        <v>15</v>
      </c>
      <c r="C63" s="86">
        <f>'debt svc'!G8</f>
        <v>174030.54</v>
      </c>
      <c r="D63" s="47"/>
      <c r="E63" s="47"/>
      <c r="F63" s="47">
        <f>C63-H63</f>
        <v>156952.35</v>
      </c>
      <c r="G63" s="47">
        <v>0</v>
      </c>
      <c r="H63" s="47">
        <f>53%*'debt svc'!G3</f>
        <v>17078.190000000002</v>
      </c>
      <c r="I63" s="47">
        <v>0</v>
      </c>
      <c r="J63" s="47">
        <v>0</v>
      </c>
      <c r="K63" s="47">
        <v>0</v>
      </c>
      <c r="L63" s="326" t="s">
        <v>407</v>
      </c>
      <c r="M63" s="137"/>
    </row>
    <row r="64" spans="1:17" ht="15.95" customHeight="1">
      <c r="A64" s="345" t="s">
        <v>16</v>
      </c>
      <c r="B64" s="47"/>
      <c r="C64" s="49">
        <f>C62+C63</f>
        <v>547167.68000000005</v>
      </c>
      <c r="D64" s="49">
        <f t="shared" ref="D64:K64" si="11">D62+D63</f>
        <v>0</v>
      </c>
      <c r="E64" s="49">
        <f t="shared" si="11"/>
        <v>0</v>
      </c>
      <c r="F64" s="49">
        <f t="shared" si="11"/>
        <v>483676.86</v>
      </c>
      <c r="G64" s="49">
        <f t="shared" si="11"/>
        <v>0</v>
      </c>
      <c r="H64" s="49">
        <f t="shared" si="11"/>
        <v>63490.820000000007</v>
      </c>
      <c r="I64" s="49">
        <f t="shared" si="11"/>
        <v>0</v>
      </c>
      <c r="J64" s="49">
        <f t="shared" si="11"/>
        <v>0</v>
      </c>
      <c r="K64" s="49">
        <f t="shared" si="11"/>
        <v>0</v>
      </c>
      <c r="L64" s="351" t="str">
        <f>IF(C64=SUM(D64:K64),"balance","error")</f>
        <v>balance</v>
      </c>
    </row>
    <row r="65" spans="1:12" ht="9.9499999999999993" customHeight="1">
      <c r="A65" s="345"/>
      <c r="B65" s="47"/>
      <c r="C65" s="47"/>
      <c r="D65" s="47"/>
      <c r="E65" s="47"/>
      <c r="F65" s="47"/>
      <c r="G65" s="47"/>
      <c r="H65" s="47"/>
      <c r="I65" s="47"/>
      <c r="J65" s="47"/>
      <c r="K65" s="47"/>
      <c r="L65" s="351"/>
    </row>
    <row r="66" spans="1:12" ht="15.95" customHeight="1">
      <c r="A66" s="345" t="s">
        <v>152</v>
      </c>
      <c r="B66" s="47"/>
      <c r="C66" s="86">
        <f>'PF deprec'!C33</f>
        <v>1712714</v>
      </c>
      <c r="D66" s="86">
        <f>'PF deprec'!D33</f>
        <v>563371.86452019517</v>
      </c>
      <c r="E66" s="86">
        <f>'PF deprec'!E33</f>
        <v>360063.99402512313</v>
      </c>
      <c r="F66" s="86">
        <f>'PF deprec'!F33</f>
        <v>173107.66761800044</v>
      </c>
      <c r="G66" s="86">
        <f>'PF deprec'!G33</f>
        <v>0</v>
      </c>
      <c r="H66" s="86">
        <f>'PF deprec'!H33</f>
        <v>141113</v>
      </c>
      <c r="I66" s="86">
        <f>'PF deprec'!I33</f>
        <v>81626.223419684276</v>
      </c>
      <c r="J66" s="86">
        <f>'PF deprec'!J33</f>
        <v>0</v>
      </c>
      <c r="K66" s="86">
        <f>'PF deprec'!K33</f>
        <v>393431.25041699695</v>
      </c>
      <c r="L66" s="351" t="s">
        <v>172</v>
      </c>
    </row>
    <row r="67" spans="1:12" ht="9.9499999999999993" customHeight="1">
      <c r="A67" s="345"/>
      <c r="B67" s="47"/>
      <c r="C67" s="47"/>
      <c r="D67" s="47"/>
      <c r="E67" s="47"/>
      <c r="F67" s="47"/>
      <c r="G67" s="47"/>
      <c r="H67" s="47"/>
      <c r="I67" s="47"/>
      <c r="J67" s="47"/>
      <c r="K67" s="47"/>
      <c r="L67" s="351"/>
    </row>
    <row r="68" spans="1:12" ht="15.95" customHeight="1">
      <c r="A68" s="345" t="s">
        <v>17</v>
      </c>
      <c r="B68" s="47"/>
      <c r="C68" s="49">
        <f t="shared" ref="C68:K68" si="12">C66+C64+C60+C55</f>
        <v>8532940.8000000007</v>
      </c>
      <c r="D68" s="49">
        <f t="shared" si="12"/>
        <v>3973224.4901814247</v>
      </c>
      <c r="E68" s="49">
        <f t="shared" si="12"/>
        <v>1568554.6100495539</v>
      </c>
      <c r="F68" s="49">
        <f t="shared" si="12"/>
        <v>1313321.8821135228</v>
      </c>
      <c r="G68" s="49">
        <f t="shared" si="12"/>
        <v>339402.68326400477</v>
      </c>
      <c r="H68" s="49">
        <f t="shared" si="12"/>
        <v>455540.08156423678</v>
      </c>
      <c r="I68" s="49">
        <f t="shared" si="12"/>
        <v>384279.79105080396</v>
      </c>
      <c r="J68" s="49">
        <f t="shared" si="12"/>
        <v>0</v>
      </c>
      <c r="K68" s="49">
        <f t="shared" si="12"/>
        <v>498617.14177645225</v>
      </c>
      <c r="L68" s="351" t="str">
        <f>IF(C68=SUM(D68:K68),"balance","rounding error only")</f>
        <v>rounding error only</v>
      </c>
    </row>
    <row r="69" spans="1:12" ht="9.9499999999999993" customHeight="1" thickBot="1">
      <c r="A69" s="354"/>
      <c r="B69" s="355"/>
      <c r="C69" s="355"/>
      <c r="D69" s="355"/>
      <c r="E69" s="355"/>
      <c r="F69" s="355"/>
      <c r="G69" s="355"/>
      <c r="H69" s="355"/>
      <c r="I69" s="355"/>
      <c r="J69" s="355"/>
      <c r="K69" s="355"/>
      <c r="L69" s="356"/>
    </row>
    <row r="70" spans="1:12" ht="15.95" customHeight="1" thickTop="1">
      <c r="A70"/>
      <c r="B70"/>
      <c r="C70"/>
      <c r="D70"/>
      <c r="E70"/>
      <c r="F70"/>
      <c r="G70"/>
      <c r="H70"/>
      <c r="I70"/>
      <c r="J70"/>
      <c r="K70"/>
      <c r="L70"/>
    </row>
    <row r="71" spans="1:12" ht="15.95" customHeight="1">
      <c r="A71"/>
      <c r="B71" s="383" t="s">
        <v>392</v>
      </c>
      <c r="C71" s="384">
        <f>TYexpenses!C66</f>
        <v>7437195.25</v>
      </c>
      <c r="D71"/>
      <c r="E71"/>
      <c r="F71"/>
      <c r="G71"/>
      <c r="H71"/>
      <c r="I71"/>
      <c r="J71"/>
      <c r="K71"/>
      <c r="L71"/>
    </row>
    <row r="72" spans="1:12" ht="15.95" customHeight="1">
      <c r="A72"/>
      <c r="B72"/>
      <c r="C72" s="385">
        <f>(C68-C71)/C71</f>
        <v>0.14733316971878621</v>
      </c>
      <c r="D72"/>
      <c r="E72"/>
      <c r="F72"/>
      <c r="G72"/>
      <c r="H72"/>
      <c r="I72"/>
      <c r="J72"/>
      <c r="K72"/>
      <c r="L72"/>
    </row>
    <row r="73" spans="1:12" ht="15.95" customHeight="1">
      <c r="A73"/>
      <c r="B73"/>
      <c r="C73"/>
      <c r="D73"/>
      <c r="E73"/>
      <c r="F73"/>
      <c r="G73"/>
      <c r="H73"/>
      <c r="I73"/>
      <c r="J73"/>
      <c r="K73"/>
      <c r="L73"/>
    </row>
    <row r="74" spans="1:12" ht="15.95" customHeight="1">
      <c r="A74"/>
      <c r="B74"/>
      <c r="C74"/>
      <c r="D74"/>
      <c r="E74"/>
      <c r="F74"/>
      <c r="G74"/>
      <c r="H74"/>
      <c r="I74"/>
      <c r="J74"/>
      <c r="K74"/>
      <c r="L74"/>
    </row>
    <row r="75" spans="1:12" ht="15.95" customHeight="1">
      <c r="A75"/>
      <c r="B75"/>
      <c r="C75"/>
      <c r="D75"/>
      <c r="E75"/>
      <c r="F75"/>
      <c r="G75"/>
      <c r="H75"/>
      <c r="I75"/>
      <c r="J75"/>
      <c r="K75"/>
      <c r="L75"/>
    </row>
    <row r="76" spans="1:12" ht="9.9499999999999993" customHeight="1">
      <c r="A76"/>
      <c r="B76"/>
      <c r="C76"/>
      <c r="D76"/>
      <c r="E76"/>
      <c r="F76"/>
      <c r="G76"/>
      <c r="H76"/>
      <c r="I76"/>
      <c r="J76"/>
      <c r="K76"/>
      <c r="L76"/>
    </row>
    <row r="77" spans="1:12" ht="15.95" customHeight="1">
      <c r="A77"/>
      <c r="B77"/>
      <c r="C77"/>
      <c r="D77"/>
      <c r="E77"/>
      <c r="F77"/>
      <c r="G77"/>
      <c r="H77"/>
      <c r="I77"/>
      <c r="J77"/>
      <c r="K77"/>
      <c r="L77"/>
    </row>
    <row r="78" spans="1:12" ht="6" customHeight="1">
      <c r="A78"/>
      <c r="B78"/>
      <c r="C78"/>
      <c r="D78"/>
      <c r="E78"/>
      <c r="F78"/>
      <c r="G78"/>
      <c r="H78"/>
      <c r="I78"/>
      <c r="J78"/>
      <c r="K78"/>
      <c r="L78"/>
    </row>
    <row r="79" spans="1:12" ht="15" customHeight="1">
      <c r="A79"/>
      <c r="B79"/>
      <c r="C79"/>
      <c r="D79"/>
      <c r="E79"/>
      <c r="F79"/>
      <c r="G79"/>
      <c r="H79"/>
      <c r="I79"/>
      <c r="J79"/>
      <c r="K79"/>
      <c r="L79"/>
    </row>
    <row r="80" spans="1:12" customFormat="1" ht="15" customHeight="1"/>
    <row r="81" spans="1:13" s="96" customFormat="1" ht="15" customHeight="1">
      <c r="A81"/>
      <c r="B81"/>
      <c r="C81"/>
      <c r="D81"/>
      <c r="E81"/>
      <c r="F81"/>
      <c r="G81"/>
      <c r="H81"/>
      <c r="I81"/>
      <c r="J81"/>
      <c r="K81"/>
      <c r="L81"/>
      <c r="M81" s="98"/>
    </row>
    <row r="82" spans="1:13" s="96" customFormat="1" ht="15">
      <c r="A82"/>
      <c r="B82"/>
      <c r="C82"/>
      <c r="D82"/>
      <c r="E82"/>
      <c r="F82"/>
      <c r="G82"/>
      <c r="H82"/>
      <c r="I82"/>
      <c r="J82"/>
      <c r="K82"/>
      <c r="L82"/>
      <c r="M82" s="98"/>
    </row>
    <row r="83" spans="1:13" ht="15.95" customHeight="1">
      <c r="A83"/>
      <c r="B83"/>
      <c r="C83"/>
      <c r="D83"/>
      <c r="E83"/>
      <c r="F83"/>
      <c r="G83"/>
      <c r="H83"/>
      <c r="I83"/>
      <c r="J83"/>
      <c r="K83"/>
      <c r="L83"/>
    </row>
    <row r="84" spans="1:13" ht="15.95" customHeight="1">
      <c r="A84"/>
      <c r="B84"/>
      <c r="C84"/>
      <c r="D84"/>
      <c r="E84"/>
      <c r="F84"/>
      <c r="G84"/>
      <c r="H84"/>
      <c r="I84"/>
      <c r="J84"/>
      <c r="K84"/>
      <c r="L84"/>
    </row>
    <row r="85" spans="1:13" ht="9.9499999999999993" customHeight="1"/>
    <row r="86" spans="1:13" ht="15.95" customHeight="1"/>
    <row r="87" spans="1:13" ht="9.9499999999999993" customHeight="1"/>
    <row r="88" spans="1:13" ht="15.95" customHeight="1"/>
    <row r="89" spans="1:13" ht="15">
      <c r="B89"/>
    </row>
    <row r="90" spans="1:13" ht="15.95" customHeight="1"/>
    <row r="91" spans="1:13" ht="15.95" customHeight="1"/>
    <row r="92" spans="1:13" ht="15.95" customHeight="1"/>
    <row r="93" spans="1:13" ht="15.95" customHeight="1"/>
    <row r="94" spans="1:13" ht="15.95" customHeight="1"/>
    <row r="95" spans="1:13" ht="15.95" customHeight="1"/>
    <row r="96" spans="1:13" ht="9.9499999999999993" customHeight="1"/>
    <row r="97" ht="15.95" customHeight="1"/>
    <row r="98" ht="6" customHeight="1"/>
  </sheetData>
  <mergeCells count="2">
    <mergeCell ref="Q3:R3"/>
    <mergeCell ref="N2:O2"/>
  </mergeCells>
  <printOptions horizontalCentered="1"/>
  <pageMargins left="0.2" right="0.2" top="1.1499999999999999" bottom="0.75" header="0.45" footer="0.25"/>
  <pageSetup orientation="landscape" cellComments="asDisplayed" horizontalDpi="0" verticalDpi="0"/>
  <headerFooter>
    <oddHeader>&amp;C&amp;10&amp;K0C0B0ABardstown Water Utility
Functionalization and Allocation of Test Year Expenses with Pro Forma Changes</oddHeader>
    <oddFooter>&amp;L&amp;"Avenir Book Oblique,Italic"&amp;8&amp;K817842SRE; c allen
&amp;D</oddFooter>
  </headerFooter>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314A6-63F6-F145-A0EF-A3FD024B3D59}">
  <sheetPr>
    <tabColor theme="8" tint="0.79998168889431442"/>
  </sheetPr>
  <dimension ref="A1:P62"/>
  <sheetViews>
    <sheetView topLeftCell="A13" zoomScale="150" zoomScaleNormal="150" workbookViewId="0">
      <selection activeCell="D40" sqref="D40"/>
    </sheetView>
  </sheetViews>
  <sheetFormatPr defaultColWidth="10.6640625" defaultRowHeight="12"/>
  <cols>
    <col min="1" max="1" width="3" style="14" customWidth="1"/>
    <col min="2" max="2" width="16.109375" style="14" customWidth="1"/>
    <col min="3" max="11" width="8.109375" style="14" customWidth="1"/>
    <col min="12" max="12" width="13.33203125" style="44" customWidth="1"/>
    <col min="13" max="13" width="3.33203125" style="14" customWidth="1"/>
    <col min="14" max="16384" width="10.6640625" style="14"/>
  </cols>
  <sheetData>
    <row r="1" spans="1:16" ht="12.75" thickTop="1">
      <c r="A1" s="428"/>
      <c r="B1" s="424"/>
      <c r="C1" s="424"/>
      <c r="D1" s="424"/>
      <c r="E1" s="424"/>
      <c r="F1" s="424"/>
      <c r="G1" s="429" t="s">
        <v>4</v>
      </c>
      <c r="H1" s="429"/>
      <c r="I1" s="424"/>
      <c r="J1" s="424"/>
      <c r="K1" s="424"/>
      <c r="L1" s="425"/>
    </row>
    <row r="2" spans="1:16" s="15" customFormat="1" ht="44.1" customHeight="1">
      <c r="A2" s="320"/>
      <c r="B2" s="321" t="s">
        <v>1</v>
      </c>
      <c r="C2" s="321" t="s">
        <v>116</v>
      </c>
      <c r="D2" s="321" t="s">
        <v>5</v>
      </c>
      <c r="E2" s="321" t="s">
        <v>6</v>
      </c>
      <c r="F2" s="321" t="s">
        <v>7</v>
      </c>
      <c r="G2" s="161" t="s">
        <v>8</v>
      </c>
      <c r="H2" s="161" t="s">
        <v>9</v>
      </c>
      <c r="I2" s="321" t="s">
        <v>10</v>
      </c>
      <c r="J2" s="321" t="s">
        <v>21</v>
      </c>
      <c r="K2" s="321" t="s">
        <v>11</v>
      </c>
      <c r="L2" s="322" t="s">
        <v>3</v>
      </c>
      <c r="N2" s="434" t="s">
        <v>245</v>
      </c>
    </row>
    <row r="3" spans="1:16" s="15" customFormat="1" ht="15" customHeight="1">
      <c r="A3" s="437" t="s">
        <v>23</v>
      </c>
      <c r="B3" s="438"/>
      <c r="C3" s="17"/>
      <c r="D3" s="17"/>
      <c r="E3" s="17"/>
      <c r="F3" s="17"/>
      <c r="G3" s="17"/>
      <c r="H3" s="17"/>
      <c r="I3" s="17"/>
      <c r="J3" s="17"/>
      <c r="K3" s="17"/>
      <c r="L3" s="324"/>
      <c r="N3" s="434"/>
      <c r="O3" s="159">
        <v>1663302.31</v>
      </c>
      <c r="P3" s="15" t="s">
        <v>246</v>
      </c>
    </row>
    <row r="4" spans="1:16" s="15" customFormat="1" ht="15.95" customHeight="1">
      <c r="A4" s="325" t="s">
        <v>160</v>
      </c>
      <c r="B4" s="20" t="s">
        <v>173</v>
      </c>
      <c r="C4" s="171">
        <v>941</v>
      </c>
      <c r="D4" s="19">
        <f>$C$4*ssplant!D41</f>
        <v>424.6674446141613</v>
      </c>
      <c r="E4" s="19">
        <f>$C$4*ssplant!E41</f>
        <v>137.95675417955223</v>
      </c>
      <c r="F4" s="19">
        <f>$C$4*ssplant!F41</f>
        <v>126.73696235071358</v>
      </c>
      <c r="G4" s="19">
        <f>$C$4*ssplant!G41</f>
        <v>0</v>
      </c>
      <c r="H4" s="19">
        <f>$C$4*ssplant!H41</f>
        <v>28.244090792914584</v>
      </c>
      <c r="I4" s="19">
        <f>$C$4*ssplant!I41</f>
        <v>59.760839867590803</v>
      </c>
      <c r="J4" s="19">
        <f>$C$4*ssplant!J41</f>
        <v>0</v>
      </c>
      <c r="K4" s="19">
        <f>$C$4*ssplant!K41</f>
        <v>163.63390819506748</v>
      </c>
      <c r="L4" s="326" t="s">
        <v>159</v>
      </c>
      <c r="O4" s="159">
        <v>1745739</v>
      </c>
      <c r="P4" s="15" t="s">
        <v>247</v>
      </c>
    </row>
    <row r="5" spans="1:16" s="15" customFormat="1" ht="15.95" customHeight="1">
      <c r="A5" s="437" t="s">
        <v>25</v>
      </c>
      <c r="B5" s="438"/>
      <c r="C5" s="172">
        <f>SUM(C4)</f>
        <v>941</v>
      </c>
      <c r="D5" s="19">
        <f t="shared" ref="D5:K5" si="0">SUM(D4)</f>
        <v>424.6674446141613</v>
      </c>
      <c r="E5" s="19">
        <f t="shared" si="0"/>
        <v>137.95675417955223</v>
      </c>
      <c r="F5" s="19">
        <f t="shared" si="0"/>
        <v>126.73696235071358</v>
      </c>
      <c r="G5" s="19">
        <f t="shared" si="0"/>
        <v>0</v>
      </c>
      <c r="H5" s="19">
        <f t="shared" si="0"/>
        <v>28.244090792914584</v>
      </c>
      <c r="I5" s="19">
        <f t="shared" si="0"/>
        <v>59.760839867590803</v>
      </c>
      <c r="J5" s="19">
        <f t="shared" si="0"/>
        <v>0</v>
      </c>
      <c r="K5" s="19">
        <f t="shared" si="0"/>
        <v>163.63390819506748</v>
      </c>
      <c r="L5" s="327" t="str">
        <f>IF(SUM(D5:K5)=C5,"balance","error")</f>
        <v>balance</v>
      </c>
      <c r="O5" s="160">
        <f>(O4-O3)/O3</f>
        <v>4.9562060669536341E-2</v>
      </c>
    </row>
    <row r="6" spans="1:16" s="15" customFormat="1" ht="3.95" customHeight="1">
      <c r="A6" s="323"/>
      <c r="B6" s="18"/>
      <c r="C6" s="173"/>
      <c r="D6" s="17"/>
      <c r="E6" s="17"/>
      <c r="F6" s="17"/>
      <c r="G6" s="17"/>
      <c r="H6" s="17"/>
      <c r="I6" s="17"/>
      <c r="J6" s="17"/>
      <c r="K6" s="17"/>
      <c r="L6" s="324"/>
    </row>
    <row r="7" spans="1:16" ht="15.95" customHeight="1">
      <c r="A7" s="328" t="s">
        <v>166</v>
      </c>
      <c r="B7" s="20"/>
      <c r="C7" s="56"/>
      <c r="D7" s="20"/>
      <c r="E7" s="20"/>
      <c r="F7" s="20"/>
      <c r="G7" s="20"/>
      <c r="H7" s="20"/>
      <c r="I7" s="20"/>
      <c r="J7" s="20"/>
      <c r="K7" s="20"/>
      <c r="L7" s="326"/>
      <c r="N7" s="1"/>
      <c r="O7" s="1"/>
    </row>
    <row r="8" spans="1:16" ht="15.95" customHeight="1">
      <c r="A8" s="329" t="s">
        <v>98</v>
      </c>
      <c r="B8" s="22" t="s">
        <v>248</v>
      </c>
      <c r="C8" s="174">
        <f>2194+30290</f>
        <v>32484</v>
      </c>
      <c r="D8" s="24">
        <f>C8*70%</f>
        <v>22738.799999999999</v>
      </c>
      <c r="E8" s="24">
        <f>C8*30%</f>
        <v>9745.1999999999989</v>
      </c>
      <c r="F8" s="24">
        <v>0</v>
      </c>
      <c r="G8" s="24">
        <v>0</v>
      </c>
      <c r="H8" s="24">
        <v>0</v>
      </c>
      <c r="I8" s="24">
        <v>0</v>
      </c>
      <c r="J8" s="24">
        <v>0</v>
      </c>
      <c r="K8" s="20">
        <v>0</v>
      </c>
      <c r="L8" s="326" t="s">
        <v>254</v>
      </c>
      <c r="N8" s="1"/>
      <c r="O8" s="1"/>
    </row>
    <row r="9" spans="1:16" ht="15.95" customHeight="1">
      <c r="A9" s="426" t="s">
        <v>24</v>
      </c>
      <c r="B9" s="427"/>
      <c r="C9" s="175">
        <f t="shared" ref="C9:K9" si="1">SUM(C8:C8)</f>
        <v>32484</v>
      </c>
      <c r="D9" s="24">
        <f t="shared" si="1"/>
        <v>22738.799999999999</v>
      </c>
      <c r="E9" s="24">
        <f t="shared" si="1"/>
        <v>9745.1999999999989</v>
      </c>
      <c r="F9" s="24">
        <f t="shared" si="1"/>
        <v>0</v>
      </c>
      <c r="G9" s="24">
        <f t="shared" si="1"/>
        <v>0</v>
      </c>
      <c r="H9" s="24">
        <f t="shared" si="1"/>
        <v>0</v>
      </c>
      <c r="I9" s="24">
        <f t="shared" si="1"/>
        <v>0</v>
      </c>
      <c r="J9" s="24">
        <f t="shared" si="1"/>
        <v>0</v>
      </c>
      <c r="K9" s="24">
        <f t="shared" si="1"/>
        <v>0</v>
      </c>
      <c r="L9" s="327" t="str">
        <f>IF(SUM(D9:K9)=C9,"balance","error")</f>
        <v>balance</v>
      </c>
      <c r="N9" s="1"/>
      <c r="O9" s="1"/>
    </row>
    <row r="10" spans="1:16" ht="3.95" customHeight="1">
      <c r="A10" s="330"/>
      <c r="B10" s="22"/>
      <c r="C10" s="56"/>
      <c r="D10" s="20"/>
      <c r="E10" s="20"/>
      <c r="F10" s="20"/>
      <c r="G10" s="20"/>
      <c r="H10" s="20"/>
      <c r="I10" s="20"/>
      <c r="J10" s="20"/>
      <c r="K10" s="20"/>
      <c r="L10" s="326"/>
      <c r="N10" s="1"/>
      <c r="O10" s="1"/>
    </row>
    <row r="11" spans="1:16" ht="15" customHeight="1">
      <c r="A11" s="422" t="s">
        <v>167</v>
      </c>
      <c r="B11" s="423"/>
      <c r="C11" s="56"/>
      <c r="D11" s="20"/>
      <c r="E11" s="20"/>
      <c r="F11" s="20"/>
      <c r="G11" s="20"/>
      <c r="H11" s="20"/>
      <c r="I11" s="20"/>
      <c r="J11" s="20"/>
      <c r="K11" s="20"/>
      <c r="L11" s="326"/>
      <c r="N11" s="1"/>
      <c r="O11" s="1"/>
    </row>
    <row r="12" spans="1:16" ht="15.95" customHeight="1">
      <c r="A12" s="329" t="s">
        <v>124</v>
      </c>
      <c r="B12" s="22" t="s">
        <v>113</v>
      </c>
      <c r="C12" s="174">
        <v>117772</v>
      </c>
      <c r="D12" s="24">
        <f>C12*70%</f>
        <v>82440.399999999994</v>
      </c>
      <c r="E12" s="24">
        <f>C12*30%</f>
        <v>35331.599999999999</v>
      </c>
      <c r="F12" s="24">
        <v>0</v>
      </c>
      <c r="G12" s="24">
        <v>0</v>
      </c>
      <c r="H12" s="24">
        <v>0</v>
      </c>
      <c r="I12" s="24">
        <v>0</v>
      </c>
      <c r="J12" s="24">
        <v>0</v>
      </c>
      <c r="K12" s="20">
        <v>0</v>
      </c>
      <c r="L12" s="326" t="s">
        <v>254</v>
      </c>
      <c r="N12" s="1"/>
      <c r="O12" s="1"/>
    </row>
    <row r="13" spans="1:16" ht="15.95" customHeight="1">
      <c r="A13" s="329" t="s">
        <v>97</v>
      </c>
      <c r="B13" s="22" t="s">
        <v>95</v>
      </c>
      <c r="C13" s="174">
        <v>485185</v>
      </c>
      <c r="D13" s="24">
        <f t="shared" ref="D13:D15" si="2">C13*70%</f>
        <v>339629.5</v>
      </c>
      <c r="E13" s="24">
        <f t="shared" ref="E13:E15" si="3">C13*30%</f>
        <v>145555.5</v>
      </c>
      <c r="F13" s="24">
        <v>0</v>
      </c>
      <c r="G13" s="24">
        <v>0</v>
      </c>
      <c r="H13" s="24">
        <v>0</v>
      </c>
      <c r="I13" s="24">
        <v>0</v>
      </c>
      <c r="J13" s="24">
        <v>0</v>
      </c>
      <c r="K13" s="20">
        <v>0</v>
      </c>
      <c r="L13" s="326" t="s">
        <v>254</v>
      </c>
      <c r="N13" s="1"/>
      <c r="O13" s="1"/>
    </row>
    <row r="14" spans="1:16" ht="15.95" customHeight="1">
      <c r="A14" s="329" t="s">
        <v>232</v>
      </c>
      <c r="B14" s="22" t="s">
        <v>231</v>
      </c>
      <c r="C14" s="174">
        <v>3029</v>
      </c>
      <c r="D14" s="24">
        <f t="shared" si="2"/>
        <v>2120.2999999999997</v>
      </c>
      <c r="E14" s="24">
        <f t="shared" si="3"/>
        <v>908.69999999999993</v>
      </c>
      <c r="F14" s="24">
        <v>0</v>
      </c>
      <c r="G14" s="24">
        <v>0</v>
      </c>
      <c r="H14" s="24">
        <v>0</v>
      </c>
      <c r="I14" s="24">
        <v>0</v>
      </c>
      <c r="J14" s="24">
        <v>0</v>
      </c>
      <c r="K14" s="20">
        <v>0</v>
      </c>
      <c r="L14" s="326" t="s">
        <v>254</v>
      </c>
      <c r="N14" s="1"/>
      <c r="O14" s="1"/>
    </row>
    <row r="15" spans="1:16" ht="15.95" customHeight="1">
      <c r="A15" s="329" t="s">
        <v>98</v>
      </c>
      <c r="B15" s="22" t="s">
        <v>48</v>
      </c>
      <c r="C15" s="174">
        <v>19113</v>
      </c>
      <c r="D15" s="24">
        <f t="shared" si="2"/>
        <v>13379.099999999999</v>
      </c>
      <c r="E15" s="24">
        <f t="shared" si="3"/>
        <v>5733.9</v>
      </c>
      <c r="F15" s="24">
        <v>0</v>
      </c>
      <c r="G15" s="24">
        <v>0</v>
      </c>
      <c r="H15" s="24">
        <v>0</v>
      </c>
      <c r="I15" s="24">
        <v>0</v>
      </c>
      <c r="J15" s="24">
        <v>0</v>
      </c>
      <c r="K15" s="20">
        <v>0</v>
      </c>
      <c r="L15" s="326" t="s">
        <v>254</v>
      </c>
      <c r="N15" s="1"/>
      <c r="O15" s="1"/>
    </row>
    <row r="16" spans="1:16" ht="15.95" customHeight="1">
      <c r="A16" s="328" t="s">
        <v>102</v>
      </c>
      <c r="B16" s="20"/>
      <c r="C16" s="175">
        <f t="shared" ref="C16:K16" si="4">SUM(C12:C15)</f>
        <v>625099</v>
      </c>
      <c r="D16" s="24">
        <f t="shared" si="4"/>
        <v>437569.3</v>
      </c>
      <c r="E16" s="24">
        <f t="shared" si="4"/>
        <v>187529.7</v>
      </c>
      <c r="F16" s="24">
        <f t="shared" si="4"/>
        <v>0</v>
      </c>
      <c r="G16" s="24">
        <f t="shared" si="4"/>
        <v>0</v>
      </c>
      <c r="H16" s="24">
        <f t="shared" si="4"/>
        <v>0</v>
      </c>
      <c r="I16" s="24">
        <f t="shared" si="4"/>
        <v>0</v>
      </c>
      <c r="J16" s="24">
        <f t="shared" si="4"/>
        <v>0</v>
      </c>
      <c r="K16" s="24">
        <f t="shared" si="4"/>
        <v>0</v>
      </c>
      <c r="L16" s="327" t="str">
        <f>IF(SUM(D16:K16)=C16,"balance","error")</f>
        <v>balance</v>
      </c>
      <c r="N16" s="1"/>
      <c r="O16" s="1"/>
    </row>
    <row r="17" spans="1:15" ht="3.95" customHeight="1">
      <c r="A17" s="328"/>
      <c r="B17" s="20"/>
      <c r="C17" s="56"/>
      <c r="D17" s="20"/>
      <c r="E17" s="20"/>
      <c r="F17" s="20"/>
      <c r="G17" s="20"/>
      <c r="H17" s="20"/>
      <c r="I17" s="20"/>
      <c r="J17" s="20"/>
      <c r="K17" s="20"/>
      <c r="L17" s="326"/>
      <c r="N17" s="1"/>
      <c r="O17" s="1"/>
    </row>
    <row r="18" spans="1:15" ht="15" customHeight="1">
      <c r="A18" s="328" t="s">
        <v>242</v>
      </c>
      <c r="B18" s="20"/>
      <c r="C18" s="56"/>
      <c r="D18" s="20"/>
      <c r="E18" s="20"/>
      <c r="F18" s="20"/>
      <c r="G18" s="20"/>
      <c r="H18" s="20"/>
      <c r="I18" s="20"/>
      <c r="J18" s="20"/>
      <c r="K18" s="20"/>
      <c r="L18" s="326"/>
      <c r="N18" s="1"/>
      <c r="O18" s="1"/>
    </row>
    <row r="19" spans="1:15" ht="15.95" customHeight="1">
      <c r="A19" s="329" t="s">
        <v>106</v>
      </c>
      <c r="B19" s="20" t="s">
        <v>103</v>
      </c>
      <c r="C19" s="174">
        <v>73446</v>
      </c>
      <c r="D19" s="24">
        <f>C19-K19</f>
        <v>73368</v>
      </c>
      <c r="E19" s="24">
        <v>0</v>
      </c>
      <c r="F19" s="24">
        <v>0</v>
      </c>
      <c r="G19" s="24">
        <v>0</v>
      </c>
      <c r="H19" s="24">
        <v>0</v>
      </c>
      <c r="I19" s="24">
        <v>0</v>
      </c>
      <c r="J19" s="24">
        <v>0</v>
      </c>
      <c r="K19" s="56">
        <v>78</v>
      </c>
      <c r="L19" s="326" t="s">
        <v>44</v>
      </c>
      <c r="M19" s="1"/>
      <c r="N19" s="1"/>
      <c r="O19" s="1"/>
    </row>
    <row r="20" spans="1:15" ht="15.95" customHeight="1">
      <c r="A20" s="329" t="s">
        <v>243</v>
      </c>
      <c r="B20" s="20" t="s">
        <v>104</v>
      </c>
      <c r="C20" s="174">
        <v>606110</v>
      </c>
      <c r="D20" s="20">
        <v>0</v>
      </c>
      <c r="E20" s="20">
        <f>(C20-K20)*'distr main analysis'!D28</f>
        <v>242007.2</v>
      </c>
      <c r="F20" s="20">
        <f>(C20-K20)*'distr main analysis'!D17</f>
        <v>246688.62337932119</v>
      </c>
      <c r="G20" s="20">
        <v>0</v>
      </c>
      <c r="H20" s="20">
        <v>0</v>
      </c>
      <c r="I20" s="20">
        <f>(C20-K20)*'distr main analysis'!D32</f>
        <v>116322.17662067885</v>
      </c>
      <c r="J20" s="20">
        <v>0</v>
      </c>
      <c r="K20" s="56">
        <v>1092</v>
      </c>
      <c r="L20" s="326" t="s">
        <v>135</v>
      </c>
      <c r="M20" s="1"/>
      <c r="N20" s="1"/>
      <c r="O20" s="1"/>
    </row>
    <row r="21" spans="1:15" ht="15.95" customHeight="1">
      <c r="A21" s="329" t="s">
        <v>115</v>
      </c>
      <c r="B21" s="20" t="s">
        <v>105</v>
      </c>
      <c r="C21" s="174">
        <v>166824</v>
      </c>
      <c r="D21" s="20">
        <v>0</v>
      </c>
      <c r="E21" s="20">
        <f>(C21-K21)*'distr main analysis'!$D$28</f>
        <v>52956.4</v>
      </c>
      <c r="F21" s="20">
        <f>(C21-K21)*'distr main analysis'!$D$17</f>
        <v>53980.796501611039</v>
      </c>
      <c r="G21" s="20">
        <v>0</v>
      </c>
      <c r="H21" s="20">
        <v>0</v>
      </c>
      <c r="I21" s="20">
        <f>(C21-K21)*'distr main analysis'!$D$32</f>
        <v>25453.803498388963</v>
      </c>
      <c r="J21" s="20">
        <v>0</v>
      </c>
      <c r="K21" s="56">
        <v>34433</v>
      </c>
      <c r="L21" s="326" t="s">
        <v>135</v>
      </c>
      <c r="N21" s="1"/>
      <c r="O21" s="1"/>
    </row>
    <row r="22" spans="1:15" ht="15.95" customHeight="1">
      <c r="A22" s="329" t="s">
        <v>97</v>
      </c>
      <c r="B22" s="20" t="s">
        <v>95</v>
      </c>
      <c r="C22" s="174">
        <v>68913</v>
      </c>
      <c r="D22" s="20">
        <f>C22*70%</f>
        <v>48239.1</v>
      </c>
      <c r="E22" s="20">
        <f>C22*30%</f>
        <v>20673.899999999998</v>
      </c>
      <c r="F22" s="20">
        <v>0</v>
      </c>
      <c r="G22" s="20">
        <v>0</v>
      </c>
      <c r="H22" s="20">
        <v>0</v>
      </c>
      <c r="I22" s="20">
        <v>0</v>
      </c>
      <c r="J22" s="20">
        <v>0</v>
      </c>
      <c r="K22" s="56">
        <v>0</v>
      </c>
      <c r="L22" s="326" t="s">
        <v>254</v>
      </c>
      <c r="N22" s="1"/>
      <c r="O22" s="1"/>
    </row>
    <row r="23" spans="1:15" ht="15.95" customHeight="1">
      <c r="A23" s="329" t="s">
        <v>98</v>
      </c>
      <c r="B23" s="20" t="s">
        <v>48</v>
      </c>
      <c r="C23" s="174">
        <v>43437</v>
      </c>
      <c r="D23" s="20">
        <v>0</v>
      </c>
      <c r="E23" s="20">
        <f>(C23-K23)*'distr main analysis'!$D$28</f>
        <v>17374.8</v>
      </c>
      <c r="F23" s="20">
        <f>(C23-K23)*'distr main analysis'!$D$17</f>
        <v>17710.900723164556</v>
      </c>
      <c r="G23" s="20">
        <v>0</v>
      </c>
      <c r="H23" s="20">
        <v>0</v>
      </c>
      <c r="I23" s="20">
        <f>(C23-K23)*'distr main analysis'!$D$32</f>
        <v>8351.2992768354452</v>
      </c>
      <c r="J23" s="20">
        <v>0</v>
      </c>
      <c r="K23" s="56">
        <v>0</v>
      </c>
      <c r="L23" s="326" t="s">
        <v>135</v>
      </c>
      <c r="N23" s="1"/>
      <c r="O23" s="1"/>
    </row>
    <row r="24" spans="1:15" ht="15.95" customHeight="1">
      <c r="A24" s="329" t="s">
        <v>101</v>
      </c>
      <c r="B24" s="20" t="s">
        <v>46</v>
      </c>
      <c r="C24" s="174">
        <v>13587</v>
      </c>
      <c r="D24" s="24">
        <f t="shared" ref="D24:K24" si="5">($C$24)*((D19+D20)/(($C$19)+($C$20)))</f>
        <v>1466.9151857977856</v>
      </c>
      <c r="E24" s="24">
        <f t="shared" si="5"/>
        <v>4838.6767630629411</v>
      </c>
      <c r="F24" s="24">
        <f t="shared" si="5"/>
        <v>4932.2768481991725</v>
      </c>
      <c r="G24" s="24">
        <f t="shared" si="5"/>
        <v>0</v>
      </c>
      <c r="H24" s="24">
        <f t="shared" si="5"/>
        <v>0</v>
      </c>
      <c r="I24" s="24">
        <f t="shared" si="5"/>
        <v>2325.7382963952396</v>
      </c>
      <c r="J24" s="24">
        <f t="shared" si="5"/>
        <v>0</v>
      </c>
      <c r="K24" s="24">
        <f t="shared" si="5"/>
        <v>23.392906544861646</v>
      </c>
      <c r="L24" s="326" t="s">
        <v>49</v>
      </c>
      <c r="N24" s="1"/>
      <c r="O24" s="1"/>
    </row>
    <row r="25" spans="1:15" ht="15.95" customHeight="1">
      <c r="A25" s="329" t="s">
        <v>107</v>
      </c>
      <c r="B25" s="20" t="s">
        <v>27</v>
      </c>
      <c r="C25" s="174">
        <v>52383</v>
      </c>
      <c r="D25" s="24">
        <f>0%*C25</f>
        <v>0</v>
      </c>
      <c r="E25" s="24">
        <f>0%*C25</f>
        <v>0</v>
      </c>
      <c r="F25" s="24">
        <f>0%*C25</f>
        <v>0</v>
      </c>
      <c r="G25" s="24">
        <f>0%*C25</f>
        <v>0</v>
      </c>
      <c r="H25" s="24">
        <f>100%*(C25-K25)</f>
        <v>52307</v>
      </c>
      <c r="I25" s="24">
        <f>0%*C25</f>
        <v>0</v>
      </c>
      <c r="J25" s="24">
        <f>0%*C25</f>
        <v>0</v>
      </c>
      <c r="K25" s="56">
        <v>76</v>
      </c>
      <c r="L25" s="326" t="s">
        <v>42</v>
      </c>
      <c r="N25" s="1"/>
      <c r="O25" s="1"/>
    </row>
    <row r="26" spans="1:15" ht="15.95" customHeight="1">
      <c r="A26" s="329" t="s">
        <v>100</v>
      </c>
      <c r="B26" s="20" t="s">
        <v>99</v>
      </c>
      <c r="C26" s="174">
        <v>17169</v>
      </c>
      <c r="D26" s="24">
        <f t="shared" ref="D26:K26" si="6">($C$26)*((D19+D20)/(($C$19)+($C$20)))</f>
        <v>1853.6444266550513</v>
      </c>
      <c r="E26" s="24">
        <f t="shared" si="6"/>
        <v>6114.3181971758031</v>
      </c>
      <c r="F26" s="24">
        <f t="shared" si="6"/>
        <v>6232.5944805131076</v>
      </c>
      <c r="G26" s="24">
        <f t="shared" si="6"/>
        <v>0</v>
      </c>
      <c r="H26" s="24">
        <f t="shared" si="6"/>
        <v>0</v>
      </c>
      <c r="I26" s="24">
        <f t="shared" si="6"/>
        <v>2938.8828152505976</v>
      </c>
      <c r="J26" s="24">
        <f t="shared" si="6"/>
        <v>0</v>
      </c>
      <c r="K26" s="24">
        <f t="shared" si="6"/>
        <v>29.560080405441202</v>
      </c>
      <c r="L26" s="326" t="s">
        <v>49</v>
      </c>
      <c r="N26" s="1"/>
      <c r="O26" s="1"/>
    </row>
    <row r="27" spans="1:15" ht="15.95" customHeight="1">
      <c r="A27" s="329" t="s">
        <v>108</v>
      </c>
      <c r="B27" s="20" t="s">
        <v>151</v>
      </c>
      <c r="C27" s="174">
        <v>0</v>
      </c>
      <c r="D27" s="24">
        <f>$C$27*0%</f>
        <v>0</v>
      </c>
      <c r="E27" s="24">
        <f t="shared" ref="E27:J27" si="7">$C$27*0%</f>
        <v>0</v>
      </c>
      <c r="F27" s="24">
        <f t="shared" si="7"/>
        <v>0</v>
      </c>
      <c r="G27" s="24">
        <f t="shared" si="7"/>
        <v>0</v>
      </c>
      <c r="H27" s="24">
        <f t="shared" si="7"/>
        <v>0</v>
      </c>
      <c r="I27" s="24">
        <f t="shared" si="7"/>
        <v>0</v>
      </c>
      <c r="J27" s="24">
        <f t="shared" si="7"/>
        <v>0</v>
      </c>
      <c r="K27" s="24">
        <v>0</v>
      </c>
      <c r="L27" s="326" t="s">
        <v>93</v>
      </c>
      <c r="N27" s="1"/>
      <c r="O27" s="1"/>
    </row>
    <row r="28" spans="1:15" ht="15.95" customHeight="1">
      <c r="A28" s="328" t="s">
        <v>45</v>
      </c>
      <c r="B28" s="20"/>
      <c r="C28" s="175">
        <f t="shared" ref="C28:K28" si="8">SUM(C19:C27)</f>
        <v>1041869</v>
      </c>
      <c r="D28" s="24">
        <f t="shared" si="8"/>
        <v>124927.65961245284</v>
      </c>
      <c r="E28" s="24">
        <f t="shared" si="8"/>
        <v>343965.2949602388</v>
      </c>
      <c r="F28" s="24">
        <f t="shared" si="8"/>
        <v>329545.19193280907</v>
      </c>
      <c r="G28" s="24">
        <f t="shared" si="8"/>
        <v>0</v>
      </c>
      <c r="H28" s="24">
        <f t="shared" si="8"/>
        <v>52307</v>
      </c>
      <c r="I28" s="24">
        <f t="shared" si="8"/>
        <v>155391.90050754906</v>
      </c>
      <c r="J28" s="24">
        <f t="shared" si="8"/>
        <v>0</v>
      </c>
      <c r="K28" s="24">
        <f t="shared" si="8"/>
        <v>35731.952986950302</v>
      </c>
      <c r="L28" s="327" t="str">
        <f>IF(SUM(D28:K28)=C28,"balance","error")</f>
        <v>balance</v>
      </c>
      <c r="N28" s="1"/>
      <c r="O28" s="1"/>
    </row>
    <row r="29" spans="1:15" ht="3.95" customHeight="1">
      <c r="A29" s="328"/>
      <c r="B29" s="20"/>
      <c r="C29" s="56"/>
      <c r="D29" s="20"/>
      <c r="E29" s="20"/>
      <c r="F29" s="20"/>
      <c r="G29" s="20"/>
      <c r="H29" s="20"/>
      <c r="I29" s="20"/>
      <c r="J29" s="20"/>
      <c r="K29" s="20"/>
      <c r="L29" s="326"/>
      <c r="N29" s="1"/>
      <c r="O29" s="1"/>
    </row>
    <row r="30" spans="1:15" ht="15" customHeight="1">
      <c r="A30" s="328" t="s">
        <v>229</v>
      </c>
      <c r="B30" s="20"/>
      <c r="C30" s="56"/>
      <c r="D30" s="20"/>
      <c r="E30" s="20"/>
      <c r="F30" s="20"/>
      <c r="G30" s="20"/>
      <c r="H30" s="20"/>
      <c r="I30" s="20"/>
      <c r="J30" s="20"/>
      <c r="K30" s="20"/>
      <c r="L30" s="326"/>
      <c r="N30" s="1"/>
      <c r="O30" s="1"/>
    </row>
    <row r="31" spans="1:15" ht="15.95" customHeight="1">
      <c r="A31" s="329" t="s">
        <v>124</v>
      </c>
      <c r="B31" s="20" t="s">
        <v>113</v>
      </c>
      <c r="C31" s="174">
        <v>51249</v>
      </c>
      <c r="D31" s="24">
        <f t="shared" ref="D31:K31" si="9">($C$31)*((D19+D20)/(($C$19)+($C$20)))</f>
        <v>5533.0784100206611</v>
      </c>
      <c r="E31" s="24">
        <f t="shared" si="9"/>
        <v>18251.074220226146</v>
      </c>
      <c r="F31" s="24">
        <f t="shared" si="9"/>
        <v>18604.125722628938</v>
      </c>
      <c r="G31" s="24">
        <f t="shared" si="9"/>
        <v>0</v>
      </c>
      <c r="H31" s="24">
        <f t="shared" si="9"/>
        <v>0</v>
      </c>
      <c r="I31" s="24">
        <f t="shared" si="9"/>
        <v>8772.485607710285</v>
      </c>
      <c r="J31" s="24">
        <f t="shared" si="9"/>
        <v>0</v>
      </c>
      <c r="K31" s="24">
        <f t="shared" si="9"/>
        <v>88.236039413970303</v>
      </c>
      <c r="L31" s="326" t="s">
        <v>49</v>
      </c>
      <c r="N31" s="1"/>
      <c r="O31" s="1"/>
    </row>
    <row r="32" spans="1:15" ht="3.95" customHeight="1">
      <c r="A32" s="328"/>
      <c r="B32" s="20"/>
      <c r="C32" s="20"/>
      <c r="D32" s="20"/>
      <c r="E32" s="20"/>
      <c r="F32" s="20"/>
      <c r="G32" s="20"/>
      <c r="H32" s="20"/>
      <c r="I32" s="20"/>
      <c r="J32" s="20"/>
      <c r="K32" s="20"/>
      <c r="L32" s="326"/>
      <c r="N32" s="1"/>
      <c r="O32" s="1"/>
    </row>
    <row r="33" spans="1:15" ht="15" customHeight="1">
      <c r="A33" s="336" t="s">
        <v>179</v>
      </c>
      <c r="B33" s="20"/>
      <c r="C33" s="24">
        <f>C31+C28+C16+C9+C5</f>
        <v>1751642</v>
      </c>
      <c r="D33" s="24">
        <f t="shared" ref="D33:K33" si="10">D31+D28+D16+D9+D5</f>
        <v>591193.50546708761</v>
      </c>
      <c r="E33" s="24">
        <f t="shared" si="10"/>
        <v>559629.22593464446</v>
      </c>
      <c r="F33" s="24">
        <f t="shared" si="10"/>
        <v>348276.05461778876</v>
      </c>
      <c r="G33" s="24">
        <f t="shared" si="10"/>
        <v>0</v>
      </c>
      <c r="H33" s="24">
        <f t="shared" si="10"/>
        <v>52335.244090792912</v>
      </c>
      <c r="I33" s="24">
        <f t="shared" si="10"/>
        <v>164224.14695512693</v>
      </c>
      <c r="J33" s="24">
        <f t="shared" si="10"/>
        <v>0</v>
      </c>
      <c r="K33" s="24">
        <f t="shared" si="10"/>
        <v>35983.822934559335</v>
      </c>
      <c r="L33" s="327" t="str">
        <f>IF(SUM(D33:K33)=C33,"balance","error")</f>
        <v>balance</v>
      </c>
      <c r="N33" s="1"/>
      <c r="O33" s="1"/>
    </row>
    <row r="34" spans="1:15" s="93" customFormat="1">
      <c r="A34" s="337"/>
      <c r="B34" s="94" t="s">
        <v>249</v>
      </c>
      <c r="C34" s="95">
        <v>-5426.46</v>
      </c>
      <c r="D34" s="95">
        <f>C34</f>
        <v>-5426.46</v>
      </c>
      <c r="E34" s="95">
        <f>-1*'PF deprec'!G10</f>
        <v>0</v>
      </c>
      <c r="F34" s="95">
        <f>-1*'PF deprec'!H10</f>
        <v>0</v>
      </c>
      <c r="G34" s="95">
        <f>-1*'PF deprec'!I10</f>
        <v>0</v>
      </c>
      <c r="H34" s="95">
        <f>-1*'PF deprec'!J10</f>
        <v>0</v>
      </c>
      <c r="I34" s="95">
        <f>-1*'PF deprec'!K10</f>
        <v>0</v>
      </c>
      <c r="J34" s="95">
        <v>0</v>
      </c>
      <c r="K34" s="95">
        <f>-1*'PF deprec'!M10</f>
        <v>0</v>
      </c>
      <c r="L34" s="338"/>
    </row>
    <row r="35" spans="1:15" s="1" customFormat="1" ht="12.75" thickBot="1">
      <c r="A35" s="435" t="s">
        <v>179</v>
      </c>
      <c r="B35" s="436"/>
      <c r="C35" s="339">
        <f>C33+C34</f>
        <v>1746215.54</v>
      </c>
      <c r="D35" s="339">
        <f t="shared" ref="D35:K35" si="11">D33+D34</f>
        <v>585767.04546708765</v>
      </c>
      <c r="E35" s="339">
        <f t="shared" si="11"/>
        <v>559629.22593464446</v>
      </c>
      <c r="F35" s="339">
        <f t="shared" si="11"/>
        <v>348276.05461778876</v>
      </c>
      <c r="G35" s="339">
        <f t="shared" si="11"/>
        <v>0</v>
      </c>
      <c r="H35" s="339">
        <f t="shared" si="11"/>
        <v>52335.244090792912</v>
      </c>
      <c r="I35" s="339">
        <f t="shared" si="11"/>
        <v>164224.14695512693</v>
      </c>
      <c r="J35" s="339">
        <f t="shared" si="11"/>
        <v>0</v>
      </c>
      <c r="K35" s="339">
        <f t="shared" si="11"/>
        <v>35983.822934559335</v>
      </c>
      <c r="L35" s="340"/>
    </row>
    <row r="36" spans="1:15" s="1" customFormat="1" ht="12.75" thickTop="1">
      <c r="L36" s="6"/>
    </row>
    <row r="37" spans="1:15" s="1" customFormat="1">
      <c r="L37" s="6"/>
    </row>
    <row r="38" spans="1:15" s="1" customFormat="1">
      <c r="L38" s="6"/>
    </row>
    <row r="39" spans="1:15" s="1" customFormat="1">
      <c r="L39" s="6"/>
    </row>
    <row r="40" spans="1:15" s="1" customFormat="1">
      <c r="L40" s="6"/>
    </row>
    <row r="41" spans="1:15" s="1" customFormat="1">
      <c r="L41" s="6"/>
    </row>
    <row r="42" spans="1:15" s="1" customFormat="1">
      <c r="L42" s="6"/>
    </row>
    <row r="43" spans="1:15" s="1" customFormat="1">
      <c r="L43" s="6"/>
    </row>
    <row r="44" spans="1:15" s="1" customFormat="1">
      <c r="L44" s="6"/>
    </row>
    <row r="45" spans="1:15" s="1" customFormat="1">
      <c r="L45" s="6"/>
    </row>
    <row r="46" spans="1:15" s="1" customFormat="1">
      <c r="L46" s="6"/>
    </row>
    <row r="47" spans="1:15" s="1" customFormat="1">
      <c r="L47" s="6"/>
    </row>
    <row r="48" spans="1:15" s="1" customFormat="1">
      <c r="L48" s="6"/>
    </row>
    <row r="49" spans="12:12" s="1" customFormat="1">
      <c r="L49" s="6"/>
    </row>
    <row r="50" spans="12:12" s="1" customFormat="1">
      <c r="L50" s="6"/>
    </row>
    <row r="51" spans="12:12" s="1" customFormat="1">
      <c r="L51" s="6"/>
    </row>
    <row r="52" spans="12:12" s="1" customFormat="1">
      <c r="L52" s="6"/>
    </row>
    <row r="53" spans="12:12" s="1" customFormat="1">
      <c r="L53" s="6"/>
    </row>
    <row r="54" spans="12:12" s="1" customFormat="1">
      <c r="L54" s="6"/>
    </row>
    <row r="55" spans="12:12" s="1" customFormat="1">
      <c r="L55" s="6"/>
    </row>
    <row r="56" spans="12:12" s="1" customFormat="1">
      <c r="L56" s="6"/>
    </row>
    <row r="57" spans="12:12" s="1" customFormat="1">
      <c r="L57" s="6"/>
    </row>
    <row r="58" spans="12:12" s="1" customFormat="1">
      <c r="L58" s="6"/>
    </row>
    <row r="59" spans="12:12" s="1" customFormat="1">
      <c r="L59" s="6"/>
    </row>
    <row r="60" spans="12:12" s="1" customFormat="1">
      <c r="L60" s="6"/>
    </row>
    <row r="61" spans="12:12" s="1" customFormat="1">
      <c r="L61" s="6"/>
    </row>
    <row r="62" spans="12:12" s="1" customFormat="1">
      <c r="L62" s="6"/>
    </row>
  </sheetData>
  <mergeCells count="9">
    <mergeCell ref="N2:N3"/>
    <mergeCell ref="A35:B35"/>
    <mergeCell ref="A11:B11"/>
    <mergeCell ref="A1:F1"/>
    <mergeCell ref="G1:H1"/>
    <mergeCell ref="I1:L1"/>
    <mergeCell ref="A3:B3"/>
    <mergeCell ref="A5:B5"/>
    <mergeCell ref="A9:B9"/>
  </mergeCells>
  <printOptions horizontalCentered="1"/>
  <pageMargins left="0.25" right="0.25" top="0.8" bottom="0.25" header="0.3" footer="0.2"/>
  <pageSetup orientation="landscape" cellComments="asDisplayed" horizontalDpi="0" verticalDpi="0"/>
  <headerFooter>
    <oddHeader>&amp;C&amp;10&amp;K0C0B0ABardstown Water Utility
Annual Depreciation - Test Year</oddHeader>
    <oddFooter>&amp;L&amp;"Avenir Book Oblique,Italic"&amp;9&amp;K817842SRE; c allen
&amp;D</oddFooter>
  </headerFooter>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237907-84A1-704E-814D-B2D3905BE6FC}">
  <sheetPr>
    <tabColor theme="8" tint="0.79998168889431442"/>
  </sheetPr>
  <dimension ref="A1:P60"/>
  <sheetViews>
    <sheetView topLeftCell="A15" zoomScale="150" zoomScaleNormal="150" workbookViewId="0">
      <selection activeCell="K22" sqref="K22"/>
    </sheetView>
  </sheetViews>
  <sheetFormatPr defaultColWidth="10.6640625" defaultRowHeight="12"/>
  <cols>
    <col min="1" max="1" width="3" style="14" customWidth="1"/>
    <col min="2" max="2" width="16.109375" style="14" customWidth="1"/>
    <col min="3" max="11" width="8.109375" style="14" customWidth="1"/>
    <col min="12" max="12" width="13.33203125" style="44" customWidth="1"/>
    <col min="13" max="13" width="3.33203125" style="14" customWidth="1"/>
    <col min="14" max="16384" width="10.6640625" style="14"/>
  </cols>
  <sheetData>
    <row r="1" spans="1:16" ht="12.75" thickTop="1">
      <c r="A1" s="428"/>
      <c r="B1" s="424"/>
      <c r="C1" s="424"/>
      <c r="D1" s="424"/>
      <c r="E1" s="424"/>
      <c r="F1" s="424"/>
      <c r="G1" s="429" t="s">
        <v>4</v>
      </c>
      <c r="H1" s="429"/>
      <c r="I1" s="424"/>
      <c r="J1" s="424"/>
      <c r="K1" s="424"/>
      <c r="L1" s="425"/>
    </row>
    <row r="2" spans="1:16" s="15" customFormat="1" ht="44.1" customHeight="1">
      <c r="A2" s="320"/>
      <c r="B2" s="321" t="s">
        <v>1</v>
      </c>
      <c r="C2" s="321" t="s">
        <v>116</v>
      </c>
      <c r="D2" s="321" t="s">
        <v>5</v>
      </c>
      <c r="E2" s="321" t="s">
        <v>6</v>
      </c>
      <c r="F2" s="321" t="s">
        <v>7</v>
      </c>
      <c r="G2" s="161" t="s">
        <v>8</v>
      </c>
      <c r="H2" s="161" t="s">
        <v>9</v>
      </c>
      <c r="I2" s="321" t="s">
        <v>10</v>
      </c>
      <c r="J2" s="321" t="s">
        <v>21</v>
      </c>
      <c r="K2" s="321" t="s">
        <v>11</v>
      </c>
      <c r="L2" s="322" t="s">
        <v>3</v>
      </c>
      <c r="N2"/>
      <c r="O2"/>
      <c r="P2"/>
    </row>
    <row r="3" spans="1:16" s="15" customFormat="1" ht="15.95" customHeight="1">
      <c r="A3" s="437" t="s">
        <v>23</v>
      </c>
      <c r="B3" s="438"/>
      <c r="C3" s="17"/>
      <c r="D3" s="17"/>
      <c r="E3" s="17"/>
      <c r="F3" s="17"/>
      <c r="G3" s="17"/>
      <c r="H3" s="17"/>
      <c r="I3" s="17"/>
      <c r="J3" s="17"/>
      <c r="K3" s="17"/>
      <c r="L3" s="324"/>
      <c r="N3"/>
      <c r="O3"/>
      <c r="P3"/>
    </row>
    <row r="4" spans="1:16" s="15" customFormat="1" ht="15.95" customHeight="1">
      <c r="A4" s="325" t="s">
        <v>160</v>
      </c>
      <c r="B4" s="20" t="s">
        <v>173</v>
      </c>
      <c r="C4" s="171">
        <v>941</v>
      </c>
      <c r="D4" s="380">
        <f>C4</f>
        <v>941</v>
      </c>
      <c r="E4" s="380">
        <v>0</v>
      </c>
      <c r="F4" s="380">
        <v>0</v>
      </c>
      <c r="G4" s="380">
        <v>0</v>
      </c>
      <c r="H4" s="380">
        <v>0</v>
      </c>
      <c r="I4" s="380">
        <v>0</v>
      </c>
      <c r="J4" s="380">
        <v>0</v>
      </c>
      <c r="K4" s="380">
        <v>0</v>
      </c>
      <c r="L4" s="326" t="s">
        <v>143</v>
      </c>
      <c r="N4"/>
      <c r="O4"/>
      <c r="P4"/>
    </row>
    <row r="5" spans="1:16" s="15" customFormat="1" ht="15.95" customHeight="1">
      <c r="A5" s="437" t="s">
        <v>25</v>
      </c>
      <c r="B5" s="438"/>
      <c r="C5" s="172">
        <f>SUM(C4)</f>
        <v>941</v>
      </c>
      <c r="D5" s="19">
        <f t="shared" ref="D5:K5" si="0">SUM(D4)</f>
        <v>941</v>
      </c>
      <c r="E5" s="19">
        <f t="shared" si="0"/>
        <v>0</v>
      </c>
      <c r="F5" s="19">
        <f t="shared" si="0"/>
        <v>0</v>
      </c>
      <c r="G5" s="19">
        <f t="shared" si="0"/>
        <v>0</v>
      </c>
      <c r="H5" s="19">
        <f t="shared" si="0"/>
        <v>0</v>
      </c>
      <c r="I5" s="19">
        <f t="shared" si="0"/>
        <v>0</v>
      </c>
      <c r="J5" s="19">
        <f t="shared" si="0"/>
        <v>0</v>
      </c>
      <c r="K5" s="19">
        <f t="shared" si="0"/>
        <v>0</v>
      </c>
      <c r="L5" s="327" t="str">
        <f>IF(SUM(D5:K5)=C5,"balance","error")</f>
        <v>balance</v>
      </c>
      <c r="N5"/>
      <c r="O5"/>
      <c r="P5"/>
    </row>
    <row r="6" spans="1:16" s="15" customFormat="1" ht="3.95" customHeight="1">
      <c r="A6" s="323"/>
      <c r="B6" s="18"/>
      <c r="C6" s="173"/>
      <c r="D6" s="17"/>
      <c r="E6" s="17"/>
      <c r="F6" s="17"/>
      <c r="G6" s="17"/>
      <c r="H6" s="17"/>
      <c r="I6" s="17"/>
      <c r="J6" s="17"/>
      <c r="K6" s="17"/>
      <c r="L6" s="324"/>
      <c r="N6"/>
      <c r="O6"/>
      <c r="P6"/>
    </row>
    <row r="7" spans="1:16" ht="15.95" customHeight="1">
      <c r="A7" s="328" t="s">
        <v>166</v>
      </c>
      <c r="B7" s="20"/>
      <c r="C7" s="56"/>
      <c r="D7" s="20"/>
      <c r="E7" s="20"/>
      <c r="F7" s="20"/>
      <c r="G7" s="20"/>
      <c r="H7" s="20"/>
      <c r="I7" s="20"/>
      <c r="J7" s="20"/>
      <c r="K7" s="20"/>
      <c r="L7" s="326"/>
      <c r="N7"/>
      <c r="O7"/>
      <c r="P7"/>
    </row>
    <row r="8" spans="1:16" ht="15.95" customHeight="1">
      <c r="A8" s="329" t="s">
        <v>98</v>
      </c>
      <c r="B8" s="22" t="s">
        <v>248</v>
      </c>
      <c r="C8" s="174">
        <f>2194+30290</f>
        <v>32484</v>
      </c>
      <c r="D8" s="20">
        <f>C8*70%</f>
        <v>22738.799999999999</v>
      </c>
      <c r="E8" s="20">
        <f>C8*30%</f>
        <v>9745.1999999999989</v>
      </c>
      <c r="F8" s="20">
        <v>0</v>
      </c>
      <c r="G8" s="20">
        <v>0</v>
      </c>
      <c r="H8" s="20">
        <v>0</v>
      </c>
      <c r="I8" s="20">
        <v>0</v>
      </c>
      <c r="J8" s="20">
        <v>0</v>
      </c>
      <c r="K8" s="20">
        <v>0</v>
      </c>
      <c r="L8" s="326" t="s">
        <v>254</v>
      </c>
      <c r="N8" s="1"/>
      <c r="O8" s="1"/>
    </row>
    <row r="9" spans="1:16" ht="15.95" customHeight="1">
      <c r="A9" s="426" t="s">
        <v>24</v>
      </c>
      <c r="B9" s="427"/>
      <c r="C9" s="175">
        <f t="shared" ref="C9:K9" si="1">SUM(C8:C8)</f>
        <v>32484</v>
      </c>
      <c r="D9" s="24">
        <f t="shared" si="1"/>
        <v>22738.799999999999</v>
      </c>
      <c r="E9" s="24">
        <f t="shared" si="1"/>
        <v>9745.1999999999989</v>
      </c>
      <c r="F9" s="24">
        <f t="shared" si="1"/>
        <v>0</v>
      </c>
      <c r="G9" s="24">
        <f t="shared" si="1"/>
        <v>0</v>
      </c>
      <c r="H9" s="24">
        <f t="shared" si="1"/>
        <v>0</v>
      </c>
      <c r="I9" s="24">
        <f t="shared" si="1"/>
        <v>0</v>
      </c>
      <c r="J9" s="24">
        <f t="shared" si="1"/>
        <v>0</v>
      </c>
      <c r="K9" s="24">
        <f t="shared" si="1"/>
        <v>0</v>
      </c>
      <c r="L9" s="327" t="str">
        <f>IF(SUM(D9:K9)=C9,"balance","error")</f>
        <v>balance</v>
      </c>
      <c r="N9" s="1"/>
      <c r="O9" s="1"/>
    </row>
    <row r="10" spans="1:16" ht="3.95" customHeight="1">
      <c r="A10" s="330"/>
      <c r="B10" s="22"/>
      <c r="C10" s="56"/>
      <c r="D10" s="20"/>
      <c r="E10" s="20"/>
      <c r="F10" s="20"/>
      <c r="G10" s="20"/>
      <c r="H10" s="20"/>
      <c r="I10" s="20"/>
      <c r="J10" s="20"/>
      <c r="K10" s="20"/>
      <c r="L10" s="326"/>
      <c r="N10" s="1"/>
      <c r="O10" s="1"/>
    </row>
    <row r="11" spans="1:16" ht="15.95" customHeight="1">
      <c r="A11" s="422" t="s">
        <v>167</v>
      </c>
      <c r="B11" s="423"/>
      <c r="C11" s="56"/>
      <c r="D11" s="20"/>
      <c r="E11" s="20"/>
      <c r="F11" s="20"/>
      <c r="G11" s="20"/>
      <c r="H11" s="20"/>
      <c r="I11" s="20"/>
      <c r="J11" s="20"/>
      <c r="K11" s="20"/>
      <c r="L11" s="326"/>
      <c r="N11" s="1"/>
      <c r="O11" s="1"/>
    </row>
    <row r="12" spans="1:16" ht="15.95" customHeight="1">
      <c r="A12" s="329" t="s">
        <v>124</v>
      </c>
      <c r="B12" s="22" t="s">
        <v>113</v>
      </c>
      <c r="C12" s="174">
        <v>50661</v>
      </c>
      <c r="D12" s="20">
        <f>C12*70%</f>
        <v>35462.699999999997</v>
      </c>
      <c r="E12" s="20">
        <f>C12*30%</f>
        <v>15198.3</v>
      </c>
      <c r="F12" s="20">
        <v>0</v>
      </c>
      <c r="G12" s="20">
        <v>0</v>
      </c>
      <c r="H12" s="20">
        <v>0</v>
      </c>
      <c r="I12" s="20">
        <v>0</v>
      </c>
      <c r="J12" s="20">
        <v>0</v>
      </c>
      <c r="K12" s="20">
        <v>0</v>
      </c>
      <c r="L12" s="326" t="s">
        <v>254</v>
      </c>
      <c r="N12" s="1"/>
      <c r="O12" s="1"/>
    </row>
    <row r="13" spans="1:16" ht="15.95" customHeight="1">
      <c r="A13" s="329" t="s">
        <v>233</v>
      </c>
      <c r="B13" s="22" t="s">
        <v>234</v>
      </c>
      <c r="C13" s="174">
        <v>482169</v>
      </c>
      <c r="D13" s="20">
        <f t="shared" ref="D13:D15" si="2">C13*70%</f>
        <v>337518.3</v>
      </c>
      <c r="E13" s="20">
        <f t="shared" ref="E13:E15" si="3">C13*30%</f>
        <v>144650.69999999998</v>
      </c>
      <c r="F13" s="20">
        <v>0</v>
      </c>
      <c r="G13" s="20">
        <v>0</v>
      </c>
      <c r="H13" s="20">
        <v>0</v>
      </c>
      <c r="I13" s="20">
        <v>0</v>
      </c>
      <c r="J13" s="20">
        <v>0</v>
      </c>
      <c r="K13" s="20">
        <v>0</v>
      </c>
      <c r="L13" s="326" t="s">
        <v>254</v>
      </c>
      <c r="N13" s="1"/>
      <c r="O13" s="1"/>
    </row>
    <row r="14" spans="1:16" ht="15.95" customHeight="1">
      <c r="A14" s="329" t="s">
        <v>232</v>
      </c>
      <c r="B14" s="22" t="s">
        <v>231</v>
      </c>
      <c r="C14" s="174">
        <v>3029</v>
      </c>
      <c r="D14" s="20">
        <f t="shared" si="2"/>
        <v>2120.2999999999997</v>
      </c>
      <c r="E14" s="20">
        <f t="shared" si="3"/>
        <v>908.69999999999993</v>
      </c>
      <c r="F14" s="20">
        <v>0</v>
      </c>
      <c r="G14" s="20">
        <v>0</v>
      </c>
      <c r="H14" s="20">
        <v>0</v>
      </c>
      <c r="I14" s="20">
        <v>0</v>
      </c>
      <c r="J14" s="20">
        <v>0</v>
      </c>
      <c r="K14" s="20">
        <v>0</v>
      </c>
      <c r="L14" s="326" t="s">
        <v>254</v>
      </c>
      <c r="N14" s="1"/>
      <c r="O14" s="1"/>
    </row>
    <row r="15" spans="1:16" ht="15.95" customHeight="1">
      <c r="A15" s="329" t="s">
        <v>98</v>
      </c>
      <c r="B15" s="22" t="s">
        <v>48</v>
      </c>
      <c r="C15" s="174">
        <v>19113</v>
      </c>
      <c r="D15" s="20">
        <f t="shared" si="2"/>
        <v>13379.099999999999</v>
      </c>
      <c r="E15" s="20">
        <f t="shared" si="3"/>
        <v>5733.9</v>
      </c>
      <c r="F15" s="20">
        <v>0</v>
      </c>
      <c r="G15" s="20">
        <v>0</v>
      </c>
      <c r="H15" s="20">
        <v>0</v>
      </c>
      <c r="I15" s="20">
        <v>0</v>
      </c>
      <c r="J15" s="20">
        <v>0</v>
      </c>
      <c r="K15" s="20">
        <v>0</v>
      </c>
      <c r="L15" s="326" t="s">
        <v>254</v>
      </c>
      <c r="N15" s="1"/>
      <c r="O15" s="1"/>
    </row>
    <row r="16" spans="1:16" ht="15.95" customHeight="1">
      <c r="A16" s="328" t="s">
        <v>102</v>
      </c>
      <c r="B16" s="20"/>
      <c r="C16" s="175">
        <f t="shared" ref="C16:K16" si="4">SUM(C12:C15)</f>
        <v>554972</v>
      </c>
      <c r="D16" s="24">
        <f t="shared" si="4"/>
        <v>388480.39999999997</v>
      </c>
      <c r="E16" s="24">
        <f t="shared" si="4"/>
        <v>166491.59999999998</v>
      </c>
      <c r="F16" s="24">
        <f t="shared" si="4"/>
        <v>0</v>
      </c>
      <c r="G16" s="24">
        <f t="shared" si="4"/>
        <v>0</v>
      </c>
      <c r="H16" s="24">
        <f t="shared" si="4"/>
        <v>0</v>
      </c>
      <c r="I16" s="24">
        <f t="shared" si="4"/>
        <v>0</v>
      </c>
      <c r="J16" s="24">
        <f t="shared" si="4"/>
        <v>0</v>
      </c>
      <c r="K16" s="24">
        <f t="shared" si="4"/>
        <v>0</v>
      </c>
      <c r="L16" s="327" t="str">
        <f>IF(SUM(D16:K16)=C16,"balance","error")</f>
        <v>balance</v>
      </c>
      <c r="N16" s="1"/>
      <c r="O16" s="1"/>
    </row>
    <row r="17" spans="1:15" ht="3.95" customHeight="1">
      <c r="A17" s="328"/>
      <c r="B17" s="20"/>
      <c r="C17" s="56"/>
      <c r="D17" s="20"/>
      <c r="E17" s="20"/>
      <c r="F17" s="20"/>
      <c r="G17" s="20"/>
      <c r="H17" s="20"/>
      <c r="I17" s="20"/>
      <c r="J17" s="20"/>
      <c r="K17" s="20"/>
      <c r="L17" s="326"/>
      <c r="N17" s="1"/>
      <c r="O17" s="1"/>
    </row>
    <row r="18" spans="1:15" ht="15.95" customHeight="1">
      <c r="A18" s="328" t="s">
        <v>242</v>
      </c>
      <c r="B18" s="20"/>
      <c r="C18" s="56"/>
      <c r="D18" s="20"/>
      <c r="E18" s="20"/>
      <c r="F18" s="20"/>
      <c r="G18" s="20"/>
      <c r="H18" s="20"/>
      <c r="I18" s="20"/>
      <c r="J18" s="20"/>
      <c r="K18" s="20"/>
      <c r="L18" s="326"/>
      <c r="N18" s="1"/>
      <c r="O18" s="1"/>
    </row>
    <row r="19" spans="1:15" ht="15.95" customHeight="1">
      <c r="A19" s="329" t="s">
        <v>106</v>
      </c>
      <c r="B19" s="20" t="s">
        <v>103</v>
      </c>
      <c r="C19" s="174">
        <f>60051+41903+66135</f>
        <v>168089</v>
      </c>
      <c r="D19" s="20">
        <f>C19-K19</f>
        <v>103197.73000000001</v>
      </c>
      <c r="E19" s="20">
        <v>0</v>
      </c>
      <c r="F19" s="20">
        <v>0</v>
      </c>
      <c r="G19" s="20">
        <v>0</v>
      </c>
      <c r="H19" s="20">
        <v>0</v>
      </c>
      <c r="I19" s="20">
        <v>0</v>
      </c>
      <c r="J19" s="20">
        <v>0</v>
      </c>
      <c r="K19" s="56">
        <v>64891.27</v>
      </c>
      <c r="L19" s="326" t="s">
        <v>44</v>
      </c>
      <c r="M19" s="1"/>
      <c r="N19" s="1"/>
      <c r="O19" s="1"/>
    </row>
    <row r="20" spans="1:15" ht="15.95" customHeight="1">
      <c r="A20" s="329" t="s">
        <v>243</v>
      </c>
      <c r="B20" s="20" t="s">
        <v>104</v>
      </c>
      <c r="C20" s="174">
        <f>335511+3502</f>
        <v>339013</v>
      </c>
      <c r="D20" s="20">
        <v>0</v>
      </c>
      <c r="E20" s="20">
        <f>(C20-K20)*'distr main analysis'!D28</f>
        <v>65863.252000000008</v>
      </c>
      <c r="F20" s="20">
        <f>(C20-K20)*'distr main analysis'!D17</f>
        <v>67137.320572137207</v>
      </c>
      <c r="G20" s="20">
        <v>0</v>
      </c>
      <c r="H20" s="20">
        <v>0</v>
      </c>
      <c r="I20" s="20">
        <f>(C20-K20)*'distr main analysis'!D32</f>
        <v>31657.557427862805</v>
      </c>
      <c r="J20" s="20">
        <v>0</v>
      </c>
      <c r="K20" s="56">
        <v>174354.87</v>
      </c>
      <c r="L20" s="326" t="s">
        <v>135</v>
      </c>
      <c r="M20" s="1"/>
      <c r="N20" s="1"/>
      <c r="O20" s="1"/>
    </row>
    <row r="21" spans="1:15" ht="15.95" customHeight="1">
      <c r="A21" s="329" t="s">
        <v>115</v>
      </c>
      <c r="B21" s="20" t="s">
        <v>105</v>
      </c>
      <c r="C21" s="174">
        <f>141364+106206+42600</f>
        <v>290170</v>
      </c>
      <c r="D21" s="20">
        <v>0</v>
      </c>
      <c r="E21" s="20">
        <f>(C21-K21)*'distr main analysis'!$D$28</f>
        <v>76796.400000000009</v>
      </c>
      <c r="F21" s="20">
        <f>(C21-K21)*'distr main analysis'!$D$17</f>
        <v>78281.961018051123</v>
      </c>
      <c r="G21" s="20">
        <v>0</v>
      </c>
      <c r="H21" s="20">
        <v>0</v>
      </c>
      <c r="I21" s="20">
        <f>(C21-K21)*'distr main analysis'!$D$32</f>
        <v>36912.63898194889</v>
      </c>
      <c r="J21" s="20">
        <v>0</v>
      </c>
      <c r="K21" s="56">
        <f>98179</f>
        <v>98179</v>
      </c>
      <c r="L21" s="326" t="s">
        <v>135</v>
      </c>
      <c r="N21" s="1"/>
      <c r="O21" s="1"/>
    </row>
    <row r="22" spans="1:15" ht="15.95" customHeight="1">
      <c r="A22" s="329" t="s">
        <v>97</v>
      </c>
      <c r="B22" s="20" t="s">
        <v>95</v>
      </c>
      <c r="C22" s="174">
        <v>67133</v>
      </c>
      <c r="D22" s="20">
        <f>(C22-K22)*70%</f>
        <v>32677.399999999998</v>
      </c>
      <c r="E22" s="20">
        <f>(C22-K22)*30%</f>
        <v>14004.6</v>
      </c>
      <c r="F22" s="20">
        <v>0</v>
      </c>
      <c r="G22" s="20">
        <v>0</v>
      </c>
      <c r="H22" s="20">
        <v>0</v>
      </c>
      <c r="I22" s="20">
        <v>0</v>
      </c>
      <c r="J22" s="20">
        <v>0</v>
      </c>
      <c r="K22" s="56">
        <f>16470+3981</f>
        <v>20451</v>
      </c>
      <c r="L22" s="326" t="s">
        <v>254</v>
      </c>
      <c r="N22" s="1"/>
      <c r="O22" s="1"/>
    </row>
    <row r="23" spans="1:15" ht="15.95" customHeight="1">
      <c r="A23" s="329" t="s">
        <v>98</v>
      </c>
      <c r="B23" s="20" t="s">
        <v>48</v>
      </c>
      <c r="C23" s="174">
        <v>43437</v>
      </c>
      <c r="D23" s="20">
        <v>0</v>
      </c>
      <c r="E23" s="20">
        <f>(C23-K23)*'distr main analysis'!$D$28</f>
        <v>17374.8</v>
      </c>
      <c r="F23" s="20">
        <f>(C23-K23)*'distr main analysis'!$D$17</f>
        <v>17710.900723164556</v>
      </c>
      <c r="G23" s="20">
        <v>0</v>
      </c>
      <c r="H23" s="20">
        <v>0</v>
      </c>
      <c r="I23" s="20">
        <f>(C23-K23)*'distr main analysis'!$D$32</f>
        <v>8351.2992768354452</v>
      </c>
      <c r="J23" s="20">
        <v>0</v>
      </c>
      <c r="K23" s="56">
        <v>0</v>
      </c>
      <c r="L23" s="326" t="s">
        <v>135</v>
      </c>
      <c r="N23" s="1"/>
      <c r="O23" s="1"/>
    </row>
    <row r="24" spans="1:15" ht="15.95" customHeight="1">
      <c r="A24" s="329" t="s">
        <v>101</v>
      </c>
      <c r="B24" s="20" t="s">
        <v>46</v>
      </c>
      <c r="C24" s="174">
        <v>13587</v>
      </c>
      <c r="D24" s="20">
        <f t="shared" ref="D24:K24" si="5">($C$24)*((D19+D20)/(($C$19)+($C$20)))</f>
        <v>2765.0207601429302</v>
      </c>
      <c r="E24" s="20">
        <f t="shared" si="5"/>
        <v>1764.702180082114</v>
      </c>
      <c r="F24" s="20">
        <f t="shared" si="5"/>
        <v>1798.8388423110698</v>
      </c>
      <c r="G24" s="20">
        <f t="shared" si="5"/>
        <v>0</v>
      </c>
      <c r="H24" s="20">
        <f t="shared" si="5"/>
        <v>0</v>
      </c>
      <c r="I24" s="20">
        <f t="shared" si="5"/>
        <v>848.21442781210078</v>
      </c>
      <c r="J24" s="20">
        <f t="shared" si="5"/>
        <v>0</v>
      </c>
      <c r="K24" s="20">
        <f t="shared" si="5"/>
        <v>6410.2237896517854</v>
      </c>
      <c r="L24" s="326" t="s">
        <v>49</v>
      </c>
      <c r="N24" s="1"/>
      <c r="O24" s="1"/>
    </row>
    <row r="25" spans="1:15" ht="15.95" customHeight="1">
      <c r="A25" s="329" t="s">
        <v>107</v>
      </c>
      <c r="B25" s="20" t="s">
        <v>27</v>
      </c>
      <c r="C25" s="174">
        <f>50075+37375+53663</f>
        <v>141113</v>
      </c>
      <c r="D25" s="20">
        <f>0%*C25</f>
        <v>0</v>
      </c>
      <c r="E25" s="20">
        <f>0%*C25</f>
        <v>0</v>
      </c>
      <c r="F25" s="20">
        <f>0%*C25</f>
        <v>0</v>
      </c>
      <c r="G25" s="20">
        <f>0%*C25</f>
        <v>0</v>
      </c>
      <c r="H25" s="20">
        <f>100%*(C25-K25)</f>
        <v>141113</v>
      </c>
      <c r="I25" s="20">
        <f>0%*C25</f>
        <v>0</v>
      </c>
      <c r="J25" s="20">
        <f>0%*C25</f>
        <v>0</v>
      </c>
      <c r="K25" s="56">
        <v>0</v>
      </c>
      <c r="L25" s="326" t="s">
        <v>42</v>
      </c>
      <c r="N25" s="1"/>
      <c r="O25" s="1"/>
    </row>
    <row r="26" spans="1:15" ht="15.95" customHeight="1">
      <c r="A26" s="329" t="s">
        <v>100</v>
      </c>
      <c r="B26" s="20" t="s">
        <v>99</v>
      </c>
      <c r="C26" s="174">
        <v>10526</v>
      </c>
      <c r="D26" s="20">
        <f t="shared" ref="D26:K26" si="6">($C$26)*((D19+D20)/(($C$19)+($C$20)))</f>
        <v>2142.0923324696018</v>
      </c>
      <c r="E26" s="20">
        <f t="shared" si="6"/>
        <v>1367.1344040291699</v>
      </c>
      <c r="F26" s="20">
        <f t="shared" si="6"/>
        <v>1393.5804558891823</v>
      </c>
      <c r="G26" s="20">
        <f t="shared" si="6"/>
        <v>0</v>
      </c>
      <c r="H26" s="20">
        <f t="shared" si="6"/>
        <v>0</v>
      </c>
      <c r="I26" s="20">
        <f t="shared" si="6"/>
        <v>657.12115015457221</v>
      </c>
      <c r="J26" s="20">
        <f t="shared" si="6"/>
        <v>0</v>
      </c>
      <c r="K26" s="20">
        <f t="shared" si="6"/>
        <v>4966.0716574574735</v>
      </c>
      <c r="L26" s="326" t="s">
        <v>49</v>
      </c>
      <c r="N26" s="1"/>
      <c r="O26" s="1"/>
    </row>
    <row r="27" spans="1:15" ht="15.95" customHeight="1">
      <c r="A27" s="329" t="s">
        <v>108</v>
      </c>
      <c r="B27" s="20" t="s">
        <v>151</v>
      </c>
      <c r="C27" s="174">
        <v>0</v>
      </c>
      <c r="D27" s="20">
        <f>$C$27*0%</f>
        <v>0</v>
      </c>
      <c r="E27" s="20">
        <f t="shared" ref="E27:J27" si="7">$C$27*0%</f>
        <v>0</v>
      </c>
      <c r="F27" s="20">
        <f t="shared" si="7"/>
        <v>0</v>
      </c>
      <c r="G27" s="20">
        <f t="shared" si="7"/>
        <v>0</v>
      </c>
      <c r="H27" s="20">
        <f t="shared" si="7"/>
        <v>0</v>
      </c>
      <c r="I27" s="20">
        <f t="shared" si="7"/>
        <v>0</v>
      </c>
      <c r="J27" s="20">
        <f t="shared" si="7"/>
        <v>0</v>
      </c>
      <c r="K27" s="20">
        <v>0</v>
      </c>
      <c r="L27" s="326" t="s">
        <v>93</v>
      </c>
      <c r="N27" s="1"/>
      <c r="O27" s="1"/>
    </row>
    <row r="28" spans="1:15" ht="15.95" customHeight="1">
      <c r="A28" s="328" t="s">
        <v>45</v>
      </c>
      <c r="B28" s="20"/>
      <c r="C28" s="175">
        <f t="shared" ref="C28:K28" si="8">SUM(C19:C27)</f>
        <v>1073068</v>
      </c>
      <c r="D28" s="24">
        <f t="shared" si="8"/>
        <v>140782.24309261254</v>
      </c>
      <c r="E28" s="24">
        <f t="shared" si="8"/>
        <v>177170.88858411129</v>
      </c>
      <c r="F28" s="24">
        <f t="shared" si="8"/>
        <v>166322.60161155311</v>
      </c>
      <c r="G28" s="24">
        <f t="shared" si="8"/>
        <v>0</v>
      </c>
      <c r="H28" s="24">
        <f t="shared" si="8"/>
        <v>141113</v>
      </c>
      <c r="I28" s="24">
        <f t="shared" si="8"/>
        <v>78426.831264613822</v>
      </c>
      <c r="J28" s="24">
        <f t="shared" si="8"/>
        <v>0</v>
      </c>
      <c r="K28" s="24">
        <f t="shared" si="8"/>
        <v>369252.43544710922</v>
      </c>
      <c r="L28" s="327" t="str">
        <f>IF(SUM(D28:K28)=C28,"balance","error")</f>
        <v>balance</v>
      </c>
      <c r="N28" s="1"/>
      <c r="O28" s="1"/>
    </row>
    <row r="29" spans="1:15" ht="3.95" customHeight="1">
      <c r="A29" s="328"/>
      <c r="B29" s="20"/>
      <c r="C29" s="56"/>
      <c r="D29" s="20"/>
      <c r="E29" s="20"/>
      <c r="F29" s="20"/>
      <c r="G29" s="20"/>
      <c r="H29" s="20"/>
      <c r="I29" s="20"/>
      <c r="J29" s="20"/>
      <c r="K29" s="20"/>
      <c r="L29" s="326"/>
      <c r="N29" s="1"/>
      <c r="O29" s="1"/>
    </row>
    <row r="30" spans="1:15" ht="15.95" customHeight="1">
      <c r="A30" s="328" t="s">
        <v>229</v>
      </c>
      <c r="B30" s="20"/>
      <c r="C30" s="56"/>
      <c r="D30" s="20"/>
      <c r="E30" s="20"/>
      <c r="F30" s="20"/>
      <c r="G30" s="20"/>
      <c r="H30" s="20"/>
      <c r="I30" s="20"/>
      <c r="J30" s="20"/>
      <c r="K30" s="20"/>
      <c r="L30" s="326"/>
      <c r="N30" s="1"/>
      <c r="O30" s="1"/>
    </row>
    <row r="31" spans="1:15" ht="15.95" customHeight="1">
      <c r="A31" s="329" t="s">
        <v>124</v>
      </c>
      <c r="B31" s="20" t="s">
        <v>113</v>
      </c>
      <c r="C31" s="174">
        <v>51249</v>
      </c>
      <c r="D31" s="24">
        <f t="shared" ref="D31:K31" si="9">($C$31)*((D19+D20)/(($C$19)+($C$20)))</f>
        <v>10429.421427582618</v>
      </c>
      <c r="E31" s="24">
        <f t="shared" si="9"/>
        <v>6656.3054410118684</v>
      </c>
      <c r="F31" s="24">
        <f t="shared" si="9"/>
        <v>6785.0660064473404</v>
      </c>
      <c r="G31" s="24">
        <f t="shared" si="9"/>
        <v>0</v>
      </c>
      <c r="H31" s="24">
        <f t="shared" si="9"/>
        <v>0</v>
      </c>
      <c r="I31" s="24">
        <f t="shared" si="9"/>
        <v>3199.3921550704608</v>
      </c>
      <c r="J31" s="24">
        <f t="shared" si="9"/>
        <v>0</v>
      </c>
      <c r="K31" s="24">
        <f t="shared" si="9"/>
        <v>24178.814969887713</v>
      </c>
      <c r="L31" s="326" t="s">
        <v>49</v>
      </c>
      <c r="N31" s="1"/>
      <c r="O31" s="1"/>
    </row>
    <row r="32" spans="1:15" ht="3.95" customHeight="1">
      <c r="A32" s="328"/>
      <c r="B32" s="20"/>
      <c r="C32" s="20"/>
      <c r="D32" s="20"/>
      <c r="E32" s="20"/>
      <c r="F32" s="20"/>
      <c r="G32" s="20"/>
      <c r="H32" s="20"/>
      <c r="I32" s="20"/>
      <c r="J32" s="20"/>
      <c r="K32" s="20"/>
      <c r="L32" s="326"/>
      <c r="N32" s="1"/>
      <c r="O32" s="1"/>
    </row>
    <row r="33" spans="1:15" ht="15.95" customHeight="1" thickBot="1">
      <c r="A33" s="332" t="s">
        <v>290</v>
      </c>
      <c r="B33" s="333"/>
      <c r="C33" s="334">
        <f>C31+C28+C16+C9+C5</f>
        <v>1712714</v>
      </c>
      <c r="D33" s="334">
        <f t="shared" ref="D33:K33" si="10">D31+D28+D16+D9+D5</f>
        <v>563371.86452019517</v>
      </c>
      <c r="E33" s="334">
        <f t="shared" si="10"/>
        <v>360063.99402512313</v>
      </c>
      <c r="F33" s="334">
        <f t="shared" si="10"/>
        <v>173107.66761800044</v>
      </c>
      <c r="G33" s="334">
        <f t="shared" si="10"/>
        <v>0</v>
      </c>
      <c r="H33" s="334">
        <f t="shared" si="10"/>
        <v>141113</v>
      </c>
      <c r="I33" s="334">
        <f t="shared" si="10"/>
        <v>81626.223419684276</v>
      </c>
      <c r="J33" s="334">
        <f t="shared" si="10"/>
        <v>0</v>
      </c>
      <c r="K33" s="334">
        <f t="shared" si="10"/>
        <v>393431.25041699695</v>
      </c>
      <c r="L33" s="335" t="str">
        <f>IF(SUM(D33:K33)=C33,"balance","error")</f>
        <v>balance</v>
      </c>
      <c r="N33" s="1"/>
      <c r="O33" s="1"/>
    </row>
    <row r="34" spans="1:15" s="1" customFormat="1" ht="12.75" thickTop="1">
      <c r="L34" s="6"/>
    </row>
    <row r="35" spans="1:15" s="1" customFormat="1">
      <c r="L35" s="6"/>
    </row>
    <row r="36" spans="1:15" s="1" customFormat="1">
      <c r="L36" s="6"/>
    </row>
    <row r="37" spans="1:15" s="1" customFormat="1">
      <c r="L37" s="6"/>
    </row>
    <row r="38" spans="1:15" s="1" customFormat="1">
      <c r="L38" s="6"/>
    </row>
    <row r="39" spans="1:15" s="1" customFormat="1">
      <c r="L39" s="6"/>
    </row>
    <row r="40" spans="1:15" s="1" customFormat="1">
      <c r="L40" s="6"/>
    </row>
    <row r="41" spans="1:15" s="1" customFormat="1">
      <c r="L41" s="6"/>
    </row>
    <row r="42" spans="1:15" s="1" customFormat="1">
      <c r="L42" s="6"/>
    </row>
    <row r="43" spans="1:15" s="1" customFormat="1">
      <c r="L43" s="6"/>
    </row>
    <row r="44" spans="1:15" s="1" customFormat="1">
      <c r="L44" s="6"/>
    </row>
    <row r="45" spans="1:15" s="1" customFormat="1">
      <c r="L45" s="6"/>
    </row>
    <row r="46" spans="1:15" s="1" customFormat="1">
      <c r="L46" s="6"/>
    </row>
    <row r="47" spans="1:15" s="1" customFormat="1">
      <c r="L47" s="6"/>
    </row>
    <row r="48" spans="1:15" s="1" customFormat="1">
      <c r="L48" s="6"/>
    </row>
    <row r="49" spans="12:12" s="1" customFormat="1">
      <c r="L49" s="6"/>
    </row>
    <row r="50" spans="12:12" s="1" customFormat="1">
      <c r="L50" s="6"/>
    </row>
    <row r="51" spans="12:12" s="1" customFormat="1">
      <c r="L51" s="6"/>
    </row>
    <row r="52" spans="12:12" s="1" customFormat="1">
      <c r="L52" s="6"/>
    </row>
    <row r="53" spans="12:12" s="1" customFormat="1">
      <c r="L53" s="6"/>
    </row>
    <row r="54" spans="12:12" s="1" customFormat="1">
      <c r="L54" s="6"/>
    </row>
    <row r="55" spans="12:12" s="1" customFormat="1">
      <c r="L55" s="6"/>
    </row>
    <row r="56" spans="12:12" s="1" customFormat="1">
      <c r="L56" s="6"/>
    </row>
    <row r="57" spans="12:12" s="1" customFormat="1">
      <c r="L57" s="6"/>
    </row>
    <row r="58" spans="12:12" s="1" customFormat="1">
      <c r="L58" s="6"/>
    </row>
    <row r="59" spans="12:12" s="1" customFormat="1">
      <c r="L59" s="6"/>
    </row>
    <row r="60" spans="12:12" s="1" customFormat="1">
      <c r="L60" s="6"/>
    </row>
  </sheetData>
  <mergeCells count="7">
    <mergeCell ref="I1:L1"/>
    <mergeCell ref="A9:B9"/>
    <mergeCell ref="A11:B11"/>
    <mergeCell ref="A3:B3"/>
    <mergeCell ref="A5:B5"/>
    <mergeCell ref="A1:F1"/>
    <mergeCell ref="G1:H1"/>
  </mergeCells>
  <phoneticPr fontId="15" type="noConversion"/>
  <printOptions horizontalCentered="1"/>
  <pageMargins left="0" right="0" top="0.95" bottom="0" header="0.3" footer="0.3"/>
  <pageSetup orientation="landscape" cellComments="asDisplayed" horizontalDpi="0" verticalDpi="0"/>
  <headerFooter>
    <oddHeader>&amp;C&amp;10&amp;K0C0B0ABardstown Water Utility
Functionalization and Allocation of Pro Forma Depreciation Costs</oddHeader>
  </headerFooter>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B1D584-1E4E-2748-B3FE-4F45CB335C5C}">
  <sheetPr>
    <tabColor theme="8" tint="0.79998168889431442"/>
  </sheetPr>
  <dimension ref="A1:M25"/>
  <sheetViews>
    <sheetView zoomScale="150" zoomScaleNormal="150" workbookViewId="0">
      <selection activeCell="E29" sqref="E29"/>
    </sheetView>
  </sheetViews>
  <sheetFormatPr defaultColWidth="10.6640625" defaultRowHeight="12"/>
  <cols>
    <col min="1" max="1" width="11.44140625" style="1" customWidth="1"/>
    <col min="2" max="2" width="7.33203125" style="6" customWidth="1"/>
    <col min="3" max="3" width="24.109375" style="1" customWidth="1"/>
    <col min="4" max="4" width="4.6640625" style="1" customWidth="1"/>
    <col min="5" max="5" width="3.5546875" style="1" customWidth="1"/>
    <col min="6" max="6" width="5.33203125" style="1" customWidth="1"/>
    <col min="7" max="8" width="8.5546875" style="1" customWidth="1"/>
    <col min="9" max="9" width="9.6640625" style="1" customWidth="1"/>
    <col min="10" max="10" width="10.6640625" style="1"/>
    <col min="11" max="11" width="11.6640625" style="6" customWidth="1"/>
    <col min="12" max="16384" width="10.6640625" style="1"/>
  </cols>
  <sheetData>
    <row r="1" spans="1:13" s="4" customFormat="1" ht="27.95" customHeight="1">
      <c r="A1" s="155" t="s">
        <v>149</v>
      </c>
      <c r="B1" s="155" t="s">
        <v>118</v>
      </c>
      <c r="C1" s="155" t="s">
        <v>117</v>
      </c>
      <c r="D1" s="155" t="s">
        <v>122</v>
      </c>
      <c r="E1" s="443" t="s">
        <v>148</v>
      </c>
      <c r="F1" s="444"/>
      <c r="G1" s="155" t="s">
        <v>120</v>
      </c>
      <c r="H1" s="155" t="s">
        <v>121</v>
      </c>
      <c r="I1" s="155" t="s">
        <v>147</v>
      </c>
      <c r="J1" s="155" t="s">
        <v>119</v>
      </c>
      <c r="K1" s="155" t="s">
        <v>212</v>
      </c>
    </row>
    <row r="2" spans="1:13">
      <c r="A2" s="120" t="s">
        <v>293</v>
      </c>
      <c r="B2" s="120" t="s">
        <v>218</v>
      </c>
      <c r="C2" s="7" t="s">
        <v>213</v>
      </c>
      <c r="D2" s="87">
        <v>1</v>
      </c>
      <c r="E2" s="439">
        <f>I2*D2</f>
        <v>233031</v>
      </c>
      <c r="F2" s="440"/>
      <c r="G2" s="145">
        <v>56697</v>
      </c>
      <c r="H2" s="145">
        <v>176334</v>
      </c>
      <c r="I2" s="8">
        <f>G2+H2</f>
        <v>233031</v>
      </c>
      <c r="J2" s="8">
        <v>1966966</v>
      </c>
      <c r="K2" s="121" t="s">
        <v>193</v>
      </c>
    </row>
    <row r="3" spans="1:13" ht="12.95" customHeight="1">
      <c r="A3" s="120" t="s">
        <v>296</v>
      </c>
      <c r="B3" s="120" t="s">
        <v>218</v>
      </c>
      <c r="C3" s="7" t="s">
        <v>214</v>
      </c>
      <c r="D3" s="87">
        <v>1</v>
      </c>
      <c r="E3" s="439">
        <f t="shared" ref="E3:E5" si="0">I3*D3</f>
        <v>119794</v>
      </c>
      <c r="F3" s="440"/>
      <c r="G3" s="145">
        <v>32223</v>
      </c>
      <c r="H3" s="145">
        <v>87571</v>
      </c>
      <c r="I3" s="8">
        <f t="shared" ref="I3:I7" si="1">G3+H3</f>
        <v>119794</v>
      </c>
      <c r="J3" s="9">
        <v>1114004</v>
      </c>
      <c r="K3" s="121" t="s">
        <v>193</v>
      </c>
    </row>
    <row r="4" spans="1:13">
      <c r="A4" s="120" t="s">
        <v>294</v>
      </c>
      <c r="B4" s="120" t="s">
        <v>218</v>
      </c>
      <c r="C4" s="7" t="s">
        <v>215</v>
      </c>
      <c r="D4" s="87">
        <v>1</v>
      </c>
      <c r="E4" s="439">
        <f t="shared" si="0"/>
        <v>72590</v>
      </c>
      <c r="F4" s="440"/>
      <c r="G4" s="145">
        <v>15960</v>
      </c>
      <c r="H4" s="145">
        <v>56630</v>
      </c>
      <c r="I4" s="8">
        <f t="shared" si="1"/>
        <v>72590</v>
      </c>
      <c r="J4" s="9">
        <v>926071</v>
      </c>
      <c r="K4" s="121" t="s">
        <v>193</v>
      </c>
    </row>
    <row r="5" spans="1:13" ht="12.95" customHeight="1">
      <c r="A5" s="122" t="s">
        <v>295</v>
      </c>
      <c r="B5" s="120" t="s">
        <v>218</v>
      </c>
      <c r="C5" s="7" t="s">
        <v>216</v>
      </c>
      <c r="D5" s="87">
        <v>1</v>
      </c>
      <c r="E5" s="439">
        <f t="shared" si="0"/>
        <v>66794</v>
      </c>
      <c r="F5" s="440"/>
      <c r="G5" s="145">
        <v>16470</v>
      </c>
      <c r="H5" s="145">
        <v>50324</v>
      </c>
      <c r="I5" s="8">
        <f t="shared" si="1"/>
        <v>66794</v>
      </c>
      <c r="J5" s="9">
        <v>953661</v>
      </c>
      <c r="K5" s="121" t="s">
        <v>193</v>
      </c>
    </row>
    <row r="6" spans="1:13" ht="12.95" customHeight="1">
      <c r="A6" s="122"/>
      <c r="B6" s="120" t="s">
        <v>218</v>
      </c>
      <c r="C6" s="7"/>
      <c r="D6" s="87">
        <v>1</v>
      </c>
      <c r="E6" s="445">
        <f>G6+H6</f>
        <v>30046.57</v>
      </c>
      <c r="F6" s="446"/>
      <c r="G6" s="145">
        <v>28776.01</v>
      </c>
      <c r="H6" s="145">
        <v>1270.56</v>
      </c>
      <c r="I6" s="8">
        <f t="shared" si="1"/>
        <v>30046.57</v>
      </c>
      <c r="J6" s="9"/>
      <c r="K6" s="121"/>
    </row>
    <row r="7" spans="1:13" s="2" customFormat="1" ht="12.95" customHeight="1">
      <c r="A7" s="123"/>
      <c r="B7" s="120" t="s">
        <v>218</v>
      </c>
      <c r="C7" s="7"/>
      <c r="D7" s="87">
        <v>1</v>
      </c>
      <c r="E7" s="439">
        <f>G7+H7</f>
        <v>24912.11</v>
      </c>
      <c r="F7" s="440"/>
      <c r="G7" s="146">
        <v>23904.53</v>
      </c>
      <c r="H7" s="146">
        <v>1007.58</v>
      </c>
      <c r="I7" s="8">
        <f t="shared" si="1"/>
        <v>24912.11</v>
      </c>
      <c r="J7" s="9"/>
      <c r="K7" s="121"/>
      <c r="M7" s="11"/>
    </row>
    <row r="8" spans="1:13">
      <c r="A8" s="450"/>
      <c r="B8" s="451"/>
      <c r="C8" s="451"/>
      <c r="D8" s="452"/>
      <c r="E8" s="441">
        <f>SUM(E2:F7)</f>
        <v>547167.68000000005</v>
      </c>
      <c r="F8" s="442"/>
      <c r="G8" s="145">
        <f>SUM(G2:G7)</f>
        <v>174030.54</v>
      </c>
      <c r="H8" s="145">
        <f>SUM(H2:H7)</f>
        <v>373137.14</v>
      </c>
      <c r="I8" s="453"/>
      <c r="J8" s="453"/>
      <c r="K8" s="454"/>
    </row>
    <row r="9" spans="1:13">
      <c r="K9" s="1"/>
    </row>
    <row r="10" spans="1:13">
      <c r="K10" s="1"/>
    </row>
    <row r="11" spans="1:13" ht="24">
      <c r="A11" s="176" t="s">
        <v>149</v>
      </c>
      <c r="B11" s="176" t="s">
        <v>118</v>
      </c>
      <c r="C11" s="176" t="s">
        <v>117</v>
      </c>
      <c r="D11" s="176" t="s">
        <v>122</v>
      </c>
      <c r="E11" s="464" t="s">
        <v>217</v>
      </c>
      <c r="F11" s="465"/>
      <c r="G11" s="176" t="s">
        <v>120</v>
      </c>
      <c r="H11" s="176" t="s">
        <v>121</v>
      </c>
      <c r="I11" s="176" t="s">
        <v>147</v>
      </c>
      <c r="J11" s="176" t="s">
        <v>119</v>
      </c>
      <c r="K11" s="176" t="s">
        <v>212</v>
      </c>
      <c r="M11" s="12"/>
    </row>
    <row r="12" spans="1:13" ht="12.95" customHeight="1">
      <c r="A12" s="120"/>
      <c r="B12" s="120" t="s">
        <v>218</v>
      </c>
      <c r="C12" s="7" t="s">
        <v>219</v>
      </c>
      <c r="D12" s="87">
        <v>0</v>
      </c>
      <c r="E12" s="439">
        <f>I12*100%</f>
        <v>109640</v>
      </c>
      <c r="F12" s="440"/>
      <c r="G12" s="156">
        <v>18433</v>
      </c>
      <c r="H12" s="156">
        <v>91207</v>
      </c>
      <c r="I12" s="8">
        <f>G12+H12</f>
        <v>109640</v>
      </c>
      <c r="J12" s="8">
        <v>944331</v>
      </c>
      <c r="K12" s="121" t="s">
        <v>193</v>
      </c>
      <c r="M12" s="12"/>
    </row>
    <row r="13" spans="1:13" ht="12.95" customHeight="1">
      <c r="A13" s="120"/>
      <c r="B13" s="120" t="s">
        <v>218</v>
      </c>
      <c r="C13" s="7" t="s">
        <v>220</v>
      </c>
      <c r="D13" s="87">
        <v>0</v>
      </c>
      <c r="E13" s="439">
        <f t="shared" ref="E13:E14" si="2">I13*100%</f>
        <v>378758</v>
      </c>
      <c r="F13" s="440"/>
      <c r="G13" s="156">
        <v>115352</v>
      </c>
      <c r="H13" s="156">
        <v>263406</v>
      </c>
      <c r="I13" s="8">
        <f t="shared" ref="I13:I14" si="3">G13+H13</f>
        <v>378758</v>
      </c>
      <c r="J13" s="9">
        <v>5832626</v>
      </c>
      <c r="K13" s="121" t="s">
        <v>193</v>
      </c>
    </row>
    <row r="14" spans="1:13" ht="12.95" customHeight="1">
      <c r="A14" s="120"/>
      <c r="B14" s="120" t="s">
        <v>218</v>
      </c>
      <c r="C14" s="7" t="s">
        <v>221</v>
      </c>
      <c r="D14" s="87">
        <v>0</v>
      </c>
      <c r="E14" s="439">
        <f t="shared" si="2"/>
        <v>38520</v>
      </c>
      <c r="F14" s="440"/>
      <c r="G14" s="156">
        <v>9953</v>
      </c>
      <c r="H14" s="156">
        <v>28567</v>
      </c>
      <c r="I14" s="8">
        <f t="shared" si="3"/>
        <v>38520</v>
      </c>
      <c r="J14" s="9">
        <v>1326916</v>
      </c>
      <c r="K14" s="121" t="s">
        <v>193</v>
      </c>
    </row>
    <row r="15" spans="1:13" ht="12.95" customHeight="1">
      <c r="A15" s="122"/>
      <c r="B15" s="120"/>
      <c r="C15" s="7"/>
      <c r="D15" s="87"/>
      <c r="E15" s="439"/>
      <c r="F15" s="440"/>
      <c r="G15" s="156"/>
      <c r="H15" s="156"/>
      <c r="I15" s="8"/>
      <c r="J15" s="9"/>
      <c r="K15" s="121"/>
    </row>
    <row r="16" spans="1:13">
      <c r="A16" s="123"/>
      <c r="B16" s="120"/>
      <c r="C16" s="7"/>
      <c r="D16" s="87"/>
      <c r="E16" s="439"/>
      <c r="F16" s="440"/>
      <c r="G16" s="157"/>
      <c r="H16" s="157"/>
      <c r="I16" s="8"/>
      <c r="J16" s="9"/>
      <c r="K16" s="121"/>
      <c r="M16" s="13"/>
    </row>
    <row r="17" spans="1:11">
      <c r="A17" s="455"/>
      <c r="B17" s="456"/>
      <c r="C17" s="456"/>
      <c r="D17" s="457"/>
      <c r="E17" s="460">
        <f>SUM(E12:F16)</f>
        <v>526918</v>
      </c>
      <c r="F17" s="461"/>
      <c r="G17" s="177">
        <f>SUM(G12:G16)</f>
        <v>143738</v>
      </c>
      <c r="H17" s="177">
        <f>SUM(H12:H14)</f>
        <v>383180</v>
      </c>
      <c r="I17" s="458"/>
      <c r="J17" s="458"/>
      <c r="K17" s="459"/>
    </row>
    <row r="18" spans="1:11" s="181" customFormat="1" ht="26.1" customHeight="1">
      <c r="A18" s="449" t="s">
        <v>297</v>
      </c>
      <c r="B18" s="449"/>
      <c r="C18" s="449"/>
      <c r="D18" s="449"/>
      <c r="E18" s="449"/>
      <c r="F18" s="449"/>
      <c r="G18" s="449"/>
      <c r="H18" s="449"/>
      <c r="I18" s="449"/>
      <c r="J18" s="449"/>
      <c r="K18" s="449"/>
    </row>
    <row r="19" spans="1:11" ht="17.100000000000001" customHeight="1">
      <c r="A19" s="447" t="s">
        <v>223</v>
      </c>
      <c r="B19" s="447"/>
      <c r="C19" s="447"/>
      <c r="E19" s="462">
        <f>G19+H19</f>
        <v>547167.68000000005</v>
      </c>
      <c r="F19" s="462"/>
      <c r="G19" s="12">
        <f>G8</f>
        <v>174030.54</v>
      </c>
      <c r="H19" s="12">
        <f>H8</f>
        <v>373137.14</v>
      </c>
    </row>
    <row r="20" spans="1:11" ht="17.100000000000001" customHeight="1">
      <c r="A20" s="448" t="s">
        <v>222</v>
      </c>
      <c r="B20" s="448"/>
      <c r="C20" s="448"/>
      <c r="D20" s="179"/>
      <c r="E20" s="463"/>
      <c r="F20" s="463"/>
      <c r="G20" s="180">
        <v>141823</v>
      </c>
      <c r="H20" s="180"/>
      <c r="I20" s="179" t="s">
        <v>292</v>
      </c>
    </row>
    <row r="25" spans="1:11" ht="18" customHeight="1"/>
  </sheetData>
  <mergeCells count="24">
    <mergeCell ref="A19:C19"/>
    <mergeCell ref="A20:C20"/>
    <mergeCell ref="A18:K18"/>
    <mergeCell ref="A8:D8"/>
    <mergeCell ref="I8:K8"/>
    <mergeCell ref="E13:F13"/>
    <mergeCell ref="E14:F14"/>
    <mergeCell ref="A17:D17"/>
    <mergeCell ref="I17:K17"/>
    <mergeCell ref="E17:F17"/>
    <mergeCell ref="E19:F19"/>
    <mergeCell ref="E20:F20"/>
    <mergeCell ref="E11:F11"/>
    <mergeCell ref="E12:F12"/>
    <mergeCell ref="E15:F15"/>
    <mergeCell ref="E16:F16"/>
    <mergeCell ref="E7:F7"/>
    <mergeCell ref="E8:F8"/>
    <mergeCell ref="E1:F1"/>
    <mergeCell ref="E2:F2"/>
    <mergeCell ref="E3:F3"/>
    <mergeCell ref="E4:F4"/>
    <mergeCell ref="E5:F5"/>
    <mergeCell ref="E6:F6"/>
  </mergeCells>
  <phoneticPr fontId="15" type="noConversion"/>
  <printOptions horizontalCentered="1"/>
  <pageMargins left="0.2" right="0.2" top="1.75" bottom="0.75" header="0.55000000000000004" footer="0.3"/>
  <pageSetup orientation="landscape" horizontalDpi="0" verticalDpi="0"/>
  <headerFooter>
    <oddHeader>&amp;C&amp;10&amp;K0B0A0ABardstown Water Utility
Debt Service Test Year (FY 23) and FY 24</oddHeader>
    <oddFooter>&amp;L&amp;"Avenir Book Oblique,Italic"&amp;8&amp;K817842SRE; c allen
&amp;D</oddFooter>
  </headerFooter>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8" tint="0.79998168889431442"/>
  </sheetPr>
  <dimension ref="A1:N27"/>
  <sheetViews>
    <sheetView zoomScale="150" zoomScaleNormal="150" workbookViewId="0">
      <selection activeCell="A12" sqref="A12"/>
    </sheetView>
  </sheetViews>
  <sheetFormatPr defaultColWidth="10.6640625" defaultRowHeight="12"/>
  <cols>
    <col min="1" max="1" width="28.6640625" style="1" customWidth="1"/>
    <col min="2" max="2" width="12.5546875" style="1" bestFit="1" customWidth="1"/>
    <col min="3" max="3" width="8" style="1" customWidth="1"/>
    <col min="4" max="4" width="8.109375" style="1" customWidth="1"/>
    <col min="5" max="5" width="11.5546875" style="1" customWidth="1"/>
    <col min="6" max="6" width="7.88671875" style="1" customWidth="1"/>
    <col min="7" max="7" width="1" style="1" customWidth="1"/>
    <col min="8" max="8" width="9.44140625" style="1" customWidth="1"/>
    <col min="9" max="9" width="6" style="1" customWidth="1"/>
    <col min="10" max="10" width="4.6640625" style="1" customWidth="1"/>
    <col min="11" max="16384" width="10.6640625" style="1"/>
  </cols>
  <sheetData>
    <row r="1" spans="1:14" s="57" customFormat="1" ht="30" customHeight="1" thickTop="1">
      <c r="A1" s="467" t="s">
        <v>55</v>
      </c>
      <c r="B1" s="468"/>
      <c r="C1" s="468"/>
      <c r="D1" s="468"/>
      <c r="E1" s="468"/>
      <c r="F1" s="469"/>
      <c r="G1" s="2"/>
      <c r="H1" s="2"/>
      <c r="I1" s="2"/>
      <c r="J1" s="2"/>
      <c r="K1" s="2"/>
      <c r="L1" s="2"/>
      <c r="M1" s="2"/>
      <c r="N1" s="2"/>
    </row>
    <row r="2" spans="1:14" s="4" customFormat="1" ht="24">
      <c r="A2" s="254" t="s">
        <v>54</v>
      </c>
      <c r="B2" s="165" t="s">
        <v>186</v>
      </c>
      <c r="C2" s="165" t="s">
        <v>189</v>
      </c>
      <c r="D2" s="165" t="s">
        <v>136</v>
      </c>
      <c r="E2" s="165" t="s">
        <v>187</v>
      </c>
      <c r="F2" s="255" t="s">
        <v>191</v>
      </c>
    </row>
    <row r="3" spans="1:14" ht="15" customHeight="1">
      <c r="A3" s="276" t="s">
        <v>175</v>
      </c>
      <c r="B3" s="107">
        <f>[4]Volume!$B$24</f>
        <v>196524700</v>
      </c>
      <c r="C3" s="141">
        <f>B3/$B$14</f>
        <v>0.14235407679808632</v>
      </c>
      <c r="D3" s="129">
        <f>$D$17+$D$23</f>
        <v>0.11531602240298598</v>
      </c>
      <c r="E3" s="143">
        <f>B3*(100%+D3)</f>
        <v>219187146.70794007</v>
      </c>
      <c r="F3" s="313">
        <f>E3/$E$14</f>
        <v>0.14235407679808632</v>
      </c>
      <c r="H3" s="473" t="s">
        <v>188</v>
      </c>
      <c r="I3" s="473"/>
      <c r="J3" s="59">
        <f>(((B3+B4)/('CUST-X'!B3+'CUST-X'!B4))/365)</f>
        <v>125.40456737026834</v>
      </c>
      <c r="K3" s="99">
        <f>J3*30.25</f>
        <v>3793.4881629506172</v>
      </c>
    </row>
    <row r="4" spans="1:14" ht="15" customHeight="1">
      <c r="A4" s="276" t="s">
        <v>176</v>
      </c>
      <c r="B4" s="107">
        <f>[4]Volume!$C$24</f>
        <v>301874800</v>
      </c>
      <c r="C4" s="141">
        <f t="shared" ref="C4:C12" si="0">B4/$B$14</f>
        <v>0.21866517777463568</v>
      </c>
      <c r="D4" s="129">
        <f t="shared" ref="D4:D9" si="1">$D$17+$D$23</f>
        <v>0.11531602240298598</v>
      </c>
      <c r="E4" s="143">
        <f t="shared" ref="E4:E12" si="2">B4*(100%+D4)</f>
        <v>336685801.1996969</v>
      </c>
      <c r="F4" s="313">
        <f t="shared" ref="F4:F12" si="3">E4/$E$14</f>
        <v>0.21866517777463568</v>
      </c>
      <c r="H4" s="473"/>
      <c r="I4" s="473"/>
      <c r="J4" s="10"/>
      <c r="K4" s="466" t="s">
        <v>410</v>
      </c>
    </row>
    <row r="5" spans="1:14" ht="15" customHeight="1">
      <c r="A5" s="276" t="s">
        <v>177</v>
      </c>
      <c r="B5" s="107">
        <f>[4]Volume!$D$24</f>
        <v>172154000</v>
      </c>
      <c r="C5" s="141">
        <f t="shared" si="0"/>
        <v>0.12470098535755429</v>
      </c>
      <c r="D5" s="129">
        <f t="shared" si="1"/>
        <v>0.11531602240298598</v>
      </c>
      <c r="E5" s="143">
        <f t="shared" si="2"/>
        <v>192006114.52076364</v>
      </c>
      <c r="F5" s="313">
        <f t="shared" si="3"/>
        <v>0.12470098535755429</v>
      </c>
      <c r="H5" s="473"/>
      <c r="I5" s="473"/>
      <c r="K5" s="466"/>
    </row>
    <row r="6" spans="1:14" ht="15" customHeight="1">
      <c r="A6" s="276" t="s">
        <v>178</v>
      </c>
      <c r="B6" s="107">
        <f>[4]Volume!$E$24</f>
        <v>42388700</v>
      </c>
      <c r="C6" s="141">
        <f t="shared" si="0"/>
        <v>3.0704559046120111E-2</v>
      </c>
      <c r="D6" s="129">
        <f t="shared" si="1"/>
        <v>0.11531602240298598</v>
      </c>
      <c r="E6" s="143">
        <f t="shared" si="2"/>
        <v>47276796.278833449</v>
      </c>
      <c r="F6" s="313">
        <f t="shared" si="3"/>
        <v>3.0704559046120111E-2</v>
      </c>
      <c r="H6" s="473"/>
      <c r="I6" s="473"/>
      <c r="K6" s="466"/>
    </row>
    <row r="7" spans="1:14" ht="15" customHeight="1">
      <c r="A7" s="276" t="s">
        <v>206</v>
      </c>
      <c r="B7" s="107">
        <f>[4]Volume!$F$24</f>
        <v>241303300</v>
      </c>
      <c r="C7" s="141">
        <f t="shared" si="0"/>
        <v>0.17478977706024565</v>
      </c>
      <c r="D7" s="129">
        <f t="shared" si="1"/>
        <v>0.11531602240298598</v>
      </c>
      <c r="E7" s="143">
        <f t="shared" si="2"/>
        <v>269129436.74871445</v>
      </c>
      <c r="F7" s="313">
        <f t="shared" si="3"/>
        <v>0.17478977706024568</v>
      </c>
      <c r="H7" s="138"/>
      <c r="I7" s="138"/>
    </row>
    <row r="8" spans="1:14" ht="15" customHeight="1">
      <c r="A8" s="276" t="s">
        <v>207</v>
      </c>
      <c r="B8" s="107">
        <f>[4]Volume!$G$24</f>
        <v>52896100</v>
      </c>
      <c r="C8" s="141">
        <f t="shared" si="0"/>
        <v>3.8315669642132788E-2</v>
      </c>
      <c r="D8" s="129">
        <f t="shared" si="1"/>
        <v>0.11531602240298598</v>
      </c>
      <c r="E8" s="143">
        <f t="shared" si="2"/>
        <v>58995867.852630578</v>
      </c>
      <c r="F8" s="313">
        <f t="shared" si="3"/>
        <v>3.8315669642132781E-2</v>
      </c>
      <c r="H8" s="138"/>
      <c r="I8" s="138"/>
    </row>
    <row r="9" spans="1:14" ht="15" customHeight="1">
      <c r="A9" s="276" t="s">
        <v>227</v>
      </c>
      <c r="B9" s="107">
        <f>[4]Volume!$H$24</f>
        <v>43012500</v>
      </c>
      <c r="C9" s="141">
        <f t="shared" si="0"/>
        <v>3.1156413052800421E-2</v>
      </c>
      <c r="D9" s="129">
        <f t="shared" si="1"/>
        <v>0.11531602240298598</v>
      </c>
      <c r="E9" s="143">
        <f t="shared" si="2"/>
        <v>47972530.413608432</v>
      </c>
      <c r="F9" s="313">
        <f t="shared" si="3"/>
        <v>3.1156413052800425E-2</v>
      </c>
      <c r="H9" s="138"/>
      <c r="I9" s="138"/>
    </row>
    <row r="10" spans="1:14" ht="15" customHeight="1">
      <c r="A10" s="276" t="s">
        <v>208</v>
      </c>
      <c r="B10" s="107">
        <f>[4]Volume!$I$24</f>
        <v>170084700</v>
      </c>
      <c r="C10" s="141">
        <f t="shared" si="0"/>
        <v>0.12320207305229047</v>
      </c>
      <c r="D10" s="129">
        <f>D17</f>
        <v>0.11531602240298598</v>
      </c>
      <c r="E10" s="143">
        <f t="shared" si="2"/>
        <v>189698191.07560512</v>
      </c>
      <c r="F10" s="313">
        <f t="shared" si="3"/>
        <v>0.12320207305229047</v>
      </c>
      <c r="H10" s="473" t="s">
        <v>192</v>
      </c>
      <c r="I10" s="473"/>
      <c r="J10" s="1">
        <v>82</v>
      </c>
    </row>
    <row r="11" spans="1:14" ht="15.95" customHeight="1">
      <c r="A11" s="276" t="s">
        <v>432</v>
      </c>
      <c r="B11" s="107">
        <f>[4]Volume!$L$24+[4]Volume!$J$24</f>
        <v>72623000</v>
      </c>
      <c r="C11" s="141">
        <f t="shared" si="0"/>
        <v>5.2604991226585879E-2</v>
      </c>
      <c r="D11" s="129">
        <f>D17</f>
        <v>0.11531602240298598</v>
      </c>
      <c r="E11" s="143">
        <f t="shared" si="2"/>
        <v>80997595.49497205</v>
      </c>
      <c r="F11" s="313">
        <f t="shared" si="3"/>
        <v>5.2604991226585886E-2</v>
      </c>
      <c r="H11" s="473"/>
      <c r="I11" s="473"/>
    </row>
    <row r="12" spans="1:14" ht="15.95" customHeight="1">
      <c r="A12" s="276" t="s">
        <v>210</v>
      </c>
      <c r="B12" s="139">
        <f>[4]Volume!$K$24</f>
        <v>87672600</v>
      </c>
      <c r="C12" s="141">
        <f t="shared" si="0"/>
        <v>6.3506276989548402E-2</v>
      </c>
      <c r="D12" s="129">
        <f>D17</f>
        <v>0.11531602240298598</v>
      </c>
      <c r="E12" s="143">
        <f t="shared" si="2"/>
        <v>97782655.505728021</v>
      </c>
      <c r="F12" s="313">
        <f t="shared" si="3"/>
        <v>6.3506276989548402E-2</v>
      </c>
      <c r="H12" s="473"/>
      <c r="I12" s="473"/>
    </row>
    <row r="13" spans="1:14" ht="6" customHeight="1">
      <c r="A13" s="276"/>
      <c r="B13" s="110"/>
      <c r="C13" s="110"/>
      <c r="D13" s="129"/>
      <c r="E13" s="143"/>
      <c r="F13" s="313"/>
      <c r="H13" s="127"/>
      <c r="I13" s="128"/>
      <c r="K13" s="10"/>
      <c r="L13" s="10"/>
    </row>
    <row r="14" spans="1:14" ht="15" customHeight="1">
      <c r="A14" s="308" t="s">
        <v>52</v>
      </c>
      <c r="B14" s="166">
        <f>SUM(B3:B13)</f>
        <v>1380534400</v>
      </c>
      <c r="C14" s="142">
        <f>SUM(C3:C13)</f>
        <v>1</v>
      </c>
      <c r="D14" s="135"/>
      <c r="E14" s="144">
        <f>SUM(E3:E12)</f>
        <v>1539732135.7984927</v>
      </c>
      <c r="F14" s="314">
        <f>SUM(F3:F13)</f>
        <v>1</v>
      </c>
      <c r="H14" s="473" t="s">
        <v>211</v>
      </c>
      <c r="I14" s="473"/>
      <c r="J14" s="140">
        <v>2.48</v>
      </c>
      <c r="K14" s="10"/>
    </row>
    <row r="15" spans="1:14" s="2" customFormat="1" ht="35.1" customHeight="1" thickBot="1">
      <c r="A15" s="472" t="s">
        <v>51</v>
      </c>
      <c r="B15" s="470"/>
      <c r="C15" s="300"/>
      <c r="D15" s="315"/>
      <c r="E15" s="470" t="s">
        <v>50</v>
      </c>
      <c r="F15" s="471"/>
      <c r="H15" s="473"/>
      <c r="I15" s="473"/>
      <c r="J15" s="10"/>
      <c r="K15" s="10"/>
    </row>
    <row r="16" spans="1:14" ht="12.75" thickTop="1">
      <c r="A16" s="410"/>
      <c r="B16" s="411" t="s">
        <v>180</v>
      </c>
      <c r="C16" s="411"/>
      <c r="D16" s="410"/>
      <c r="E16" s="410"/>
      <c r="F16" s="410"/>
      <c r="H16" s="10"/>
      <c r="I16" s="10"/>
      <c r="J16" s="10"/>
      <c r="K16" s="10"/>
      <c r="L16" s="10"/>
    </row>
    <row r="17" spans="1:11">
      <c r="A17" s="412" t="s">
        <v>226</v>
      </c>
      <c r="B17" s="413">
        <f>'[5]water loss tracker'!$O$2</f>
        <v>1600933020</v>
      </c>
      <c r="C17" s="414"/>
      <c r="D17" s="415">
        <f>B24/B17</f>
        <v>0.11531602240298598</v>
      </c>
      <c r="E17" s="412" t="s">
        <v>190</v>
      </c>
      <c r="F17" s="412"/>
      <c r="H17" s="10"/>
      <c r="I17" s="134"/>
      <c r="J17" s="10"/>
      <c r="K17" s="10"/>
    </row>
    <row r="18" spans="1:11">
      <c r="A18" s="412"/>
      <c r="B18" s="414"/>
      <c r="C18" s="414"/>
      <c r="D18" s="415">
        <v>0.15</v>
      </c>
      <c r="E18" s="412" t="s">
        <v>181</v>
      </c>
      <c r="F18" s="412"/>
      <c r="H18" s="99"/>
      <c r="I18" s="10"/>
      <c r="J18" s="10"/>
      <c r="K18" s="10"/>
    </row>
    <row r="19" spans="1:11">
      <c r="A19" s="412" t="s">
        <v>146</v>
      </c>
      <c r="B19" s="416">
        <f>B14</f>
        <v>1380534400</v>
      </c>
      <c r="C19" s="414"/>
      <c r="D19" s="417"/>
      <c r="E19" s="410"/>
      <c r="F19" s="412"/>
      <c r="H19" s="10"/>
      <c r="I19" s="10"/>
      <c r="J19" s="10"/>
      <c r="K19" s="10"/>
    </row>
    <row r="20" spans="1:11">
      <c r="A20" s="412"/>
      <c r="B20" s="414"/>
      <c r="C20" s="414"/>
      <c r="D20" s="415"/>
      <c r="E20" s="412"/>
      <c r="F20" s="412"/>
      <c r="H20" s="10"/>
      <c r="I20" s="10"/>
      <c r="J20" s="10"/>
      <c r="K20" s="99"/>
    </row>
    <row r="21" spans="1:11">
      <c r="A21" s="412" t="s">
        <v>224</v>
      </c>
      <c r="B21" s="418">
        <f>'[5]water loss tracker'!$O$4</f>
        <v>35785392</v>
      </c>
      <c r="C21" s="418"/>
      <c r="D21" s="415">
        <f>IF((D17-15%)&gt;0%,(D17-15%),0%)</f>
        <v>0</v>
      </c>
      <c r="E21" s="412" t="s">
        <v>182</v>
      </c>
      <c r="F21" s="412"/>
      <c r="H21" s="10"/>
      <c r="I21" s="10"/>
      <c r="J21" s="10"/>
      <c r="K21" s="99"/>
    </row>
    <row r="22" spans="1:11">
      <c r="A22" s="412"/>
      <c r="B22" s="418"/>
      <c r="C22" s="418"/>
      <c r="D22" s="419">
        <f>D21*B12</f>
        <v>0</v>
      </c>
      <c r="E22" s="412" t="s">
        <v>225</v>
      </c>
      <c r="F22" s="412"/>
      <c r="H22" s="10"/>
      <c r="I22" s="10"/>
      <c r="J22" s="10"/>
      <c r="K22" s="99"/>
    </row>
    <row r="23" spans="1:11">
      <c r="A23" s="412"/>
      <c r="B23" s="418"/>
      <c r="C23" s="418"/>
      <c r="D23" s="415">
        <v>0</v>
      </c>
      <c r="E23" s="412" t="s">
        <v>194</v>
      </c>
      <c r="F23" s="412"/>
      <c r="H23" s="10"/>
      <c r="I23" s="10"/>
      <c r="J23" s="10"/>
      <c r="K23" s="99"/>
    </row>
    <row r="24" spans="1:11">
      <c r="A24" s="412" t="s">
        <v>199</v>
      </c>
      <c r="B24" s="420">
        <f>B17-(B18+B19+B20+B21+B22)</f>
        <v>184613228</v>
      </c>
      <c r="C24" s="420"/>
      <c r="D24" s="415"/>
      <c r="E24" s="412"/>
      <c r="F24" s="421"/>
      <c r="H24" s="10"/>
      <c r="I24" s="10"/>
      <c r="J24" s="10"/>
      <c r="K24" s="10"/>
    </row>
    <row r="25" spans="1:11">
      <c r="A25" s="10"/>
      <c r="B25" s="10"/>
      <c r="C25" s="10"/>
      <c r="F25" s="158"/>
      <c r="H25" s="10"/>
      <c r="I25" s="10"/>
      <c r="J25" s="10"/>
      <c r="K25" s="10"/>
    </row>
    <row r="26" spans="1:11">
      <c r="A26" s="93"/>
      <c r="B26" s="10"/>
      <c r="C26" s="10"/>
      <c r="D26" s="59"/>
      <c r="H26" s="59"/>
    </row>
    <row r="27" spans="1:11">
      <c r="A27" s="93"/>
      <c r="B27" s="59"/>
      <c r="D27" s="62"/>
    </row>
  </sheetData>
  <mergeCells count="7">
    <mergeCell ref="K4:K6"/>
    <mergeCell ref="A1:F1"/>
    <mergeCell ref="E15:F15"/>
    <mergeCell ref="A15:B15"/>
    <mergeCell ref="H3:I6"/>
    <mergeCell ref="H14:I15"/>
    <mergeCell ref="H10:I12"/>
  </mergeCells>
  <phoneticPr fontId="4" type="noConversion"/>
  <printOptions horizontalCentered="1"/>
  <pageMargins left="0.75" right="0.75" top="1.5" bottom="0" header="0.75" footer="0.5"/>
  <pageSetup orientation="landscape" cellComments="asDisplayed" horizontalDpi="4294967292" verticalDpi="4294967292"/>
  <headerFooter>
    <oddHeader xml:space="preserve">&amp;C&amp;10&amp;K0A0A0ABardstown Water Utility
Cost of Service/Rate Study
Distribution Factors Water - &amp;A
</oddHeader>
    <oddFooter xml:space="preserve">&amp;L&amp;"Avenir Book Oblique,Italic"&amp;9&amp;K817842SRE; cla
&amp;D
</oddFooter>
  </headerFooter>
  <legacyDrawing r:id="rId1"/>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8" tint="0.79998168889431442"/>
  </sheetPr>
  <dimension ref="A1:H23"/>
  <sheetViews>
    <sheetView zoomScale="150" zoomScaleNormal="150" workbookViewId="0">
      <selection activeCell="G7" sqref="G7"/>
    </sheetView>
  </sheetViews>
  <sheetFormatPr defaultColWidth="10.6640625" defaultRowHeight="12"/>
  <cols>
    <col min="1" max="1" width="28.6640625" style="1" customWidth="1"/>
    <col min="2" max="2" width="10.6640625" style="1"/>
    <col min="3" max="3" width="11.44140625" style="1" customWidth="1"/>
    <col min="4" max="5" width="10.6640625" style="1" customWidth="1"/>
    <col min="6" max="16384" width="10.6640625" style="1"/>
  </cols>
  <sheetData>
    <row r="1" spans="1:8" s="57" customFormat="1" ht="30" customHeight="1" thickTop="1">
      <c r="A1" s="474" t="s">
        <v>58</v>
      </c>
      <c r="B1" s="475"/>
      <c r="C1" s="475"/>
      <c r="D1" s="475"/>
      <c r="E1" s="475"/>
      <c r="F1" s="476"/>
    </row>
    <row r="2" spans="1:8" s="4" customFormat="1" ht="39" customHeight="1">
      <c r="A2" s="254" t="s">
        <v>54</v>
      </c>
      <c r="B2" s="165" t="s">
        <v>197</v>
      </c>
      <c r="C2" s="165" t="s">
        <v>198</v>
      </c>
      <c r="D2" s="167" t="s">
        <v>57</v>
      </c>
      <c r="E2" s="165" t="s">
        <v>196</v>
      </c>
      <c r="F2" s="255" t="s">
        <v>53</v>
      </c>
    </row>
    <row r="3" spans="1:8">
      <c r="A3" s="276" t="s">
        <v>175</v>
      </c>
      <c r="B3" s="63">
        <f>'COMM-1'!E3</f>
        <v>219187146.70794007</v>
      </c>
      <c r="C3" s="64">
        <f>B3/365</f>
        <v>600512.73070668511</v>
      </c>
      <c r="D3" s="182">
        <v>3</v>
      </c>
      <c r="E3" s="65">
        <f>C3*D3</f>
        <v>1801538.1921200552</v>
      </c>
      <c r="F3" s="296">
        <f t="shared" ref="F3:F12" si="0">E3/$E$14</f>
        <v>0.20283231161585949</v>
      </c>
    </row>
    <row r="4" spans="1:8">
      <c r="A4" s="276" t="s">
        <v>176</v>
      </c>
      <c r="B4" s="63">
        <f>'COMM-1'!E4</f>
        <v>336685801.1996969</v>
      </c>
      <c r="C4" s="64">
        <f t="shared" ref="C4:C12" si="1">B4/365</f>
        <v>922426.85260190931</v>
      </c>
      <c r="D4" s="311">
        <v>3</v>
      </c>
      <c r="E4" s="64">
        <f t="shared" ref="E4:E7" si="2">C4*D4</f>
        <v>2767280.5578057282</v>
      </c>
      <c r="F4" s="297">
        <f t="shared" si="0"/>
        <v>0.31156370421924201</v>
      </c>
      <c r="H4" s="1" t="s">
        <v>417</v>
      </c>
    </row>
    <row r="5" spans="1:8">
      <c r="A5" s="276" t="s">
        <v>177</v>
      </c>
      <c r="B5" s="63">
        <f>'COMM-1'!E5</f>
        <v>192006114.52076364</v>
      </c>
      <c r="C5" s="64">
        <f t="shared" si="1"/>
        <v>526044.14937195519</v>
      </c>
      <c r="D5" s="311">
        <v>1.4</v>
      </c>
      <c r="E5" s="64">
        <f t="shared" si="2"/>
        <v>736461.80912073725</v>
      </c>
      <c r="F5" s="297">
        <f t="shared" si="0"/>
        <v>8.2917060439872362E-2</v>
      </c>
    </row>
    <row r="6" spans="1:8">
      <c r="A6" s="276" t="s">
        <v>178</v>
      </c>
      <c r="B6" s="63">
        <f>'COMM-1'!E6</f>
        <v>47276796.278833449</v>
      </c>
      <c r="C6" s="64">
        <f t="shared" si="1"/>
        <v>129525.46925707794</v>
      </c>
      <c r="D6" s="311">
        <v>1.4</v>
      </c>
      <c r="E6" s="64">
        <f t="shared" si="2"/>
        <v>181335.6569599091</v>
      </c>
      <c r="F6" s="297">
        <f t="shared" si="0"/>
        <v>2.0416292388603326E-2</v>
      </c>
    </row>
    <row r="7" spans="1:8">
      <c r="A7" s="276" t="s">
        <v>206</v>
      </c>
      <c r="B7" s="63">
        <f>'COMM-1'!E7</f>
        <v>269129436.74871445</v>
      </c>
      <c r="C7" s="64">
        <f t="shared" si="1"/>
        <v>737340.92259921762</v>
      </c>
      <c r="D7" s="311">
        <v>2</v>
      </c>
      <c r="E7" s="64">
        <f t="shared" si="2"/>
        <v>1474681.8451984352</v>
      </c>
      <c r="F7" s="297">
        <f t="shared" si="0"/>
        <v>0.16603207684847496</v>
      </c>
    </row>
    <row r="8" spans="1:8">
      <c r="A8" s="276" t="s">
        <v>207</v>
      </c>
      <c r="B8" s="63">
        <f>'COMM-1'!E8</f>
        <v>58995867.852630578</v>
      </c>
      <c r="C8" s="64">
        <f t="shared" si="1"/>
        <v>161632.51466474132</v>
      </c>
      <c r="D8" s="311">
        <v>2</v>
      </c>
      <c r="E8" s="99">
        <f>C8*D8</f>
        <v>323265.02932948264</v>
      </c>
      <c r="F8" s="297">
        <f t="shared" si="0"/>
        <v>3.6395894047800491E-2</v>
      </c>
    </row>
    <row r="9" spans="1:8">
      <c r="A9" s="276" t="s">
        <v>227</v>
      </c>
      <c r="B9" s="63">
        <f>'COMM-1'!E9</f>
        <v>47972530.413608432</v>
      </c>
      <c r="C9" s="64">
        <f t="shared" si="1"/>
        <v>131431.59017426969</v>
      </c>
      <c r="D9" s="311">
        <v>1.4</v>
      </c>
      <c r="E9" s="99">
        <f>C9*D9</f>
        <v>184004.22624397755</v>
      </c>
      <c r="F9" s="297">
        <f t="shared" si="0"/>
        <v>2.0716742347955959E-2</v>
      </c>
    </row>
    <row r="10" spans="1:8">
      <c r="A10" s="276" t="s">
        <v>208</v>
      </c>
      <c r="B10" s="63">
        <f>'COMM-1'!E10</f>
        <v>189698191.07560512</v>
      </c>
      <c r="C10" s="64">
        <f t="shared" si="1"/>
        <v>519721.07144001406</v>
      </c>
      <c r="D10" s="311">
        <v>1.4</v>
      </c>
      <c r="E10" s="99">
        <f>C10*D10</f>
        <v>727609.50001601968</v>
      </c>
      <c r="F10" s="297">
        <f t="shared" si="0"/>
        <v>8.1920393077114434E-2</v>
      </c>
    </row>
    <row r="11" spans="1:8">
      <c r="A11" s="276" t="s">
        <v>209</v>
      </c>
      <c r="B11" s="63">
        <f>'COMM-1'!E11</f>
        <v>80997595.49497205</v>
      </c>
      <c r="C11" s="64">
        <f t="shared" si="1"/>
        <v>221911.22053416999</v>
      </c>
      <c r="D11" s="311">
        <v>1.4</v>
      </c>
      <c r="E11" s="99">
        <f>C11*D11</f>
        <v>310675.70874783798</v>
      </c>
      <c r="F11" s="297">
        <f t="shared" si="0"/>
        <v>3.4978482523350313E-2</v>
      </c>
    </row>
    <row r="12" spans="1:8">
      <c r="A12" s="276" t="s">
        <v>210</v>
      </c>
      <c r="B12" s="63">
        <f>'COMM-1'!E12</f>
        <v>97782655.505728021</v>
      </c>
      <c r="C12" s="64">
        <f t="shared" si="1"/>
        <v>267897.68631706305</v>
      </c>
      <c r="D12" s="311">
        <v>1.4</v>
      </c>
      <c r="E12" s="99">
        <f>C12*D12</f>
        <v>375056.76084388827</v>
      </c>
      <c r="F12" s="297">
        <f t="shared" si="0"/>
        <v>4.2227042491726902E-2</v>
      </c>
    </row>
    <row r="13" spans="1:8" ht="6" customHeight="1">
      <c r="A13" s="276"/>
      <c r="B13" s="63"/>
      <c r="C13" s="64"/>
      <c r="D13" s="311"/>
      <c r="E13" s="64"/>
      <c r="F13" s="297"/>
    </row>
    <row r="14" spans="1:8" s="2" customFormat="1" ht="18" customHeight="1">
      <c r="A14" s="308" t="s">
        <v>52</v>
      </c>
      <c r="B14" s="130">
        <f>SUM(B3:B13)</f>
        <v>1539732135.7984927</v>
      </c>
      <c r="C14" s="130">
        <f>SUM(C3:C13)</f>
        <v>4218444.207667103</v>
      </c>
      <c r="D14" s="131"/>
      <c r="E14" s="132">
        <f>SUM(E3:E13)</f>
        <v>8881909.2863860689</v>
      </c>
      <c r="F14" s="312">
        <f>SUM(F3:F13)</f>
        <v>1.0000000000000002</v>
      </c>
    </row>
    <row r="15" spans="1:8" s="2" customFormat="1" ht="35.1" customHeight="1" thickBot="1">
      <c r="A15" s="472" t="s">
        <v>51</v>
      </c>
      <c r="B15" s="470"/>
      <c r="C15" s="310"/>
      <c r="D15" s="470" t="s">
        <v>56</v>
      </c>
      <c r="E15" s="470"/>
      <c r="F15" s="471"/>
    </row>
    <row r="16" spans="1:8" ht="9.9499999999999993" customHeight="1" thickTop="1"/>
    <row r="17" spans="1:7" ht="30.95" customHeight="1">
      <c r="A17" s="10"/>
      <c r="B17" s="10"/>
      <c r="C17" s="10"/>
      <c r="D17" s="477"/>
      <c r="E17" s="477"/>
      <c r="F17" s="477"/>
      <c r="G17" s="477"/>
    </row>
    <row r="18" spans="1:7" ht="15">
      <c r="B18" s="133"/>
      <c r="C18"/>
      <c r="D18"/>
      <c r="E18"/>
    </row>
    <row r="19" spans="1:7" ht="15">
      <c r="C19"/>
      <c r="D19"/>
      <c r="E19"/>
    </row>
    <row r="20" spans="1:7" ht="15">
      <c r="C20"/>
      <c r="D20"/>
      <c r="E20"/>
    </row>
    <row r="21" spans="1:7" ht="15">
      <c r="C21"/>
      <c r="D21"/>
      <c r="E21"/>
    </row>
    <row r="22" spans="1:7" ht="15">
      <c r="C22"/>
      <c r="D22"/>
      <c r="E22"/>
    </row>
    <row r="23" spans="1:7" ht="15">
      <c r="C23"/>
      <c r="D23"/>
      <c r="E23"/>
    </row>
  </sheetData>
  <mergeCells count="4">
    <mergeCell ref="A1:F1"/>
    <mergeCell ref="A15:B15"/>
    <mergeCell ref="D15:F15"/>
    <mergeCell ref="D17:G17"/>
  </mergeCells>
  <phoneticPr fontId="4" type="noConversion"/>
  <printOptions horizontalCentered="1"/>
  <pageMargins left="0.75" right="0.75" top="2" bottom="0.75" header="0.75" footer="0.5"/>
  <pageSetup orientation="landscape" cellComments="asDisplayed" horizontalDpi="4294967292" verticalDpi="4294967292"/>
  <headerFooter>
    <oddHeader xml:space="preserve">&amp;C&amp;10&amp;K0C0B0ABardstown Water Utility
Cost of Service/Rate Study
Distribution Factors
Water - &amp;A
</oddHeader>
    <oddFooter xml:space="preserve">&amp;L&amp;"Avenir Book Oblique,Italic"&amp;9&amp;K817842SRE; cla
&amp;D
</oddFooter>
  </headerFooter>
  <legacyDrawing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23</vt:i4>
      </vt:variant>
    </vt:vector>
  </HeadingPairs>
  <TitlesOfParts>
    <vt:vector size="42" baseType="lpstr">
      <vt:lpstr>ssplant</vt:lpstr>
      <vt:lpstr>acc dep</vt:lpstr>
      <vt:lpstr>TYexpenses</vt:lpstr>
      <vt:lpstr>PFexpenses</vt:lpstr>
      <vt:lpstr>TY depreciation</vt:lpstr>
      <vt:lpstr>PF deprec</vt:lpstr>
      <vt:lpstr>debt svc</vt:lpstr>
      <vt:lpstr>COMM-1</vt:lpstr>
      <vt:lpstr>CAP-1</vt:lpstr>
      <vt:lpstr>CUST-X</vt:lpstr>
      <vt:lpstr>PFP-1</vt:lpstr>
      <vt:lpstr>REV-1</vt:lpstr>
      <vt:lpstr>distr main analysis</vt:lpstr>
      <vt:lpstr>DA rate base</vt:lpstr>
      <vt:lpstr>DA expense</vt:lpstr>
      <vt:lpstr>rate base</vt:lpstr>
      <vt:lpstr>expenses</vt:lpstr>
      <vt:lpstr>summary</vt:lpstr>
      <vt:lpstr>unit cost</vt:lpstr>
      <vt:lpstr>'acc dep'!Print_Area</vt:lpstr>
      <vt:lpstr>'CAP-1'!Print_Area</vt:lpstr>
      <vt:lpstr>'COMM-1'!Print_Area</vt:lpstr>
      <vt:lpstr>'CUST-X'!Print_Area</vt:lpstr>
      <vt:lpstr>'DA expense'!Print_Area</vt:lpstr>
      <vt:lpstr>'DA rate base'!Print_Area</vt:lpstr>
      <vt:lpstr>'debt svc'!Print_Area</vt:lpstr>
      <vt:lpstr>'distr main analysis'!Print_Area</vt:lpstr>
      <vt:lpstr>expenses!Print_Area</vt:lpstr>
      <vt:lpstr>'PF deprec'!Print_Area</vt:lpstr>
      <vt:lpstr>PFexpenses!Print_Area</vt:lpstr>
      <vt:lpstr>'PFP-1'!Print_Area</vt:lpstr>
      <vt:lpstr>'REV-1'!Print_Area</vt:lpstr>
      <vt:lpstr>ssplant!Print_Area</vt:lpstr>
      <vt:lpstr>summary!Print_Area</vt:lpstr>
      <vt:lpstr>'TY depreciation'!Print_Area</vt:lpstr>
      <vt:lpstr>TYexpenses!Print_Area</vt:lpstr>
      <vt:lpstr>'unit cost'!Print_Area</vt:lpstr>
      <vt:lpstr>'acc dep'!Print_Titles</vt:lpstr>
      <vt:lpstr>PFexpenses!Print_Titles</vt:lpstr>
      <vt:lpstr>ssplant!Print_Titles</vt:lpstr>
      <vt:lpstr>'TY depreciation'!Print_Titles</vt:lpstr>
      <vt:lpstr>TYexpenses!Print_Titles</vt:lpstr>
    </vt:vector>
  </TitlesOfParts>
  <Manager/>
  <Company>Salt River Engineering</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Bardstown COS Water Utility</dc:title>
  <dc:subject>utility finance</dc:subject>
  <dc:creator>Connie Allen</dc:creator>
  <cp:keywords/>
  <dc:description>This workbook is for the use of employees of the City of Bardstown.  Questions may be directed to Connie Allen connie@saltrivereng.com</dc:description>
  <cp:lastModifiedBy>Rogness, Benjamin (PSC)</cp:lastModifiedBy>
  <cp:lastPrinted>2025-11-19T17:13:29Z</cp:lastPrinted>
  <dcterms:created xsi:type="dcterms:W3CDTF">2014-03-17T16:12:50Z</dcterms:created>
  <dcterms:modified xsi:type="dcterms:W3CDTF">2025-12-03T17:31:09Z</dcterms:modified>
  <cp:category/>
</cp:coreProperties>
</file>