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omments1.xml" ContentType="application/vnd.openxmlformats-officedocument.spreadsheetml.comments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KY\2017 QIP\"/>
    </mc:Choice>
  </mc:AlternateContent>
  <bookViews>
    <workbookView xWindow="0" yWindow="0" windowWidth="23040" windowHeight="9216" tabRatio="816" activeTab="2"/>
  </bookViews>
  <sheets>
    <sheet name="Workbook Info" sheetId="15" r:id="rId1"/>
    <sheet name="Link In" sheetId="4" r:id="rId2"/>
    <sheet name="Form 1.0" sheetId="13" r:id="rId3"/>
    <sheet name="Form 1.1" sheetId="5" r:id="rId4"/>
    <sheet name="Form 1.2" sheetId="2" r:id="rId5"/>
    <sheet name="Form 2.0" sheetId="3" r:id="rId6"/>
    <sheet name="Form 2.1" sheetId="11" r:id="rId7"/>
    <sheet name="Form 2.1A" sheetId="8" r:id="rId8"/>
    <sheet name="Form 2.1B" sheetId="10" r:id="rId9"/>
    <sheet name="Form 2.1C" sheetId="9" r:id="rId10"/>
    <sheet name="Form 2.2" sheetId="6" r:id="rId11"/>
    <sheet name="Form 2.3" sheetId="7" r:id="rId12"/>
    <sheet name="Form 3.0" sheetId="14" r:id="rId13"/>
  </sheets>
  <externalReferences>
    <externalReference r:id="rId14"/>
    <externalReference r:id="rId15"/>
    <externalReference r:id="rId16"/>
  </externalReferences>
  <definedNames>
    <definedName name="_xlnm.Print_Area" localSheetId="2">'Form 1.0'!$A$1:$G$27</definedName>
    <definedName name="_xlnm.Print_Area" localSheetId="3">'Form 1.1'!$A$1:$D$35</definedName>
    <definedName name="_xlnm.Print_Area" localSheetId="4">'Form 1.2'!$A$1:$G$15</definedName>
    <definedName name="_xlnm.Print_Area" localSheetId="5">'Form 2.0'!$A$1:$J$84</definedName>
    <definedName name="_xlnm.Print_Area" localSheetId="7">'Form 2.1A'!$A$1:$R$34</definedName>
    <definedName name="_xlnm.Print_Area" localSheetId="8">'Form 2.1B'!$A$1:$R$33</definedName>
    <definedName name="_xlnm.Print_Area" localSheetId="9">'Form 2.1C'!$A$1:$E$39</definedName>
    <definedName name="_xlnm.Print_Area" localSheetId="10">'Form 2.2'!$A$1:$Q$105</definedName>
    <definedName name="_xlnm.Print_Titles" localSheetId="10">'Form 2.2'!$1:$4</definedName>
  </definedNames>
  <calcPr calcId="162913" iterate="1" iterateCount="99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8" i="4" l="1"/>
  <c r="O56" i="4"/>
  <c r="O55" i="4"/>
  <c r="O54" i="4"/>
  <c r="O53" i="4"/>
  <c r="N58" i="4"/>
  <c r="M58" i="4"/>
  <c r="L58" i="4"/>
  <c r="K58" i="4"/>
  <c r="J58" i="4"/>
  <c r="I58" i="4"/>
  <c r="H58" i="4"/>
  <c r="G58" i="4"/>
  <c r="F58" i="4"/>
  <c r="E58" i="4"/>
  <c r="D58" i="4"/>
  <c r="N56" i="4"/>
  <c r="M56" i="4"/>
  <c r="L56" i="4"/>
  <c r="K56" i="4"/>
  <c r="J56" i="4"/>
  <c r="I56" i="4"/>
  <c r="H56" i="4"/>
  <c r="G56" i="4"/>
  <c r="F56" i="4"/>
  <c r="E56" i="4"/>
  <c r="D56" i="4"/>
  <c r="N55" i="4"/>
  <c r="M55" i="4"/>
  <c r="L55" i="4"/>
  <c r="K55" i="4"/>
  <c r="J55" i="4"/>
  <c r="I55" i="4"/>
  <c r="H55" i="4"/>
  <c r="G55" i="4"/>
  <c r="F55" i="4"/>
  <c r="E55" i="4"/>
  <c r="D55" i="4"/>
  <c r="N54" i="4"/>
  <c r="M54" i="4"/>
  <c r="L54" i="4"/>
  <c r="K54" i="4"/>
  <c r="J54" i="4"/>
  <c r="I54" i="4"/>
  <c r="H54" i="4"/>
  <c r="G54" i="4"/>
  <c r="F54" i="4"/>
  <c r="E54" i="4"/>
  <c r="D54" i="4"/>
  <c r="N53" i="4"/>
  <c r="M53" i="4"/>
  <c r="L53" i="4"/>
  <c r="K53" i="4"/>
  <c r="J53" i="4"/>
  <c r="I53" i="4"/>
  <c r="H53" i="4"/>
  <c r="G53" i="4"/>
  <c r="F53" i="4"/>
  <c r="E53" i="4"/>
  <c r="D53" i="4"/>
  <c r="C58" i="4"/>
  <c r="C56" i="4"/>
  <c r="C55" i="4"/>
  <c r="C54" i="4"/>
  <c r="C53" i="4"/>
  <c r="O47" i="4"/>
  <c r="N47" i="4"/>
  <c r="M47" i="4"/>
  <c r="L47" i="4"/>
  <c r="K47" i="4"/>
  <c r="J47" i="4"/>
  <c r="I47" i="4"/>
  <c r="H47" i="4"/>
  <c r="G47" i="4"/>
  <c r="F47" i="4"/>
  <c r="E47" i="4"/>
  <c r="D47" i="4"/>
  <c r="O46" i="4"/>
  <c r="N46" i="4"/>
  <c r="M46" i="4"/>
  <c r="L46" i="4"/>
  <c r="K46" i="4"/>
  <c r="J46" i="4"/>
  <c r="I46" i="4"/>
  <c r="H46" i="4"/>
  <c r="G46" i="4"/>
  <c r="F46" i="4"/>
  <c r="E46" i="4"/>
  <c r="D46" i="4"/>
  <c r="O45" i="4"/>
  <c r="N45" i="4"/>
  <c r="M45" i="4"/>
  <c r="L45" i="4"/>
  <c r="K45" i="4"/>
  <c r="J45" i="4"/>
  <c r="I45" i="4"/>
  <c r="H45" i="4"/>
  <c r="G45" i="4"/>
  <c r="F45" i="4"/>
  <c r="E45" i="4"/>
  <c r="D45" i="4"/>
  <c r="O44" i="4"/>
  <c r="N44" i="4"/>
  <c r="M44" i="4"/>
  <c r="L44" i="4"/>
  <c r="K44" i="4"/>
  <c r="J44" i="4"/>
  <c r="I44" i="4"/>
  <c r="H44" i="4"/>
  <c r="G44" i="4"/>
  <c r="F44" i="4"/>
  <c r="E44" i="4"/>
  <c r="D44" i="4"/>
  <c r="C47" i="4"/>
  <c r="C46" i="4"/>
  <c r="C45" i="4"/>
  <c r="C44" i="4"/>
  <c r="O37" i="4"/>
  <c r="O36" i="4"/>
  <c r="O35" i="4"/>
  <c r="O34" i="4"/>
  <c r="N37" i="4"/>
  <c r="M37" i="4"/>
  <c r="L37" i="4"/>
  <c r="K37" i="4"/>
  <c r="J37" i="4"/>
  <c r="I37" i="4"/>
  <c r="H37" i="4"/>
  <c r="G37" i="4"/>
  <c r="F37" i="4"/>
  <c r="E37" i="4"/>
  <c r="D37" i="4"/>
  <c r="N36" i="4"/>
  <c r="M36" i="4"/>
  <c r="L36" i="4"/>
  <c r="K36" i="4"/>
  <c r="J36" i="4"/>
  <c r="I36" i="4"/>
  <c r="H36" i="4"/>
  <c r="G36" i="4"/>
  <c r="F36" i="4"/>
  <c r="E36" i="4"/>
  <c r="D36" i="4"/>
  <c r="N35" i="4"/>
  <c r="M35" i="4"/>
  <c r="L35" i="4"/>
  <c r="K35" i="4"/>
  <c r="J35" i="4"/>
  <c r="I35" i="4"/>
  <c r="H35" i="4"/>
  <c r="G35" i="4"/>
  <c r="F35" i="4"/>
  <c r="E35" i="4"/>
  <c r="D35" i="4"/>
  <c r="N34" i="4"/>
  <c r="M34" i="4"/>
  <c r="L34" i="4"/>
  <c r="K34" i="4"/>
  <c r="J34" i="4"/>
  <c r="I34" i="4"/>
  <c r="H34" i="4"/>
  <c r="G34" i="4"/>
  <c r="F34" i="4"/>
  <c r="E34" i="4"/>
  <c r="D34" i="4"/>
  <c r="C37" i="4"/>
  <c r="C36" i="4"/>
  <c r="C35" i="4"/>
  <c r="C34" i="4"/>
  <c r="A12" i="9" l="1"/>
  <c r="A11" i="9"/>
  <c r="A31" i="10"/>
  <c r="A30" i="10"/>
  <c r="A32" i="8"/>
  <c r="A31" i="8"/>
  <c r="A30" i="8"/>
  <c r="C95" i="4" l="1"/>
  <c r="C96" i="4"/>
  <c r="G7" i="2" l="1"/>
  <c r="A39" i="7"/>
  <c r="A40" i="7" s="1"/>
  <c r="A41" i="7" s="1"/>
  <c r="A10" i="7" l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9" i="7"/>
  <c r="F19" i="15" l="1"/>
  <c r="F18" i="15"/>
  <c r="F17" i="15"/>
  <c r="F16" i="15"/>
  <c r="F15" i="15"/>
  <c r="F14" i="15"/>
  <c r="F13" i="15"/>
  <c r="F12" i="15"/>
  <c r="F11" i="15"/>
  <c r="F10" i="15"/>
  <c r="F9" i="15"/>
  <c r="F8" i="15"/>
  <c r="E5" i="15"/>
  <c r="D11" i="13" l="1"/>
  <c r="C20" i="13"/>
  <c r="C11" i="13"/>
  <c r="C10" i="13"/>
  <c r="D14" i="13" s="1"/>
  <c r="D12" i="13" l="1"/>
  <c r="D13" i="13"/>
  <c r="D10" i="13"/>
  <c r="N18" i="14"/>
  <c r="M18" i="14"/>
  <c r="L18" i="14"/>
  <c r="K18" i="14"/>
  <c r="J18" i="14"/>
  <c r="I18" i="14"/>
  <c r="H18" i="14"/>
  <c r="G18" i="14"/>
  <c r="F18" i="14"/>
  <c r="E18" i="14"/>
  <c r="D18" i="14"/>
  <c r="C18" i="14"/>
  <c r="O17" i="14"/>
  <c r="F17" i="13" s="1"/>
  <c r="O16" i="14"/>
  <c r="F16" i="13" s="1"/>
  <c r="O15" i="14"/>
  <c r="F15" i="13" s="1"/>
  <c r="O14" i="14"/>
  <c r="F14" i="13" s="1"/>
  <c r="O13" i="14"/>
  <c r="F13" i="13" s="1"/>
  <c r="O12" i="14"/>
  <c r="F12" i="13" s="1"/>
  <c r="O11" i="14"/>
  <c r="F11" i="13" s="1"/>
  <c r="O10" i="14"/>
  <c r="F10" i="13" s="1"/>
  <c r="O18" i="14" l="1"/>
  <c r="A11" i="14" l="1"/>
  <c r="A12" i="14" s="1"/>
  <c r="A13" i="14" s="1"/>
  <c r="A14" i="14" s="1"/>
  <c r="A15" i="14" s="1"/>
  <c r="A16" i="14" s="1"/>
  <c r="A17" i="14" s="1"/>
  <c r="A18" i="14" s="1"/>
  <c r="F18" i="13" l="1"/>
  <c r="C18" i="13"/>
  <c r="C22" i="13" l="1"/>
  <c r="A11" i="13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D18" i="13" l="1"/>
  <c r="A10" i="10" l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2" i="10" s="1"/>
  <c r="A33" i="10" s="1"/>
  <c r="A11" i="8" l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3" i="8" s="1"/>
  <c r="A34" i="8" s="1"/>
  <c r="H26" i="11" l="1"/>
  <c r="J25" i="11" s="1"/>
  <c r="I24" i="11"/>
  <c r="J24" i="11" s="1"/>
  <c r="A10" i="1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E14" i="9"/>
  <c r="A10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Q6" i="10"/>
  <c r="D23" i="10"/>
  <c r="D22" i="10"/>
  <c r="D21" i="10"/>
  <c r="I23" i="11" l="1"/>
  <c r="A22" i="11"/>
  <c r="A23" i="11" s="1"/>
  <c r="A24" i="11" s="1"/>
  <c r="A25" i="11" s="1"/>
  <c r="A26" i="11" s="1"/>
  <c r="I22" i="11" l="1"/>
  <c r="J23" i="11"/>
  <c r="D23" i="8"/>
  <c r="D22" i="8"/>
  <c r="D24" i="8"/>
  <c r="I21" i="11" l="1"/>
  <c r="J22" i="11"/>
  <c r="J21" i="11" l="1"/>
  <c r="I20" i="11"/>
  <c r="C93" i="4"/>
  <c r="J20" i="11" l="1"/>
  <c r="I19" i="11"/>
  <c r="C91" i="4"/>
  <c r="I18" i="11" l="1"/>
  <c r="J19" i="11"/>
  <c r="I17" i="11" l="1"/>
  <c r="J18" i="11"/>
  <c r="C14" i="2"/>
  <c r="J17" i="11" l="1"/>
  <c r="I16" i="11"/>
  <c r="D10" i="2"/>
  <c r="F10" i="2" s="1"/>
  <c r="G10" i="2" s="1"/>
  <c r="D11" i="2"/>
  <c r="F11" i="2" s="1"/>
  <c r="G11" i="2" s="1"/>
  <c r="D12" i="2"/>
  <c r="F12" i="2" s="1"/>
  <c r="G12" i="2" s="1"/>
  <c r="D9" i="2"/>
  <c r="F9" i="2" s="1"/>
  <c r="G9" i="2" s="1"/>
  <c r="A51" i="3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94" i="6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74" i="6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54" i="6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34" i="6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12" i="6"/>
  <c r="A13" i="6" s="1"/>
  <c r="A14" i="6" s="1"/>
  <c r="A15" i="6" s="1"/>
  <c r="A16" i="6" s="1"/>
  <c r="A17" i="6" s="1"/>
  <c r="A18" i="6" s="1"/>
  <c r="A19" i="6" s="1"/>
  <c r="A20" i="6" s="1"/>
  <c r="A21" i="6" s="1"/>
  <c r="A11" i="6"/>
  <c r="I14" i="9" l="1"/>
  <c r="J16" i="11"/>
  <c r="I15" i="11"/>
  <c r="E49" i="9"/>
  <c r="G14" i="2"/>
  <c r="D14" i="2"/>
  <c r="F14" i="2"/>
  <c r="J14" i="9" l="1"/>
  <c r="K14" i="9"/>
  <c r="I14" i="11"/>
  <c r="J14" i="11" s="1"/>
  <c r="J15" i="11"/>
  <c r="C19" i="5"/>
  <c r="A9" i="3" l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C24" i="4" l="1"/>
  <c r="C25" i="4"/>
  <c r="D23" i="4"/>
  <c r="C23" i="4"/>
  <c r="G24" i="4"/>
  <c r="G82" i="4" s="1"/>
  <c r="F26" i="4"/>
  <c r="F84" i="4" s="1"/>
  <c r="G25" i="4"/>
  <c r="J23" i="4"/>
  <c r="I23" i="4"/>
  <c r="F23" i="4"/>
  <c r="E23" i="4"/>
  <c r="N25" i="4"/>
  <c r="N23" i="4"/>
  <c r="L23" i="4"/>
  <c r="K23" i="4"/>
  <c r="N24" i="4"/>
  <c r="N82" i="4" s="1"/>
  <c r="J24" i="4"/>
  <c r="J82" i="4" s="1"/>
  <c r="M26" i="4"/>
  <c r="M84" i="4" s="1"/>
  <c r="J26" i="4"/>
  <c r="J84" i="4" s="1"/>
  <c r="G23" i="4" l="1"/>
  <c r="G81" i="4" s="1"/>
  <c r="C87" i="4"/>
  <c r="C83" i="4"/>
  <c r="N87" i="4"/>
  <c r="N83" i="4"/>
  <c r="K81" i="4"/>
  <c r="L81" i="4"/>
  <c r="E81" i="4"/>
  <c r="I81" i="4"/>
  <c r="G87" i="4"/>
  <c r="G83" i="4"/>
  <c r="C81" i="4"/>
  <c r="M23" i="4"/>
  <c r="F81" i="4"/>
  <c r="J81" i="4"/>
  <c r="D81" i="4"/>
  <c r="N81" i="4"/>
  <c r="C82" i="4"/>
  <c r="H23" i="4"/>
  <c r="J25" i="4"/>
  <c r="E26" i="4"/>
  <c r="E84" i="4" s="1"/>
  <c r="H25" i="4"/>
  <c r="F25" i="4"/>
  <c r="F24" i="4"/>
  <c r="F82" i="4" s="1"/>
  <c r="C26" i="4"/>
  <c r="G26" i="4"/>
  <c r="G84" i="4" s="1"/>
  <c r="K26" i="4"/>
  <c r="K84" i="4" s="1"/>
  <c r="N26" i="4"/>
  <c r="N84" i="4" s="1"/>
  <c r="K25" i="4"/>
  <c r="L25" i="4"/>
  <c r="L26" i="4"/>
  <c r="L84" i="4" s="1"/>
  <c r="L24" i="4"/>
  <c r="L82" i="4" s="1"/>
  <c r="K24" i="4"/>
  <c r="K82" i="4" s="1"/>
  <c r="D25" i="4"/>
  <c r="D26" i="4"/>
  <c r="D84" i="4" s="1"/>
  <c r="H26" i="4"/>
  <c r="H84" i="4" s="1"/>
  <c r="D24" i="4"/>
  <c r="D82" i="4" s="1"/>
  <c r="I26" i="4"/>
  <c r="I84" i="4" s="1"/>
  <c r="H24" i="4"/>
  <c r="H82" i="4" s="1"/>
  <c r="E25" i="4"/>
  <c r="I25" i="4"/>
  <c r="M25" i="4"/>
  <c r="E24" i="4"/>
  <c r="E82" i="4" s="1"/>
  <c r="I24" i="4"/>
  <c r="I82" i="4" s="1"/>
  <c r="M24" i="4"/>
  <c r="M82" i="4" s="1"/>
  <c r="F16" i="4"/>
  <c r="F72" i="4" s="1"/>
  <c r="F17" i="4"/>
  <c r="D17" i="4"/>
  <c r="C16" i="4"/>
  <c r="C18" i="4"/>
  <c r="C17" i="4"/>
  <c r="N85" i="4" l="1"/>
  <c r="N88" i="4" s="1"/>
  <c r="G85" i="4"/>
  <c r="G88" i="4" s="1"/>
  <c r="D77" i="4"/>
  <c r="D73" i="4"/>
  <c r="C72" i="4"/>
  <c r="C74" i="4"/>
  <c r="E16" i="4"/>
  <c r="E72" i="4" s="1"/>
  <c r="C15" i="4"/>
  <c r="D15" i="4"/>
  <c r="E17" i="4"/>
  <c r="G17" i="4" s="1"/>
  <c r="H54" i="3" s="1"/>
  <c r="F18" i="4"/>
  <c r="F74" i="4" s="1"/>
  <c r="C77" i="4"/>
  <c r="C73" i="4"/>
  <c r="E15" i="4"/>
  <c r="F77" i="4"/>
  <c r="F73" i="4"/>
  <c r="D16" i="4"/>
  <c r="D72" i="4" s="1"/>
  <c r="M87" i="4"/>
  <c r="M83" i="4"/>
  <c r="E87" i="4"/>
  <c r="E83" i="4"/>
  <c r="E85" i="4" s="1"/>
  <c r="K87" i="4"/>
  <c r="K83" i="4"/>
  <c r="K85" i="4" s="1"/>
  <c r="O26" i="4"/>
  <c r="C84" i="4"/>
  <c r="O84" i="4" s="1"/>
  <c r="H36" i="3" s="1"/>
  <c r="H87" i="4"/>
  <c r="H83" i="4"/>
  <c r="M27" i="4"/>
  <c r="M81" i="4"/>
  <c r="O23" i="4"/>
  <c r="I27" i="4"/>
  <c r="L27" i="4"/>
  <c r="J87" i="4"/>
  <c r="J83" i="4"/>
  <c r="J85" i="4" s="1"/>
  <c r="G27" i="4"/>
  <c r="N27" i="4"/>
  <c r="J27" i="4"/>
  <c r="D87" i="4"/>
  <c r="D83" i="4"/>
  <c r="D85" i="4" s="1"/>
  <c r="D88" i="4" s="1"/>
  <c r="O82" i="4"/>
  <c r="H34" i="3" s="1"/>
  <c r="E27" i="4"/>
  <c r="K27" i="4"/>
  <c r="O25" i="4"/>
  <c r="H12" i="3" s="1"/>
  <c r="I87" i="4"/>
  <c r="I83" i="4"/>
  <c r="I85" i="4" s="1"/>
  <c r="L87" i="4"/>
  <c r="L83" i="4"/>
  <c r="L85" i="4" s="1"/>
  <c r="F87" i="4"/>
  <c r="F83" i="4"/>
  <c r="F85" i="4" s="1"/>
  <c r="H27" i="4"/>
  <c r="H81" i="4"/>
  <c r="O24" i="4"/>
  <c r="H11" i="3" s="1"/>
  <c r="D27" i="4"/>
  <c r="F27" i="4"/>
  <c r="C27" i="4"/>
  <c r="F15" i="4"/>
  <c r="E18" i="4"/>
  <c r="E74" i="4" s="1"/>
  <c r="D18" i="4"/>
  <c r="D74" i="4" s="1"/>
  <c r="F88" i="4" l="1"/>
  <c r="E88" i="4"/>
  <c r="L88" i="4"/>
  <c r="O87" i="4"/>
  <c r="H85" i="4"/>
  <c r="H88" i="4" s="1"/>
  <c r="J88" i="4"/>
  <c r="H61" i="3"/>
  <c r="I54" i="3"/>
  <c r="D19" i="4"/>
  <c r="D71" i="4"/>
  <c r="D75" i="4" s="1"/>
  <c r="D78" i="4" s="1"/>
  <c r="G72" i="4"/>
  <c r="H76" i="3" s="1"/>
  <c r="G15" i="4"/>
  <c r="C19" i="4"/>
  <c r="C71" i="4"/>
  <c r="G16" i="4"/>
  <c r="H53" i="3" s="1"/>
  <c r="F19" i="4"/>
  <c r="F71" i="4"/>
  <c r="F75" i="4" s="1"/>
  <c r="F78" i="4" s="1"/>
  <c r="E19" i="4"/>
  <c r="E71" i="4"/>
  <c r="E75" i="4" s="1"/>
  <c r="G74" i="4"/>
  <c r="H78" i="3" s="1"/>
  <c r="E77" i="4"/>
  <c r="G77" i="4" s="1"/>
  <c r="E73" i="4"/>
  <c r="G73" i="4" s="1"/>
  <c r="G18" i="4"/>
  <c r="O81" i="4"/>
  <c r="I34" i="3"/>
  <c r="O83" i="4"/>
  <c r="M85" i="4"/>
  <c r="M88" i="4" s="1"/>
  <c r="H13" i="3"/>
  <c r="H13" i="8"/>
  <c r="H12" i="10"/>
  <c r="H19" i="3"/>
  <c r="I12" i="3"/>
  <c r="C85" i="4"/>
  <c r="C88" i="4" s="1"/>
  <c r="K88" i="4"/>
  <c r="I88" i="4"/>
  <c r="H18" i="3"/>
  <c r="I11" i="3"/>
  <c r="H10" i="3"/>
  <c r="O27" i="4"/>
  <c r="I36" i="3"/>
  <c r="N10" i="4"/>
  <c r="M10" i="4"/>
  <c r="L10" i="4"/>
  <c r="K10" i="4"/>
  <c r="J10" i="4"/>
  <c r="I10" i="4"/>
  <c r="H10" i="4"/>
  <c r="G10" i="4"/>
  <c r="F10" i="4"/>
  <c r="E10" i="4"/>
  <c r="D10" i="4"/>
  <c r="N9" i="4"/>
  <c r="M9" i="4"/>
  <c r="L9" i="4"/>
  <c r="K9" i="4"/>
  <c r="J9" i="4"/>
  <c r="I9" i="4"/>
  <c r="H9" i="4"/>
  <c r="G9" i="4"/>
  <c r="F9" i="4"/>
  <c r="E9" i="4"/>
  <c r="D9" i="4"/>
  <c r="N8" i="4"/>
  <c r="M8" i="4"/>
  <c r="L8" i="4"/>
  <c r="K8" i="4"/>
  <c r="J8" i="4"/>
  <c r="I8" i="4"/>
  <c r="H8" i="4"/>
  <c r="G8" i="4"/>
  <c r="F8" i="4"/>
  <c r="E8" i="4"/>
  <c r="D8" i="4"/>
  <c r="N7" i="4"/>
  <c r="M7" i="4"/>
  <c r="L7" i="4"/>
  <c r="K7" i="4"/>
  <c r="J7" i="4"/>
  <c r="I7" i="4"/>
  <c r="H7" i="4"/>
  <c r="G7" i="4"/>
  <c r="F7" i="4"/>
  <c r="E7" i="4"/>
  <c r="D7" i="4"/>
  <c r="C10" i="4"/>
  <c r="C9" i="4"/>
  <c r="C8" i="4"/>
  <c r="C7" i="4"/>
  <c r="H35" i="3" l="1"/>
  <c r="I35" i="3" s="1"/>
  <c r="E78" i="4"/>
  <c r="D60" i="6"/>
  <c r="J62" i="4"/>
  <c r="N60" i="6" s="1"/>
  <c r="O60" i="6" s="1"/>
  <c r="P60" i="6" s="1"/>
  <c r="Q60" i="6" s="1"/>
  <c r="D41" i="6"/>
  <c r="K11" i="4"/>
  <c r="K61" i="4"/>
  <c r="D58" i="6"/>
  <c r="H62" i="4"/>
  <c r="N58" i="6" s="1"/>
  <c r="O58" i="6" s="1"/>
  <c r="P58" i="6" s="1"/>
  <c r="Q58" i="6" s="1"/>
  <c r="D79" i="6"/>
  <c r="I67" i="4"/>
  <c r="I63" i="4"/>
  <c r="N79" i="6" s="1"/>
  <c r="O79" i="6" s="1"/>
  <c r="P79" i="6" s="1"/>
  <c r="Q79" i="6" s="1"/>
  <c r="M67" i="4"/>
  <c r="D83" i="6"/>
  <c r="M63" i="4"/>
  <c r="D100" i="6"/>
  <c r="J64" i="4"/>
  <c r="N100" i="6" s="1"/>
  <c r="O100" i="6" s="1"/>
  <c r="P100" i="6" s="1"/>
  <c r="Q100" i="6" s="1"/>
  <c r="D38" i="6"/>
  <c r="H11" i="4"/>
  <c r="H61" i="4"/>
  <c r="D42" i="6"/>
  <c r="L11" i="4"/>
  <c r="L61" i="4"/>
  <c r="D59" i="6"/>
  <c r="I62" i="4"/>
  <c r="N59" i="6" s="1"/>
  <c r="O59" i="6" s="1"/>
  <c r="P59" i="6" s="1"/>
  <c r="Q59" i="6" s="1"/>
  <c r="D63" i="6"/>
  <c r="M62" i="4"/>
  <c r="N63" i="6" s="1"/>
  <c r="O63" i="6" s="1"/>
  <c r="P63" i="6" s="1"/>
  <c r="Q63" i="6" s="1"/>
  <c r="J67" i="4"/>
  <c r="D80" i="6"/>
  <c r="J63" i="4"/>
  <c r="D84" i="6"/>
  <c r="N67" i="4"/>
  <c r="N63" i="4"/>
  <c r="D97" i="6"/>
  <c r="G64" i="4"/>
  <c r="N97" i="6" s="1"/>
  <c r="O97" i="6" s="1"/>
  <c r="P97" i="6" s="1"/>
  <c r="Q97" i="6" s="1"/>
  <c r="D101" i="6"/>
  <c r="K64" i="4"/>
  <c r="N101" i="6" s="1"/>
  <c r="O101" i="6" s="1"/>
  <c r="P101" i="6" s="1"/>
  <c r="Q101" i="6" s="1"/>
  <c r="D43" i="6"/>
  <c r="M11" i="4"/>
  <c r="M61" i="4"/>
  <c r="D64" i="6"/>
  <c r="N62" i="4"/>
  <c r="N64" i="6" s="1"/>
  <c r="O64" i="6" s="1"/>
  <c r="P64" i="6" s="1"/>
  <c r="Q64" i="6" s="1"/>
  <c r="G67" i="4"/>
  <c r="D77" i="6"/>
  <c r="G63" i="4"/>
  <c r="D81" i="6"/>
  <c r="K67" i="4"/>
  <c r="K63" i="4"/>
  <c r="D98" i="6"/>
  <c r="H64" i="4"/>
  <c r="N98" i="6" s="1"/>
  <c r="O98" i="6" s="1"/>
  <c r="P98" i="6" s="1"/>
  <c r="Q98" i="6" s="1"/>
  <c r="D102" i="6"/>
  <c r="L64" i="4"/>
  <c r="N102" i="6" s="1"/>
  <c r="O102" i="6" s="1"/>
  <c r="P102" i="6" s="1"/>
  <c r="Q102" i="6" s="1"/>
  <c r="D40" i="6"/>
  <c r="J11" i="4"/>
  <c r="J61" i="4"/>
  <c r="D44" i="6"/>
  <c r="N11" i="4"/>
  <c r="N61" i="4"/>
  <c r="D57" i="6"/>
  <c r="G62" i="4"/>
  <c r="N57" i="6" s="1"/>
  <c r="O57" i="6" s="1"/>
  <c r="P57" i="6" s="1"/>
  <c r="Q57" i="6" s="1"/>
  <c r="D61" i="6"/>
  <c r="K62" i="4"/>
  <c r="N61" i="6" s="1"/>
  <c r="D78" i="6"/>
  <c r="H67" i="4"/>
  <c r="H63" i="4"/>
  <c r="L67" i="4"/>
  <c r="D82" i="6"/>
  <c r="L63" i="4"/>
  <c r="D99" i="6"/>
  <c r="I64" i="4"/>
  <c r="N99" i="6" s="1"/>
  <c r="O99" i="6" s="1"/>
  <c r="P99" i="6" s="1"/>
  <c r="Q99" i="6" s="1"/>
  <c r="D103" i="6"/>
  <c r="M64" i="4"/>
  <c r="N103" i="6" s="1"/>
  <c r="O103" i="6" s="1"/>
  <c r="P103" i="6" s="1"/>
  <c r="Q103" i="6" s="1"/>
  <c r="D39" i="6"/>
  <c r="I11" i="4"/>
  <c r="I61" i="4"/>
  <c r="D37" i="6"/>
  <c r="G11" i="4"/>
  <c r="G61" i="4"/>
  <c r="D62" i="6"/>
  <c r="L62" i="4"/>
  <c r="N62" i="6" s="1"/>
  <c r="O62" i="6" s="1"/>
  <c r="P62" i="6" s="1"/>
  <c r="Q62" i="6" s="1"/>
  <c r="D104" i="6"/>
  <c r="N64" i="4"/>
  <c r="N104" i="6" s="1"/>
  <c r="O104" i="6" s="1"/>
  <c r="P104" i="6" s="1"/>
  <c r="Q104" i="6" s="1"/>
  <c r="D27" i="10"/>
  <c r="D28" i="8"/>
  <c r="H77" i="3"/>
  <c r="D56" i="6"/>
  <c r="F62" i="4"/>
  <c r="N56" i="6" s="1"/>
  <c r="O56" i="6" s="1"/>
  <c r="P56" i="6" s="1"/>
  <c r="Q56" i="6" s="1"/>
  <c r="O9" i="4"/>
  <c r="D73" i="6"/>
  <c r="C67" i="4"/>
  <c r="C63" i="4"/>
  <c r="D36" i="6"/>
  <c r="F11" i="4"/>
  <c r="F61" i="4"/>
  <c r="D74" i="6"/>
  <c r="D67" i="4"/>
  <c r="D63" i="4"/>
  <c r="D95" i="6"/>
  <c r="E64" i="4"/>
  <c r="N95" i="6" s="1"/>
  <c r="O95" i="6" s="1"/>
  <c r="P95" i="6" s="1"/>
  <c r="Q95" i="6" s="1"/>
  <c r="C75" i="4"/>
  <c r="C78" i="4" s="1"/>
  <c r="G71" i="4"/>
  <c r="D35" i="6"/>
  <c r="E11" i="4"/>
  <c r="E61" i="4"/>
  <c r="I76" i="3"/>
  <c r="D93" i="6"/>
  <c r="O10" i="4"/>
  <c r="C64" i="4"/>
  <c r="N93" i="6" s="1"/>
  <c r="D54" i="6"/>
  <c r="D62" i="4"/>
  <c r="N54" i="6" s="1"/>
  <c r="O54" i="6" s="1"/>
  <c r="P54" i="6" s="1"/>
  <c r="Q54" i="6" s="1"/>
  <c r="D75" i="6"/>
  <c r="E67" i="4"/>
  <c r="E63" i="4"/>
  <c r="D96" i="6"/>
  <c r="F64" i="4"/>
  <c r="N96" i="6" s="1"/>
  <c r="O96" i="6" s="1"/>
  <c r="P96" i="6" s="1"/>
  <c r="Q96" i="6" s="1"/>
  <c r="H55" i="3"/>
  <c r="G12" i="10"/>
  <c r="G13" i="8"/>
  <c r="H70" i="3"/>
  <c r="I61" i="3"/>
  <c r="O8" i="4"/>
  <c r="D53" i="6"/>
  <c r="C62" i="4"/>
  <c r="N53" i="6" s="1"/>
  <c r="D94" i="6"/>
  <c r="D64" i="4"/>
  <c r="N94" i="6" s="1"/>
  <c r="O94" i="6" s="1"/>
  <c r="P94" i="6" s="1"/>
  <c r="Q94" i="6" s="1"/>
  <c r="H60" i="3"/>
  <c r="I53" i="3"/>
  <c r="O7" i="4"/>
  <c r="C11" i="4"/>
  <c r="D33" i="6"/>
  <c r="C61" i="4"/>
  <c r="D34" i="6"/>
  <c r="D11" i="4"/>
  <c r="D61" i="4"/>
  <c r="D55" i="6"/>
  <c r="E62" i="4"/>
  <c r="N55" i="6" s="1"/>
  <c r="O55" i="6" s="1"/>
  <c r="P55" i="6" s="1"/>
  <c r="Q55" i="6" s="1"/>
  <c r="D76" i="6"/>
  <c r="F67" i="4"/>
  <c r="F63" i="4"/>
  <c r="I78" i="3"/>
  <c r="H52" i="3"/>
  <c r="G19" i="4"/>
  <c r="H28" i="3"/>
  <c r="I19" i="3"/>
  <c r="H33" i="3"/>
  <c r="O85" i="4"/>
  <c r="I18" i="3"/>
  <c r="H27" i="3"/>
  <c r="H17" i="3"/>
  <c r="H14" i="3"/>
  <c r="I10" i="3"/>
  <c r="H20" i="3"/>
  <c r="I13" i="3"/>
  <c r="N73" i="6" l="1"/>
  <c r="N74" i="6"/>
  <c r="O74" i="6" s="1"/>
  <c r="P74" i="6" s="1"/>
  <c r="Q74" i="6" s="1"/>
  <c r="N78" i="6"/>
  <c r="O78" i="6" s="1"/>
  <c r="P78" i="6" s="1"/>
  <c r="Q78" i="6" s="1"/>
  <c r="N77" i="6"/>
  <c r="O77" i="6" s="1"/>
  <c r="P77" i="6" s="1"/>
  <c r="Q77" i="6" s="1"/>
  <c r="N84" i="6"/>
  <c r="O84" i="6" s="1"/>
  <c r="P84" i="6" s="1"/>
  <c r="Q84" i="6" s="1"/>
  <c r="I14" i="3"/>
  <c r="O11" i="4"/>
  <c r="N80" i="6"/>
  <c r="O80" i="6" s="1"/>
  <c r="P80" i="6" s="1"/>
  <c r="Q80" i="6" s="1"/>
  <c r="O61" i="6"/>
  <c r="P61" i="6" s="1"/>
  <c r="Q61" i="6" s="1"/>
  <c r="E81" i="6"/>
  <c r="F81" i="6" s="1"/>
  <c r="G81" i="6"/>
  <c r="G43" i="6"/>
  <c r="E43" i="6"/>
  <c r="F43" i="6" s="1"/>
  <c r="D20" i="6"/>
  <c r="E20" i="6" s="1"/>
  <c r="F20" i="6" s="1"/>
  <c r="E63" i="6"/>
  <c r="F63" i="6" s="1"/>
  <c r="G63" i="6"/>
  <c r="G83" i="6"/>
  <c r="E83" i="6"/>
  <c r="F83" i="6" s="1"/>
  <c r="G104" i="6"/>
  <c r="E104" i="6"/>
  <c r="F104" i="6" s="1"/>
  <c r="G39" i="6"/>
  <c r="D16" i="6"/>
  <c r="E16" i="6" s="1"/>
  <c r="F16" i="6" s="1"/>
  <c r="E39" i="6"/>
  <c r="F39" i="6" s="1"/>
  <c r="G99" i="6"/>
  <c r="E99" i="6"/>
  <c r="F99" i="6" s="1"/>
  <c r="G61" i="6"/>
  <c r="E61" i="6"/>
  <c r="F61" i="6" s="1"/>
  <c r="D17" i="6"/>
  <c r="E17" i="6" s="1"/>
  <c r="F17" i="6" s="1"/>
  <c r="G40" i="6"/>
  <c r="E40" i="6"/>
  <c r="F40" i="6" s="1"/>
  <c r="G98" i="6"/>
  <c r="E98" i="6"/>
  <c r="F98" i="6" s="1"/>
  <c r="G64" i="6"/>
  <c r="E64" i="6"/>
  <c r="F64" i="6" s="1"/>
  <c r="G80" i="6"/>
  <c r="E80" i="6"/>
  <c r="F80" i="6" s="1"/>
  <c r="G42" i="6"/>
  <c r="D19" i="6"/>
  <c r="E19" i="6" s="1"/>
  <c r="F19" i="6" s="1"/>
  <c r="E42" i="6"/>
  <c r="F42" i="6" s="1"/>
  <c r="G41" i="6"/>
  <c r="E41" i="6"/>
  <c r="F41" i="6" s="1"/>
  <c r="D18" i="6"/>
  <c r="E18" i="6" s="1"/>
  <c r="F18" i="6" s="1"/>
  <c r="E38" i="6"/>
  <c r="F38" i="6" s="1"/>
  <c r="G38" i="6"/>
  <c r="D15" i="6"/>
  <c r="E15" i="6" s="1"/>
  <c r="F15" i="6" s="1"/>
  <c r="G79" i="6"/>
  <c r="E79" i="6"/>
  <c r="F79" i="6" s="1"/>
  <c r="E37" i="6"/>
  <c r="F37" i="6" s="1"/>
  <c r="G37" i="6"/>
  <c r="D14" i="6"/>
  <c r="E14" i="6" s="1"/>
  <c r="F14" i="6" s="1"/>
  <c r="N82" i="6"/>
  <c r="O82" i="6" s="1"/>
  <c r="P82" i="6" s="1"/>
  <c r="Q82" i="6" s="1"/>
  <c r="D21" i="6"/>
  <c r="E21" i="6" s="1"/>
  <c r="F21" i="6" s="1"/>
  <c r="E44" i="6"/>
  <c r="F44" i="6" s="1"/>
  <c r="G44" i="6"/>
  <c r="N81" i="6"/>
  <c r="O81" i="6" s="1"/>
  <c r="P81" i="6" s="1"/>
  <c r="Q81" i="6" s="1"/>
  <c r="E77" i="6"/>
  <c r="F77" i="6" s="1"/>
  <c r="G77" i="6"/>
  <c r="N43" i="6"/>
  <c r="M65" i="4"/>
  <c r="M68" i="4" s="1"/>
  <c r="G101" i="6"/>
  <c r="E101" i="6"/>
  <c r="F101" i="6" s="1"/>
  <c r="G59" i="6"/>
  <c r="E59" i="6"/>
  <c r="F59" i="6" s="1"/>
  <c r="N38" i="6"/>
  <c r="H65" i="4"/>
  <c r="H68" i="4" s="1"/>
  <c r="E100" i="6"/>
  <c r="F100" i="6" s="1"/>
  <c r="G100" i="6"/>
  <c r="G58" i="6"/>
  <c r="E58" i="6"/>
  <c r="F58" i="6" s="1"/>
  <c r="N37" i="6"/>
  <c r="G65" i="4"/>
  <c r="G68" i="4" s="1"/>
  <c r="N44" i="6"/>
  <c r="N65" i="4"/>
  <c r="N68" i="4" s="1"/>
  <c r="E97" i="6"/>
  <c r="F97" i="6" s="1"/>
  <c r="G97" i="6"/>
  <c r="G62" i="6"/>
  <c r="E62" i="6"/>
  <c r="F62" i="6" s="1"/>
  <c r="N39" i="6"/>
  <c r="I65" i="4"/>
  <c r="I68" i="4" s="1"/>
  <c r="E103" i="6"/>
  <c r="F103" i="6" s="1"/>
  <c r="G103" i="6"/>
  <c r="E82" i="6"/>
  <c r="F82" i="6" s="1"/>
  <c r="G82" i="6"/>
  <c r="G78" i="6"/>
  <c r="E78" i="6"/>
  <c r="F78" i="6" s="1"/>
  <c r="G57" i="6"/>
  <c r="E57" i="6"/>
  <c r="F57" i="6" s="1"/>
  <c r="N40" i="6"/>
  <c r="J65" i="4"/>
  <c r="J68" i="4" s="1"/>
  <c r="E102" i="6"/>
  <c r="F102" i="6" s="1"/>
  <c r="G102" i="6"/>
  <c r="G84" i="6"/>
  <c r="E84" i="6"/>
  <c r="F84" i="6" s="1"/>
  <c r="N42" i="6"/>
  <c r="L65" i="4"/>
  <c r="L68" i="4" s="1"/>
  <c r="N83" i="6"/>
  <c r="O83" i="6" s="1"/>
  <c r="P83" i="6" s="1"/>
  <c r="Q83" i="6" s="1"/>
  <c r="N41" i="6"/>
  <c r="K65" i="4"/>
  <c r="K68" i="4" s="1"/>
  <c r="G60" i="6"/>
  <c r="E60" i="6"/>
  <c r="F60" i="6" s="1"/>
  <c r="G34" i="6"/>
  <c r="E34" i="6"/>
  <c r="F34" i="6" s="1"/>
  <c r="D11" i="6"/>
  <c r="E11" i="6" s="1"/>
  <c r="F11" i="6" s="1"/>
  <c r="D105" i="6"/>
  <c r="E93" i="6"/>
  <c r="G93" i="6"/>
  <c r="E74" i="6"/>
  <c r="F74" i="6" s="1"/>
  <c r="G74" i="6"/>
  <c r="O73" i="6"/>
  <c r="P73" i="6" s="1"/>
  <c r="N76" i="6"/>
  <c r="O76" i="6" s="1"/>
  <c r="P76" i="6" s="1"/>
  <c r="Q76" i="6" s="1"/>
  <c r="G55" i="6"/>
  <c r="E55" i="6"/>
  <c r="F55" i="6" s="1"/>
  <c r="N33" i="6"/>
  <c r="C65" i="4"/>
  <c r="C68" i="4" s="1"/>
  <c r="G94" i="6"/>
  <c r="E94" i="6"/>
  <c r="F94" i="6" s="1"/>
  <c r="N75" i="6"/>
  <c r="O75" i="6" s="1"/>
  <c r="P75" i="6" s="1"/>
  <c r="Q75" i="6" s="1"/>
  <c r="E54" i="6"/>
  <c r="F54" i="6" s="1"/>
  <c r="G54" i="6"/>
  <c r="E35" i="6"/>
  <c r="F35" i="6" s="1"/>
  <c r="G35" i="6"/>
  <c r="D12" i="6"/>
  <c r="E12" i="6" s="1"/>
  <c r="F12" i="6" s="1"/>
  <c r="E95" i="6"/>
  <c r="F95" i="6" s="1"/>
  <c r="G95" i="6"/>
  <c r="N36" i="6"/>
  <c r="F65" i="4"/>
  <c r="F68" i="4" s="1"/>
  <c r="G56" i="6"/>
  <c r="E56" i="6"/>
  <c r="F56" i="6" s="1"/>
  <c r="H56" i="3"/>
  <c r="I52" i="3"/>
  <c r="H59" i="3"/>
  <c r="N34" i="6"/>
  <c r="D65" i="4"/>
  <c r="D68" i="4" s="1"/>
  <c r="G33" i="6"/>
  <c r="E33" i="6"/>
  <c r="D45" i="6"/>
  <c r="D10" i="6"/>
  <c r="N65" i="6"/>
  <c r="O53" i="6"/>
  <c r="H62" i="3"/>
  <c r="I55" i="3"/>
  <c r="O93" i="6"/>
  <c r="O105" i="6" s="1"/>
  <c r="N105" i="6"/>
  <c r="H75" i="3"/>
  <c r="G75" i="4"/>
  <c r="D85" i="6"/>
  <c r="G73" i="6"/>
  <c r="E73" i="6"/>
  <c r="I77" i="3"/>
  <c r="G76" i="6"/>
  <c r="E76" i="6"/>
  <c r="F76" i="6" s="1"/>
  <c r="H69" i="3"/>
  <c r="I60" i="3"/>
  <c r="G53" i="6"/>
  <c r="E53" i="6"/>
  <c r="D65" i="6"/>
  <c r="E75" i="6"/>
  <c r="F75" i="6" s="1"/>
  <c r="G75" i="6"/>
  <c r="N35" i="6"/>
  <c r="E65" i="4"/>
  <c r="E68" i="4" s="1"/>
  <c r="G36" i="6"/>
  <c r="D13" i="6"/>
  <c r="E13" i="6" s="1"/>
  <c r="F13" i="6" s="1"/>
  <c r="E36" i="6"/>
  <c r="F36" i="6" s="1"/>
  <c r="E96" i="6"/>
  <c r="F96" i="6" s="1"/>
  <c r="G96" i="6"/>
  <c r="I20" i="3"/>
  <c r="H29" i="3"/>
  <c r="H21" i="3"/>
  <c r="C26" i="7" s="1"/>
  <c r="H26" i="3"/>
  <c r="I17" i="3"/>
  <c r="I21" i="3" s="1"/>
  <c r="I23" i="3" s="1"/>
  <c r="H10" i="10"/>
  <c r="O88" i="4"/>
  <c r="H11" i="8"/>
  <c r="C25" i="7"/>
  <c r="I33" i="3"/>
  <c r="I37" i="3" s="1"/>
  <c r="H37" i="3"/>
  <c r="F29" i="7" s="1"/>
  <c r="I56" i="3" l="1"/>
  <c r="O65" i="6"/>
  <c r="H23" i="3"/>
  <c r="N85" i="6"/>
  <c r="F13" i="8"/>
  <c r="F12" i="10"/>
  <c r="N20" i="6"/>
  <c r="O43" i="6"/>
  <c r="O20" i="6" s="1"/>
  <c r="J60" i="6"/>
  <c r="K60" i="6" s="1"/>
  <c r="L60" i="6" s="1"/>
  <c r="H60" i="6"/>
  <c r="I60" i="6" s="1"/>
  <c r="M60" i="6" s="1"/>
  <c r="J102" i="6"/>
  <c r="K102" i="6" s="1"/>
  <c r="L102" i="6" s="1"/>
  <c r="H102" i="6"/>
  <c r="I102" i="6" s="1"/>
  <c r="M102" i="6" s="1"/>
  <c r="H82" i="6"/>
  <c r="I82" i="6" s="1"/>
  <c r="M82" i="6" s="1"/>
  <c r="J82" i="6"/>
  <c r="K82" i="6" s="1"/>
  <c r="L82" i="6" s="1"/>
  <c r="H97" i="6"/>
  <c r="I97" i="6" s="1"/>
  <c r="M97" i="6" s="1"/>
  <c r="J97" i="6"/>
  <c r="K97" i="6" s="1"/>
  <c r="L97" i="6" s="1"/>
  <c r="H100" i="6"/>
  <c r="I100" i="6" s="1"/>
  <c r="M100" i="6" s="1"/>
  <c r="J100" i="6"/>
  <c r="K100" i="6" s="1"/>
  <c r="L100" i="6" s="1"/>
  <c r="J80" i="6"/>
  <c r="K80" i="6" s="1"/>
  <c r="L80" i="6" s="1"/>
  <c r="H80" i="6"/>
  <c r="I80" i="6" s="1"/>
  <c r="M80" i="6" s="1"/>
  <c r="J98" i="6"/>
  <c r="K98" i="6" s="1"/>
  <c r="L98" i="6" s="1"/>
  <c r="H98" i="6"/>
  <c r="I98" i="6" s="1"/>
  <c r="M98" i="6" s="1"/>
  <c r="J104" i="6"/>
  <c r="K104" i="6" s="1"/>
  <c r="L104" i="6" s="1"/>
  <c r="H104" i="6"/>
  <c r="I104" i="6" s="1"/>
  <c r="M104" i="6" s="1"/>
  <c r="H81" i="6"/>
  <c r="I81" i="6" s="1"/>
  <c r="M81" i="6" s="1"/>
  <c r="J81" i="6"/>
  <c r="K81" i="6" s="1"/>
  <c r="L81" i="6" s="1"/>
  <c r="O37" i="6"/>
  <c r="O14" i="6" s="1"/>
  <c r="N14" i="6"/>
  <c r="F9" i="10"/>
  <c r="F10" i="8"/>
  <c r="G18" i="6"/>
  <c r="H18" i="6" s="1"/>
  <c r="I18" i="6" s="1"/>
  <c r="H61" i="6"/>
  <c r="I61" i="6" s="1"/>
  <c r="M61" i="6" s="1"/>
  <c r="J61" i="6"/>
  <c r="K61" i="6" s="1"/>
  <c r="L61" i="6" s="1"/>
  <c r="O41" i="6"/>
  <c r="O18" i="6" s="1"/>
  <c r="N18" i="6"/>
  <c r="J103" i="6"/>
  <c r="K103" i="6" s="1"/>
  <c r="L103" i="6" s="1"/>
  <c r="H103" i="6"/>
  <c r="I103" i="6" s="1"/>
  <c r="M103" i="6" s="1"/>
  <c r="H77" i="6"/>
  <c r="I77" i="6" s="1"/>
  <c r="M77" i="6" s="1"/>
  <c r="J77" i="6"/>
  <c r="K77" i="6" s="1"/>
  <c r="L77" i="6" s="1"/>
  <c r="J37" i="6"/>
  <c r="H37" i="6"/>
  <c r="I37" i="6" s="1"/>
  <c r="M37" i="6" s="1"/>
  <c r="G14" i="6"/>
  <c r="H14" i="6" s="1"/>
  <c r="I14" i="6" s="1"/>
  <c r="H42" i="6"/>
  <c r="I42" i="6" s="1"/>
  <c r="M42" i="6" s="1"/>
  <c r="J42" i="6"/>
  <c r="G19" i="6"/>
  <c r="H19" i="6" s="1"/>
  <c r="I19" i="6" s="1"/>
  <c r="H64" i="6"/>
  <c r="I64" i="6" s="1"/>
  <c r="M64" i="6" s="1"/>
  <c r="J64" i="6"/>
  <c r="K64" i="6" s="1"/>
  <c r="L64" i="6" s="1"/>
  <c r="H40" i="6"/>
  <c r="I40" i="6" s="1"/>
  <c r="M40" i="6" s="1"/>
  <c r="J40" i="6"/>
  <c r="G17" i="6"/>
  <c r="H17" i="6" s="1"/>
  <c r="I17" i="6" s="1"/>
  <c r="G16" i="6"/>
  <c r="H16" i="6" s="1"/>
  <c r="I16" i="6" s="1"/>
  <c r="J39" i="6"/>
  <c r="H39" i="6"/>
  <c r="I39" i="6" s="1"/>
  <c r="M39" i="6" s="1"/>
  <c r="J83" i="6"/>
  <c r="K83" i="6" s="1"/>
  <c r="L83" i="6" s="1"/>
  <c r="H83" i="6"/>
  <c r="I83" i="6" s="1"/>
  <c r="M83" i="6" s="1"/>
  <c r="N19" i="6"/>
  <c r="O42" i="6"/>
  <c r="O19" i="6" s="1"/>
  <c r="J57" i="6"/>
  <c r="K57" i="6" s="1"/>
  <c r="L57" i="6" s="1"/>
  <c r="H57" i="6"/>
  <c r="I57" i="6" s="1"/>
  <c r="M57" i="6" s="1"/>
  <c r="O39" i="6"/>
  <c r="O16" i="6" s="1"/>
  <c r="N16" i="6"/>
  <c r="J59" i="6"/>
  <c r="K59" i="6" s="1"/>
  <c r="L59" i="6" s="1"/>
  <c r="H59" i="6"/>
  <c r="I59" i="6" s="1"/>
  <c r="M59" i="6" s="1"/>
  <c r="J44" i="6"/>
  <c r="H44" i="6"/>
  <c r="I44" i="6" s="1"/>
  <c r="M44" i="6" s="1"/>
  <c r="G21" i="6"/>
  <c r="H21" i="6" s="1"/>
  <c r="I21" i="6" s="1"/>
  <c r="H79" i="6"/>
  <c r="I79" i="6" s="1"/>
  <c r="M79" i="6" s="1"/>
  <c r="J79" i="6"/>
  <c r="K79" i="6" s="1"/>
  <c r="L79" i="6" s="1"/>
  <c r="H84" i="6"/>
  <c r="I84" i="6" s="1"/>
  <c r="M84" i="6" s="1"/>
  <c r="J84" i="6"/>
  <c r="K84" i="6" s="1"/>
  <c r="L84" i="6" s="1"/>
  <c r="N17" i="6"/>
  <c r="O40" i="6"/>
  <c r="O17" i="6" s="1"/>
  <c r="J78" i="6"/>
  <c r="K78" i="6" s="1"/>
  <c r="L78" i="6" s="1"/>
  <c r="H78" i="6"/>
  <c r="I78" i="6" s="1"/>
  <c r="M78" i="6" s="1"/>
  <c r="J62" i="6"/>
  <c r="K62" i="6" s="1"/>
  <c r="L62" i="6" s="1"/>
  <c r="H62" i="6"/>
  <c r="I62" i="6" s="1"/>
  <c r="M62" i="6" s="1"/>
  <c r="N21" i="6"/>
  <c r="O44" i="6"/>
  <c r="O21" i="6" s="1"/>
  <c r="H58" i="6"/>
  <c r="I58" i="6" s="1"/>
  <c r="M58" i="6" s="1"/>
  <c r="J58" i="6"/>
  <c r="K58" i="6" s="1"/>
  <c r="L58" i="6" s="1"/>
  <c r="O38" i="6"/>
  <c r="O15" i="6" s="1"/>
  <c r="N15" i="6"/>
  <c r="J101" i="6"/>
  <c r="K101" i="6" s="1"/>
  <c r="L101" i="6" s="1"/>
  <c r="H101" i="6"/>
  <c r="I101" i="6" s="1"/>
  <c r="M101" i="6" s="1"/>
  <c r="H38" i="6"/>
  <c r="I38" i="6" s="1"/>
  <c r="M38" i="6" s="1"/>
  <c r="G15" i="6"/>
  <c r="H15" i="6" s="1"/>
  <c r="I15" i="6" s="1"/>
  <c r="J38" i="6"/>
  <c r="J41" i="6"/>
  <c r="H41" i="6"/>
  <c r="I41" i="6" s="1"/>
  <c r="M41" i="6" s="1"/>
  <c r="H99" i="6"/>
  <c r="I99" i="6" s="1"/>
  <c r="M99" i="6" s="1"/>
  <c r="J99" i="6"/>
  <c r="K99" i="6" s="1"/>
  <c r="L99" i="6" s="1"/>
  <c r="J63" i="6"/>
  <c r="K63" i="6" s="1"/>
  <c r="L63" i="6" s="1"/>
  <c r="H63" i="6"/>
  <c r="I63" i="6" s="1"/>
  <c r="M63" i="6" s="1"/>
  <c r="J43" i="6"/>
  <c r="G20" i="6"/>
  <c r="H20" i="6" s="1"/>
  <c r="I20" i="6" s="1"/>
  <c r="H43" i="6"/>
  <c r="I43" i="6" s="1"/>
  <c r="M43" i="6" s="1"/>
  <c r="F73" i="6"/>
  <c r="E85" i="6"/>
  <c r="J96" i="6"/>
  <c r="K96" i="6" s="1"/>
  <c r="L96" i="6" s="1"/>
  <c r="H96" i="6"/>
  <c r="I96" i="6" s="1"/>
  <c r="M96" i="6" s="1"/>
  <c r="E10" i="6"/>
  <c r="D22" i="6"/>
  <c r="J36" i="6"/>
  <c r="G13" i="6"/>
  <c r="H13" i="6" s="1"/>
  <c r="I13" i="6" s="1"/>
  <c r="H36" i="6"/>
  <c r="I36" i="6" s="1"/>
  <c r="M36" i="6" s="1"/>
  <c r="E65" i="6"/>
  <c r="G10" i="10"/>
  <c r="G11" i="8"/>
  <c r="G78" i="4"/>
  <c r="P53" i="6"/>
  <c r="N11" i="6"/>
  <c r="O34" i="6"/>
  <c r="O11" i="6" s="1"/>
  <c r="C17" i="7"/>
  <c r="N13" i="6"/>
  <c r="O36" i="6"/>
  <c r="O13" i="6" s="1"/>
  <c r="P36" i="6"/>
  <c r="H35" i="6"/>
  <c r="I35" i="6" s="1"/>
  <c r="M35" i="6" s="1"/>
  <c r="G12" i="6"/>
  <c r="H12" i="6" s="1"/>
  <c r="I12" i="6" s="1"/>
  <c r="J35" i="6"/>
  <c r="O33" i="6"/>
  <c r="P33" i="6" s="1"/>
  <c r="N45" i="6"/>
  <c r="N10" i="6"/>
  <c r="P85" i="6"/>
  <c r="E77" i="3" s="1"/>
  <c r="Q73" i="6"/>
  <c r="Q85" i="6" s="1"/>
  <c r="J53" i="6"/>
  <c r="G65" i="6"/>
  <c r="H53" i="6"/>
  <c r="I53" i="6" s="1"/>
  <c r="I75" i="3"/>
  <c r="I79" i="3" s="1"/>
  <c r="H79" i="3"/>
  <c r="F21" i="7" s="1"/>
  <c r="F33" i="6"/>
  <c r="E45" i="6"/>
  <c r="H95" i="6"/>
  <c r="I95" i="6" s="1"/>
  <c r="M95" i="6" s="1"/>
  <c r="J95" i="6"/>
  <c r="K95" i="6" s="1"/>
  <c r="L95" i="6" s="1"/>
  <c r="G105" i="6"/>
  <c r="J93" i="6"/>
  <c r="H93" i="6"/>
  <c r="O35" i="6"/>
  <c r="O12" i="6" s="1"/>
  <c r="N12" i="6"/>
  <c r="F53" i="6"/>
  <c r="H76" i="6"/>
  <c r="I76" i="6" s="1"/>
  <c r="M76" i="6" s="1"/>
  <c r="J76" i="6"/>
  <c r="K76" i="6" s="1"/>
  <c r="L76" i="6" s="1"/>
  <c r="H73" i="6"/>
  <c r="J73" i="6"/>
  <c r="G85" i="6"/>
  <c r="P93" i="6"/>
  <c r="J33" i="6"/>
  <c r="H33" i="6"/>
  <c r="G45" i="6"/>
  <c r="G10" i="6"/>
  <c r="H68" i="3"/>
  <c r="H63" i="3"/>
  <c r="C18" i="7" s="1"/>
  <c r="D18" i="7" s="1"/>
  <c r="I59" i="3"/>
  <c r="J56" i="6"/>
  <c r="K56" i="6" s="1"/>
  <c r="L56" i="6" s="1"/>
  <c r="H56" i="6"/>
  <c r="I56" i="6" s="1"/>
  <c r="M56" i="6" s="1"/>
  <c r="J54" i="6"/>
  <c r="K54" i="6" s="1"/>
  <c r="L54" i="6" s="1"/>
  <c r="H54" i="6"/>
  <c r="I54" i="6" s="1"/>
  <c r="M54" i="6" s="1"/>
  <c r="J94" i="6"/>
  <c r="K94" i="6" s="1"/>
  <c r="L94" i="6" s="1"/>
  <c r="H94" i="6"/>
  <c r="I94" i="6" s="1"/>
  <c r="M94" i="6" s="1"/>
  <c r="J55" i="6"/>
  <c r="K55" i="6" s="1"/>
  <c r="L55" i="6" s="1"/>
  <c r="H55" i="6"/>
  <c r="I55" i="6" s="1"/>
  <c r="M55" i="6" s="1"/>
  <c r="O85" i="6"/>
  <c r="F93" i="6"/>
  <c r="E105" i="6"/>
  <c r="G11" i="6"/>
  <c r="H11" i="6" s="1"/>
  <c r="I11" i="6" s="1"/>
  <c r="J34" i="6"/>
  <c r="H34" i="6"/>
  <c r="I34" i="6" s="1"/>
  <c r="M34" i="6" s="1"/>
  <c r="H75" i="6"/>
  <c r="I75" i="6" s="1"/>
  <c r="M75" i="6" s="1"/>
  <c r="J75" i="6"/>
  <c r="K75" i="6" s="1"/>
  <c r="L75" i="6" s="1"/>
  <c r="H71" i="3"/>
  <c r="I62" i="3"/>
  <c r="H74" i="6"/>
  <c r="I74" i="6" s="1"/>
  <c r="M74" i="6" s="1"/>
  <c r="J74" i="6"/>
  <c r="K74" i="6" s="1"/>
  <c r="L74" i="6" s="1"/>
  <c r="H9" i="10"/>
  <c r="H11" i="10" s="1"/>
  <c r="H10" i="8"/>
  <c r="H12" i="8" s="1"/>
  <c r="H30" i="3"/>
  <c r="E27" i="7" s="1"/>
  <c r="D26" i="7"/>
  <c r="P38" i="6" l="1"/>
  <c r="P40" i="6"/>
  <c r="P17" i="6" s="1"/>
  <c r="P39" i="6"/>
  <c r="P16" i="6" s="1"/>
  <c r="M18" i="6"/>
  <c r="P15" i="6"/>
  <c r="Q38" i="6"/>
  <c r="Q15" i="6" s="1"/>
  <c r="K38" i="6"/>
  <c r="L38" i="6" s="1"/>
  <c r="J15" i="6"/>
  <c r="K15" i="6" s="1"/>
  <c r="L15" i="6" s="1"/>
  <c r="M14" i="6"/>
  <c r="J16" i="6"/>
  <c r="K16" i="6" s="1"/>
  <c r="L16" i="6" s="1"/>
  <c r="K39" i="6"/>
  <c r="L39" i="6" s="1"/>
  <c r="M17" i="6"/>
  <c r="K42" i="6"/>
  <c r="L42" i="6" s="1"/>
  <c r="J19" i="6"/>
  <c r="K19" i="6" s="1"/>
  <c r="L19" i="6" s="1"/>
  <c r="K37" i="6"/>
  <c r="L37" i="6" s="1"/>
  <c r="J14" i="6"/>
  <c r="K14" i="6" s="1"/>
  <c r="L14" i="6" s="1"/>
  <c r="I65" i="6"/>
  <c r="E60" i="3" s="1"/>
  <c r="M15" i="6"/>
  <c r="P44" i="6"/>
  <c r="J21" i="6"/>
  <c r="K21" i="6" s="1"/>
  <c r="L21" i="6" s="1"/>
  <c r="K44" i="6"/>
  <c r="L44" i="6" s="1"/>
  <c r="P42" i="6"/>
  <c r="P41" i="6"/>
  <c r="P37" i="6"/>
  <c r="P43" i="6"/>
  <c r="J20" i="6"/>
  <c r="K20" i="6" s="1"/>
  <c r="L20" i="6" s="1"/>
  <c r="K43" i="6"/>
  <c r="L43" i="6" s="1"/>
  <c r="M21" i="6"/>
  <c r="M19" i="6"/>
  <c r="M20" i="6"/>
  <c r="K41" i="6"/>
  <c r="L41" i="6" s="1"/>
  <c r="J18" i="6"/>
  <c r="K18" i="6" s="1"/>
  <c r="L18" i="6" s="1"/>
  <c r="M16" i="6"/>
  <c r="J17" i="6"/>
  <c r="K17" i="6" s="1"/>
  <c r="L17" i="6" s="1"/>
  <c r="K40" i="6"/>
  <c r="L40" i="6" s="1"/>
  <c r="M11" i="6"/>
  <c r="F105" i="6"/>
  <c r="E55" i="3" s="1"/>
  <c r="E12" i="10"/>
  <c r="E13" i="8"/>
  <c r="H72" i="3"/>
  <c r="E19" i="7" s="1"/>
  <c r="H45" i="6"/>
  <c r="K73" i="6"/>
  <c r="K85" i="6" s="1"/>
  <c r="J85" i="6"/>
  <c r="L73" i="6"/>
  <c r="L85" i="6" s="1"/>
  <c r="E70" i="3" s="1"/>
  <c r="J70" i="3" s="1"/>
  <c r="E28" i="3" s="1"/>
  <c r="J28" i="3" s="1"/>
  <c r="F65" i="6"/>
  <c r="E53" i="3" s="1"/>
  <c r="M53" i="6"/>
  <c r="M65" i="6" s="1"/>
  <c r="H65" i="6"/>
  <c r="G77" i="3"/>
  <c r="J77" i="3"/>
  <c r="E35" i="3" s="1"/>
  <c r="O45" i="6"/>
  <c r="O10" i="6"/>
  <c r="O22" i="6" s="1"/>
  <c r="P13" i="6"/>
  <c r="Q36" i="6"/>
  <c r="Q13" i="6" s="1"/>
  <c r="G10" i="8"/>
  <c r="G12" i="8" s="1"/>
  <c r="G14" i="8" s="1"/>
  <c r="G16" i="8" s="1"/>
  <c r="G9" i="10"/>
  <c r="G11" i="10" s="1"/>
  <c r="G13" i="10" s="1"/>
  <c r="G15" i="10" s="1"/>
  <c r="Q53" i="6"/>
  <c r="Q65" i="6" s="1"/>
  <c r="P65" i="6"/>
  <c r="E76" i="3" s="1"/>
  <c r="G60" i="3"/>
  <c r="J60" i="3"/>
  <c r="E18" i="3" s="1"/>
  <c r="Q33" i="6"/>
  <c r="P10" i="6"/>
  <c r="H65" i="3"/>
  <c r="K36" i="6"/>
  <c r="L36" i="6" s="1"/>
  <c r="J13" i="6"/>
  <c r="K13" i="6" s="1"/>
  <c r="L13" i="6" s="1"/>
  <c r="J11" i="6"/>
  <c r="K11" i="6" s="1"/>
  <c r="L11" i="6" s="1"/>
  <c r="K34" i="6"/>
  <c r="L34" i="6" s="1"/>
  <c r="I33" i="6"/>
  <c r="I45" i="6" s="1"/>
  <c r="E59" i="3" s="1"/>
  <c r="K33" i="6"/>
  <c r="J45" i="6"/>
  <c r="I73" i="6"/>
  <c r="I85" i="6" s="1"/>
  <c r="E61" i="3" s="1"/>
  <c r="H85" i="6"/>
  <c r="P35" i="6"/>
  <c r="I93" i="6"/>
  <c r="I105" i="6" s="1"/>
  <c r="E62" i="3" s="1"/>
  <c r="H105" i="6"/>
  <c r="N22" i="6"/>
  <c r="K35" i="6"/>
  <c r="L35" i="6" s="1"/>
  <c r="J12" i="6"/>
  <c r="K12" i="6" s="1"/>
  <c r="L12" i="6" s="1"/>
  <c r="P34" i="6"/>
  <c r="M13" i="6"/>
  <c r="F10" i="6"/>
  <c r="E22" i="6"/>
  <c r="F85" i="6"/>
  <c r="E54" i="3" s="1"/>
  <c r="M73" i="6"/>
  <c r="M85" i="6" s="1"/>
  <c r="F45" i="6"/>
  <c r="E52" i="3" s="1"/>
  <c r="M12" i="6"/>
  <c r="I63" i="3"/>
  <c r="I65" i="3" s="1"/>
  <c r="G22" i="6"/>
  <c r="H10" i="6"/>
  <c r="H22" i="6" s="1"/>
  <c r="P105" i="6"/>
  <c r="E78" i="3" s="1"/>
  <c r="Q93" i="6"/>
  <c r="Q105" i="6" s="1"/>
  <c r="K93" i="6"/>
  <c r="K105" i="6" s="1"/>
  <c r="J105" i="6"/>
  <c r="J10" i="6"/>
  <c r="J65" i="6"/>
  <c r="K53" i="6"/>
  <c r="K65" i="6" s="1"/>
  <c r="L23" i="10"/>
  <c r="L24" i="8"/>
  <c r="H13" i="10"/>
  <c r="H15" i="10" s="1"/>
  <c r="J23" i="10" s="1"/>
  <c r="H14" i="8"/>
  <c r="H16" i="8" s="1"/>
  <c r="J24" i="8" s="1"/>
  <c r="Q40" i="6" l="1"/>
  <c r="Q17" i="6" s="1"/>
  <c r="Q39" i="6"/>
  <c r="Q16" i="6" s="1"/>
  <c r="L53" i="6"/>
  <c r="L65" i="6" s="1"/>
  <c r="E69" i="3" s="1"/>
  <c r="J69" i="3" s="1"/>
  <c r="E27" i="3" s="1"/>
  <c r="J27" i="3" s="1"/>
  <c r="M33" i="6"/>
  <c r="L93" i="6"/>
  <c r="L105" i="6" s="1"/>
  <c r="E71" i="3" s="1"/>
  <c r="J71" i="3" s="1"/>
  <c r="E29" i="3" s="1"/>
  <c r="J29" i="3" s="1"/>
  <c r="I10" i="6"/>
  <c r="G11" i="5" s="1"/>
  <c r="K45" i="6"/>
  <c r="P19" i="6"/>
  <c r="Q42" i="6"/>
  <c r="Q19" i="6" s="1"/>
  <c r="P20" i="6"/>
  <c r="Q43" i="6"/>
  <c r="Q20" i="6" s="1"/>
  <c r="P14" i="6"/>
  <c r="Q37" i="6"/>
  <c r="Q14" i="6" s="1"/>
  <c r="P45" i="6"/>
  <c r="E75" i="3" s="1"/>
  <c r="G75" i="3" s="1"/>
  <c r="Q41" i="6"/>
  <c r="Q18" i="6" s="1"/>
  <c r="P18" i="6"/>
  <c r="Q44" i="6"/>
  <c r="Q21" i="6" s="1"/>
  <c r="P21" i="6"/>
  <c r="G76" i="3"/>
  <c r="J76" i="3"/>
  <c r="E34" i="3" s="1"/>
  <c r="G35" i="3"/>
  <c r="J35" i="3"/>
  <c r="G54" i="3"/>
  <c r="J54" i="3"/>
  <c r="E12" i="3" s="1"/>
  <c r="P11" i="6"/>
  <c r="E11" i="8" s="1"/>
  <c r="E12" i="8" s="1"/>
  <c r="Q34" i="6"/>
  <c r="Q11" i="6" s="1"/>
  <c r="G61" i="3"/>
  <c r="J61" i="3"/>
  <c r="E19" i="3" s="1"/>
  <c r="J59" i="3"/>
  <c r="E63" i="3"/>
  <c r="G59" i="3"/>
  <c r="Q10" i="6"/>
  <c r="M45" i="6"/>
  <c r="G62" i="3"/>
  <c r="J62" i="3"/>
  <c r="E20" i="3" s="1"/>
  <c r="G18" i="3"/>
  <c r="J18" i="3"/>
  <c r="G16" i="10"/>
  <c r="L23" i="8"/>
  <c r="L22" i="10"/>
  <c r="G55" i="3"/>
  <c r="J55" i="3"/>
  <c r="E13" i="3" s="1"/>
  <c r="G78" i="3"/>
  <c r="J78" i="3"/>
  <c r="E36" i="3" s="1"/>
  <c r="G53" i="3"/>
  <c r="J53" i="3"/>
  <c r="E11" i="3" s="1"/>
  <c r="K10" i="6"/>
  <c r="J22" i="6"/>
  <c r="G52" i="3"/>
  <c r="E56" i="3"/>
  <c r="J52" i="3"/>
  <c r="E9" i="10"/>
  <c r="F22" i="6"/>
  <c r="C9" i="7" s="1"/>
  <c r="E10" i="8"/>
  <c r="P12" i="6"/>
  <c r="Q35" i="6"/>
  <c r="Q12" i="6" s="1"/>
  <c r="L33" i="6"/>
  <c r="L45" i="6" s="1"/>
  <c r="E68" i="3" s="1"/>
  <c r="G17" i="8"/>
  <c r="M93" i="6"/>
  <c r="M105" i="6" s="1"/>
  <c r="H17" i="8"/>
  <c r="H16" i="10"/>
  <c r="J75" i="3" l="1"/>
  <c r="J79" i="3" s="1"/>
  <c r="F14" i="5" s="1"/>
  <c r="P22" i="6"/>
  <c r="F13" i="7" s="1"/>
  <c r="F39" i="7" s="1"/>
  <c r="F41" i="7" s="1"/>
  <c r="E79" i="3"/>
  <c r="I22" i="6"/>
  <c r="C10" i="7" s="1"/>
  <c r="F11" i="8"/>
  <c r="F12" i="8" s="1"/>
  <c r="F14" i="8" s="1"/>
  <c r="F16" i="8" s="1"/>
  <c r="F17" i="8" s="1"/>
  <c r="F19" i="8" s="1"/>
  <c r="F20" i="8" s="1"/>
  <c r="F24" i="8" s="1"/>
  <c r="E10" i="10"/>
  <c r="E11" i="10" s="1"/>
  <c r="G63" i="3"/>
  <c r="E65" i="3"/>
  <c r="F10" i="10"/>
  <c r="F11" i="10" s="1"/>
  <c r="F13" i="10" s="1"/>
  <c r="F15" i="10" s="1"/>
  <c r="F32" i="7"/>
  <c r="E10" i="3"/>
  <c r="J56" i="3"/>
  <c r="L10" i="6"/>
  <c r="K22" i="6"/>
  <c r="D10" i="7"/>
  <c r="C36" i="7"/>
  <c r="E14" i="8"/>
  <c r="E16" i="8" s="1"/>
  <c r="J22" i="8" s="1"/>
  <c r="M10" i="6"/>
  <c r="G19" i="8"/>
  <c r="G14" i="5"/>
  <c r="G11" i="3"/>
  <c r="J11" i="3"/>
  <c r="G13" i="3"/>
  <c r="J13" i="3"/>
  <c r="G20" i="3"/>
  <c r="J20" i="3"/>
  <c r="Q45" i="6"/>
  <c r="E17" i="3"/>
  <c r="J63" i="3"/>
  <c r="G34" i="3"/>
  <c r="J34" i="3"/>
  <c r="G36" i="3"/>
  <c r="J36" i="3"/>
  <c r="E72" i="3"/>
  <c r="J68" i="3"/>
  <c r="C32" i="7"/>
  <c r="C35" i="7"/>
  <c r="G56" i="3"/>
  <c r="G65" i="3" s="1"/>
  <c r="D20" i="7" s="1"/>
  <c r="G18" i="10"/>
  <c r="G15" i="5"/>
  <c r="O22" i="8"/>
  <c r="Q22" i="6"/>
  <c r="G14" i="7" s="1"/>
  <c r="G19" i="3"/>
  <c r="J19" i="3"/>
  <c r="G12" i="3"/>
  <c r="J12" i="3"/>
  <c r="G79" i="3"/>
  <c r="G22" i="7" s="1"/>
  <c r="H19" i="8"/>
  <c r="K24" i="8" s="1"/>
  <c r="H18" i="10"/>
  <c r="K23" i="10" s="1"/>
  <c r="E33" i="3" l="1"/>
  <c r="G33" i="3" s="1"/>
  <c r="G37" i="3" s="1"/>
  <c r="G30" i="7" s="1"/>
  <c r="G32" i="7" s="1"/>
  <c r="K23" i="8"/>
  <c r="J23" i="8"/>
  <c r="D27" i="8"/>
  <c r="F23" i="8"/>
  <c r="G20" i="8"/>
  <c r="G24" i="8" s="1"/>
  <c r="E17" i="8"/>
  <c r="H19" i="10"/>
  <c r="H23" i="10" s="1"/>
  <c r="C41" i="7"/>
  <c r="F16" i="10"/>
  <c r="F18" i="10" s="1"/>
  <c r="F19" i="10" s="1"/>
  <c r="J22" i="10"/>
  <c r="E26" i="3"/>
  <c r="J72" i="3"/>
  <c r="F12" i="5" s="1"/>
  <c r="J65" i="3"/>
  <c r="C11" i="9"/>
  <c r="O21" i="10"/>
  <c r="N23" i="8"/>
  <c r="D10" i="9" s="1"/>
  <c r="N22" i="10"/>
  <c r="D36" i="7"/>
  <c r="G10" i="3"/>
  <c r="G14" i="3" s="1"/>
  <c r="E14" i="3"/>
  <c r="J10" i="3"/>
  <c r="J14" i="3" s="1"/>
  <c r="J33" i="3"/>
  <c r="J37" i="3" s="1"/>
  <c r="C14" i="5" s="1"/>
  <c r="G23" i="8"/>
  <c r="E19" i="8"/>
  <c r="K22" i="8" s="1"/>
  <c r="E13" i="10"/>
  <c r="E15" i="10" s="1"/>
  <c r="J21" i="10" s="1"/>
  <c r="D26" i="10"/>
  <c r="O23" i="8"/>
  <c r="G19" i="10"/>
  <c r="G17" i="3"/>
  <c r="G21" i="3" s="1"/>
  <c r="E21" i="3"/>
  <c r="J17" i="3"/>
  <c r="J21" i="3" s="1"/>
  <c r="L22" i="8"/>
  <c r="D29" i="8" s="1"/>
  <c r="L22" i="6"/>
  <c r="E11" i="7" s="1"/>
  <c r="L21" i="10"/>
  <c r="D28" i="10" s="1"/>
  <c r="G12" i="5"/>
  <c r="N22" i="8"/>
  <c r="M22" i="6"/>
  <c r="D12" i="7" s="1"/>
  <c r="N21" i="10"/>
  <c r="G13" i="5"/>
  <c r="G16" i="5" s="1"/>
  <c r="H20" i="8"/>
  <c r="H24" i="8" s="1"/>
  <c r="E37" i="3" l="1"/>
  <c r="G40" i="7"/>
  <c r="G41" i="7" s="1"/>
  <c r="C15" i="5" s="1"/>
  <c r="J23" i="3"/>
  <c r="C11" i="5" s="1"/>
  <c r="G23" i="3"/>
  <c r="C23" i="5" s="1"/>
  <c r="F22" i="10"/>
  <c r="F23" i="10"/>
  <c r="K22" i="10"/>
  <c r="E37" i="7"/>
  <c r="E41" i="7" s="1"/>
  <c r="E32" i="7"/>
  <c r="E16" i="10"/>
  <c r="F11" i="5"/>
  <c r="C24" i="5"/>
  <c r="E12" i="9" s="1"/>
  <c r="F15" i="5"/>
  <c r="O24" i="8"/>
  <c r="G23" i="10"/>
  <c r="G22" i="10"/>
  <c r="D28" i="7"/>
  <c r="D32" i="7" s="1"/>
  <c r="O22" i="10"/>
  <c r="D11" i="9"/>
  <c r="D17" i="9" s="1"/>
  <c r="E20" i="8"/>
  <c r="C10" i="9"/>
  <c r="C17" i="9" s="1"/>
  <c r="E23" i="3"/>
  <c r="E30" i="3"/>
  <c r="J26" i="3"/>
  <c r="J30" i="3" s="1"/>
  <c r="C12" i="5" s="1"/>
  <c r="N24" i="8" l="1"/>
  <c r="N23" i="10"/>
  <c r="D29" i="10" s="1"/>
  <c r="O23" i="10"/>
  <c r="D30" i="10" s="1"/>
  <c r="E11" i="9"/>
  <c r="D31" i="8"/>
  <c r="E18" i="10"/>
  <c r="K21" i="10" s="1"/>
  <c r="C25" i="9"/>
  <c r="F13" i="5"/>
  <c r="F16" i="5" s="1"/>
  <c r="C13" i="5"/>
  <c r="C16" i="5" s="1"/>
  <c r="D38" i="7"/>
  <c r="D41" i="7" s="1"/>
  <c r="E24" i="8"/>
  <c r="I24" i="8" s="1"/>
  <c r="M24" i="8" s="1"/>
  <c r="E23" i="8"/>
  <c r="I23" i="8" s="1"/>
  <c r="M23" i="8" s="1"/>
  <c r="P23" i="8" s="1"/>
  <c r="E22" i="8"/>
  <c r="I22" i="8" s="1"/>
  <c r="M22" i="8" s="1"/>
  <c r="P22" i="8" s="1"/>
  <c r="D25" i="9"/>
  <c r="E19" i="10" l="1"/>
  <c r="E23" i="10" s="1"/>
  <c r="I23" i="10" s="1"/>
  <c r="M23" i="10" s="1"/>
  <c r="P23" i="10" s="1"/>
  <c r="P24" i="8"/>
  <c r="E27" i="9" s="1"/>
  <c r="C27" i="9"/>
  <c r="C29" i="9" s="1"/>
  <c r="C31" i="9" s="1"/>
  <c r="Q22" i="8"/>
  <c r="D33" i="8"/>
  <c r="D32" i="10"/>
  <c r="Q23" i="8"/>
  <c r="D27" i="9"/>
  <c r="D29" i="9" s="1"/>
  <c r="D31" i="9" s="1"/>
  <c r="D36" i="9" s="1"/>
  <c r="R23" i="8" s="1"/>
  <c r="D12" i="11" s="1"/>
  <c r="D31" i="10"/>
  <c r="E10" i="9"/>
  <c r="D30" i="8"/>
  <c r="D32" i="8" s="1"/>
  <c r="E22" i="10" l="1"/>
  <c r="I22" i="10" s="1"/>
  <c r="M22" i="10" s="1"/>
  <c r="P22" i="10" s="1"/>
  <c r="Q22" i="10" s="1"/>
  <c r="E21" i="10"/>
  <c r="I21" i="10" s="1"/>
  <c r="M21" i="10" s="1"/>
  <c r="P21" i="10" s="1"/>
  <c r="C19" i="9" s="1"/>
  <c r="C21" i="9" s="1"/>
  <c r="C23" i="9" s="1"/>
  <c r="C34" i="9" s="1"/>
  <c r="R21" i="10" s="1"/>
  <c r="F10" i="11" s="1"/>
  <c r="F11" i="11" s="1"/>
  <c r="Q24" i="8"/>
  <c r="C14" i="11" s="1"/>
  <c r="C15" i="11" s="1"/>
  <c r="C16" i="11" s="1"/>
  <c r="C17" i="11" s="1"/>
  <c r="C18" i="11" s="1"/>
  <c r="C19" i="11" s="1"/>
  <c r="C20" i="11" s="1"/>
  <c r="Q23" i="10"/>
  <c r="E19" i="9"/>
  <c r="R22" i="8"/>
  <c r="D10" i="11" s="1"/>
  <c r="D11" i="11" s="1"/>
  <c r="D13" i="11" s="1"/>
  <c r="C36" i="9"/>
  <c r="D35" i="9"/>
  <c r="C12" i="11"/>
  <c r="D33" i="10"/>
  <c r="E35" i="9"/>
  <c r="D19" i="9"/>
  <c r="D21" i="9" s="1"/>
  <c r="D23" i="9" s="1"/>
  <c r="D34" i="9" s="1"/>
  <c r="R22" i="10" s="1"/>
  <c r="F12" i="11" s="1"/>
  <c r="D34" i="8"/>
  <c r="C35" i="9"/>
  <c r="C10" i="11"/>
  <c r="Q21" i="10" l="1"/>
  <c r="E10" i="11" s="1"/>
  <c r="E11" i="11" s="1"/>
  <c r="C21" i="11"/>
  <c r="C22" i="11" s="1"/>
  <c r="C23" i="11" s="1"/>
  <c r="C24" i="11" s="1"/>
  <c r="C25" i="11" s="1"/>
  <c r="F13" i="11"/>
  <c r="E33" i="9"/>
  <c r="E14" i="11"/>
  <c r="E15" i="11" s="1"/>
  <c r="E16" i="11" s="1"/>
  <c r="E17" i="11" s="1"/>
  <c r="E18" i="11" s="1"/>
  <c r="E19" i="11" s="1"/>
  <c r="C11" i="11"/>
  <c r="E12" i="11"/>
  <c r="G12" i="11" s="1"/>
  <c r="K12" i="11" s="1"/>
  <c r="D33" i="9"/>
  <c r="D37" i="9" s="1"/>
  <c r="C33" i="9" l="1"/>
  <c r="C37" i="9" s="1"/>
  <c r="C44" i="9" s="1"/>
  <c r="D44" i="9"/>
  <c r="D39" i="9"/>
  <c r="C13" i="11"/>
  <c r="G11" i="11"/>
  <c r="K11" i="11" s="1"/>
  <c r="G17" i="5" s="1"/>
  <c r="G18" i="5" s="1"/>
  <c r="K13" i="9" s="1"/>
  <c r="K15" i="9" s="1"/>
  <c r="E20" i="11"/>
  <c r="E21" i="11"/>
  <c r="E22" i="11" s="1"/>
  <c r="E23" i="11" s="1"/>
  <c r="E24" i="11" s="1"/>
  <c r="E25" i="11" s="1"/>
  <c r="C39" i="9"/>
  <c r="E13" i="11"/>
  <c r="G10" i="11"/>
  <c r="K10" i="11" s="1"/>
  <c r="G13" i="11" l="1"/>
  <c r="K13" i="11" s="1"/>
  <c r="F17" i="5" s="1"/>
  <c r="F18" i="5" s="1"/>
  <c r="J13" i="9" s="1"/>
  <c r="J15" i="9" s="1"/>
  <c r="C26" i="11"/>
  <c r="E26" i="11"/>
  <c r="E10" i="13" l="1"/>
  <c r="G10" i="13"/>
  <c r="E11" i="13"/>
  <c r="G11" i="13"/>
  <c r="E12" i="13"/>
  <c r="G12" i="13"/>
  <c r="E13" i="13"/>
  <c r="G13" i="13"/>
  <c r="E14" i="13"/>
  <c r="G14" i="13"/>
  <c r="E15" i="13"/>
  <c r="E16" i="13"/>
  <c r="E17" i="13"/>
  <c r="E18" i="13"/>
  <c r="C17" i="5"/>
  <c r="C18" i="5"/>
  <c r="C20" i="5"/>
  <c r="C26" i="5"/>
  <c r="C27" i="5"/>
  <c r="C29" i="5"/>
  <c r="D14" i="11"/>
  <c r="F14" i="11"/>
  <c r="G14" i="11"/>
  <c r="K14" i="11"/>
  <c r="D15" i="11"/>
  <c r="F15" i="11"/>
  <c r="G15" i="11"/>
  <c r="K15" i="11"/>
  <c r="D16" i="11"/>
  <c r="F16" i="11"/>
  <c r="G16" i="11"/>
  <c r="K16" i="11"/>
  <c r="D17" i="11"/>
  <c r="F17" i="11"/>
  <c r="G17" i="11"/>
  <c r="K17" i="11"/>
  <c r="D18" i="11"/>
  <c r="F18" i="11"/>
  <c r="G18" i="11"/>
  <c r="K18" i="11"/>
  <c r="D19" i="11"/>
  <c r="F19" i="11"/>
  <c r="G19" i="11"/>
  <c r="K19" i="11"/>
  <c r="D20" i="11"/>
  <c r="F20" i="11"/>
  <c r="G20" i="11"/>
  <c r="K20" i="11"/>
  <c r="D21" i="11"/>
  <c r="F21" i="11"/>
  <c r="G21" i="11"/>
  <c r="K21" i="11"/>
  <c r="D22" i="11"/>
  <c r="F22" i="11"/>
  <c r="G22" i="11"/>
  <c r="K22" i="11"/>
  <c r="D23" i="11"/>
  <c r="F23" i="11"/>
  <c r="G23" i="11"/>
  <c r="K23" i="11"/>
  <c r="D24" i="11"/>
  <c r="F24" i="11"/>
  <c r="G24" i="11"/>
  <c r="K24" i="11"/>
  <c r="D25" i="11"/>
  <c r="F25" i="11"/>
  <c r="G25" i="11"/>
  <c r="K25" i="11"/>
  <c r="D26" i="11"/>
  <c r="F26" i="11"/>
  <c r="G26" i="11"/>
  <c r="K26" i="11"/>
  <c r="R24" i="8"/>
  <c r="R23" i="10"/>
  <c r="E9" i="9"/>
  <c r="E13" i="9"/>
  <c r="I13" i="9"/>
  <c r="E15" i="9"/>
  <c r="I15" i="9"/>
  <c r="E17" i="9"/>
  <c r="E21" i="9"/>
  <c r="E23" i="9"/>
  <c r="E25" i="9"/>
  <c r="E29" i="9"/>
  <c r="E31" i="9"/>
  <c r="E34" i="9"/>
  <c r="E36" i="9"/>
  <c r="E37" i="9"/>
  <c r="E39" i="9"/>
  <c r="E44" i="9"/>
  <c r="E48" i="9"/>
  <c r="E50" i="9"/>
  <c r="E51" i="9"/>
</calcChain>
</file>

<file path=xl/comments1.xml><?xml version="1.0" encoding="utf-8"?>
<comments xmlns="http://schemas.openxmlformats.org/spreadsheetml/2006/main">
  <authors>
    <author>OMALLELN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>OMALLELN:</t>
        </r>
        <r>
          <rPr>
            <sz val="9"/>
            <color indexed="81"/>
            <rFont val="Tahoma"/>
            <family val="2"/>
          </rPr>
          <t xml:space="preserve">
link in current federal &amp; state income tax rates</t>
        </r>
      </text>
    </comment>
  </commentList>
</comments>
</file>

<file path=xl/sharedStrings.xml><?xml version="1.0" encoding="utf-8"?>
<sst xmlns="http://schemas.openxmlformats.org/spreadsheetml/2006/main" count="815" uniqueCount="310">
  <si>
    <t>Rate Base</t>
  </si>
  <si>
    <t>Operating Expenses</t>
  </si>
  <si>
    <t>Depreciation</t>
  </si>
  <si>
    <t>Form 2.0</t>
  </si>
  <si>
    <t>Form 2.1</t>
  </si>
  <si>
    <t>Form 1.2</t>
  </si>
  <si>
    <t>Reference</t>
  </si>
  <si>
    <t>O&amp;M Savings FERC Account 887</t>
  </si>
  <si>
    <t>Notes:</t>
  </si>
  <si>
    <t>Return on Investment</t>
  </si>
  <si>
    <t>Cost of Removal</t>
  </si>
  <si>
    <t>Accumulated Reserve for Depreciation</t>
  </si>
  <si>
    <t>Deferred Taxes on Liberalized Depreciation</t>
  </si>
  <si>
    <t>Net Rate Base</t>
  </si>
  <si>
    <t>Authorized Rate of Return, Adjusted for Income Taxes</t>
  </si>
  <si>
    <t>Property Tax (1)</t>
  </si>
  <si>
    <t xml:space="preserve">PSC Assessment (2) </t>
  </si>
  <si>
    <t>Total Operating Expenses</t>
  </si>
  <si>
    <t>Total Annual Revenue Requirement</t>
  </si>
  <si>
    <t>Short Term Debt</t>
  </si>
  <si>
    <t>Long Term Debt</t>
  </si>
  <si>
    <t>Total</t>
  </si>
  <si>
    <t>Capital Structure</t>
  </si>
  <si>
    <t>Ratio</t>
  </si>
  <si>
    <t>Cost</t>
  </si>
  <si>
    <t>Weighted</t>
  </si>
  <si>
    <t>Pre-Tax @</t>
  </si>
  <si>
    <t>Effect Tax of</t>
  </si>
  <si>
    <t>Line</t>
  </si>
  <si>
    <t>No.</t>
  </si>
  <si>
    <t>Description</t>
  </si>
  <si>
    <t>Account</t>
  </si>
  <si>
    <t>August 2017</t>
  </si>
  <si>
    <t>Sept-Dec 2017</t>
  </si>
  <si>
    <t>Additions</t>
  </si>
  <si>
    <t>Mains</t>
  </si>
  <si>
    <t>Hydrants</t>
  </si>
  <si>
    <t>Services</t>
  </si>
  <si>
    <t>Meters</t>
  </si>
  <si>
    <t>Total Additions</t>
  </si>
  <si>
    <t>Retirements</t>
  </si>
  <si>
    <t>Total Retirements</t>
  </si>
  <si>
    <t>Total Cost of Removal</t>
  </si>
  <si>
    <t>Depr Rate</t>
  </si>
  <si>
    <t>Balance</t>
  </si>
  <si>
    <t>Depr on</t>
  </si>
  <si>
    <t>Beginning</t>
  </si>
  <si>
    <t>331.4</t>
  </si>
  <si>
    <t>335.4</t>
  </si>
  <si>
    <t>333.4</t>
  </si>
  <si>
    <t>334.4</t>
  </si>
  <si>
    <t>Plant</t>
  </si>
  <si>
    <t>Ending</t>
  </si>
  <si>
    <t>December 31, 2018</t>
  </si>
  <si>
    <t>Month</t>
  </si>
  <si>
    <t>Months</t>
  </si>
  <si>
    <t>Number of</t>
  </si>
  <si>
    <t>13 Mo Avg (1)</t>
  </si>
  <si>
    <t>Difference (2)</t>
  </si>
  <si>
    <t>Retirement</t>
  </si>
  <si>
    <t>Cost of</t>
  </si>
  <si>
    <t>Removal</t>
  </si>
  <si>
    <t>COR</t>
  </si>
  <si>
    <t>(A)</t>
  </si>
  <si>
    <t>(B)</t>
  </si>
  <si>
    <t>(C)</t>
  </si>
  <si>
    <t>(D)=(B/13)*(C)</t>
  </si>
  <si>
    <t>(F)</t>
  </si>
  <si>
    <t>(G)=(B/13)*(F)</t>
  </si>
  <si>
    <t>(H)=(F-G)</t>
  </si>
  <si>
    <t>(E)=(C-D)</t>
  </si>
  <si>
    <t>(I)</t>
  </si>
  <si>
    <t>(J)=(B/13)*(I)</t>
  </si>
  <si>
    <t>(K)=(I-J)</t>
  </si>
  <si>
    <t>(L)=(E+H)*Rate</t>
  </si>
  <si>
    <t>Test Year 8/31/17 AMRP - Hydrants</t>
  </si>
  <si>
    <t>Preferred Stock</t>
  </si>
  <si>
    <t>Amount</t>
  </si>
  <si>
    <t>Retirement %</t>
  </si>
  <si>
    <t>331001-T&amp;D Mains</t>
  </si>
  <si>
    <t>335000-Hydrants</t>
  </si>
  <si>
    <t>333000-Services</t>
  </si>
  <si>
    <t>334100-Meters</t>
  </si>
  <si>
    <t>COR %</t>
  </si>
  <si>
    <t>Notes</t>
  </si>
  <si>
    <t>Recovered through base rates in Case No. 2015-00418</t>
  </si>
  <si>
    <t>Kentucky American Water Company</t>
  </si>
  <si>
    <t>Plant Balance (1)</t>
  </si>
  <si>
    <t>(5)=(3)*(4)</t>
  </si>
  <si>
    <t>Current Year</t>
  </si>
  <si>
    <t>Adds/(Ret)</t>
  </si>
  <si>
    <t>Additions &amp;</t>
  </si>
  <si>
    <t>(7)=(4)*(6)*50%</t>
  </si>
  <si>
    <t>(8)=(6)+(3)</t>
  </si>
  <si>
    <t>2018 Plant Additions and Depreciation</t>
  </si>
  <si>
    <t>Cost of Capital</t>
  </si>
  <si>
    <t>Qualified Infrastructure Program (QIP)</t>
  </si>
  <si>
    <t>Forecasted QIP Revenue Requirement for 2018</t>
  </si>
  <si>
    <t>Development of QIP Plant Excluded From Base Rates</t>
  </si>
  <si>
    <t>Test Year 8/31/17 QIP Investment Summary</t>
  </si>
  <si>
    <t>Test Year 8/31/17 QIP - Mains</t>
  </si>
  <si>
    <t>Test Year 8/31/17 QIP - Services</t>
  </si>
  <si>
    <t>Test Year 8/31/17 QIP - Meters</t>
  </si>
  <si>
    <t>QIP CapEX</t>
  </si>
  <si>
    <t>See Form 2.2 for detail of QIP eligible capital additions for the 12 months ending August 2017.</t>
  </si>
  <si>
    <t>QIP Investment</t>
  </si>
  <si>
    <t>Net QIP Investment-Property, Plant and Equipment</t>
  </si>
  <si>
    <t>Net PP&amp;E</t>
  </si>
  <si>
    <t>Required Return on QIP Related Investment</t>
  </si>
  <si>
    <t>Summary of Net Property, Plant &amp; Equipment</t>
  </si>
  <si>
    <t>Account 108 Cost of Removal</t>
  </si>
  <si>
    <t>12 Months Ending August 2017:</t>
  </si>
  <si>
    <t>Retirements @ Original Cost</t>
  </si>
  <si>
    <t>Depreciation Expense</t>
  </si>
  <si>
    <t>September - December 2017:</t>
  </si>
  <si>
    <t>January - December 2018:</t>
  </si>
  <si>
    <t>Ending Balance at 12/31/18</t>
  </si>
  <si>
    <t>Summary:</t>
  </si>
  <si>
    <t>Total Retirements @ Original Cost</t>
  </si>
  <si>
    <t>Total Depreciation Expense</t>
  </si>
  <si>
    <t>Form 2.2</t>
  </si>
  <si>
    <t>PSC Assessment Rate</t>
  </si>
  <si>
    <t>Property Tax Rate</t>
  </si>
  <si>
    <t>Property taxes estimated using an effective rate of 0.808%</t>
  </si>
  <si>
    <t>PSC Assessment estimated using a rate of 0.1901%</t>
  </si>
  <si>
    <t>12 Mo End Aug 2017</t>
  </si>
  <si>
    <t>Normal MACRS Depreciation:</t>
  </si>
  <si>
    <t>Tax Basis Subject to Normal Depreciation</t>
  </si>
  <si>
    <t>Bonus Depreciation</t>
  </si>
  <si>
    <t>Bonus Depreciation %</t>
  </si>
  <si>
    <t>Tax Basis Plant Additions</t>
  </si>
  <si>
    <t>Total Repairs</t>
  </si>
  <si>
    <t>Repairs Percentage</t>
  </si>
  <si>
    <t>Plant Eligible for Repairs</t>
  </si>
  <si>
    <t>Less Meters</t>
  </si>
  <si>
    <t>Total Plant Additions</t>
  </si>
  <si>
    <t>Repairs</t>
  </si>
  <si>
    <t xml:space="preserve">Depreciation </t>
  </si>
  <si>
    <t>2018 Additions</t>
  </si>
  <si>
    <t>2017  Additions</t>
  </si>
  <si>
    <t>Depreciation Rate</t>
  </si>
  <si>
    <t>Year</t>
  </si>
  <si>
    <t>Deductions</t>
  </si>
  <si>
    <t xml:space="preserve">Cost of </t>
  </si>
  <si>
    <t xml:space="preserve">Annual </t>
  </si>
  <si>
    <t>MACRS  Tax</t>
  </si>
  <si>
    <t xml:space="preserve">Tax </t>
  </si>
  <si>
    <t>2016  Additions</t>
  </si>
  <si>
    <t>January - August</t>
  </si>
  <si>
    <t>Sept  - Dec</t>
  </si>
  <si>
    <t>Book</t>
  </si>
  <si>
    <t>All Additions</t>
  </si>
  <si>
    <t>Proof of Book Activity</t>
  </si>
  <si>
    <t>Difference</t>
  </si>
  <si>
    <t>Book / Tax</t>
  </si>
  <si>
    <t>Annual 2016</t>
  </si>
  <si>
    <t>Annual 2017</t>
  </si>
  <si>
    <t>Annual 2018</t>
  </si>
  <si>
    <t xml:space="preserve">Accumulated </t>
  </si>
  <si>
    <t xml:space="preserve">Deferred </t>
  </si>
  <si>
    <t>Income taxes</t>
  </si>
  <si>
    <t>NOL</t>
  </si>
  <si>
    <t>Annual</t>
  </si>
  <si>
    <t>Income Taxes Fed.</t>
  </si>
  <si>
    <t>Inc. Tax - State Net</t>
  </si>
  <si>
    <t>State NOL</t>
  </si>
  <si>
    <t xml:space="preserve">Revenues </t>
  </si>
  <si>
    <t>Book Depreciation</t>
  </si>
  <si>
    <t>Property Taxes</t>
  </si>
  <si>
    <t>Interest Expense</t>
  </si>
  <si>
    <t xml:space="preserve">      Pre Tax Book income</t>
  </si>
  <si>
    <t>State Tax Temporary Difference</t>
  </si>
  <si>
    <t>State Taxable income</t>
  </si>
  <si>
    <t>State Tax Rate</t>
  </si>
  <si>
    <t>State Tax NOL</t>
  </si>
  <si>
    <t>Pre Tax Book Income</t>
  </si>
  <si>
    <t>State Taxes</t>
  </si>
  <si>
    <t>Federal Temporary Difference</t>
  </si>
  <si>
    <t>Federal Taxable Income</t>
  </si>
  <si>
    <t>Federal Tax Rate</t>
  </si>
  <si>
    <t>Federal Tax NOL</t>
  </si>
  <si>
    <t xml:space="preserve">     Total Deferred Tax Expense</t>
  </si>
  <si>
    <t>Deferred Tax Expense - Depr - State</t>
  </si>
  <si>
    <t>Deferred Tax Expense - Depr - Fed</t>
  </si>
  <si>
    <t>Deferred Tax Expense - NOL - State</t>
  </si>
  <si>
    <t>Deferred Tax Expense - NOL - Fed</t>
  </si>
  <si>
    <t>Proof Number 1 - ETR - Should be 38.9%</t>
  </si>
  <si>
    <t xml:space="preserve">Net Income </t>
  </si>
  <si>
    <t>Proof Number 2 - Net income should be:</t>
  </si>
  <si>
    <t>Allowed Equity Rate of Return</t>
  </si>
  <si>
    <t>Equity and Pref Stock Rate of Return</t>
  </si>
  <si>
    <t>Income Tax Calculation To Determine NOL Deferred Tax Asset</t>
  </si>
  <si>
    <t>Deferred Tax Calculation - State</t>
  </si>
  <si>
    <t>Deferred Tax Calculation - Federal</t>
  </si>
  <si>
    <t>Summary of Deferred Taxes and Proration</t>
  </si>
  <si>
    <t>Balance 12/31/2016</t>
  </si>
  <si>
    <t>Activity 2016</t>
  </si>
  <si>
    <t>Activity 2017</t>
  </si>
  <si>
    <t>Balance 12/31/2017</t>
  </si>
  <si>
    <t>Federal</t>
  </si>
  <si>
    <t xml:space="preserve">Year/ Month </t>
  </si>
  <si>
    <t>State</t>
  </si>
  <si>
    <t>Accumulated</t>
  </si>
  <si>
    <t>Deferred Income Tax</t>
  </si>
  <si>
    <t>Days In</t>
  </si>
  <si>
    <t xml:space="preserve">Days </t>
  </si>
  <si>
    <t>Outstanding</t>
  </si>
  <si>
    <t>Proration</t>
  </si>
  <si>
    <t>Percentage</t>
  </si>
  <si>
    <t/>
  </si>
  <si>
    <t xml:space="preserve">Balance </t>
  </si>
  <si>
    <t>Reflecting</t>
  </si>
  <si>
    <t>Line 4 of Form 1.1</t>
  </si>
  <si>
    <t>% Contributions</t>
  </si>
  <si>
    <t>Contributions</t>
  </si>
  <si>
    <t>(M)</t>
  </si>
  <si>
    <t>(N)=(B/13)*(M)</t>
  </si>
  <si>
    <t>Total Contributions</t>
  </si>
  <si>
    <t>333000-Services Taxable</t>
  </si>
  <si>
    <t>Services Taxable</t>
  </si>
  <si>
    <t>December 31, 2017</t>
  </si>
  <si>
    <t>December 31, 2016</t>
  </si>
  <si>
    <t>Balance 12/31/2018</t>
  </si>
  <si>
    <t>Less Non- Taxable CIAC</t>
  </si>
  <si>
    <t>Plant net of CIAC</t>
  </si>
  <si>
    <t>Interest Calculation - Hardkey</t>
  </si>
  <si>
    <t>Taxable CIAC</t>
  </si>
  <si>
    <t>Rate Schedule</t>
  </si>
  <si>
    <t>Base Revenue as</t>
  </si>
  <si>
    <t>Approved PSC</t>
  </si>
  <si>
    <t>Case No. 2015-00418</t>
  </si>
  <si>
    <t>Allocation</t>
  </si>
  <si>
    <t>Revenue</t>
  </si>
  <si>
    <t>Requirement</t>
  </si>
  <si>
    <t>Determinant</t>
  </si>
  <si>
    <t>Billing</t>
  </si>
  <si>
    <t>Monthly</t>
  </si>
  <si>
    <t>QIP</t>
  </si>
  <si>
    <t>Surcharge</t>
  </si>
  <si>
    <t>Commercial</t>
  </si>
  <si>
    <t>Residential</t>
  </si>
  <si>
    <t>Industrial</t>
  </si>
  <si>
    <t>Public Fire Service</t>
  </si>
  <si>
    <t>Private Fire Service</t>
  </si>
  <si>
    <t>Sales for Resale</t>
  </si>
  <si>
    <t>Miscellaneous</t>
  </si>
  <si>
    <t>Other Public Authorities</t>
  </si>
  <si>
    <t>Percent (1)</t>
  </si>
  <si>
    <t># of Bills (2)</t>
  </si>
  <si>
    <t>Allocation percent is based on the overall base revenue distribution approved in PSC Case No. 2015-00418.</t>
  </si>
  <si>
    <t>Billing Determinants based on projected twelve months ending December 31, 2018 bills.</t>
  </si>
  <si>
    <t>Common Equity</t>
  </si>
  <si>
    <t>Billing Determinants by Bill Class</t>
  </si>
  <si>
    <t>For the Twelve Months Ending December 31, 2018</t>
  </si>
  <si>
    <t>Bill Class</t>
  </si>
  <si>
    <t>Other Operating Revenues</t>
  </si>
  <si>
    <t>AFUDC</t>
  </si>
  <si>
    <t>Net Plant</t>
  </si>
  <si>
    <t>Unprorated  Total</t>
  </si>
  <si>
    <t>Bonus</t>
  </si>
  <si>
    <t>Worksheet Name</t>
  </si>
  <si>
    <t>Description / Purpose of Worksheet</t>
  </si>
  <si>
    <r>
      <t>Workbook Information:</t>
    </r>
    <r>
      <rPr>
        <sz val="11"/>
        <rFont val="Calibri"/>
        <family val="2"/>
        <scheme val="minor"/>
      </rPr>
      <t xml:space="preserve"> This workbook provides the exhibits for the Qualified Infrastructure Program (QIP).</t>
    </r>
  </si>
  <si>
    <t>Link In</t>
  </si>
  <si>
    <t>Form 1.0</t>
  </si>
  <si>
    <t>Form 1.1</t>
  </si>
  <si>
    <t>Form 2.1A</t>
  </si>
  <si>
    <t>Form 2.1B</t>
  </si>
  <si>
    <t>Form 2.1C</t>
  </si>
  <si>
    <t>Link in additions, retirement, cost of removal and contributions from prior rate case.  Link in projected additions, property tax rate and PSC assessment rate.</t>
  </si>
  <si>
    <t>Form 2.0 2017 Net Plant * 0.808%</t>
  </si>
  <si>
    <t>QIP Surcharge by Bill Class</t>
  </si>
  <si>
    <t>Calculation of the QIP surcharge based on the number of bills for each bill class.</t>
  </si>
  <si>
    <t>Calculation of the QIP revenue requirement.</t>
  </si>
  <si>
    <t>Form 2.3</t>
  </si>
  <si>
    <t>Calculation of the cost of capital.</t>
  </si>
  <si>
    <t>Calculation of QIP eligible additions and retirements, the corresponding depreciation expense, cost or removal and contributions.</t>
  </si>
  <si>
    <t>Calculation of deferred taxes and proration.</t>
  </si>
  <si>
    <t>Calculation of deferred taxes - federal.</t>
  </si>
  <si>
    <t>Calculation of deferred taxes - state.</t>
  </si>
  <si>
    <t>Income tax calculation to determine NOL deferred tax asset.</t>
  </si>
  <si>
    <t>Development of QIP plant excluded from base rates.</t>
  </si>
  <si>
    <t>Summary of net property, plant &amp; equipment.</t>
  </si>
  <si>
    <t>Billing determinants by bill class for the projected 12 months ending December 2018.</t>
  </si>
  <si>
    <t>Line No.</t>
  </si>
  <si>
    <t>O&amp;M Savings (2)</t>
  </si>
  <si>
    <t>PSC Assessment (3)</t>
  </si>
  <si>
    <t>Kentucky-American Water Company has not forecasted O&amp;M savings.</t>
  </si>
  <si>
    <t>Account 271 CIAC</t>
  </si>
  <si>
    <t>Account 272 Accum Amort CIAC</t>
  </si>
  <si>
    <t>Account 101 UPIS</t>
  </si>
  <si>
    <t>Account 108 Accum Depr (excl. Cost of Removal)</t>
  </si>
  <si>
    <t>Amortization</t>
  </si>
  <si>
    <t>QIP spend not recovered through base rates and eligible for recovery through QIP.</t>
  </si>
  <si>
    <t>(O)=(M-N)</t>
  </si>
  <si>
    <t>(P)=(O)*Rate</t>
  </si>
  <si>
    <t>Accum Amortization</t>
  </si>
  <si>
    <t>Total Accum Amortization</t>
  </si>
  <si>
    <t>2017 Plant Additions and Depreciation</t>
  </si>
  <si>
    <t>Accumulated Amortization for Contributions</t>
  </si>
  <si>
    <t>Federal Income Tax</t>
  </si>
  <si>
    <t>State Income Tax</t>
  </si>
  <si>
    <t xml:space="preserve">CIAC </t>
  </si>
  <si>
    <t>CIAC Amortization</t>
  </si>
  <si>
    <t>Form 3.0</t>
  </si>
  <si>
    <t>Line 6 + Line 7</t>
  </si>
  <si>
    <t>Line 8 * Line 9</t>
  </si>
  <si>
    <t>(Sum Line 10 to 13) * (0.1901%/(1-0.1901%))</t>
  </si>
  <si>
    <t>Sum Lines 11 to 14</t>
  </si>
  <si>
    <t>Line 10 + Line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</si>
</sst>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0%"/>
    <numFmt numFmtId="166" formatCode="0.0000%"/>
    <numFmt numFmtId="167" formatCode="_(* #,##0_);_(* \(#,##0\);_(* &quot;-&quot;??_);_(@_)"/>
    <numFmt numFmtId="168" formatCode="0.0%"/>
    <numFmt numFmtId="169" formatCode="_(* #,##0.00000_);_(* \(#,##0.00000\);_(* &quot;-&quot;??_);_(@_)"/>
    <numFmt numFmtId="170" formatCode="0."/>
  </numFmts>
  <fonts count="12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 diagonalUp="1"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 style="medium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 style="medium">
        <color indexed="64"/>
      </diagonal>
    </border>
    <border>
      <left style="medium">
        <color auto="1"/>
      </left>
      <right/>
      <top/>
      <bottom/>
      <diagonal/>
    </border>
    <border diagonalUp="1"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 style="medium">
        <color indexed="8"/>
      </diagonal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 diagonalDown="1"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 style="medium">
        <color indexed="8"/>
      </diagonal>
    </border>
    <border>
      <left/>
      <right/>
      <top style="medium">
        <color auto="1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7" fillId="0" borderId="0"/>
  </cellStyleXfs>
  <cellXfs count="176">
    <xf numFmtId="0" fontId="0" fillId="0" borderId="0" xfId="0"/>
    <xf numFmtId="37" fontId="0" fillId="0" borderId="0" xfId="0" applyNumberFormat="1"/>
    <xf numFmtId="37" fontId="0" fillId="0" borderId="1" xfId="0" applyNumberFormat="1" applyBorder="1"/>
    <xf numFmtId="37" fontId="0" fillId="0" borderId="0" xfId="0" applyNumberFormat="1" applyFill="1" applyBorder="1"/>
    <xf numFmtId="10" fontId="0" fillId="0" borderId="0" xfId="1" applyNumberFormat="1" applyFont="1"/>
    <xf numFmtId="37" fontId="0" fillId="0" borderId="2" xfId="0" applyNumberFormat="1" applyBorder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164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15" fontId="0" fillId="0" borderId="0" xfId="0" quotePrefix="1" applyNumberFormat="1" applyBorder="1" applyAlignment="1">
      <alignment horizontal="center"/>
    </xf>
    <xf numFmtId="15" fontId="2" fillId="0" borderId="0" xfId="0" quotePrefix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5" fontId="2" fillId="0" borderId="2" xfId="0" quotePrefix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" fontId="2" fillId="0" borderId="2" xfId="0" quotePrefix="1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7" fontId="0" fillId="0" borderId="2" xfId="0" quotePrefix="1" applyNumberFormat="1" applyFont="1" applyBorder="1" applyAlignment="1">
      <alignment horizontal="center"/>
    </xf>
    <xf numFmtId="41" fontId="0" fillId="0" borderId="0" xfId="0" applyNumberFormat="1"/>
    <xf numFmtId="41" fontId="0" fillId="0" borderId="4" xfId="0" applyNumberFormat="1" applyBorder="1"/>
    <xf numFmtId="10" fontId="0" fillId="0" borderId="0" xfId="0" applyNumberFormat="1"/>
    <xf numFmtId="17" fontId="0" fillId="0" borderId="0" xfId="0" quotePrefix="1" applyNumberFormat="1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quotePrefix="1" applyNumberFormat="1" applyAlignment="1">
      <alignment horizontal="center"/>
    </xf>
    <xf numFmtId="17" fontId="2" fillId="0" borderId="0" xfId="0" quotePrefix="1" applyNumberFormat="1" applyFont="1" applyBorder="1" applyAlignment="1">
      <alignment horizontal="center"/>
    </xf>
    <xf numFmtId="41" fontId="0" fillId="0" borderId="0" xfId="0" applyNumberFormat="1" applyBorder="1"/>
    <xf numFmtId="41" fontId="0" fillId="0" borderId="0" xfId="0" applyNumberFormat="1" applyFill="1"/>
    <xf numFmtId="41" fontId="0" fillId="0" borderId="0" xfId="0" applyNumberFormat="1" applyFill="1" applyBorder="1"/>
    <xf numFmtId="5" fontId="0" fillId="0" borderId="0" xfId="0" applyNumberFormat="1"/>
    <xf numFmtId="10" fontId="4" fillId="0" borderId="0" xfId="0" applyNumberFormat="1" applyFont="1" applyFill="1"/>
    <xf numFmtId="10" fontId="4" fillId="0" borderId="2" xfId="0" applyNumberFormat="1" applyFont="1" applyFill="1" applyBorder="1"/>
    <xf numFmtId="43" fontId="0" fillId="0" borderId="0" xfId="2" applyFont="1"/>
    <xf numFmtId="3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17" fontId="5" fillId="0" borderId="2" xfId="0" applyNumberFormat="1" applyFont="1" applyBorder="1" applyAlignment="1">
      <alignment horizontal="center"/>
    </xf>
    <xf numFmtId="37" fontId="0" fillId="0" borderId="0" xfId="0" applyNumberFormat="1" applyAlignment="1">
      <alignment horizontal="center"/>
    </xf>
    <xf numFmtId="37" fontId="0" fillId="0" borderId="0" xfId="0" quotePrefix="1" applyNumberFormat="1" applyAlignment="1">
      <alignment horizontal="center"/>
    </xf>
    <xf numFmtId="15" fontId="0" fillId="0" borderId="2" xfId="0" quotePrefix="1" applyNumberFormat="1" applyFill="1" applyBorder="1" applyAlignment="1">
      <alignment horizontal="center"/>
    </xf>
    <xf numFmtId="37" fontId="0" fillId="0" borderId="0" xfId="0" applyNumberFormat="1" applyFill="1"/>
    <xf numFmtId="166" fontId="0" fillId="2" borderId="0" xfId="1" applyNumberFormat="1" applyFont="1" applyFill="1"/>
    <xf numFmtId="0" fontId="0" fillId="0" borderId="0" xfId="0" applyFill="1"/>
    <xf numFmtId="167" fontId="0" fillId="0" borderId="0" xfId="2" applyNumberFormat="1" applyFont="1"/>
    <xf numFmtId="168" fontId="0" fillId="0" borderId="0" xfId="1" applyNumberFormat="1" applyFont="1"/>
    <xf numFmtId="9" fontId="0" fillId="0" borderId="0" xfId="1" applyFont="1"/>
    <xf numFmtId="43" fontId="0" fillId="0" borderId="0" xfId="0" applyNumberFormat="1"/>
    <xf numFmtId="0" fontId="0" fillId="0" borderId="0" xfId="0" applyAlignment="1">
      <alignment horizontal="left"/>
    </xf>
    <xf numFmtId="165" fontId="0" fillId="0" borderId="0" xfId="1" applyNumberFormat="1" applyFont="1"/>
    <xf numFmtId="17" fontId="0" fillId="0" borderId="0" xfId="0" applyNumberFormat="1"/>
    <xf numFmtId="0" fontId="0" fillId="0" borderId="0" xfId="0" quotePrefix="1"/>
    <xf numFmtId="17" fontId="0" fillId="0" borderId="0" xfId="0" quotePrefix="1" applyNumberFormat="1"/>
    <xf numFmtId="10" fontId="0" fillId="0" borderId="0" xfId="1" applyNumberFormat="1" applyFont="1" applyFill="1"/>
    <xf numFmtId="164" fontId="0" fillId="0" borderId="0" xfId="0" applyNumberFormat="1" applyFill="1" applyAlignment="1">
      <alignment horizontal="center"/>
    </xf>
    <xf numFmtId="10" fontId="0" fillId="0" borderId="0" xfId="1" applyNumberFormat="1" applyFont="1" applyFill="1" applyBorder="1"/>
    <xf numFmtId="14" fontId="0" fillId="0" borderId="0" xfId="0" applyNumberFormat="1"/>
    <xf numFmtId="37" fontId="0" fillId="0" borderId="4" xfId="0" applyNumberFormat="1" applyBorder="1"/>
    <xf numFmtId="10" fontId="0" fillId="0" borderId="4" xfId="1" applyNumberFormat="1" applyFont="1" applyBorder="1"/>
    <xf numFmtId="7" fontId="0" fillId="0" borderId="0" xfId="3" applyNumberFormat="1" applyFont="1"/>
    <xf numFmtId="7" fontId="0" fillId="0" borderId="0" xfId="0" applyNumberFormat="1"/>
    <xf numFmtId="17" fontId="0" fillId="0" borderId="2" xfId="0" applyNumberFormat="1" applyBorder="1" applyAlignment="1">
      <alignment horizontal="center"/>
    </xf>
    <xf numFmtId="15" fontId="0" fillId="0" borderId="0" xfId="0" quotePrefix="1" applyNumberFormat="1" applyFont="1" applyBorder="1" applyAlignment="1">
      <alignment horizontal="center"/>
    </xf>
    <xf numFmtId="15" fontId="0" fillId="0" borderId="2" xfId="0" quotePrefix="1" applyNumberFormat="1" applyFont="1" applyBorder="1" applyAlignment="1">
      <alignment horizontal="center"/>
    </xf>
    <xf numFmtId="37" fontId="0" fillId="0" borderId="4" xfId="0" applyNumberFormat="1" applyFill="1" applyBorder="1"/>
    <xf numFmtId="167" fontId="0" fillId="0" borderId="0" xfId="2" applyNumberFormat="1" applyFont="1" applyFill="1"/>
    <xf numFmtId="37" fontId="0" fillId="0" borderId="0" xfId="0" quotePrefix="1" applyNumberFormat="1" applyFill="1" applyAlignment="1">
      <alignment horizontal="center"/>
    </xf>
    <xf numFmtId="37" fontId="0" fillId="0" borderId="0" xfId="0" applyNumberFormat="1" applyFill="1" applyAlignment="1">
      <alignment horizontal="center"/>
    </xf>
    <xf numFmtId="10" fontId="0" fillId="0" borderId="2" xfId="0" applyNumberFormat="1" applyBorder="1"/>
    <xf numFmtId="5" fontId="0" fillId="0" borderId="1" xfId="0" applyNumberFormat="1" applyBorder="1"/>
    <xf numFmtId="5" fontId="0" fillId="0" borderId="4" xfId="0" applyNumberFormat="1" applyBorder="1"/>
    <xf numFmtId="37" fontId="0" fillId="0" borderId="0" xfId="2" applyNumberFormat="1" applyFont="1"/>
    <xf numFmtId="37" fontId="0" fillId="0" borderId="1" xfId="2" applyNumberFormat="1" applyFont="1" applyBorder="1"/>
    <xf numFmtId="5" fontId="0" fillId="0" borderId="0" xfId="2" applyNumberFormat="1" applyFont="1"/>
    <xf numFmtId="5" fontId="0" fillId="0" borderId="1" xfId="2" applyNumberFormat="1" applyFont="1" applyBorder="1"/>
    <xf numFmtId="5" fontId="0" fillId="0" borderId="0" xfId="3" applyNumberFormat="1" applyFont="1"/>
    <xf numFmtId="5" fontId="0" fillId="0" borderId="3" xfId="0" applyNumberFormat="1" applyFill="1" applyBorder="1"/>
    <xf numFmtId="5" fontId="0" fillId="0" borderId="4" xfId="0" applyNumberFormat="1" applyFill="1" applyBorder="1"/>
    <xf numFmtId="5" fontId="0" fillId="0" borderId="3" xfId="0" applyNumberFormat="1" applyBorder="1"/>
    <xf numFmtId="15" fontId="2" fillId="0" borderId="2" xfId="0" quotePrefix="1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10" fontId="2" fillId="0" borderId="2" xfId="0" applyNumberFormat="1" applyFont="1" applyFill="1" applyBorder="1" applyAlignment="1">
      <alignment horizontal="center"/>
    </xf>
    <xf numFmtId="37" fontId="0" fillId="0" borderId="0" xfId="0" applyNumberFormat="1" applyBorder="1"/>
    <xf numFmtId="37" fontId="0" fillId="0" borderId="1" xfId="0" applyNumberFormat="1" applyFill="1" applyBorder="1"/>
    <xf numFmtId="5" fontId="0" fillId="0" borderId="5" xfId="0" applyNumberFormat="1" applyBorder="1"/>
    <xf numFmtId="5" fontId="0" fillId="0" borderId="5" xfId="0" applyNumberFormat="1" applyFill="1" applyBorder="1"/>
    <xf numFmtId="5" fontId="0" fillId="0" borderId="0" xfId="0" applyNumberFormat="1" applyBorder="1"/>
    <xf numFmtId="5" fontId="0" fillId="0" borderId="0" xfId="0" applyNumberFormat="1" applyFill="1"/>
    <xf numFmtId="5" fontId="0" fillId="0" borderId="1" xfId="0" applyNumberFormat="1" applyFill="1" applyBorder="1"/>
    <xf numFmtId="167" fontId="2" fillId="0" borderId="0" xfId="2" applyNumberFormat="1" applyFont="1"/>
    <xf numFmtId="167" fontId="2" fillId="0" borderId="0" xfId="2" applyNumberFormat="1" applyFont="1" applyAlignment="1">
      <alignment horizontal="center"/>
    </xf>
    <xf numFmtId="167" fontId="2" fillId="0" borderId="2" xfId="2" applyNumberFormat="1" applyFon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37" fontId="0" fillId="0" borderId="0" xfId="2" applyNumberFormat="1" applyFont="1" applyFill="1"/>
    <xf numFmtId="22" fontId="6" fillId="3" borderId="0" xfId="4" applyNumberFormat="1" applyFont="1" applyFill="1" applyAlignment="1"/>
    <xf numFmtId="0" fontId="4" fillId="3" borderId="0" xfId="5" applyFont="1" applyFill="1" applyAlignment="1"/>
    <xf numFmtId="0" fontId="4" fillId="3" borderId="0" xfId="5" applyFont="1" applyFill="1" applyAlignment="1">
      <alignment horizontal="center"/>
    </xf>
    <xf numFmtId="0" fontId="4" fillId="4" borderId="0" xfId="5" applyFont="1" applyFill="1" applyAlignment="1"/>
    <xf numFmtId="0" fontId="4" fillId="4" borderId="0" xfId="5" applyFont="1" applyFill="1" applyAlignment="1">
      <alignment horizontal="center"/>
    </xf>
    <xf numFmtId="0" fontId="4" fillId="0" borderId="6" xfId="5" applyFont="1" applyBorder="1" applyAlignment="1"/>
    <xf numFmtId="0" fontId="4" fillId="0" borderId="7" xfId="5" applyFont="1" applyBorder="1" applyAlignment="1">
      <alignment horizontal="center"/>
    </xf>
    <xf numFmtId="0" fontId="4" fillId="0" borderId="10" xfId="5" applyFont="1" applyBorder="1" applyAlignment="1"/>
    <xf numFmtId="0" fontId="4" fillId="3" borderId="11" xfId="5" applyFont="1" applyFill="1" applyBorder="1" applyAlignment="1"/>
    <xf numFmtId="0" fontId="4" fillId="0" borderId="0" xfId="5" applyFont="1" applyBorder="1" applyAlignment="1"/>
    <xf numFmtId="0" fontId="4" fillId="0" borderId="12" xfId="5" applyFont="1" applyBorder="1" applyAlignment="1"/>
    <xf numFmtId="0" fontId="8" fillId="0" borderId="13" xfId="5" applyFont="1" applyBorder="1" applyAlignment="1">
      <alignment horizontal="center"/>
    </xf>
    <xf numFmtId="0" fontId="8" fillId="0" borderId="6" xfId="5" applyFont="1" applyBorder="1" applyAlignment="1">
      <alignment horizontal="center"/>
    </xf>
    <xf numFmtId="0" fontId="8" fillId="0" borderId="10" xfId="5" applyFont="1" applyBorder="1" applyAlignment="1">
      <alignment horizontal="center"/>
    </xf>
    <xf numFmtId="0" fontId="4" fillId="3" borderId="0" xfId="5" applyFont="1" applyFill="1" applyAlignment="1">
      <alignment horizontal="left" wrapText="1"/>
    </xf>
    <xf numFmtId="0" fontId="4" fillId="4" borderId="0" xfId="5" applyFont="1" applyFill="1" applyAlignment="1">
      <alignment horizontal="left" wrapText="1"/>
    </xf>
    <xf numFmtId="0" fontId="4" fillId="0" borderId="6" xfId="5" applyFont="1" applyBorder="1" applyAlignment="1">
      <alignment horizontal="left" wrapText="1"/>
    </xf>
    <xf numFmtId="170" fontId="4" fillId="0" borderId="17" xfId="5" applyNumberFormat="1" applyFont="1" applyBorder="1" applyAlignment="1" applyProtection="1">
      <alignment horizontal="center" wrapText="1"/>
    </xf>
    <xf numFmtId="0" fontId="4" fillId="0" borderId="20" xfId="5" applyFont="1" applyBorder="1" applyAlignment="1">
      <alignment horizontal="left" wrapText="1"/>
    </xf>
    <xf numFmtId="0" fontId="4" fillId="3" borderId="11" xfId="5" applyFont="1" applyFill="1" applyBorder="1" applyAlignment="1">
      <alignment horizontal="left" wrapText="1"/>
    </xf>
    <xf numFmtId="0" fontId="4" fillId="0" borderId="0" xfId="5" applyFont="1" applyBorder="1" applyAlignment="1">
      <alignment horizontal="left" wrapText="1"/>
    </xf>
    <xf numFmtId="0" fontId="4" fillId="0" borderId="21" xfId="5" applyFont="1" applyBorder="1" applyAlignment="1"/>
    <xf numFmtId="170" fontId="4" fillId="0" borderId="18" xfId="5" applyNumberFormat="1" applyFont="1" applyBorder="1" applyAlignment="1" applyProtection="1">
      <alignment horizontal="center" wrapText="1"/>
    </xf>
    <xf numFmtId="170" fontId="8" fillId="0" borderId="19" xfId="5" applyNumberFormat="1" applyFont="1" applyBorder="1" applyAlignment="1" applyProtection="1">
      <alignment horizontal="center" wrapText="1"/>
    </xf>
    <xf numFmtId="0" fontId="4" fillId="0" borderId="22" xfId="5" applyFont="1" applyBorder="1" applyAlignment="1">
      <alignment horizontal="left" wrapText="1"/>
    </xf>
    <xf numFmtId="0" fontId="4" fillId="0" borderId="21" xfId="5" applyFont="1" applyBorder="1" applyAlignment="1">
      <alignment horizontal="left" wrapText="1"/>
    </xf>
    <xf numFmtId="170" fontId="4" fillId="0" borderId="23" xfId="5" applyNumberFormat="1" applyFont="1" applyBorder="1" applyAlignment="1" applyProtection="1">
      <alignment horizontal="center" vertical="top" wrapText="1"/>
    </xf>
    <xf numFmtId="170" fontId="4" fillId="0" borderId="24" xfId="5" applyNumberFormat="1" applyFont="1" applyBorder="1" applyAlignment="1" applyProtection="1">
      <alignment horizontal="left" vertical="top" wrapText="1"/>
    </xf>
    <xf numFmtId="0" fontId="4" fillId="0" borderId="25" xfId="5" applyFont="1" applyBorder="1" applyAlignment="1">
      <alignment horizontal="left" wrapText="1"/>
    </xf>
    <xf numFmtId="0" fontId="4" fillId="0" borderId="20" xfId="5" applyFont="1" applyBorder="1" applyAlignment="1"/>
    <xf numFmtId="0" fontId="4" fillId="0" borderId="25" xfId="5" applyFont="1" applyBorder="1" applyAlignment="1"/>
    <xf numFmtId="170" fontId="4" fillId="0" borderId="26" xfId="5" applyNumberFormat="1" applyFont="1" applyBorder="1" applyAlignment="1" applyProtection="1">
      <alignment horizontal="center" wrapText="1"/>
    </xf>
    <xf numFmtId="170" fontId="9" fillId="0" borderId="27" xfId="5" applyNumberFormat="1" applyFont="1" applyBorder="1" applyAlignment="1" applyProtection="1">
      <alignment horizontal="left" wrapText="1"/>
    </xf>
    <xf numFmtId="170" fontId="4" fillId="0" borderId="13" xfId="5" applyNumberFormat="1" applyFont="1" applyBorder="1" applyAlignment="1" applyProtection="1">
      <alignment horizontal="left" wrapText="1"/>
    </xf>
    <xf numFmtId="170" fontId="4" fillId="0" borderId="6" xfId="5" applyNumberFormat="1" applyFont="1" applyBorder="1" applyAlignment="1" applyProtection="1">
      <alignment horizontal="center" wrapText="1"/>
    </xf>
    <xf numFmtId="170" fontId="4" fillId="0" borderId="6" xfId="5" applyNumberFormat="1" applyFont="1" applyBorder="1" applyAlignment="1" applyProtection="1">
      <alignment horizontal="left" wrapText="1"/>
    </xf>
    <xf numFmtId="0" fontId="4" fillId="0" borderId="6" xfId="5" applyFont="1" applyBorder="1" applyAlignment="1">
      <alignment horizontal="center"/>
    </xf>
    <xf numFmtId="0" fontId="4" fillId="0" borderId="7" xfId="5" applyFont="1" applyBorder="1" applyAlignment="1"/>
    <xf numFmtId="0" fontId="4" fillId="0" borderId="28" xfId="5" applyFont="1" applyBorder="1" applyAlignment="1">
      <alignment horizontal="center"/>
    </xf>
    <xf numFmtId="0" fontId="4" fillId="3" borderId="29" xfId="5" applyFont="1" applyFill="1" applyBorder="1" applyAlignment="1"/>
    <xf numFmtId="0" fontId="4" fillId="3" borderId="29" xfId="5" applyFont="1" applyFill="1" applyBorder="1" applyAlignment="1">
      <alignment horizontal="center"/>
    </xf>
    <xf numFmtId="0" fontId="4" fillId="0" borderId="0" xfId="5" applyFont="1" applyAlignment="1"/>
    <xf numFmtId="0" fontId="4" fillId="0" borderId="0" xfId="5" applyFont="1" applyAlignment="1">
      <alignment horizontal="center"/>
    </xf>
    <xf numFmtId="15" fontId="0" fillId="0" borderId="0" xfId="0" quotePrefix="1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66" fontId="0" fillId="0" borderId="0" xfId="1" applyNumberFormat="1" applyFont="1" applyFill="1"/>
    <xf numFmtId="15" fontId="2" fillId="0" borderId="2" xfId="0" quotePrefix="1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0" fontId="0" fillId="0" borderId="0" xfId="0" applyNumberFormat="1" applyFill="1"/>
    <xf numFmtId="0" fontId="0" fillId="0" borderId="0" xfId="0" quotePrefix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37" fontId="0" fillId="0" borderId="2" xfId="2" applyNumberFormat="1" applyFont="1" applyFill="1" applyBorder="1"/>
    <xf numFmtId="0" fontId="2" fillId="0" borderId="0" xfId="0" applyFont="1" applyFill="1" applyBorder="1"/>
    <xf numFmtId="167" fontId="2" fillId="0" borderId="0" xfId="2" applyNumberFormat="1" applyFont="1" applyFill="1" applyBorder="1"/>
    <xf numFmtId="0" fontId="2" fillId="0" borderId="0" xfId="0" applyFont="1" applyFill="1" applyBorder="1" applyAlignment="1">
      <alignment horizontal="center"/>
    </xf>
    <xf numFmtId="167" fontId="2" fillId="0" borderId="0" xfId="2" applyNumberFormat="1" applyFont="1" applyFill="1" applyBorder="1" applyAlignment="1">
      <alignment horizontal="center"/>
    </xf>
    <xf numFmtId="167" fontId="2" fillId="0" borderId="2" xfId="2" applyNumberFormat="1" applyFont="1" applyFill="1" applyBorder="1" applyAlignment="1">
      <alignment horizontal="center"/>
    </xf>
    <xf numFmtId="5" fontId="0" fillId="0" borderId="0" xfId="2" applyNumberFormat="1" applyFont="1" applyFill="1"/>
    <xf numFmtId="37" fontId="0" fillId="0" borderId="1" xfId="2" applyNumberFormat="1" applyFont="1" applyFill="1" applyBorder="1"/>
    <xf numFmtId="0" fontId="0" fillId="0" borderId="0" xfId="0" applyFill="1" applyAlignment="1">
      <alignment horizontal="left"/>
    </xf>
    <xf numFmtId="9" fontId="0" fillId="0" borderId="0" xfId="1" applyFont="1" applyFill="1"/>
    <xf numFmtId="43" fontId="0" fillId="0" borderId="0" xfId="0" applyNumberFormat="1" applyFill="1"/>
    <xf numFmtId="167" fontId="0" fillId="0" borderId="1" xfId="2" applyNumberFormat="1" applyFont="1" applyFill="1" applyBorder="1"/>
    <xf numFmtId="168" fontId="0" fillId="0" borderId="0" xfId="1" applyNumberFormat="1" applyFont="1" applyFill="1"/>
    <xf numFmtId="168" fontId="2" fillId="0" borderId="2" xfId="0" applyNumberFormat="1" applyFont="1" applyFill="1" applyBorder="1" applyAlignment="1">
      <alignment horizontal="center"/>
    </xf>
    <xf numFmtId="167" fontId="0" fillId="0" borderId="0" xfId="0" applyNumberFormat="1" applyFill="1"/>
    <xf numFmtId="167" fontId="0" fillId="0" borderId="1" xfId="0" applyNumberFormat="1" applyFill="1" applyBorder="1"/>
    <xf numFmtId="169" fontId="0" fillId="0" borderId="0" xfId="0" applyNumberFormat="1" applyFill="1"/>
    <xf numFmtId="43" fontId="0" fillId="0" borderId="0" xfId="2" applyFont="1" applyFill="1"/>
    <xf numFmtId="0" fontId="8" fillId="0" borderId="8" xfId="5" applyFont="1" applyBorder="1" applyAlignment="1">
      <alignment horizontal="center"/>
    </xf>
    <xf numFmtId="0" fontId="8" fillId="0" borderId="2" xfId="5" applyFont="1" applyBorder="1" applyAlignment="1">
      <alignment horizontal="center"/>
    </xf>
    <xf numFmtId="0" fontId="8" fillId="0" borderId="9" xfId="5" applyFont="1" applyBorder="1" applyAlignment="1">
      <alignment horizontal="center"/>
    </xf>
    <xf numFmtId="0" fontId="8" fillId="0" borderId="14" xfId="5" applyFont="1" applyBorder="1" applyAlignment="1">
      <alignment horizontal="center"/>
    </xf>
    <xf numFmtId="0" fontId="8" fillId="0" borderId="15" xfId="5" applyFont="1" applyBorder="1" applyAlignment="1">
      <alignment horizontal="center"/>
    </xf>
    <xf numFmtId="0" fontId="8" fillId="0" borderId="16" xfId="5" applyFont="1" applyBorder="1" applyAlignment="1">
      <alignment horizontal="center"/>
    </xf>
    <xf numFmtId="0" fontId="8" fillId="0" borderId="6" xfId="6" applyFont="1" applyBorder="1" applyAlignment="1">
      <alignment horizontal="left"/>
    </xf>
    <xf numFmtId="0" fontId="8" fillId="0" borderId="18" xfId="5" applyFont="1" applyBorder="1" applyAlignment="1">
      <alignment horizontal="left" vertical="top" wrapText="1"/>
    </xf>
    <xf numFmtId="0" fontId="8" fillId="0" borderId="4" xfId="5" applyFont="1" applyBorder="1" applyAlignment="1">
      <alignment horizontal="left" vertical="top" wrapText="1"/>
    </xf>
    <xf numFmtId="0" fontId="8" fillId="0" borderId="19" xfId="5" applyFont="1" applyBorder="1" applyAlignment="1">
      <alignment horizontal="left" vertical="top" wrapText="1"/>
    </xf>
  </cellXfs>
  <cellStyles count="7">
    <cellStyle name="Comma" xfId="2" builtinId="3"/>
    <cellStyle name="Currency" xfId="3" builtinId="4"/>
    <cellStyle name="Hyperlink" xfId="4" builtinId="8"/>
    <cellStyle name="Normal" xfId="0" builtinId="0"/>
    <cellStyle name="Normal_GRC" xfId="5"/>
    <cellStyle name="Normal_GRC 2" xfId="6"/>
    <cellStyle name="Percent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523875</xdr:colOff>
      <xdr:row>17</xdr:row>
      <xdr:rowOff>0</xdr:rowOff>
    </xdr:from>
    <xdr:to>
      <xdr:col>4</xdr:col>
      <xdr:colOff>523875</xdr:colOff>
      <xdr:row>17</xdr:row>
      <xdr:rowOff>47625</xdr:rowOff>
    </xdr:to>
    <xdr:pic>
      <xdr:nvPicPr>
        <xdr:cNvPr id="2" name="Picture 4" descr="hr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4435" y="534162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533400</xdr:colOff>
      <xdr:row>45</xdr:row>
      <xdr:rowOff>152400</xdr:rowOff>
    </xdr:from>
    <xdr:to>
      <xdr:col>4</xdr:col>
      <xdr:colOff>533400</xdr:colOff>
      <xdr:row>46</xdr:row>
      <xdr:rowOff>0</xdr:rowOff>
    </xdr:to>
    <xdr:pic>
      <xdr:nvPicPr>
        <xdr:cNvPr id="3" name="Picture 5" descr="hr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" y="1271016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523875</xdr:colOff>
      <xdr:row>44</xdr:row>
      <xdr:rowOff>0</xdr:rowOff>
    </xdr:from>
    <xdr:ext cx="0" cy="47625"/>
    <xdr:pic>
      <xdr:nvPicPr>
        <xdr:cNvPr id="4" name="Picture 4" descr="hr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4435" y="1155954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523875</xdr:colOff>
      <xdr:row>44</xdr:row>
      <xdr:rowOff>0</xdr:rowOff>
    </xdr:from>
    <xdr:ext cx="0" cy="47625"/>
    <xdr:pic>
      <xdr:nvPicPr>
        <xdr:cNvPr id="5" name="Picture 4" descr="hr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4435" y="1155954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523875</xdr:colOff>
      <xdr:row>44</xdr:row>
      <xdr:rowOff>0</xdr:rowOff>
    </xdr:from>
    <xdr:ext cx="0" cy="47625"/>
    <xdr:pic>
      <xdr:nvPicPr>
        <xdr:cNvPr id="6" name="Picture 4" descr="hr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4435" y="1155954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523875</xdr:colOff>
      <xdr:row>44</xdr:row>
      <xdr:rowOff>0</xdr:rowOff>
    </xdr:from>
    <xdr:ext cx="0" cy="47625"/>
    <xdr:pic>
      <xdr:nvPicPr>
        <xdr:cNvPr id="7" name="Picture 6" descr="hr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4435" y="1155954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523875</xdr:colOff>
      <xdr:row>23</xdr:row>
      <xdr:rowOff>0</xdr:rowOff>
    </xdr:from>
    <xdr:ext cx="0" cy="47625"/>
    <xdr:pic>
      <xdr:nvPicPr>
        <xdr:cNvPr id="8" name="Picture 4" descr="hr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4435" y="753618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523875</xdr:colOff>
      <xdr:row>44</xdr:row>
      <xdr:rowOff>0</xdr:rowOff>
    </xdr:from>
    <xdr:ext cx="0" cy="47625"/>
    <xdr:pic>
      <xdr:nvPicPr>
        <xdr:cNvPr id="9" name="Picture 4" descr="hr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4435" y="1155954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523875</xdr:colOff>
      <xdr:row>44</xdr:row>
      <xdr:rowOff>0</xdr:rowOff>
    </xdr:from>
    <xdr:ext cx="0" cy="47625"/>
    <xdr:pic>
      <xdr:nvPicPr>
        <xdr:cNvPr id="10" name="Picture 9" descr="hr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4435" y="1155954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523875</xdr:colOff>
      <xdr:row>44</xdr:row>
      <xdr:rowOff>0</xdr:rowOff>
    </xdr:from>
    <xdr:ext cx="0" cy="47625"/>
    <xdr:pic>
      <xdr:nvPicPr>
        <xdr:cNvPr id="11" name="Picture 4" descr="hr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4435" y="1155954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523875</xdr:colOff>
      <xdr:row>44</xdr:row>
      <xdr:rowOff>0</xdr:rowOff>
    </xdr:from>
    <xdr:ext cx="0" cy="47625"/>
    <xdr:pic>
      <xdr:nvPicPr>
        <xdr:cNvPr id="12" name="Picture 11" descr="hr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4435" y="1155954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523875</xdr:colOff>
      <xdr:row>18</xdr:row>
      <xdr:rowOff>0</xdr:rowOff>
    </xdr:from>
    <xdr:ext cx="0" cy="47625"/>
    <xdr:pic>
      <xdr:nvPicPr>
        <xdr:cNvPr id="13" name="Picture 4" descr="hr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4435" y="442722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Y%20QIP%20Workpap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5%20Water%20Rate%20Case/O&amp;M/PSC%20Fee%20(Gross%20Rec)%20Expense%20Exhibi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5%20Water%20Rate%20Case/O&amp;M/General%20Tax%20Exhib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Info"/>
      <sheetName val="Link Out"/>
      <sheetName val="2018 Additions"/>
      <sheetName val="2017 Additions"/>
      <sheetName val="RC Additions"/>
      <sheetName val="RC Retirements"/>
      <sheetName val="RC Cost of Removal"/>
      <sheetName val="RC Contributions"/>
    </sheetNames>
    <sheetDataSet>
      <sheetData sheetId="0" refreshError="1"/>
      <sheetData sheetId="1">
        <row r="7">
          <cell r="C7">
            <v>496246.74</v>
          </cell>
          <cell r="D7">
            <v>539831.05000000005</v>
          </cell>
          <cell r="E7">
            <v>464032.25</v>
          </cell>
          <cell r="F7">
            <v>353453.1</v>
          </cell>
          <cell r="G7">
            <v>233340.25</v>
          </cell>
          <cell r="H7">
            <v>180139.85</v>
          </cell>
          <cell r="I7">
            <v>154187</v>
          </cell>
          <cell r="J7">
            <v>144182.5</v>
          </cell>
          <cell r="K7">
            <v>243521.3</v>
          </cell>
          <cell r="L7">
            <v>365693.9</v>
          </cell>
          <cell r="M7">
            <v>509287.9</v>
          </cell>
          <cell r="N7">
            <v>530473.9</v>
          </cell>
        </row>
        <row r="8">
          <cell r="C8">
            <v>61415.86</v>
          </cell>
          <cell r="D8">
            <v>63322.600000000006</v>
          </cell>
          <cell r="E8">
            <v>49434</v>
          </cell>
          <cell r="F8">
            <v>32897.15</v>
          </cell>
          <cell r="G8">
            <v>36487</v>
          </cell>
          <cell r="H8">
            <v>38323.120000000003</v>
          </cell>
          <cell r="I8">
            <v>36487</v>
          </cell>
          <cell r="J8">
            <v>22363</v>
          </cell>
          <cell r="K8">
            <v>31308.2</v>
          </cell>
          <cell r="L8">
            <v>42136.6</v>
          </cell>
          <cell r="M8">
            <v>56260.600000000006</v>
          </cell>
          <cell r="N8">
            <v>64499.600000000006</v>
          </cell>
        </row>
        <row r="9">
          <cell r="C9">
            <v>104753</v>
          </cell>
          <cell r="D9">
            <v>106047.70000000001</v>
          </cell>
          <cell r="E9">
            <v>72974</v>
          </cell>
          <cell r="F9">
            <v>48845.5</v>
          </cell>
          <cell r="G9">
            <v>42372</v>
          </cell>
          <cell r="H9">
            <v>58944.160000000003</v>
          </cell>
          <cell r="I9">
            <v>44726</v>
          </cell>
          <cell r="J9">
            <v>44726</v>
          </cell>
          <cell r="K9">
            <v>57084.5</v>
          </cell>
          <cell r="L9">
            <v>81213</v>
          </cell>
          <cell r="M9">
            <v>95337</v>
          </cell>
          <cell r="N9">
            <v>107107</v>
          </cell>
        </row>
        <row r="10">
          <cell r="C10">
            <v>124173.5</v>
          </cell>
          <cell r="D10">
            <v>75563.399999999994</v>
          </cell>
          <cell r="E10">
            <v>70620</v>
          </cell>
          <cell r="F10">
            <v>45903</v>
          </cell>
          <cell r="G10">
            <v>20597.5</v>
          </cell>
          <cell r="H10">
            <v>21845.120000000003</v>
          </cell>
          <cell r="I10">
            <v>31779</v>
          </cell>
          <cell r="J10">
            <v>89452</v>
          </cell>
          <cell r="K10">
            <v>74151</v>
          </cell>
          <cell r="L10">
            <v>110638</v>
          </cell>
          <cell r="M10">
            <v>93336.1</v>
          </cell>
          <cell r="N10">
            <v>91806</v>
          </cell>
        </row>
        <row r="15">
          <cell r="C15">
            <v>506839.74</v>
          </cell>
          <cell r="D15">
            <v>550424.05000000005</v>
          </cell>
          <cell r="E15">
            <v>485218.25</v>
          </cell>
          <cell r="F15">
            <v>353453.1</v>
          </cell>
        </row>
        <row r="16">
          <cell r="C16">
            <v>62592.86</v>
          </cell>
          <cell r="D16">
            <v>64499.600000000006</v>
          </cell>
          <cell r="E16">
            <v>51788</v>
          </cell>
          <cell r="F16">
            <v>32897.15</v>
          </cell>
        </row>
        <row r="17">
          <cell r="C17">
            <v>104753</v>
          </cell>
          <cell r="D17">
            <v>106047.70000000001</v>
          </cell>
          <cell r="E17">
            <v>72974</v>
          </cell>
          <cell r="F17">
            <v>48845.5</v>
          </cell>
        </row>
        <row r="18">
          <cell r="C18">
            <v>112403.5</v>
          </cell>
          <cell r="D18">
            <v>75563.399999999994</v>
          </cell>
          <cell r="E18">
            <v>69737.25</v>
          </cell>
          <cell r="F18">
            <v>56496</v>
          </cell>
        </row>
        <row r="23">
          <cell r="C23">
            <v>253000</v>
          </cell>
          <cell r="D23">
            <v>194500</v>
          </cell>
          <cell r="E23">
            <v>475100</v>
          </cell>
          <cell r="F23">
            <v>440600</v>
          </cell>
          <cell r="G23">
            <v>451400</v>
          </cell>
          <cell r="H23">
            <v>631400</v>
          </cell>
          <cell r="I23">
            <v>645400</v>
          </cell>
          <cell r="J23">
            <v>710600</v>
          </cell>
          <cell r="K23">
            <v>722120</v>
          </cell>
          <cell r="L23">
            <v>818730</v>
          </cell>
          <cell r="M23">
            <v>604050</v>
          </cell>
          <cell r="N23">
            <v>546680</v>
          </cell>
        </row>
        <row r="24">
          <cell r="C24">
            <v>30500</v>
          </cell>
          <cell r="D24">
            <v>34500</v>
          </cell>
          <cell r="E24">
            <v>35600</v>
          </cell>
          <cell r="F24">
            <v>29600</v>
          </cell>
          <cell r="G24">
            <v>30800</v>
          </cell>
          <cell r="H24">
            <v>33700</v>
          </cell>
          <cell r="I24">
            <v>34000</v>
          </cell>
          <cell r="J24">
            <v>39700</v>
          </cell>
          <cell r="K24">
            <v>41280</v>
          </cell>
          <cell r="L24">
            <v>40020</v>
          </cell>
          <cell r="M24">
            <v>27600</v>
          </cell>
          <cell r="N24">
            <v>14720</v>
          </cell>
        </row>
        <row r="25">
          <cell r="C25">
            <v>24000</v>
          </cell>
          <cell r="D25">
            <v>18000</v>
          </cell>
          <cell r="E25">
            <v>36600</v>
          </cell>
          <cell r="F25">
            <v>42600</v>
          </cell>
          <cell r="G25">
            <v>43600</v>
          </cell>
          <cell r="H25">
            <v>64800</v>
          </cell>
          <cell r="I25">
            <v>55200</v>
          </cell>
          <cell r="J25">
            <v>57400</v>
          </cell>
          <cell r="K25">
            <v>51800</v>
          </cell>
          <cell r="L25">
            <v>66400</v>
          </cell>
          <cell r="M25">
            <v>45200</v>
          </cell>
          <cell r="N25">
            <v>27100</v>
          </cell>
        </row>
        <row r="26">
          <cell r="C26">
            <v>52000</v>
          </cell>
          <cell r="D26">
            <v>38000</v>
          </cell>
          <cell r="E26">
            <v>56200</v>
          </cell>
          <cell r="F26">
            <v>116200</v>
          </cell>
          <cell r="G26">
            <v>139200</v>
          </cell>
          <cell r="H26">
            <v>145100</v>
          </cell>
          <cell r="I26">
            <v>135400</v>
          </cell>
          <cell r="J26">
            <v>116300</v>
          </cell>
          <cell r="K26">
            <v>114267</v>
          </cell>
          <cell r="L26">
            <v>72300</v>
          </cell>
          <cell r="M26">
            <v>58450</v>
          </cell>
          <cell r="N26">
            <v>48818</v>
          </cell>
        </row>
        <row r="35">
          <cell r="M35">
            <v>7.7560329893955624E-3</v>
          </cell>
          <cell r="N35">
            <v>2.0320497134167313E-3</v>
          </cell>
          <cell r="O35">
            <v>8.414592703199171E-3</v>
          </cell>
          <cell r="P35">
            <v>1.0323355345156309E-2</v>
          </cell>
          <cell r="Q35">
            <v>1.4133311703346122E-2</v>
          </cell>
          <cell r="R35">
            <v>3.9486275218201215E-3</v>
          </cell>
          <cell r="S35">
            <v>2.7811453616099293E-2</v>
          </cell>
          <cell r="T35">
            <v>2.5083885485623705E-2</v>
          </cell>
          <cell r="U35">
            <v>1.5050990602370497E-2</v>
          </cell>
          <cell r="V35">
            <v>1.0632789476249157E-2</v>
          </cell>
          <cell r="W35">
            <v>8.2558680817730341E-3</v>
          </cell>
          <cell r="X35">
            <v>7.0267125409247721E-3</v>
          </cell>
          <cell r="Y35">
            <v>7.2266767658806614E-3</v>
          </cell>
        </row>
        <row r="36">
          <cell r="M36">
            <v>1.0389317107470181E-2</v>
          </cell>
          <cell r="N36">
            <v>5.9092838026394631E-3</v>
          </cell>
          <cell r="O36">
            <v>1.3156669110772299E-2</v>
          </cell>
          <cell r="P36">
            <v>1.8514513434108596E-2</v>
          </cell>
          <cell r="Q36">
            <v>2.0040494024139818E-2</v>
          </cell>
          <cell r="R36">
            <v>7.0796161357428184E-3</v>
          </cell>
          <cell r="S36">
            <v>1.9402764547199552E-2</v>
          </cell>
          <cell r="T36">
            <v>2.0879061849703864E-2</v>
          </cell>
          <cell r="U36">
            <v>1.4420973649945613E-2</v>
          </cell>
          <cell r="V36">
            <v>1.2670670779503665E-2</v>
          </cell>
          <cell r="W36">
            <v>1.1001567526762632E-2</v>
          </cell>
          <cell r="X36">
            <v>1.0131190349012423E-2</v>
          </cell>
          <cell r="Y36">
            <v>1.1719353173527118E-2</v>
          </cell>
        </row>
        <row r="37">
          <cell r="M37">
            <v>0.11959854991329519</v>
          </cell>
          <cell r="N37">
            <v>8.5717806027309537E-2</v>
          </cell>
          <cell r="O37">
            <v>0.17718653153699881</v>
          </cell>
          <cell r="P37">
            <v>0.21810768829290592</v>
          </cell>
          <cell r="Q37">
            <v>0.26203641987866022</v>
          </cell>
          <cell r="R37">
            <v>7.1711952438821017E-2</v>
          </cell>
          <cell r="S37">
            <v>0.21862027980475762</v>
          </cell>
          <cell r="T37">
            <v>0.20616783922190685</v>
          </cell>
          <cell r="U37">
            <v>0.16760888118364753</v>
          </cell>
          <cell r="V37">
            <v>0.12486299202271729</v>
          </cell>
          <cell r="W37">
            <v>0.1155564336110862</v>
          </cell>
          <cell r="X37">
            <v>0.10976156820876033</v>
          </cell>
          <cell r="Y37">
            <v>0.13455760018795684</v>
          </cell>
        </row>
        <row r="38">
          <cell r="M38">
            <v>2.8593062946235603E-2</v>
          </cell>
          <cell r="N38">
            <v>3.5064642597578084E-2</v>
          </cell>
          <cell r="O38">
            <v>4.2005272884933748E-2</v>
          </cell>
          <cell r="P38">
            <v>6.7660436231128745E-2</v>
          </cell>
          <cell r="Q38">
            <v>0.14816405344867539</v>
          </cell>
          <cell r="R38">
            <v>0.14266496743132259</v>
          </cell>
          <cell r="S38">
            <v>8.4885655621636941E-2</v>
          </cell>
          <cell r="T38">
            <v>3.9558363784840518E-2</v>
          </cell>
          <cell r="U38">
            <v>4.5272349664873035E-2</v>
          </cell>
          <cell r="V38">
            <v>2.7907612807113517E-2</v>
          </cell>
          <cell r="W38">
            <v>3.3590366610375705E-2</v>
          </cell>
          <cell r="X38">
            <v>3.5125098877918738E-2</v>
          </cell>
          <cell r="Y38">
            <v>4.4600045278635807E-2</v>
          </cell>
        </row>
        <row r="45">
          <cell r="M45">
            <v>1.2850494486759096</v>
          </cell>
          <cell r="N45">
            <v>1.2850494486759096</v>
          </cell>
          <cell r="O45">
            <v>1.2850494486759096</v>
          </cell>
          <cell r="P45">
            <v>1.2850494486759096</v>
          </cell>
          <cell r="Q45">
            <v>1.2850494486759096</v>
          </cell>
          <cell r="R45">
            <v>1.2850494486759096</v>
          </cell>
          <cell r="S45">
            <v>1.2850494486759096</v>
          </cell>
          <cell r="T45">
            <v>1.2850494486759096</v>
          </cell>
          <cell r="U45">
            <v>1.2850494486759096</v>
          </cell>
          <cell r="V45">
            <v>1.2850494486759096</v>
          </cell>
          <cell r="W45">
            <v>1.2850494486759096</v>
          </cell>
          <cell r="X45">
            <v>1.2850494486759096</v>
          </cell>
          <cell r="Y45">
            <v>1.2850494486759094</v>
          </cell>
        </row>
        <row r="46">
          <cell r="M46">
            <v>2.272758033233544</v>
          </cell>
          <cell r="N46">
            <v>2.272758033233544</v>
          </cell>
          <cell r="O46">
            <v>2.272758033233544</v>
          </cell>
          <cell r="P46">
            <v>2.272758033233544</v>
          </cell>
          <cell r="Q46">
            <v>2.272758033233544</v>
          </cell>
          <cell r="R46">
            <v>2.272758033233544</v>
          </cell>
          <cell r="S46">
            <v>2.272758033233544</v>
          </cell>
          <cell r="T46">
            <v>2.272758033233544</v>
          </cell>
          <cell r="U46">
            <v>2.272758033233544</v>
          </cell>
          <cell r="V46">
            <v>2.272758033233544</v>
          </cell>
          <cell r="W46">
            <v>2.272758033233544</v>
          </cell>
          <cell r="X46">
            <v>2.272758033233544</v>
          </cell>
          <cell r="Y46">
            <v>2.2727580332335449</v>
          </cell>
        </row>
        <row r="47">
          <cell r="M47">
            <v>0.35503567609795245</v>
          </cell>
          <cell r="N47">
            <v>0.35503567609795245</v>
          </cell>
          <cell r="O47">
            <v>0.35503567609795245</v>
          </cell>
          <cell r="P47">
            <v>0.35503567609795245</v>
          </cell>
          <cell r="Q47">
            <v>0.35503567609795245</v>
          </cell>
          <cell r="R47">
            <v>0.35503567609795245</v>
          </cell>
          <cell r="S47">
            <v>0.35503567609795245</v>
          </cell>
          <cell r="T47">
            <v>0.35503567609795245</v>
          </cell>
          <cell r="U47">
            <v>0.35503567609795245</v>
          </cell>
          <cell r="V47">
            <v>0.35503567609795245</v>
          </cell>
          <cell r="W47">
            <v>0.35503567609795245</v>
          </cell>
          <cell r="X47">
            <v>0.35503567609795245</v>
          </cell>
          <cell r="Y47">
            <v>0.35503567609795234</v>
          </cell>
        </row>
        <row r="48">
          <cell r="M48">
            <v>4.4304819942865468</v>
          </cell>
          <cell r="N48">
            <v>4.4304819942865468</v>
          </cell>
          <cell r="O48">
            <v>4.4304819942865468</v>
          </cell>
          <cell r="P48">
            <v>4.4304819942865468</v>
          </cell>
          <cell r="Q48">
            <v>4.4304819942865468</v>
          </cell>
          <cell r="R48">
            <v>4.4304819942865468</v>
          </cell>
          <cell r="S48">
            <v>4.4304819942865468</v>
          </cell>
          <cell r="T48">
            <v>4.4304819942865468</v>
          </cell>
          <cell r="U48">
            <v>4.4304819942865468</v>
          </cell>
          <cell r="V48">
            <v>4.4304819942865468</v>
          </cell>
          <cell r="W48">
            <v>4.4304819942865468</v>
          </cell>
          <cell r="X48">
            <v>4.4304819942865468</v>
          </cell>
          <cell r="Y48">
            <v>4.4304819942865494</v>
          </cell>
        </row>
        <row r="54">
          <cell r="M54">
            <v>-3.0053960623728525E-2</v>
          </cell>
          <cell r="N54">
            <v>-5.958716198009203E-3</v>
          </cell>
          <cell r="O54">
            <v>-2.1149722937731055E-2</v>
          </cell>
          <cell r="P54">
            <v>-2.5947317123833101E-2</v>
          </cell>
          <cell r="Q54">
            <v>-3.2563191211182868E-2</v>
          </cell>
          <cell r="R54">
            <v>-9.0976492780758481E-3</v>
          </cell>
          <cell r="S54">
            <v>-6.9902912621359226E-2</v>
          </cell>
          <cell r="T54">
            <v>-8.4063047285464099E-2</v>
          </cell>
          <cell r="U54">
            <v>-5.6745042643152263E-2</v>
          </cell>
          <cell r="V54">
            <v>-5.4563677902017924E-2</v>
          </cell>
          <cell r="W54">
            <v>-3.1990778608542297E-2</v>
          </cell>
          <cell r="X54">
            <v>-2.7227906625455198E-2</v>
          </cell>
          <cell r="Y54">
            <v>-2.3461764179848278E-2</v>
          </cell>
        </row>
        <row r="55">
          <cell r="M55">
            <v>-5.4032328327789592E-2</v>
          </cell>
          <cell r="N55">
            <v>-2.3257221844678672E-2</v>
          </cell>
          <cell r="O55">
            <v>-4.4383561643835619E-2</v>
          </cell>
          <cell r="P55">
            <v>-6.2458061488797699E-2</v>
          </cell>
          <cell r="Q55">
            <v>-6.1972078181092939E-2</v>
          </cell>
          <cell r="R55">
            <v>-2.1892600258651192E-2</v>
          </cell>
          <cell r="S55">
            <v>-6.545454545454546E-2</v>
          </cell>
          <cell r="T55">
            <v>-9.3913043478260877E-2</v>
          </cell>
          <cell r="U55">
            <v>-7.2972972972972977E-2</v>
          </cell>
          <cell r="V55">
            <v>-8.7269129287598945E-2</v>
          </cell>
          <cell r="W55">
            <v>-5.7216494845360823E-2</v>
          </cell>
          <cell r="X55">
            <v>-5.2689873417721515E-2</v>
          </cell>
          <cell r="Y55">
            <v>-5.1065817895397422E-2</v>
          </cell>
        </row>
        <row r="56">
          <cell r="M56">
            <v>-0.42932367519150161</v>
          </cell>
          <cell r="N56">
            <v>-0.23285538095501132</v>
          </cell>
          <cell r="O56">
            <v>-0.41257142857142859</v>
          </cell>
          <cell r="P56">
            <v>-0.50785463071512305</v>
          </cell>
          <cell r="Q56">
            <v>-0.55929577464788727</v>
          </cell>
          <cell r="R56">
            <v>-0.15306342534123896</v>
          </cell>
          <cell r="S56">
            <v>-0.50904817861339591</v>
          </cell>
          <cell r="T56">
            <v>-0.64007092198581561</v>
          </cell>
          <cell r="U56">
            <v>-0.58540540540540542</v>
          </cell>
          <cell r="V56">
            <v>-0.5935906040268456</v>
          </cell>
          <cell r="W56">
            <v>-0.41481366459627333</v>
          </cell>
          <cell r="X56">
            <v>-0.39401179941002951</v>
          </cell>
          <cell r="Y56">
            <v>-0.40469433691502726</v>
          </cell>
        </row>
        <row r="57">
          <cell r="M57">
            <v>-6.101754385964913E-2</v>
          </cell>
          <cell r="N57">
            <v>-5.6626506024096385E-2</v>
          </cell>
          <cell r="O57">
            <v>-5.8144329896907224E-2</v>
          </cell>
          <cell r="P57">
            <v>-9.3656592494187979E-2</v>
          </cell>
          <cell r="Q57">
            <v>-0.188</v>
          </cell>
          <cell r="R57">
            <v>-0.18102240896358543</v>
          </cell>
          <cell r="S57">
            <v>-0.11750000000000001</v>
          </cell>
          <cell r="T57">
            <v>-7.3009708737864082E-2</v>
          </cell>
          <cell r="U57">
            <v>-9.4E-2</v>
          </cell>
          <cell r="V57">
            <v>-7.8869863013698638E-2</v>
          </cell>
          <cell r="W57">
            <v>-7.1681780708985995E-2</v>
          </cell>
          <cell r="X57">
            <v>-7.4956896551724148E-2</v>
          </cell>
          <cell r="Y57">
            <v>-7.9742401576239644E-2</v>
          </cell>
        </row>
        <row r="59">
          <cell r="M59">
            <v>-7.3734260005188637E-2</v>
          </cell>
          <cell r="N59">
            <v>-3.9991782878700005E-2</v>
          </cell>
          <cell r="O59">
            <v>-7.0857142857142869E-2</v>
          </cell>
          <cell r="P59">
            <v>-8.7221570926143036E-2</v>
          </cell>
          <cell r="Q59">
            <v>-9.6056338028169014E-2</v>
          </cell>
          <cell r="R59">
            <v>-2.6287901305143534E-2</v>
          </cell>
          <cell r="S59">
            <v>-8.7426556991774387E-2</v>
          </cell>
          <cell r="T59">
            <v>-0.10992907801418439</v>
          </cell>
          <cell r="U59">
            <v>-0.10054054054054054</v>
          </cell>
          <cell r="V59">
            <v>-0.10194630872483222</v>
          </cell>
          <cell r="W59">
            <v>-7.1242236024844724E-2</v>
          </cell>
          <cell r="X59">
            <v>-6.7669616519174039E-2</v>
          </cell>
          <cell r="Y59">
            <v>-6.9504290550503292E-2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Exhibit"/>
      <sheetName val="Summary by Account"/>
      <sheetName val="Base &amp; Forecast Detail"/>
      <sheetName val="Notes"/>
      <sheetName val="PSC Fee Workpaper"/>
      <sheetName val="GL Data PSC Fee "/>
      <sheetName val="PSC Millage Rate Calculation"/>
      <sheetName val="2015 PSC Fee"/>
      <sheetName val="Balance Sheet Revenue 2013_2014"/>
    </sheetNames>
    <sheetDataSet>
      <sheetData sheetId="0"/>
      <sheetData sheetId="1">
        <row r="3">
          <cell r="K3">
            <v>1.9009999999999999E-3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Exhibit - General Tax"/>
      <sheetName val="Summary by Account"/>
      <sheetName val="Base &amp; Forecast Detail"/>
      <sheetName val="Notes"/>
      <sheetName val="Property Tax Wksht"/>
      <sheetName val="2013-2015-20 KY Tax Summary"/>
      <sheetName val="Pivot Property Tax GL"/>
      <sheetName val="Property Tx GL-2014 "/>
      <sheetName val="Property Tx GL - 2015"/>
      <sheetName val="Property Tx _Bal Sht 2014-2015"/>
      <sheetName val="Taxes_Lic 2015"/>
      <sheetName val="Taxes &amp; Licenses GL "/>
      <sheetName val="2014 Balance Sheet KY 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E27">
            <v>8.0796094065181054E-3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0"/>
  <sheetViews>
    <sheetView workbookViewId="0"/>
  </sheetViews>
  <sheetFormatPr defaultColWidth="0" defaultRowHeight="15" customHeight="1" zeroHeight="1" x14ac:dyDescent="0.3"/>
  <cols>
    <col min="1" max="1" width="2.109375" style="96" customWidth="1"/>
    <col min="2" max="2" width="0.33203125" style="98" customWidth="1"/>
    <col min="3" max="3" width="3.6640625" style="136" customWidth="1"/>
    <col min="4" max="4" width="3.6640625" style="137" customWidth="1"/>
    <col min="5" max="5" width="27.6640625" style="136" customWidth="1"/>
    <col min="6" max="6" width="3.6640625" style="137" customWidth="1"/>
    <col min="7" max="7" width="40.6640625" style="136" customWidth="1"/>
    <col min="8" max="9" width="3.6640625" style="136" customWidth="1"/>
    <col min="10" max="10" width="0.33203125" style="98" customWidth="1"/>
    <col min="11" max="11" width="2.109375" style="96" customWidth="1"/>
    <col min="12" max="16384" width="0" style="136" hidden="1"/>
  </cols>
  <sheetData>
    <row r="1" spans="1:11" s="96" customFormat="1" ht="11.25" customHeight="1" x14ac:dyDescent="0.3">
      <c r="A1" s="95"/>
      <c r="D1" s="97"/>
      <c r="F1" s="97"/>
    </row>
    <row r="2" spans="1:11" s="98" customFormat="1" ht="1.5" customHeight="1" x14ac:dyDescent="0.3">
      <c r="A2" s="96"/>
      <c r="D2" s="99"/>
      <c r="F2" s="99"/>
      <c r="K2" s="96"/>
    </row>
    <row r="3" spans="1:11" s="104" customFormat="1" ht="14.4" x14ac:dyDescent="0.3">
      <c r="A3" s="96"/>
      <c r="B3" s="98"/>
      <c r="C3" s="100"/>
      <c r="D3" s="101"/>
      <c r="E3" s="166" t="s">
        <v>86</v>
      </c>
      <c r="F3" s="167"/>
      <c r="G3" s="168"/>
      <c r="H3" s="102"/>
      <c r="I3" s="100"/>
      <c r="J3" s="98"/>
      <c r="K3" s="103"/>
    </row>
    <row r="4" spans="1:11" s="104" customFormat="1" ht="14.4" x14ac:dyDescent="0.3">
      <c r="A4" s="96"/>
      <c r="B4" s="98"/>
      <c r="C4" s="105"/>
      <c r="D4" s="106"/>
      <c r="E4" s="169" t="s">
        <v>96</v>
      </c>
      <c r="F4" s="170"/>
      <c r="G4" s="171"/>
      <c r="H4" s="107"/>
      <c r="I4" s="108"/>
      <c r="J4" s="98"/>
      <c r="K4" s="103"/>
    </row>
    <row r="5" spans="1:11" s="104" customFormat="1" ht="15" customHeight="1" x14ac:dyDescent="0.3">
      <c r="A5" s="96"/>
      <c r="B5" s="98"/>
      <c r="C5" s="100"/>
      <c r="D5" s="107"/>
      <c r="E5" s="172" t="str">
        <f ca="1">"Workbook Name: " &amp;MID(CELL("filename"),SEARCH("[",CELL("filename"))+1, SEARCH("]",CELL("filename"))-SEARCH("[",CELL("filename"))-1)</f>
        <v>Workbook Name: KY QIP Exhibit.xlsx</v>
      </c>
      <c r="F5" s="172"/>
      <c r="G5" s="172"/>
      <c r="H5" s="107"/>
      <c r="I5" s="107"/>
      <c r="J5" s="98"/>
      <c r="K5" s="103"/>
    </row>
    <row r="6" spans="1:11" s="115" customFormat="1" ht="77.25" customHeight="1" x14ac:dyDescent="0.3">
      <c r="A6" s="109"/>
      <c r="B6" s="110"/>
      <c r="C6" s="111"/>
      <c r="D6" s="112"/>
      <c r="E6" s="173" t="s">
        <v>262</v>
      </c>
      <c r="F6" s="174"/>
      <c r="G6" s="175"/>
      <c r="H6" s="113"/>
      <c r="I6" s="111"/>
      <c r="J6" s="110"/>
      <c r="K6" s="114"/>
    </row>
    <row r="7" spans="1:11" s="104" customFormat="1" ht="14.4" x14ac:dyDescent="0.3">
      <c r="A7" s="96"/>
      <c r="B7" s="98"/>
      <c r="C7" s="116"/>
      <c r="D7" s="117"/>
      <c r="E7" s="118" t="s">
        <v>260</v>
      </c>
      <c r="F7" s="117"/>
      <c r="G7" s="118" t="s">
        <v>261</v>
      </c>
      <c r="H7" s="119"/>
      <c r="I7" s="100"/>
      <c r="J7" s="98"/>
      <c r="K7" s="103"/>
    </row>
    <row r="8" spans="1:11" s="115" customFormat="1" ht="57.6" x14ac:dyDescent="0.3">
      <c r="A8" s="109"/>
      <c r="B8" s="110"/>
      <c r="C8" s="120"/>
      <c r="D8" s="121">
        <v>1</v>
      </c>
      <c r="E8" s="122" t="s">
        <v>263</v>
      </c>
      <c r="F8" s="121">
        <f t="shared" ref="F8:F19" si="0">IF(D8="","",D8)</f>
        <v>1</v>
      </c>
      <c r="G8" s="122" t="s">
        <v>269</v>
      </c>
      <c r="H8" s="123"/>
      <c r="I8" s="111"/>
      <c r="J8" s="110"/>
      <c r="K8" s="114"/>
    </row>
    <row r="9" spans="1:11" s="115" customFormat="1" ht="28.8" x14ac:dyDescent="0.3">
      <c r="A9" s="109"/>
      <c r="B9" s="110"/>
      <c r="C9" s="120"/>
      <c r="D9" s="121">
        <v>2</v>
      </c>
      <c r="E9" s="122" t="s">
        <v>264</v>
      </c>
      <c r="F9" s="121">
        <f t="shared" si="0"/>
        <v>2</v>
      </c>
      <c r="G9" s="122" t="s">
        <v>272</v>
      </c>
      <c r="H9" s="123"/>
      <c r="I9" s="111"/>
      <c r="J9" s="110"/>
      <c r="K9" s="114"/>
    </row>
    <row r="10" spans="1:11" s="115" customFormat="1" ht="14.4" x14ac:dyDescent="0.3">
      <c r="A10" s="109"/>
      <c r="B10" s="110"/>
      <c r="C10" s="120"/>
      <c r="D10" s="121">
        <v>3</v>
      </c>
      <c r="E10" s="122" t="s">
        <v>265</v>
      </c>
      <c r="F10" s="121">
        <f t="shared" si="0"/>
        <v>3</v>
      </c>
      <c r="G10" s="122" t="s">
        <v>273</v>
      </c>
      <c r="H10" s="123"/>
      <c r="I10" s="111"/>
      <c r="J10" s="110"/>
      <c r="K10" s="114"/>
    </row>
    <row r="11" spans="1:11" s="115" customFormat="1" ht="14.4" x14ac:dyDescent="0.3">
      <c r="A11" s="109"/>
      <c r="B11" s="110"/>
      <c r="C11" s="120"/>
      <c r="D11" s="121">
        <v>4</v>
      </c>
      <c r="E11" s="122" t="s">
        <v>5</v>
      </c>
      <c r="F11" s="121">
        <f t="shared" si="0"/>
        <v>4</v>
      </c>
      <c r="G11" s="122" t="s">
        <v>275</v>
      </c>
      <c r="H11" s="123"/>
      <c r="I11" s="111"/>
      <c r="J11" s="110"/>
      <c r="K11" s="114"/>
    </row>
    <row r="12" spans="1:11" s="115" customFormat="1" ht="43.2" x14ac:dyDescent="0.3">
      <c r="A12" s="109"/>
      <c r="B12" s="110"/>
      <c r="C12" s="120"/>
      <c r="D12" s="121">
        <v>5</v>
      </c>
      <c r="E12" s="122" t="s">
        <v>3</v>
      </c>
      <c r="F12" s="121">
        <f t="shared" si="0"/>
        <v>5</v>
      </c>
      <c r="G12" s="122" t="s">
        <v>276</v>
      </c>
      <c r="H12" s="123"/>
      <c r="I12" s="111"/>
      <c r="J12" s="110"/>
      <c r="K12" s="114"/>
    </row>
    <row r="13" spans="1:11" s="115" customFormat="1" ht="14.4" x14ac:dyDescent="0.3">
      <c r="A13" s="109"/>
      <c r="B13" s="110"/>
      <c r="C13" s="120"/>
      <c r="D13" s="121">
        <v>6</v>
      </c>
      <c r="E13" s="122" t="s">
        <v>4</v>
      </c>
      <c r="F13" s="121">
        <f t="shared" si="0"/>
        <v>6</v>
      </c>
      <c r="G13" s="122" t="s">
        <v>277</v>
      </c>
      <c r="H13" s="123"/>
      <c r="I13" s="111"/>
      <c r="J13" s="110"/>
      <c r="K13" s="114"/>
    </row>
    <row r="14" spans="1:11" s="115" customFormat="1" ht="14.4" x14ac:dyDescent="0.3">
      <c r="A14" s="109"/>
      <c r="B14" s="110"/>
      <c r="C14" s="120"/>
      <c r="D14" s="121">
        <v>7</v>
      </c>
      <c r="E14" s="122" t="s">
        <v>266</v>
      </c>
      <c r="F14" s="121">
        <f t="shared" si="0"/>
        <v>7</v>
      </c>
      <c r="G14" s="122" t="s">
        <v>278</v>
      </c>
      <c r="H14" s="123"/>
      <c r="I14" s="111"/>
      <c r="J14" s="110"/>
      <c r="K14" s="114"/>
    </row>
    <row r="15" spans="1:11" s="115" customFormat="1" ht="14.4" x14ac:dyDescent="0.3">
      <c r="A15" s="109"/>
      <c r="B15" s="110"/>
      <c r="C15" s="120"/>
      <c r="D15" s="121">
        <v>8</v>
      </c>
      <c r="E15" s="122" t="s">
        <v>267</v>
      </c>
      <c r="F15" s="121">
        <f t="shared" si="0"/>
        <v>8</v>
      </c>
      <c r="G15" s="122" t="s">
        <v>279</v>
      </c>
      <c r="H15" s="123"/>
      <c r="I15" s="111"/>
      <c r="J15" s="110"/>
      <c r="K15" s="114"/>
    </row>
    <row r="16" spans="1:11" s="115" customFormat="1" ht="28.8" x14ac:dyDescent="0.3">
      <c r="A16" s="109"/>
      <c r="B16" s="110"/>
      <c r="C16" s="120"/>
      <c r="D16" s="121">
        <v>9</v>
      </c>
      <c r="E16" s="122" t="s">
        <v>268</v>
      </c>
      <c r="F16" s="121">
        <f t="shared" si="0"/>
        <v>9</v>
      </c>
      <c r="G16" s="122" t="s">
        <v>280</v>
      </c>
      <c r="H16" s="123"/>
      <c r="I16" s="111"/>
      <c r="J16" s="110"/>
      <c r="K16" s="114"/>
    </row>
    <row r="17" spans="1:11" s="115" customFormat="1" ht="28.8" x14ac:dyDescent="0.3">
      <c r="A17" s="109"/>
      <c r="B17" s="110"/>
      <c r="C17" s="120"/>
      <c r="D17" s="121">
        <v>10</v>
      </c>
      <c r="E17" s="122" t="s">
        <v>120</v>
      </c>
      <c r="F17" s="121">
        <f t="shared" si="0"/>
        <v>10</v>
      </c>
      <c r="G17" s="122" t="s">
        <v>281</v>
      </c>
      <c r="H17" s="123"/>
      <c r="I17" s="111"/>
      <c r="J17" s="110"/>
      <c r="K17" s="114"/>
    </row>
    <row r="18" spans="1:11" s="104" customFormat="1" ht="14.4" x14ac:dyDescent="0.3">
      <c r="A18" s="96"/>
      <c r="B18" s="98"/>
      <c r="C18" s="116"/>
      <c r="D18" s="121">
        <v>11</v>
      </c>
      <c r="E18" s="122" t="s">
        <v>274</v>
      </c>
      <c r="F18" s="121">
        <f t="shared" si="0"/>
        <v>11</v>
      </c>
      <c r="G18" s="122" t="s">
        <v>282</v>
      </c>
      <c r="H18" s="124"/>
      <c r="I18" s="125"/>
      <c r="J18" s="98"/>
      <c r="K18" s="103"/>
    </row>
    <row r="19" spans="1:11" s="104" customFormat="1" ht="28.8" x14ac:dyDescent="0.3">
      <c r="A19" s="96"/>
      <c r="B19" s="98"/>
      <c r="C19" s="116"/>
      <c r="D19" s="121">
        <v>12</v>
      </c>
      <c r="E19" s="122" t="s">
        <v>304</v>
      </c>
      <c r="F19" s="121">
        <f t="shared" si="0"/>
        <v>12</v>
      </c>
      <c r="G19" s="122" t="s">
        <v>283</v>
      </c>
      <c r="H19" s="124"/>
      <c r="I19" s="125"/>
      <c r="J19" s="98"/>
      <c r="K19" s="103"/>
    </row>
    <row r="20" spans="1:11" s="115" customFormat="1" ht="14.4" x14ac:dyDescent="0.3">
      <c r="A20" s="109"/>
      <c r="B20" s="110"/>
      <c r="C20" s="120"/>
      <c r="D20" s="121"/>
      <c r="E20" s="122"/>
      <c r="F20" s="121"/>
      <c r="G20" s="122"/>
      <c r="H20" s="113"/>
      <c r="I20" s="123"/>
      <c r="J20" s="110"/>
      <c r="K20" s="114"/>
    </row>
    <row r="21" spans="1:11" s="115" customFormat="1" ht="14.4" x14ac:dyDescent="0.3">
      <c r="A21" s="109"/>
      <c r="B21" s="110"/>
      <c r="C21" s="120"/>
      <c r="D21" s="121"/>
      <c r="E21" s="122"/>
      <c r="F21" s="121"/>
      <c r="G21" s="122"/>
      <c r="H21" s="113"/>
      <c r="I21" s="123"/>
      <c r="J21" s="110"/>
      <c r="K21" s="114"/>
    </row>
    <row r="22" spans="1:11" s="115" customFormat="1" ht="14.4" x14ac:dyDescent="0.3">
      <c r="A22" s="109"/>
      <c r="B22" s="110"/>
      <c r="C22" s="120"/>
      <c r="D22" s="121"/>
      <c r="E22" s="122"/>
      <c r="F22" s="121"/>
      <c r="G22" s="122"/>
      <c r="H22" s="113"/>
      <c r="I22" s="123"/>
      <c r="J22" s="110"/>
      <c r="K22" s="114"/>
    </row>
    <row r="23" spans="1:11" s="115" customFormat="1" ht="14.4" x14ac:dyDescent="0.3">
      <c r="A23" s="109"/>
      <c r="B23" s="110"/>
      <c r="C23" s="120"/>
      <c r="D23" s="121"/>
      <c r="E23" s="122"/>
      <c r="F23" s="121"/>
      <c r="G23" s="122"/>
      <c r="H23" s="113"/>
      <c r="I23" s="123"/>
      <c r="J23" s="110"/>
      <c r="K23" s="114"/>
    </row>
    <row r="24" spans="1:11" s="115" customFormat="1" ht="14.4" x14ac:dyDescent="0.3">
      <c r="A24" s="109"/>
      <c r="B24" s="110"/>
      <c r="C24" s="120"/>
      <c r="D24" s="121"/>
      <c r="E24" s="122"/>
      <c r="F24" s="121"/>
      <c r="G24" s="122"/>
      <c r="H24" s="123"/>
      <c r="I24" s="111"/>
      <c r="J24" s="110"/>
      <c r="K24" s="114"/>
    </row>
    <row r="25" spans="1:11" s="115" customFormat="1" ht="14.4" x14ac:dyDescent="0.3">
      <c r="A25" s="109"/>
      <c r="B25" s="110"/>
      <c r="C25" s="120"/>
      <c r="D25" s="121"/>
      <c r="E25" s="122"/>
      <c r="F25" s="121"/>
      <c r="G25" s="122"/>
      <c r="H25" s="123"/>
      <c r="I25" s="111"/>
      <c r="J25" s="110"/>
      <c r="K25" s="114"/>
    </row>
    <row r="26" spans="1:11" s="115" customFormat="1" ht="14.4" x14ac:dyDescent="0.3">
      <c r="A26" s="109"/>
      <c r="B26" s="110"/>
      <c r="C26" s="120"/>
      <c r="D26" s="121"/>
      <c r="E26" s="122"/>
      <c r="F26" s="121"/>
      <c r="G26" s="122"/>
      <c r="H26" s="113"/>
      <c r="I26" s="123"/>
      <c r="J26" s="110"/>
      <c r="K26" s="114"/>
    </row>
    <row r="27" spans="1:11" s="104" customFormat="1" ht="14.4" x14ac:dyDescent="0.3">
      <c r="A27" s="96"/>
      <c r="B27" s="98"/>
      <c r="C27" s="116"/>
      <c r="D27" s="121"/>
      <c r="E27" s="122"/>
      <c r="F27" s="121"/>
      <c r="G27" s="122"/>
      <c r="H27" s="124"/>
      <c r="I27" s="125"/>
      <c r="J27" s="98"/>
      <c r="K27" s="103"/>
    </row>
    <row r="28" spans="1:11" s="104" customFormat="1" ht="14.4" x14ac:dyDescent="0.3">
      <c r="A28" s="96"/>
      <c r="B28" s="98"/>
      <c r="C28" s="116"/>
      <c r="D28" s="121"/>
      <c r="E28" s="122"/>
      <c r="F28" s="121"/>
      <c r="G28" s="122"/>
      <c r="H28" s="124"/>
      <c r="I28" s="125"/>
      <c r="J28" s="98"/>
      <c r="K28" s="103"/>
    </row>
    <row r="29" spans="1:11" s="104" customFormat="1" ht="14.4" x14ac:dyDescent="0.3">
      <c r="A29" s="96"/>
      <c r="B29" s="98"/>
      <c r="C29" s="116"/>
      <c r="D29" s="121"/>
      <c r="E29" s="122"/>
      <c r="F29" s="121"/>
      <c r="G29" s="122"/>
      <c r="H29" s="124"/>
      <c r="I29" s="125"/>
      <c r="J29" s="98"/>
      <c r="K29" s="103"/>
    </row>
    <row r="30" spans="1:11" s="104" customFormat="1" ht="14.4" x14ac:dyDescent="0.3">
      <c r="A30" s="96"/>
      <c r="B30" s="98"/>
      <c r="C30" s="116"/>
      <c r="D30" s="121"/>
      <c r="E30" s="122"/>
      <c r="F30" s="121"/>
      <c r="G30" s="122"/>
      <c r="H30" s="124"/>
      <c r="I30" s="125"/>
      <c r="J30" s="98"/>
      <c r="K30" s="103"/>
    </row>
    <row r="31" spans="1:11" s="104" customFormat="1" ht="14.4" x14ac:dyDescent="0.3">
      <c r="A31" s="96"/>
      <c r="B31" s="98"/>
      <c r="C31" s="116"/>
      <c r="D31" s="121"/>
      <c r="E31" s="122"/>
      <c r="F31" s="121"/>
      <c r="G31" s="122"/>
      <c r="H31" s="124"/>
      <c r="I31" s="125"/>
      <c r="J31" s="98"/>
      <c r="K31" s="103"/>
    </row>
    <row r="32" spans="1:11" s="104" customFormat="1" ht="14.4" x14ac:dyDescent="0.3">
      <c r="A32" s="96"/>
      <c r="B32" s="98"/>
      <c r="C32" s="116"/>
      <c r="D32" s="121"/>
      <c r="E32" s="122"/>
      <c r="F32" s="121"/>
      <c r="G32" s="122"/>
      <c r="H32" s="124"/>
      <c r="I32" s="125"/>
      <c r="J32" s="98"/>
      <c r="K32" s="103"/>
    </row>
    <row r="33" spans="1:11" s="104" customFormat="1" ht="14.4" x14ac:dyDescent="0.3">
      <c r="A33" s="96"/>
      <c r="B33" s="98"/>
      <c r="C33" s="116"/>
      <c r="D33" s="121"/>
      <c r="E33" s="122"/>
      <c r="F33" s="121"/>
      <c r="G33" s="122"/>
      <c r="H33" s="124"/>
      <c r="I33" s="125"/>
      <c r="J33" s="98"/>
      <c r="K33" s="103"/>
    </row>
    <row r="34" spans="1:11" s="104" customFormat="1" ht="14.4" x14ac:dyDescent="0.3">
      <c r="A34" s="96"/>
      <c r="B34" s="98"/>
      <c r="C34" s="116"/>
      <c r="D34" s="121"/>
      <c r="E34" s="122"/>
      <c r="F34" s="121"/>
      <c r="G34" s="122"/>
      <c r="H34" s="124"/>
      <c r="I34" s="125"/>
      <c r="J34" s="98"/>
      <c r="K34" s="103"/>
    </row>
    <row r="35" spans="1:11" s="104" customFormat="1" ht="14.4" x14ac:dyDescent="0.3">
      <c r="A35" s="96"/>
      <c r="B35" s="98"/>
      <c r="C35" s="116"/>
      <c r="D35" s="121"/>
      <c r="E35" s="122"/>
      <c r="F35" s="121"/>
      <c r="G35" s="122"/>
      <c r="H35" s="124"/>
      <c r="I35" s="125"/>
      <c r="J35" s="98"/>
      <c r="K35" s="103"/>
    </row>
    <row r="36" spans="1:11" s="104" customFormat="1" ht="14.4" x14ac:dyDescent="0.3">
      <c r="A36" s="96"/>
      <c r="B36" s="98"/>
      <c r="C36" s="116"/>
      <c r="D36" s="121"/>
      <c r="E36" s="122"/>
      <c r="F36" s="121"/>
      <c r="G36" s="122"/>
      <c r="H36" s="124"/>
      <c r="I36" s="125"/>
      <c r="J36" s="98"/>
      <c r="K36" s="103"/>
    </row>
    <row r="37" spans="1:11" s="104" customFormat="1" ht="14.4" x14ac:dyDescent="0.3">
      <c r="A37" s="96"/>
      <c r="B37" s="98"/>
      <c r="C37" s="116"/>
      <c r="D37" s="121"/>
      <c r="E37" s="122"/>
      <c r="F37" s="121"/>
      <c r="G37" s="122"/>
      <c r="H37" s="124"/>
      <c r="I37" s="125"/>
      <c r="J37" s="98"/>
      <c r="K37" s="103"/>
    </row>
    <row r="38" spans="1:11" s="104" customFormat="1" ht="14.4" x14ac:dyDescent="0.3">
      <c r="A38" s="96"/>
      <c r="B38" s="98"/>
      <c r="C38" s="116"/>
      <c r="D38" s="121"/>
      <c r="E38" s="122"/>
      <c r="F38" s="121"/>
      <c r="G38" s="122"/>
      <c r="H38" s="124"/>
      <c r="I38" s="125"/>
      <c r="J38" s="98"/>
      <c r="K38" s="103"/>
    </row>
    <row r="39" spans="1:11" s="104" customFormat="1" ht="14.4" x14ac:dyDescent="0.3">
      <c r="A39" s="96"/>
      <c r="B39" s="98"/>
      <c r="C39" s="116"/>
      <c r="D39" s="121"/>
      <c r="E39" s="122"/>
      <c r="F39" s="121"/>
      <c r="G39" s="122"/>
      <c r="H39" s="124"/>
      <c r="I39" s="125"/>
      <c r="J39" s="98"/>
      <c r="K39" s="103"/>
    </row>
    <row r="40" spans="1:11" s="104" customFormat="1" ht="14.4" x14ac:dyDescent="0.3">
      <c r="A40" s="96"/>
      <c r="B40" s="98"/>
      <c r="C40" s="116"/>
      <c r="D40" s="121"/>
      <c r="E40" s="122"/>
      <c r="F40" s="121"/>
      <c r="G40" s="122"/>
      <c r="H40" s="124"/>
      <c r="I40" s="125"/>
      <c r="J40" s="98"/>
      <c r="K40" s="103"/>
    </row>
    <row r="41" spans="1:11" s="104" customFormat="1" ht="14.4" x14ac:dyDescent="0.3">
      <c r="A41" s="96"/>
      <c r="B41" s="98"/>
      <c r="C41" s="116"/>
      <c r="D41" s="121"/>
      <c r="E41" s="122"/>
      <c r="F41" s="121"/>
      <c r="G41" s="122"/>
      <c r="H41" s="124"/>
      <c r="I41" s="125"/>
      <c r="J41" s="98"/>
      <c r="K41" s="103"/>
    </row>
    <row r="42" spans="1:11" s="104" customFormat="1" ht="14.4" x14ac:dyDescent="0.3">
      <c r="A42" s="96"/>
      <c r="B42" s="98"/>
      <c r="C42" s="116"/>
      <c r="D42" s="121"/>
      <c r="E42" s="122"/>
      <c r="F42" s="121"/>
      <c r="G42" s="122"/>
      <c r="H42" s="124"/>
      <c r="I42" s="125"/>
      <c r="J42" s="98"/>
      <c r="K42" s="103"/>
    </row>
    <row r="43" spans="1:11" s="104" customFormat="1" ht="14.4" x14ac:dyDescent="0.3">
      <c r="A43" s="96"/>
      <c r="B43" s="98"/>
      <c r="C43" s="116"/>
      <c r="D43" s="121"/>
      <c r="E43" s="122"/>
      <c r="F43" s="121"/>
      <c r="G43" s="122"/>
      <c r="H43" s="124"/>
      <c r="I43" s="125"/>
      <c r="J43" s="98"/>
      <c r="K43" s="103"/>
    </row>
    <row r="44" spans="1:11" s="104" customFormat="1" ht="14.4" x14ac:dyDescent="0.3">
      <c r="A44" s="96"/>
      <c r="B44" s="98"/>
      <c r="C44" s="116"/>
      <c r="D44" s="126"/>
      <c r="E44" s="127"/>
      <c r="F44" s="126"/>
      <c r="G44" s="127"/>
      <c r="H44" s="124"/>
      <c r="I44" s="125"/>
      <c r="J44" s="98"/>
      <c r="K44" s="103"/>
    </row>
    <row r="45" spans="1:11" s="104" customFormat="1" ht="14.4" x14ac:dyDescent="0.3">
      <c r="A45" s="96"/>
      <c r="B45" s="98"/>
      <c r="C45" s="100"/>
      <c r="D45" s="129"/>
      <c r="E45" s="128"/>
      <c r="F45" s="129"/>
      <c r="G45" s="130"/>
      <c r="H45" s="100"/>
      <c r="I45" s="100"/>
      <c r="J45" s="98"/>
      <c r="K45" s="103"/>
    </row>
    <row r="46" spans="1:11" s="104" customFormat="1" ht="15" customHeight="1" x14ac:dyDescent="0.3">
      <c r="A46" s="96"/>
      <c r="B46" s="98"/>
      <c r="C46" s="102"/>
      <c r="D46" s="131"/>
      <c r="E46" s="100"/>
      <c r="F46" s="131"/>
      <c r="G46" s="100"/>
      <c r="H46" s="100"/>
      <c r="I46" s="132"/>
      <c r="J46" s="98"/>
      <c r="K46" s="103"/>
    </row>
    <row r="47" spans="1:11" s="104" customFormat="1" ht="15" customHeight="1" x14ac:dyDescent="0.3">
      <c r="A47" s="96"/>
      <c r="B47" s="98"/>
      <c r="C47" s="100"/>
      <c r="D47" s="133"/>
      <c r="E47" s="100"/>
      <c r="F47" s="131"/>
      <c r="G47" s="100"/>
      <c r="H47" s="132"/>
      <c r="I47" s="100"/>
      <c r="J47" s="98"/>
      <c r="K47" s="103"/>
    </row>
    <row r="48" spans="1:11" s="98" customFormat="1" ht="1.5" customHeight="1" thickBot="1" x14ac:dyDescent="0.35">
      <c r="A48" s="96"/>
      <c r="D48" s="99"/>
      <c r="F48" s="99"/>
      <c r="K48" s="96"/>
    </row>
    <row r="49" spans="1:11" s="96" customFormat="1" ht="11.25" customHeight="1" x14ac:dyDescent="0.3">
      <c r="C49" s="134"/>
      <c r="D49" s="135"/>
      <c r="E49" s="134"/>
      <c r="F49" s="135"/>
      <c r="G49" s="134"/>
      <c r="H49" s="134"/>
      <c r="I49" s="134"/>
    </row>
    <row r="50" spans="1:11" ht="12.75" hidden="1" customHeight="1" x14ac:dyDescent="0.3"/>
    <row r="51" spans="1:11" ht="12.75" hidden="1" customHeight="1" x14ac:dyDescent="0.3"/>
    <row r="52" spans="1:11" ht="12.75" hidden="1" customHeight="1" x14ac:dyDescent="0.3">
      <c r="A52" s="136"/>
      <c r="B52" s="136"/>
      <c r="J52" s="136"/>
      <c r="K52" s="136"/>
    </row>
    <row r="53" spans="1:11" ht="12.75" hidden="1" customHeight="1" x14ac:dyDescent="0.3">
      <c r="A53" s="136"/>
      <c r="B53" s="136"/>
      <c r="J53" s="136"/>
      <c r="K53" s="136"/>
    </row>
    <row r="54" spans="1:11" ht="12.75" hidden="1" customHeight="1" x14ac:dyDescent="0.3">
      <c r="A54" s="136"/>
      <c r="B54" s="136"/>
      <c r="J54" s="136"/>
      <c r="K54" s="136"/>
    </row>
    <row r="55" spans="1:11" ht="12.75" hidden="1" customHeight="1" x14ac:dyDescent="0.3">
      <c r="A55" s="136"/>
      <c r="B55" s="136"/>
      <c r="J55" s="136"/>
      <c r="K55" s="136"/>
    </row>
    <row r="56" spans="1:11" ht="12.75" hidden="1" customHeight="1" x14ac:dyDescent="0.3">
      <c r="A56" s="136"/>
      <c r="B56" s="136"/>
      <c r="J56" s="136"/>
      <c r="K56" s="136"/>
    </row>
    <row r="57" spans="1:11" ht="12.75" hidden="1" customHeight="1" x14ac:dyDescent="0.3">
      <c r="A57" s="136"/>
      <c r="B57" s="136"/>
      <c r="J57" s="136"/>
      <c r="K57" s="136"/>
    </row>
    <row r="58" spans="1:11" ht="12.75" hidden="1" customHeight="1" x14ac:dyDescent="0.3">
      <c r="A58" s="136"/>
      <c r="B58" s="136"/>
      <c r="J58" s="136"/>
      <c r="K58" s="136"/>
    </row>
    <row r="59" spans="1:11" ht="12.75" hidden="1" customHeight="1" x14ac:dyDescent="0.3">
      <c r="A59" s="136"/>
      <c r="B59" s="136"/>
      <c r="J59" s="136"/>
      <c r="K59" s="136"/>
    </row>
    <row r="60" spans="1:11" ht="12.75" hidden="1" customHeight="1" x14ac:dyDescent="0.3">
      <c r="A60" s="136"/>
      <c r="B60" s="136"/>
      <c r="J60" s="136"/>
      <c r="K60" s="136"/>
    </row>
    <row r="61" spans="1:11" ht="12.75" hidden="1" customHeight="1" x14ac:dyDescent="0.3">
      <c r="A61" s="136"/>
      <c r="B61" s="136"/>
      <c r="J61" s="136"/>
      <c r="K61" s="136"/>
    </row>
    <row r="62" spans="1:11" ht="12.75" hidden="1" customHeight="1" x14ac:dyDescent="0.3">
      <c r="A62" s="136"/>
      <c r="B62" s="136"/>
      <c r="J62" s="136"/>
      <c r="K62" s="136"/>
    </row>
    <row r="63" spans="1:11" ht="12.75" hidden="1" customHeight="1" x14ac:dyDescent="0.3">
      <c r="A63" s="136"/>
      <c r="B63" s="136"/>
      <c r="J63" s="136"/>
      <c r="K63" s="136"/>
    </row>
    <row r="64" spans="1:11" ht="12.75" hidden="1" customHeight="1" x14ac:dyDescent="0.3">
      <c r="A64" s="136"/>
      <c r="B64" s="136"/>
      <c r="J64" s="136"/>
      <c r="K64" s="136"/>
    </row>
    <row r="65" spans="1:11" ht="12.75" hidden="1" customHeight="1" x14ac:dyDescent="0.3">
      <c r="A65" s="136"/>
      <c r="B65" s="136"/>
      <c r="J65" s="136"/>
      <c r="K65" s="136"/>
    </row>
    <row r="66" spans="1:11" ht="12.75" hidden="1" customHeight="1" x14ac:dyDescent="0.3">
      <c r="A66" s="136"/>
      <c r="B66" s="136"/>
      <c r="J66" s="136"/>
      <c r="K66" s="136"/>
    </row>
    <row r="67" spans="1:11" ht="12.75" hidden="1" customHeight="1" x14ac:dyDescent="0.3">
      <c r="A67" s="136"/>
      <c r="B67" s="136"/>
      <c r="J67" s="136"/>
      <c r="K67" s="136"/>
    </row>
    <row r="68" spans="1:11" ht="12.75" hidden="1" customHeight="1" x14ac:dyDescent="0.3">
      <c r="A68" s="136"/>
      <c r="B68" s="136"/>
      <c r="J68" s="136"/>
      <c r="K68" s="136"/>
    </row>
    <row r="69" spans="1:11" ht="12.75" hidden="1" customHeight="1" x14ac:dyDescent="0.3">
      <c r="A69" s="136"/>
      <c r="B69" s="136"/>
      <c r="J69" s="136"/>
      <c r="K69" s="136"/>
    </row>
    <row r="70" spans="1:11" ht="12.75" hidden="1" customHeight="1" x14ac:dyDescent="0.3">
      <c r="A70" s="136"/>
      <c r="B70" s="136"/>
      <c r="J70" s="136"/>
      <c r="K70" s="136"/>
    </row>
    <row r="71" spans="1:11" ht="12.75" hidden="1" customHeight="1" x14ac:dyDescent="0.3">
      <c r="A71" s="136"/>
      <c r="B71" s="136"/>
      <c r="J71" s="136"/>
      <c r="K71" s="136"/>
    </row>
    <row r="72" spans="1:11" ht="12.75" hidden="1" customHeight="1" x14ac:dyDescent="0.3">
      <c r="A72" s="136"/>
      <c r="B72" s="136"/>
      <c r="J72" s="136"/>
      <c r="K72" s="136"/>
    </row>
    <row r="73" spans="1:11" ht="12.75" hidden="1" customHeight="1" x14ac:dyDescent="0.3">
      <c r="A73" s="136"/>
      <c r="B73" s="136"/>
      <c r="J73" s="136"/>
      <c r="K73" s="136"/>
    </row>
    <row r="74" spans="1:11" ht="12.75" hidden="1" customHeight="1" x14ac:dyDescent="0.3">
      <c r="A74" s="136"/>
      <c r="B74" s="136"/>
      <c r="J74" s="136"/>
      <c r="K74" s="136"/>
    </row>
    <row r="75" spans="1:11" ht="12.75" hidden="1" customHeight="1" x14ac:dyDescent="0.3">
      <c r="A75" s="136"/>
      <c r="B75" s="136"/>
      <c r="J75" s="136"/>
      <c r="K75" s="136"/>
    </row>
    <row r="76" spans="1:11" ht="12.75" hidden="1" customHeight="1" x14ac:dyDescent="0.3">
      <c r="A76" s="136"/>
      <c r="B76" s="136"/>
      <c r="J76" s="136"/>
      <c r="K76" s="136"/>
    </row>
    <row r="77" spans="1:11" ht="12.75" hidden="1" customHeight="1" x14ac:dyDescent="0.3">
      <c r="A77" s="136"/>
      <c r="B77" s="136"/>
      <c r="J77" s="136"/>
      <c r="K77" s="136"/>
    </row>
    <row r="78" spans="1:11" ht="12.75" hidden="1" customHeight="1" x14ac:dyDescent="0.3">
      <c r="A78" s="136"/>
      <c r="B78" s="136"/>
      <c r="J78" s="136"/>
      <c r="K78" s="136"/>
    </row>
    <row r="79" spans="1:11" ht="12.75" hidden="1" customHeight="1" x14ac:dyDescent="0.3">
      <c r="A79" s="136"/>
      <c r="B79" s="136"/>
      <c r="J79" s="136"/>
      <c r="K79" s="136"/>
    </row>
    <row r="80" spans="1:11" ht="12.75" hidden="1" customHeight="1" x14ac:dyDescent="0.3">
      <c r="A80" s="136"/>
      <c r="B80" s="136"/>
      <c r="J80" s="136"/>
      <c r="K80" s="136"/>
    </row>
    <row r="81" spans="1:11" ht="12.75" hidden="1" customHeight="1" x14ac:dyDescent="0.3">
      <c r="A81" s="136"/>
      <c r="B81" s="136"/>
      <c r="J81" s="136"/>
      <c r="K81" s="136"/>
    </row>
    <row r="82" spans="1:11" ht="12.75" hidden="1" customHeight="1" x14ac:dyDescent="0.3">
      <c r="A82" s="136"/>
      <c r="B82" s="136"/>
      <c r="J82" s="136"/>
      <c r="K82" s="136"/>
    </row>
    <row r="83" spans="1:11" ht="12.75" hidden="1" customHeight="1" x14ac:dyDescent="0.3">
      <c r="A83" s="136"/>
      <c r="B83" s="136"/>
      <c r="J83" s="136"/>
      <c r="K83" s="136"/>
    </row>
    <row r="84" spans="1:11" ht="12.75" hidden="1" customHeight="1" x14ac:dyDescent="0.3">
      <c r="A84" s="136"/>
      <c r="B84" s="136"/>
      <c r="J84" s="136"/>
      <c r="K84" s="136"/>
    </row>
    <row r="85" spans="1:11" ht="12.75" hidden="1" customHeight="1" x14ac:dyDescent="0.3">
      <c r="A85" s="136"/>
      <c r="B85" s="136"/>
      <c r="J85" s="136"/>
      <c r="K85" s="136"/>
    </row>
    <row r="86" spans="1:11" ht="12.75" hidden="1" customHeight="1" x14ac:dyDescent="0.3">
      <c r="A86" s="136"/>
      <c r="B86" s="136"/>
      <c r="J86" s="136"/>
      <c r="K86" s="136"/>
    </row>
    <row r="87" spans="1:11" ht="12.75" hidden="1" customHeight="1" x14ac:dyDescent="0.3">
      <c r="A87" s="136"/>
      <c r="B87" s="136"/>
      <c r="J87" s="136"/>
      <c r="K87" s="136"/>
    </row>
    <row r="88" spans="1:11" ht="12.75" hidden="1" customHeight="1" x14ac:dyDescent="0.3">
      <c r="A88" s="136"/>
      <c r="B88" s="136"/>
      <c r="J88" s="136"/>
      <c r="K88" s="136"/>
    </row>
    <row r="89" spans="1:11" ht="12.75" hidden="1" customHeight="1" x14ac:dyDescent="0.3">
      <c r="A89" s="136"/>
      <c r="B89" s="136"/>
      <c r="J89" s="136"/>
      <c r="K89" s="136"/>
    </row>
    <row r="90" spans="1:11" ht="12.75" hidden="1" customHeight="1" x14ac:dyDescent="0.3">
      <c r="A90" s="136"/>
      <c r="B90" s="136"/>
      <c r="J90" s="136"/>
      <c r="K90" s="136"/>
    </row>
    <row r="91" spans="1:11" ht="12.75" hidden="1" customHeight="1" x14ac:dyDescent="0.3">
      <c r="A91" s="136"/>
      <c r="B91" s="136"/>
      <c r="J91" s="136"/>
      <c r="K91" s="136"/>
    </row>
    <row r="92" spans="1:11" ht="12.75" hidden="1" customHeight="1" x14ac:dyDescent="0.3">
      <c r="A92" s="136"/>
      <c r="B92" s="136"/>
      <c r="J92" s="136"/>
      <c r="K92" s="136"/>
    </row>
    <row r="93" spans="1:11" ht="12.75" hidden="1" customHeight="1" x14ac:dyDescent="0.3">
      <c r="A93" s="136"/>
      <c r="B93" s="136"/>
      <c r="J93" s="136"/>
      <c r="K93" s="136"/>
    </row>
    <row r="94" spans="1:11" ht="12.75" hidden="1" customHeight="1" x14ac:dyDescent="0.3">
      <c r="A94" s="136"/>
      <c r="B94" s="136"/>
      <c r="J94" s="136"/>
      <c r="K94" s="136"/>
    </row>
    <row r="95" spans="1:11" ht="12.75" hidden="1" customHeight="1" x14ac:dyDescent="0.3">
      <c r="A95" s="136"/>
      <c r="B95" s="136"/>
      <c r="J95" s="136"/>
      <c r="K95" s="136"/>
    </row>
    <row r="96" spans="1:11" ht="12.75" hidden="1" customHeight="1" x14ac:dyDescent="0.3">
      <c r="A96" s="136"/>
      <c r="B96" s="136"/>
      <c r="J96" s="136"/>
      <c r="K96" s="136"/>
    </row>
    <row r="97" spans="1:11" ht="12.75" hidden="1" customHeight="1" x14ac:dyDescent="0.3">
      <c r="A97" s="136"/>
      <c r="B97" s="136"/>
      <c r="J97" s="136"/>
      <c r="K97" s="136"/>
    </row>
    <row r="98" spans="1:11" ht="12.75" hidden="1" customHeight="1" x14ac:dyDescent="0.3">
      <c r="A98" s="136"/>
      <c r="B98" s="136"/>
      <c r="J98" s="136"/>
      <c r="K98" s="136"/>
    </row>
    <row r="99" spans="1:11" ht="12.75" hidden="1" customHeight="1" x14ac:dyDescent="0.3">
      <c r="A99" s="136"/>
      <c r="B99" s="136"/>
      <c r="J99" s="136"/>
      <c r="K99" s="136"/>
    </row>
    <row r="100" spans="1:11" ht="12.75" hidden="1" customHeight="1" x14ac:dyDescent="0.3">
      <c r="A100" s="136"/>
      <c r="B100" s="136"/>
      <c r="J100" s="136"/>
      <c r="K100" s="136"/>
    </row>
    <row r="101" spans="1:11" ht="12.75" hidden="1" customHeight="1" x14ac:dyDescent="0.3">
      <c r="A101" s="136"/>
      <c r="B101" s="136"/>
      <c r="J101" s="136"/>
      <c r="K101" s="136"/>
    </row>
    <row r="102" spans="1:11" ht="12.75" hidden="1" customHeight="1" x14ac:dyDescent="0.3">
      <c r="A102" s="136"/>
      <c r="B102" s="136"/>
      <c r="J102" s="136"/>
      <c r="K102" s="136"/>
    </row>
    <row r="103" spans="1:11" ht="12.75" hidden="1" customHeight="1" x14ac:dyDescent="0.3">
      <c r="A103" s="136"/>
      <c r="B103" s="136"/>
      <c r="J103" s="136"/>
      <c r="K103" s="136"/>
    </row>
    <row r="104" spans="1:11" ht="12.75" hidden="1" customHeight="1" x14ac:dyDescent="0.3">
      <c r="A104" s="136"/>
      <c r="B104" s="136"/>
      <c r="J104" s="136"/>
      <c r="K104" s="136"/>
    </row>
    <row r="105" spans="1:11" ht="12.75" hidden="1" customHeight="1" x14ac:dyDescent="0.3">
      <c r="A105" s="136"/>
      <c r="B105" s="136"/>
      <c r="J105" s="136"/>
      <c r="K105" s="136"/>
    </row>
    <row r="106" spans="1:11" ht="12.75" hidden="1" customHeight="1" x14ac:dyDescent="0.3">
      <c r="A106" s="136"/>
      <c r="B106" s="136"/>
      <c r="J106" s="136"/>
      <c r="K106" s="136"/>
    </row>
    <row r="107" spans="1:11" ht="12.75" hidden="1" customHeight="1" x14ac:dyDescent="0.3">
      <c r="A107" s="136"/>
      <c r="B107" s="136"/>
      <c r="J107" s="136"/>
      <c r="K107" s="136"/>
    </row>
    <row r="108" spans="1:11" ht="12.75" hidden="1" customHeight="1" x14ac:dyDescent="0.3">
      <c r="A108" s="136"/>
      <c r="B108" s="136"/>
      <c r="J108" s="136"/>
      <c r="K108" s="136"/>
    </row>
    <row r="109" spans="1:11" ht="12.75" hidden="1" customHeight="1" x14ac:dyDescent="0.3">
      <c r="A109" s="136"/>
      <c r="B109" s="136"/>
      <c r="J109" s="136"/>
      <c r="K109" s="136"/>
    </row>
    <row r="110" spans="1:11" ht="12.75" hidden="1" customHeight="1" x14ac:dyDescent="0.3">
      <c r="A110" s="136"/>
      <c r="B110" s="136"/>
      <c r="J110" s="136"/>
      <c r="K110" s="136"/>
    </row>
    <row r="111" spans="1:11" ht="12.75" hidden="1" customHeight="1" x14ac:dyDescent="0.3">
      <c r="A111" s="136"/>
      <c r="B111" s="136"/>
      <c r="J111" s="136"/>
      <c r="K111" s="136"/>
    </row>
    <row r="112" spans="1:11" ht="12.75" hidden="1" customHeight="1" x14ac:dyDescent="0.3">
      <c r="A112" s="136"/>
      <c r="B112" s="136"/>
      <c r="J112" s="136"/>
      <c r="K112" s="136"/>
    </row>
    <row r="113" spans="1:11" ht="12.75" hidden="1" customHeight="1" x14ac:dyDescent="0.3">
      <c r="A113" s="136"/>
      <c r="B113" s="136"/>
      <c r="J113" s="136"/>
      <c r="K113" s="136"/>
    </row>
    <row r="114" spans="1:11" ht="12.75" hidden="1" customHeight="1" x14ac:dyDescent="0.3">
      <c r="A114" s="136"/>
      <c r="B114" s="136"/>
      <c r="J114" s="136"/>
      <c r="K114" s="136"/>
    </row>
    <row r="115" spans="1:11" ht="12.75" hidden="1" customHeight="1" x14ac:dyDescent="0.3">
      <c r="A115" s="136"/>
      <c r="B115" s="136"/>
      <c r="J115" s="136"/>
      <c r="K115" s="136"/>
    </row>
    <row r="116" spans="1:11" ht="12.75" hidden="1" customHeight="1" x14ac:dyDescent="0.3">
      <c r="A116" s="136"/>
      <c r="B116" s="136"/>
      <c r="J116" s="136"/>
      <c r="K116" s="136"/>
    </row>
    <row r="117" spans="1:11" ht="12.75" hidden="1" customHeight="1" x14ac:dyDescent="0.3">
      <c r="A117" s="136"/>
      <c r="B117" s="136"/>
      <c r="J117" s="136"/>
      <c r="K117" s="136"/>
    </row>
    <row r="118" spans="1:11" ht="12.75" hidden="1" customHeight="1" x14ac:dyDescent="0.3">
      <c r="A118" s="136"/>
      <c r="B118" s="136"/>
      <c r="J118" s="136"/>
      <c r="K118" s="136"/>
    </row>
    <row r="119" spans="1:11" ht="12.75" hidden="1" customHeight="1" x14ac:dyDescent="0.3">
      <c r="A119" s="136"/>
      <c r="B119" s="136"/>
      <c r="J119" s="136"/>
      <c r="K119" s="136"/>
    </row>
    <row r="120" spans="1:11" ht="12.75" hidden="1" customHeight="1" x14ac:dyDescent="0.3">
      <c r="A120" s="136"/>
      <c r="B120" s="136"/>
      <c r="J120" s="136"/>
      <c r="K120" s="136"/>
    </row>
    <row r="121" spans="1:11" ht="12.75" hidden="1" customHeight="1" x14ac:dyDescent="0.3">
      <c r="A121" s="136"/>
      <c r="B121" s="136"/>
      <c r="J121" s="136"/>
      <c r="K121" s="136"/>
    </row>
    <row r="122" spans="1:11" ht="12.75" hidden="1" customHeight="1" x14ac:dyDescent="0.3">
      <c r="A122" s="136"/>
      <c r="B122" s="136"/>
      <c r="J122" s="136"/>
      <c r="K122" s="136"/>
    </row>
    <row r="123" spans="1:11" ht="12.75" hidden="1" customHeight="1" x14ac:dyDescent="0.3">
      <c r="A123" s="136"/>
      <c r="B123" s="136"/>
      <c r="J123" s="136"/>
      <c r="K123" s="136"/>
    </row>
    <row r="124" spans="1:11" ht="12.75" hidden="1" customHeight="1" x14ac:dyDescent="0.3">
      <c r="A124" s="136"/>
      <c r="B124" s="136"/>
      <c r="J124" s="136"/>
      <c r="K124" s="136"/>
    </row>
    <row r="125" spans="1:11" ht="12.75" hidden="1" customHeight="1" x14ac:dyDescent="0.3">
      <c r="A125" s="136"/>
      <c r="B125" s="136"/>
      <c r="J125" s="136"/>
      <c r="K125" s="136"/>
    </row>
    <row r="126" spans="1:11" ht="12.75" hidden="1" customHeight="1" x14ac:dyDescent="0.3">
      <c r="A126" s="136"/>
      <c r="B126" s="136"/>
      <c r="J126" s="136"/>
      <c r="K126" s="136"/>
    </row>
    <row r="127" spans="1:11" ht="12.75" hidden="1" customHeight="1" x14ac:dyDescent="0.3">
      <c r="A127" s="136"/>
      <c r="B127" s="136"/>
      <c r="J127" s="136"/>
      <c r="K127" s="136"/>
    </row>
    <row r="128" spans="1:11" ht="12.75" hidden="1" customHeight="1" x14ac:dyDescent="0.3">
      <c r="A128" s="136"/>
      <c r="B128" s="136"/>
      <c r="J128" s="136"/>
      <c r="K128" s="136"/>
    </row>
    <row r="129" spans="1:11" ht="12.75" hidden="1" customHeight="1" x14ac:dyDescent="0.3">
      <c r="A129" s="136"/>
      <c r="B129" s="136"/>
      <c r="J129" s="136"/>
      <c r="K129" s="136"/>
    </row>
    <row r="130" spans="1:11" ht="12.75" hidden="1" customHeight="1" x14ac:dyDescent="0.3">
      <c r="A130" s="136"/>
      <c r="B130" s="136"/>
      <c r="J130" s="136"/>
      <c r="K130" s="136"/>
    </row>
    <row r="131" spans="1:11" ht="12.75" hidden="1" customHeight="1" x14ac:dyDescent="0.3">
      <c r="A131" s="136"/>
      <c r="B131" s="136"/>
      <c r="J131" s="136"/>
      <c r="K131" s="136"/>
    </row>
    <row r="132" spans="1:11" ht="0" hidden="1" customHeight="1" x14ac:dyDescent="0.3"/>
    <row r="133" spans="1:11" ht="0" hidden="1" customHeight="1" x14ac:dyDescent="0.3"/>
    <row r="134" spans="1:11" ht="0" hidden="1" customHeight="1" x14ac:dyDescent="0.3"/>
    <row r="135" spans="1:11" ht="15" hidden="1" customHeight="1" x14ac:dyDescent="0.3"/>
    <row r="136" spans="1:11" ht="15" hidden="1" customHeight="1" x14ac:dyDescent="0.3"/>
    <row r="137" spans="1:11" ht="15" hidden="1" customHeight="1" x14ac:dyDescent="0.3"/>
    <row r="138" spans="1:11" ht="15" hidden="1" customHeight="1" x14ac:dyDescent="0.3"/>
    <row r="139" spans="1:11" ht="15" hidden="1" customHeight="1" x14ac:dyDescent="0.3"/>
    <row r="140" spans="1:11" ht="15" hidden="1" customHeight="1" x14ac:dyDescent="0.3"/>
    <row r="141" spans="1:11" ht="15" hidden="1" customHeight="1" x14ac:dyDescent="0.3"/>
    <row r="142" spans="1:11" ht="15" hidden="1" customHeight="1" x14ac:dyDescent="0.3"/>
    <row r="143" spans="1:11" ht="15" hidden="1" customHeight="1" x14ac:dyDescent="0.3"/>
    <row r="144" spans="1:11" ht="15" hidden="1" customHeight="1" x14ac:dyDescent="0.3"/>
    <row r="145" ht="15" hidden="1" customHeight="1" x14ac:dyDescent="0.3"/>
    <row r="146" ht="15" hidden="1" customHeight="1" x14ac:dyDescent="0.3"/>
    <row r="147" ht="15" hidden="1" customHeight="1" x14ac:dyDescent="0.3"/>
    <row r="148" ht="15" hidden="1" customHeight="1" x14ac:dyDescent="0.3"/>
    <row r="149" ht="15" hidden="1" customHeight="1" x14ac:dyDescent="0.3"/>
    <row r="150" ht="15" hidden="1" customHeight="1" x14ac:dyDescent="0.3"/>
    <row r="151" ht="15" hidden="1" customHeight="1" x14ac:dyDescent="0.3"/>
    <row r="152" ht="15" hidden="1" customHeight="1" x14ac:dyDescent="0.3"/>
    <row r="153" ht="15" hidden="1" customHeight="1" x14ac:dyDescent="0.3"/>
    <row r="154" ht="15" hidden="1" customHeight="1" x14ac:dyDescent="0.3"/>
    <row r="155" ht="15" hidden="1" customHeight="1" x14ac:dyDescent="0.3"/>
    <row r="156" ht="15" hidden="1" customHeight="1" x14ac:dyDescent="0.3"/>
    <row r="157" ht="15" hidden="1" customHeight="1" x14ac:dyDescent="0.3"/>
    <row r="158" ht="15" hidden="1" customHeight="1" x14ac:dyDescent="0.3"/>
    <row r="159" ht="15" hidden="1" customHeight="1" x14ac:dyDescent="0.3"/>
    <row r="160" ht="15" customHeight="1" x14ac:dyDescent="0.3"/>
  </sheetData>
  <mergeCells count="4">
    <mergeCell ref="E3:G3"/>
    <mergeCell ref="E4:G4"/>
    <mergeCell ref="E5:G5"/>
    <mergeCell ref="E6:G6"/>
  </mergeCells>
  <pageMargins left="0.7" right="0.7" top="0.75" bottom="0.75" header="0.3" footer="0.3"/>
  <pageSetup scale="86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="90" zoomScaleNormal="90" workbookViewId="0"/>
  </sheetViews>
  <sheetFormatPr defaultRowHeight="14.4" x14ac:dyDescent="0.3"/>
  <cols>
    <col min="1" max="1" width="4.6640625" style="43" customWidth="1"/>
    <col min="2" max="2" width="34.44140625" style="43" bestFit="1" customWidth="1"/>
    <col min="3" max="5" width="14" style="43" bestFit="1" customWidth="1"/>
    <col min="7" max="7" width="4" customWidth="1"/>
    <col min="9" max="9" width="14" customWidth="1"/>
    <col min="10" max="11" width="11.6640625" bestFit="1" customWidth="1"/>
  </cols>
  <sheetData>
    <row r="1" spans="1:11" x14ac:dyDescent="0.3">
      <c r="A1" s="145" t="s">
        <v>86</v>
      </c>
    </row>
    <row r="2" spans="1:11" x14ac:dyDescent="0.3">
      <c r="A2" s="145" t="s">
        <v>96</v>
      </c>
    </row>
    <row r="3" spans="1:11" x14ac:dyDescent="0.3">
      <c r="A3" s="145" t="s">
        <v>191</v>
      </c>
    </row>
    <row r="6" spans="1:11" x14ac:dyDescent="0.3">
      <c r="A6" s="146" t="s">
        <v>28</v>
      </c>
    </row>
    <row r="7" spans="1:11" x14ac:dyDescent="0.3">
      <c r="A7" s="147" t="s">
        <v>29</v>
      </c>
      <c r="B7" s="147" t="s">
        <v>30</v>
      </c>
      <c r="C7" s="147">
        <v>2016</v>
      </c>
      <c r="D7" s="147">
        <v>2017</v>
      </c>
      <c r="E7" s="147">
        <v>2018</v>
      </c>
    </row>
    <row r="8" spans="1:11" x14ac:dyDescent="0.3">
      <c r="B8" s="67">
        <v>-1</v>
      </c>
      <c r="C8" s="67">
        <v>-2</v>
      </c>
      <c r="D8" s="67">
        <v>-3</v>
      </c>
      <c r="E8" s="67">
        <v>-4</v>
      </c>
    </row>
    <row r="9" spans="1:11" x14ac:dyDescent="0.3">
      <c r="A9" s="139">
        <v>1</v>
      </c>
      <c r="B9" s="43" t="s">
        <v>166</v>
      </c>
      <c r="C9" s="65">
        <v>0</v>
      </c>
      <c r="D9" s="65">
        <v>0</v>
      </c>
      <c r="E9" s="65">
        <f ca="1">'Form 1.1'!C29</f>
        <v>1663356.2346606213</v>
      </c>
    </row>
    <row r="10" spans="1:11" x14ac:dyDescent="0.3">
      <c r="A10" s="139">
        <f>A9+1</f>
        <v>2</v>
      </c>
      <c r="B10" s="43" t="s">
        <v>167</v>
      </c>
      <c r="C10" s="29">
        <f>-'Form 2.1A'!N22</f>
        <v>-9150.8869192820148</v>
      </c>
      <c r="D10" s="29">
        <f>-'Form 2.1A'!N23</f>
        <v>-144451.57355723143</v>
      </c>
      <c r="E10" s="29">
        <f>-'Form 2.1A'!N24</f>
        <v>-195861.63427556213</v>
      </c>
      <c r="I10" t="s">
        <v>225</v>
      </c>
    </row>
    <row r="11" spans="1:11" x14ac:dyDescent="0.3">
      <c r="A11" s="139">
        <f>A10+1</f>
        <v>3</v>
      </c>
      <c r="B11" s="43" t="s">
        <v>303</v>
      </c>
      <c r="C11" s="29">
        <f>-'Form 2.1A'!O22</f>
        <v>1089.7993253783097</v>
      </c>
      <c r="D11" s="29">
        <f>-'Form 2.1A'!O23</f>
        <v>22907.576011542853</v>
      </c>
      <c r="E11" s="29">
        <f>-'Form 2.1A'!O24</f>
        <v>24171.093314404905</v>
      </c>
    </row>
    <row r="12" spans="1:11" x14ac:dyDescent="0.3">
      <c r="A12" s="139">
        <f>A11+1</f>
        <v>4</v>
      </c>
      <c r="B12" s="43" t="s">
        <v>168</v>
      </c>
      <c r="E12" s="41">
        <f>-'Form 1.1'!C24</f>
        <v>-46580.166860285768</v>
      </c>
      <c r="I12" s="56">
        <v>43465</v>
      </c>
      <c r="J12" s="56">
        <v>43100</v>
      </c>
      <c r="K12" s="56">
        <v>42735</v>
      </c>
    </row>
    <row r="13" spans="1:11" x14ac:dyDescent="0.3">
      <c r="A13" s="139">
        <f t="shared" ref="A13:A39" si="0">A12+1</f>
        <v>5</v>
      </c>
      <c r="B13" s="43" t="s">
        <v>169</v>
      </c>
      <c r="C13" s="65">
        <v>-14261</v>
      </c>
      <c r="D13" s="65">
        <v>-170760</v>
      </c>
      <c r="E13" s="65">
        <f ca="1">-'Form 1.1'!C18*('Form 1.2'!G9+'Form 1.2'!G10)</f>
        <v>-414139.3968388362</v>
      </c>
      <c r="I13" s="1">
        <f ca="1">+'Form 1.1'!C18</f>
        <v>13533967.216955433</v>
      </c>
      <c r="J13" s="1">
        <f>'Form 1.1'!F18</f>
        <v>5580384.4182171458</v>
      </c>
      <c r="K13" s="1">
        <f>'Form 1.1'!G18</f>
        <v>466047.49230211379</v>
      </c>
    </row>
    <row r="14" spans="1:11" x14ac:dyDescent="0.3">
      <c r="A14" s="139">
        <f t="shared" si="0"/>
        <v>6</v>
      </c>
      <c r="B14" s="43" t="s">
        <v>7</v>
      </c>
      <c r="E14" s="65">
        <f>-'Form 1.1'!C25</f>
        <v>0</v>
      </c>
      <c r="I14" s="143">
        <f>'Form 1.2'!G9+'Form 1.2'!G10</f>
        <v>3.0599999999999999E-2</v>
      </c>
      <c r="J14" s="23">
        <f>+I14</f>
        <v>3.0599999999999999E-2</v>
      </c>
      <c r="K14" s="23">
        <f>+I14</f>
        <v>3.0599999999999999E-2</v>
      </c>
    </row>
    <row r="15" spans="1:11" x14ac:dyDescent="0.3">
      <c r="A15" s="139">
        <f t="shared" si="0"/>
        <v>7</v>
      </c>
      <c r="B15" s="43" t="s">
        <v>16</v>
      </c>
      <c r="E15" s="65">
        <f ca="1">-'Form 1.1'!C26</f>
        <v>-3162.0402020898409</v>
      </c>
      <c r="I15" s="44">
        <f ca="1">+I13*I14</f>
        <v>414139.3968388362</v>
      </c>
      <c r="J15" s="44">
        <f t="shared" ref="J15:K15" si="1">+J13*J14</f>
        <v>170759.76319744464</v>
      </c>
      <c r="K15" s="44">
        <f t="shared" si="1"/>
        <v>14261.053264444681</v>
      </c>
    </row>
    <row r="16" spans="1:11" x14ac:dyDescent="0.3">
      <c r="A16" s="139">
        <f t="shared" si="0"/>
        <v>8</v>
      </c>
      <c r="E16" s="65"/>
    </row>
    <row r="17" spans="1:11" x14ac:dyDescent="0.3">
      <c r="A17" s="139">
        <f t="shared" si="0"/>
        <v>9</v>
      </c>
      <c r="B17" s="43" t="s">
        <v>170</v>
      </c>
      <c r="C17" s="41">
        <f>SUM(C9:C13)</f>
        <v>-22322.087593903707</v>
      </c>
      <c r="D17" s="41">
        <f>SUM(D9:D13)</f>
        <v>-292303.99754568859</v>
      </c>
      <c r="E17" s="41">
        <f ca="1">SUM(E9:E16)</f>
        <v>1027784.0897982523</v>
      </c>
      <c r="J17" s="44"/>
      <c r="K17" s="44"/>
    </row>
    <row r="18" spans="1:11" x14ac:dyDescent="0.3">
      <c r="A18" s="139">
        <f t="shared" si="0"/>
        <v>10</v>
      </c>
    </row>
    <row r="19" spans="1:11" x14ac:dyDescent="0.3">
      <c r="A19" s="139">
        <f t="shared" si="0"/>
        <v>11</v>
      </c>
      <c r="B19" s="43" t="s">
        <v>171</v>
      </c>
      <c r="C19" s="65">
        <f>-'Form 2.1B'!P21</f>
        <v>-198630.9876367164</v>
      </c>
      <c r="D19" s="65">
        <f>-'Form 2.1B'!P22</f>
        <v>-2153120.7856465969</v>
      </c>
      <c r="E19" s="65">
        <f>-'Form 2.1B'!P23</f>
        <v>-3623429.6001982898</v>
      </c>
    </row>
    <row r="20" spans="1:11" x14ac:dyDescent="0.3">
      <c r="A20" s="139">
        <f t="shared" si="0"/>
        <v>12</v>
      </c>
    </row>
    <row r="21" spans="1:11" x14ac:dyDescent="0.3">
      <c r="A21" s="139">
        <f t="shared" si="0"/>
        <v>13</v>
      </c>
      <c r="B21" s="43" t="s">
        <v>172</v>
      </c>
      <c r="C21" s="65">
        <f>SUM(C17:C20)</f>
        <v>-220953.0752306201</v>
      </c>
      <c r="D21" s="65">
        <f>SUM(D17:D20)</f>
        <v>-2445424.7831922853</v>
      </c>
      <c r="E21" s="65">
        <f ca="1">SUM(E17:E20)</f>
        <v>-2595645.5104000373</v>
      </c>
    </row>
    <row r="22" spans="1:11" x14ac:dyDescent="0.3">
      <c r="A22" s="139">
        <f t="shared" si="0"/>
        <v>14</v>
      </c>
      <c r="B22" s="43" t="s">
        <v>173</v>
      </c>
      <c r="C22" s="160">
        <v>0.06</v>
      </c>
      <c r="D22" s="160">
        <v>0.06</v>
      </c>
      <c r="E22" s="160">
        <v>0.06</v>
      </c>
    </row>
    <row r="23" spans="1:11" x14ac:dyDescent="0.3">
      <c r="A23" s="139">
        <f t="shared" si="0"/>
        <v>15</v>
      </c>
      <c r="B23" s="43" t="s">
        <v>174</v>
      </c>
      <c r="C23" s="159">
        <f>C21*C22</f>
        <v>-13257.184513837206</v>
      </c>
      <c r="D23" s="159">
        <f>D21*D22</f>
        <v>-146725.48699153712</v>
      </c>
      <c r="E23" s="159">
        <f ca="1">E21*E22</f>
        <v>-155738.73062400223</v>
      </c>
    </row>
    <row r="24" spans="1:11" x14ac:dyDescent="0.3">
      <c r="A24" s="139">
        <f t="shared" si="0"/>
        <v>16</v>
      </c>
    </row>
    <row r="25" spans="1:11" x14ac:dyDescent="0.3">
      <c r="A25" s="139">
        <f t="shared" si="0"/>
        <v>17</v>
      </c>
      <c r="B25" s="43" t="s">
        <v>175</v>
      </c>
      <c r="C25" s="41">
        <f>C17</f>
        <v>-22322.087593903707</v>
      </c>
      <c r="D25" s="41">
        <f>D17</f>
        <v>-292303.99754568859</v>
      </c>
      <c r="E25" s="41">
        <f ca="1">E17</f>
        <v>1027784.0897982523</v>
      </c>
    </row>
    <row r="26" spans="1:11" x14ac:dyDescent="0.3">
      <c r="A26" s="139">
        <f t="shared" si="0"/>
        <v>18</v>
      </c>
      <c r="B26" s="43" t="s">
        <v>176</v>
      </c>
      <c r="C26" s="162"/>
      <c r="D26" s="162"/>
      <c r="E26" s="162"/>
    </row>
    <row r="27" spans="1:11" x14ac:dyDescent="0.3">
      <c r="A27" s="139">
        <f t="shared" si="0"/>
        <v>19</v>
      </c>
      <c r="B27" s="43" t="s">
        <v>177</v>
      </c>
      <c r="C27" s="65">
        <f>-'Form 2.1A'!P22</f>
        <v>-325785.59844179306</v>
      </c>
      <c r="D27" s="65">
        <f>-'Form 2.1A'!P23</f>
        <v>-3590646.9892606684</v>
      </c>
      <c r="E27" s="65">
        <f>-'Form 2.1A'!P24</f>
        <v>-5431568.7285204865</v>
      </c>
    </row>
    <row r="28" spans="1:11" x14ac:dyDescent="0.3">
      <c r="A28" s="139">
        <f t="shared" si="0"/>
        <v>20</v>
      </c>
    </row>
    <row r="29" spans="1:11" x14ac:dyDescent="0.3">
      <c r="A29" s="139">
        <f t="shared" si="0"/>
        <v>21</v>
      </c>
      <c r="B29" s="43" t="s">
        <v>178</v>
      </c>
      <c r="C29" s="41">
        <f>SUM(C25:C28)</f>
        <v>-348107.68603569677</v>
      </c>
      <c r="D29" s="41">
        <f>SUM(D25:D28)</f>
        <v>-3882950.9868063568</v>
      </c>
      <c r="E29" s="41">
        <f ca="1">SUM(E25:E28)</f>
        <v>-4403784.6387222344</v>
      </c>
    </row>
    <row r="30" spans="1:11" x14ac:dyDescent="0.3">
      <c r="A30" s="139">
        <f t="shared" si="0"/>
        <v>22</v>
      </c>
      <c r="B30" s="43" t="s">
        <v>179</v>
      </c>
      <c r="C30" s="160">
        <v>0.35</v>
      </c>
      <c r="D30" s="160">
        <v>0.35</v>
      </c>
      <c r="E30" s="160">
        <v>0.35</v>
      </c>
    </row>
    <row r="31" spans="1:11" x14ac:dyDescent="0.3">
      <c r="A31" s="139">
        <f t="shared" si="0"/>
        <v>23</v>
      </c>
      <c r="B31" s="43" t="s">
        <v>180</v>
      </c>
      <c r="C31" s="159">
        <f>C29*C30</f>
        <v>-121837.69011249386</v>
      </c>
      <c r="D31" s="159">
        <f>D29*D30</f>
        <v>-1359032.8453822248</v>
      </c>
      <c r="E31" s="159">
        <f ca="1">E29*E30</f>
        <v>-1541324.623552782</v>
      </c>
    </row>
    <row r="32" spans="1:11" x14ac:dyDescent="0.3">
      <c r="A32" s="139">
        <f t="shared" si="0"/>
        <v>24</v>
      </c>
    </row>
    <row r="33" spans="1:5" x14ac:dyDescent="0.3">
      <c r="A33" s="139">
        <f t="shared" si="0"/>
        <v>25</v>
      </c>
      <c r="B33" s="43" t="s">
        <v>182</v>
      </c>
      <c r="C33" s="65">
        <f>-'Form 2.1B'!Q21</f>
        <v>7746.608517831939</v>
      </c>
      <c r="D33" s="65">
        <f>-'Form 2.1B'!Q22</f>
        <v>83971.710640217279</v>
      </c>
      <c r="E33" s="65">
        <f>-'Form 2.1B'!Q23</f>
        <v>141313.7544077333</v>
      </c>
    </row>
    <row r="34" spans="1:5" x14ac:dyDescent="0.3">
      <c r="A34" s="139">
        <f t="shared" si="0"/>
        <v>26</v>
      </c>
      <c r="B34" s="43" t="s">
        <v>184</v>
      </c>
      <c r="C34" s="65">
        <f>C23*0.65</f>
        <v>-8617.1699339941842</v>
      </c>
      <c r="D34" s="65">
        <f>D23*0.65</f>
        <v>-95371.566544499132</v>
      </c>
      <c r="E34" s="65">
        <f ca="1">E23*0.65</f>
        <v>-101230.17490560145</v>
      </c>
    </row>
    <row r="35" spans="1:5" x14ac:dyDescent="0.3">
      <c r="A35" s="139">
        <f t="shared" si="0"/>
        <v>27</v>
      </c>
      <c r="B35" s="43" t="s">
        <v>183</v>
      </c>
      <c r="C35" s="65">
        <f>-'Form 2.1A'!Q22</f>
        <v>114024.95945462756</v>
      </c>
      <c r="D35" s="65">
        <f>-'Form 2.1A'!Q23</f>
        <v>1256726.446241234</v>
      </c>
      <c r="E35" s="65">
        <f>-'Form 2.1A'!Q24</f>
        <v>1901049.0549821702</v>
      </c>
    </row>
    <row r="36" spans="1:5" x14ac:dyDescent="0.3">
      <c r="A36" s="139">
        <f t="shared" si="0"/>
        <v>28</v>
      </c>
      <c r="B36" s="43" t="s">
        <v>185</v>
      </c>
      <c r="C36" s="162">
        <f>C31</f>
        <v>-121837.69011249386</v>
      </c>
      <c r="D36" s="162">
        <f>D31</f>
        <v>-1359032.8453822248</v>
      </c>
      <c r="E36" s="162">
        <f ca="1">E31</f>
        <v>-1541324.623552782</v>
      </c>
    </row>
    <row r="37" spans="1:5" x14ac:dyDescent="0.3">
      <c r="A37" s="139">
        <f t="shared" si="0"/>
        <v>29</v>
      </c>
      <c r="B37" s="43" t="s">
        <v>181</v>
      </c>
      <c r="C37" s="163">
        <f>SUM(C33:C36)</f>
        <v>-8683.2920740285481</v>
      </c>
      <c r="D37" s="163">
        <f>SUM(D33:D36)</f>
        <v>-113706.25504527264</v>
      </c>
      <c r="E37" s="163">
        <f ca="1">SUM(E33:E36)</f>
        <v>399808.01093152002</v>
      </c>
    </row>
    <row r="38" spans="1:5" x14ac:dyDescent="0.3">
      <c r="A38" s="139">
        <f t="shared" si="0"/>
        <v>30</v>
      </c>
    </row>
    <row r="39" spans="1:5" x14ac:dyDescent="0.3">
      <c r="A39" s="139">
        <f t="shared" si="0"/>
        <v>31</v>
      </c>
      <c r="B39" s="43" t="s">
        <v>187</v>
      </c>
      <c r="C39" s="65">
        <f>C17-C37</f>
        <v>-13638.795519875159</v>
      </c>
      <c r="D39" s="65">
        <f>D17-D37</f>
        <v>-178597.74250041594</v>
      </c>
      <c r="E39" s="65">
        <f ca="1">E17-E37</f>
        <v>627976.07886673231</v>
      </c>
    </row>
    <row r="44" spans="1:5" x14ac:dyDescent="0.3">
      <c r="B44" s="43" t="s">
        <v>186</v>
      </c>
      <c r="C44" s="53">
        <f>C37/C17</f>
        <v>0.38900000000000029</v>
      </c>
      <c r="D44" s="53">
        <f>D37/D17</f>
        <v>0.38899999999999924</v>
      </c>
      <c r="E44" s="53">
        <f ca="1">E37/E17</f>
        <v>0.38899999999999985</v>
      </c>
    </row>
    <row r="45" spans="1:5" x14ac:dyDescent="0.3">
      <c r="C45" s="164"/>
      <c r="D45" s="164"/>
      <c r="E45" s="164"/>
    </row>
    <row r="46" spans="1:5" x14ac:dyDescent="0.3">
      <c r="B46" s="43" t="s">
        <v>188</v>
      </c>
      <c r="C46" s="165"/>
      <c r="D46" s="165"/>
      <c r="E46" s="165"/>
    </row>
    <row r="47" spans="1:5" x14ac:dyDescent="0.3">
      <c r="C47" s="65"/>
      <c r="D47" s="65"/>
      <c r="E47" s="65"/>
    </row>
    <row r="48" spans="1:5" x14ac:dyDescent="0.3">
      <c r="B48" s="43" t="s">
        <v>0</v>
      </c>
      <c r="C48" s="162"/>
      <c r="D48" s="162"/>
      <c r="E48" s="162">
        <f ca="1">'Form 1.1'!C18</f>
        <v>13533967.216955433</v>
      </c>
    </row>
    <row r="49" spans="2:5" x14ac:dyDescent="0.3">
      <c r="B49" s="43" t="s">
        <v>190</v>
      </c>
      <c r="C49" s="162"/>
      <c r="D49" s="162"/>
      <c r="E49" s="53">
        <f>'Form 1.2'!F12+'Form 1.2'!F11</f>
        <v>4.6400000000000004E-2</v>
      </c>
    </row>
    <row r="50" spans="2:5" x14ac:dyDescent="0.3">
      <c r="B50" s="43" t="s">
        <v>189</v>
      </c>
      <c r="E50" s="65">
        <f ca="1">E48*E49</f>
        <v>627976.07886673207</v>
      </c>
    </row>
    <row r="51" spans="2:5" x14ac:dyDescent="0.3">
      <c r="C51" s="53"/>
      <c r="D51" s="53"/>
      <c r="E51" s="65">
        <f ca="1">E39-E50</f>
        <v>0</v>
      </c>
    </row>
    <row r="52" spans="2:5" x14ac:dyDescent="0.3">
      <c r="C52" s="53"/>
      <c r="D52" s="53"/>
      <c r="E52" s="53"/>
    </row>
    <row r="53" spans="2:5" x14ac:dyDescent="0.3">
      <c r="C53" s="53"/>
      <c r="D53" s="53"/>
      <c r="E53" s="53"/>
    </row>
    <row r="55" spans="2:5" x14ac:dyDescent="0.3">
      <c r="C55" s="158"/>
      <c r="D55" s="158"/>
      <c r="E55" s="158"/>
    </row>
    <row r="58" spans="2:5" x14ac:dyDescent="0.3">
      <c r="C58" s="158"/>
      <c r="D58" s="158"/>
      <c r="E58" s="158"/>
    </row>
  </sheetData>
  <pageMargins left="0.7" right="0.7" top="0.75" bottom="0.75" header="0.3" footer="0.3"/>
  <pageSetup orientation="portrait" verticalDpi="1200" r:id="rId1"/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"/>
  <sheetViews>
    <sheetView zoomScale="85" zoomScaleNormal="85" workbookViewId="0"/>
  </sheetViews>
  <sheetFormatPr defaultRowHeight="14.4" x14ac:dyDescent="0.3"/>
  <cols>
    <col min="1" max="1" width="5" customWidth="1"/>
    <col min="3" max="3" width="10.109375" bestFit="1" customWidth="1"/>
    <col min="4" max="4" width="12" bestFit="1" customWidth="1"/>
    <col min="5" max="5" width="13.44140625" bestFit="1" customWidth="1"/>
    <col min="6" max="6" width="13" bestFit="1" customWidth="1"/>
    <col min="7" max="7" width="11.6640625" bestFit="1" customWidth="1"/>
    <col min="8" max="8" width="13.33203125" bestFit="1" customWidth="1"/>
    <col min="9" max="9" width="13" bestFit="1" customWidth="1"/>
    <col min="10" max="10" width="9.88671875" customWidth="1"/>
    <col min="11" max="11" width="12.6640625" bestFit="1" customWidth="1"/>
    <col min="12" max="12" width="13" bestFit="1" customWidth="1"/>
    <col min="13" max="13" width="13.6640625" bestFit="1" customWidth="1"/>
    <col min="14" max="15" width="13.33203125" bestFit="1" customWidth="1"/>
    <col min="16" max="16" width="12.88671875" bestFit="1" customWidth="1"/>
    <col min="17" max="17" width="12.6640625" style="43" bestFit="1" customWidth="1"/>
    <col min="18" max="18" width="12.88671875" bestFit="1" customWidth="1"/>
  </cols>
  <sheetData>
    <row r="1" spans="1:18" x14ac:dyDescent="0.3">
      <c r="A1" s="7" t="s">
        <v>86</v>
      </c>
    </row>
    <row r="2" spans="1:18" x14ac:dyDescent="0.3">
      <c r="A2" s="7" t="s">
        <v>96</v>
      </c>
    </row>
    <row r="3" spans="1:18" x14ac:dyDescent="0.3">
      <c r="A3" s="7" t="s">
        <v>98</v>
      </c>
    </row>
    <row r="5" spans="1:18" x14ac:dyDescent="0.3">
      <c r="A5" s="7" t="s">
        <v>99</v>
      </c>
    </row>
    <row r="7" spans="1:18" x14ac:dyDescent="0.3">
      <c r="A7" s="12" t="s">
        <v>28</v>
      </c>
      <c r="C7" s="13" t="s">
        <v>56</v>
      </c>
      <c r="I7" s="13" t="s">
        <v>59</v>
      </c>
      <c r="J7" s="13" t="s">
        <v>60</v>
      </c>
      <c r="L7" s="13" t="s">
        <v>62</v>
      </c>
      <c r="N7" s="13"/>
      <c r="P7" s="13" t="s">
        <v>214</v>
      </c>
    </row>
    <row r="8" spans="1:18" x14ac:dyDescent="0.3">
      <c r="A8" s="14" t="s">
        <v>29</v>
      </c>
      <c r="B8" s="14" t="s">
        <v>54</v>
      </c>
      <c r="C8" s="14" t="s">
        <v>55</v>
      </c>
      <c r="D8" s="14" t="s">
        <v>103</v>
      </c>
      <c r="E8" s="14" t="s">
        <v>57</v>
      </c>
      <c r="F8" s="14" t="s">
        <v>58</v>
      </c>
      <c r="G8" s="14" t="s">
        <v>40</v>
      </c>
      <c r="H8" s="14" t="s">
        <v>57</v>
      </c>
      <c r="I8" s="14" t="s">
        <v>58</v>
      </c>
      <c r="J8" s="14" t="s">
        <v>61</v>
      </c>
      <c r="K8" s="14" t="s">
        <v>57</v>
      </c>
      <c r="L8" s="14" t="s">
        <v>58</v>
      </c>
      <c r="M8" s="14" t="s">
        <v>2</v>
      </c>
      <c r="N8" s="14" t="s">
        <v>214</v>
      </c>
      <c r="O8" s="14" t="s">
        <v>57</v>
      </c>
      <c r="P8" s="14" t="s">
        <v>58</v>
      </c>
      <c r="Q8" s="79" t="s">
        <v>292</v>
      </c>
    </row>
    <row r="9" spans="1:18" x14ac:dyDescent="0.3">
      <c r="A9" s="6"/>
      <c r="B9" s="25" t="s">
        <v>63</v>
      </c>
      <c r="C9" s="25" t="s">
        <v>64</v>
      </c>
      <c r="D9" s="25" t="s">
        <v>65</v>
      </c>
      <c r="E9" s="25" t="s">
        <v>66</v>
      </c>
      <c r="F9" s="26" t="s">
        <v>70</v>
      </c>
      <c r="G9" s="25" t="s">
        <v>67</v>
      </c>
      <c r="H9" s="25" t="s">
        <v>68</v>
      </c>
      <c r="I9" s="26" t="s">
        <v>69</v>
      </c>
      <c r="J9" s="25" t="s">
        <v>71</v>
      </c>
      <c r="K9" s="25" t="s">
        <v>72</v>
      </c>
      <c r="L9" s="26" t="s">
        <v>73</v>
      </c>
      <c r="M9" s="25" t="s">
        <v>74</v>
      </c>
      <c r="N9" s="25" t="s">
        <v>215</v>
      </c>
      <c r="O9" s="25" t="s">
        <v>216</v>
      </c>
      <c r="P9" s="26" t="s">
        <v>294</v>
      </c>
      <c r="Q9" s="144" t="s">
        <v>295</v>
      </c>
    </row>
    <row r="10" spans="1:18" x14ac:dyDescent="0.3">
      <c r="A10" s="6">
        <v>1</v>
      </c>
      <c r="B10" s="24">
        <v>42614</v>
      </c>
      <c r="C10" s="6">
        <v>12</v>
      </c>
      <c r="D10" s="31">
        <f>D33+D53+D73+D93</f>
        <v>786589.1</v>
      </c>
      <c r="E10" s="31">
        <f>SUM($C10/13)*D10</f>
        <v>726082.24615384615</v>
      </c>
      <c r="F10" s="31">
        <f>D10-E10</f>
        <v>60506.853846153826</v>
      </c>
      <c r="G10" s="31">
        <f>G33+G53+G73+G93</f>
        <v>-20565.782532109795</v>
      </c>
      <c r="H10" s="31">
        <f>SUM($C10/13)*G10</f>
        <v>-18983.799260409043</v>
      </c>
      <c r="I10" s="31">
        <f>G10-H10</f>
        <v>-1581.9832717007521</v>
      </c>
      <c r="J10" s="31">
        <f>J33+J53+J73+J93</f>
        <v>26574.636077485527</v>
      </c>
      <c r="K10" s="31">
        <f>SUM($C10/13)*J10</f>
        <v>24530.433302294336</v>
      </c>
      <c r="L10" s="31">
        <f>J10-K10</f>
        <v>2044.2027751911919</v>
      </c>
      <c r="M10" s="31">
        <f>M33+M53+M73+M93</f>
        <v>1234.6380308170228</v>
      </c>
      <c r="N10" s="31">
        <f t="shared" ref="N10:P10" si="0">N33+N53+N73+N93</f>
        <v>-78506.211763782238</v>
      </c>
      <c r="O10" s="31">
        <f t="shared" si="0"/>
        <v>-72467.272397337467</v>
      </c>
      <c r="P10" s="31">
        <f t="shared" si="0"/>
        <v>-6038.9393664447834</v>
      </c>
      <c r="Q10" s="87">
        <f>Q33+Q53+Q73+Q93</f>
        <v>-174.776719056904</v>
      </c>
      <c r="R10" s="34"/>
    </row>
    <row r="11" spans="1:18" x14ac:dyDescent="0.3">
      <c r="A11" s="6">
        <f>A10+1</f>
        <v>2</v>
      </c>
      <c r="B11" s="24">
        <v>42644</v>
      </c>
      <c r="C11" s="6">
        <v>11</v>
      </c>
      <c r="D11" s="1">
        <f t="shared" ref="D11:D21" si="1">D34+D54+D74+D94</f>
        <v>784764.75000000012</v>
      </c>
      <c r="E11" s="1">
        <f t="shared" ref="E11:E21" si="2">SUM($C11/13)*D11</f>
        <v>664031.71153846162</v>
      </c>
      <c r="F11" s="1">
        <f t="shared" ref="F11:F21" si="3">D11-E11</f>
        <v>120733.0384615385</v>
      </c>
      <c r="G11" s="1">
        <f t="shared" ref="G11:G21" si="4">G34+G54+G74+G94</f>
        <v>-13210.934537667117</v>
      </c>
      <c r="H11" s="1">
        <f t="shared" ref="H11:H21" si="5">SUM($C11/13)*G11</f>
        <v>-11178.483070333714</v>
      </c>
      <c r="I11" s="1">
        <f t="shared" ref="I11:I21" si="6">G11-H11</f>
        <v>-2032.4514673334033</v>
      </c>
      <c r="J11" s="1">
        <f t="shared" ref="J11:J21" si="7">J34+J54+J74+J94</f>
        <v>17226.456419928949</v>
      </c>
      <c r="K11" s="1">
        <f t="shared" ref="K11:K21" si="8">SUM($C11/13)*J11</f>
        <v>14576.232355324495</v>
      </c>
      <c r="L11" s="1">
        <f t="shared" ref="L11:L21" si="9">J11-K11</f>
        <v>2650.2240646044538</v>
      </c>
      <c r="M11" s="1">
        <f t="shared" ref="M11:P11" si="10">M34+M54+M74+M94</f>
        <v>2352.2198395678306</v>
      </c>
      <c r="N11" s="1">
        <f t="shared" si="10"/>
        <v>-37903.113279194644</v>
      </c>
      <c r="O11" s="1">
        <f t="shared" si="10"/>
        <v>-32071.865082395467</v>
      </c>
      <c r="P11" s="1">
        <f t="shared" si="10"/>
        <v>-5831.2481967991771</v>
      </c>
      <c r="Q11" s="41">
        <f t="shared" ref="Q11" si="11">Q34+Q54+Q74+Q94</f>
        <v>-179.71198504281676</v>
      </c>
      <c r="R11" s="34"/>
    </row>
    <row r="12" spans="1:18" x14ac:dyDescent="0.3">
      <c r="A12" s="6">
        <f t="shared" ref="A12:A20" si="12">A11+1</f>
        <v>3</v>
      </c>
      <c r="B12" s="24">
        <v>42675</v>
      </c>
      <c r="C12" s="6">
        <v>10</v>
      </c>
      <c r="D12" s="1">
        <f t="shared" si="1"/>
        <v>657060.25</v>
      </c>
      <c r="E12" s="1">
        <f t="shared" si="2"/>
        <v>505430.96153846156</v>
      </c>
      <c r="F12" s="1">
        <f t="shared" si="3"/>
        <v>151629.28846153844</v>
      </c>
      <c r="G12" s="1">
        <f t="shared" si="4"/>
        <v>-20451.451489235984</v>
      </c>
      <c r="H12" s="1">
        <f t="shared" si="5"/>
        <v>-15731.885760950758</v>
      </c>
      <c r="I12" s="1">
        <f t="shared" si="6"/>
        <v>-4719.5657282852262</v>
      </c>
      <c r="J12" s="1">
        <f t="shared" si="7"/>
        <v>24229.081748148055</v>
      </c>
      <c r="K12" s="1">
        <f t="shared" si="8"/>
        <v>18637.755190883119</v>
      </c>
      <c r="L12" s="1">
        <f t="shared" si="9"/>
        <v>5591.3265572649361</v>
      </c>
      <c r="M12" s="1">
        <f t="shared" ref="M12:P12" si="13">M35+M55+M75+M95</f>
        <v>2862.0232904484319</v>
      </c>
      <c r="N12" s="1">
        <f t="shared" si="13"/>
        <v>-51392.079656721486</v>
      </c>
      <c r="O12" s="1">
        <f t="shared" si="13"/>
        <v>-39532.368966708833</v>
      </c>
      <c r="P12" s="1">
        <f t="shared" si="13"/>
        <v>-11859.710690012647</v>
      </c>
      <c r="Q12" s="41">
        <f t="shared" ref="Q12" si="14">Q35+Q55+Q75+Q95</f>
        <v>-342.47126104789186</v>
      </c>
      <c r="R12" s="34"/>
    </row>
    <row r="13" spans="1:18" x14ac:dyDescent="0.3">
      <c r="A13" s="6">
        <f t="shared" si="12"/>
        <v>4</v>
      </c>
      <c r="B13" s="24">
        <v>42705</v>
      </c>
      <c r="C13" s="6">
        <v>9</v>
      </c>
      <c r="D13" s="1">
        <f t="shared" si="1"/>
        <v>481098.75</v>
      </c>
      <c r="E13" s="1">
        <f t="shared" si="2"/>
        <v>333068.36538461538</v>
      </c>
      <c r="F13" s="1">
        <f t="shared" si="3"/>
        <v>148030.38461538462</v>
      </c>
      <c r="G13" s="1">
        <f t="shared" si="4"/>
        <v>-18017.29276759459</v>
      </c>
      <c r="H13" s="1">
        <f t="shared" si="5"/>
        <v>-12473.510377565486</v>
      </c>
      <c r="I13" s="1">
        <f t="shared" si="6"/>
        <v>-5543.7823900291041</v>
      </c>
      <c r="J13" s="1">
        <f t="shared" si="7"/>
        <v>23615.863079288072</v>
      </c>
      <c r="K13" s="1">
        <f t="shared" si="8"/>
        <v>16349.443670276358</v>
      </c>
      <c r="L13" s="1">
        <f t="shared" si="9"/>
        <v>7266.4194090117144</v>
      </c>
      <c r="M13" s="1">
        <f t="shared" ref="M13:P13" si="15">M36+M56+M76+M96</f>
        <v>2702.005758448729</v>
      </c>
      <c r="N13" s="1">
        <f t="shared" si="15"/>
        <v>-44591.765064137267</v>
      </c>
      <c r="O13" s="1">
        <f t="shared" si="15"/>
        <v>-30871.221967479647</v>
      </c>
      <c r="P13" s="1">
        <f t="shared" si="15"/>
        <v>-13720.543096657624</v>
      </c>
      <c r="Q13" s="41">
        <f t="shared" ref="Q13" si="16">Q36+Q56+Q76+Q96</f>
        <v>-392.83936023069708</v>
      </c>
      <c r="R13" s="34"/>
    </row>
    <row r="14" spans="1:18" x14ac:dyDescent="0.3">
      <c r="A14" s="6">
        <f t="shared" si="12"/>
        <v>5</v>
      </c>
      <c r="B14" s="24">
        <v>42736</v>
      </c>
      <c r="C14" s="6">
        <v>8</v>
      </c>
      <c r="D14" s="1">
        <f t="shared" si="1"/>
        <v>332796.75</v>
      </c>
      <c r="E14" s="1">
        <f t="shared" si="2"/>
        <v>204798</v>
      </c>
      <c r="F14" s="1">
        <f t="shared" si="3"/>
        <v>127998.75</v>
      </c>
      <c r="G14" s="1">
        <f t="shared" si="4"/>
        <v>-18183.904265653182</v>
      </c>
      <c r="H14" s="1">
        <f t="shared" si="5"/>
        <v>-11190.094932709651</v>
      </c>
      <c r="I14" s="1">
        <f t="shared" si="6"/>
        <v>-6993.8093329435305</v>
      </c>
      <c r="J14" s="1">
        <f t="shared" si="7"/>
        <v>23362.755998895798</v>
      </c>
      <c r="K14" s="1">
        <f t="shared" si="8"/>
        <v>14377.080614705108</v>
      </c>
      <c r="L14" s="1">
        <f t="shared" si="9"/>
        <v>8985.6753841906902</v>
      </c>
      <c r="M14" s="1">
        <f t="shared" ref="M14:P14" si="17">M37+M57+M77+M97</f>
        <v>2275.2354920306793</v>
      </c>
      <c r="N14" s="1">
        <f t="shared" si="17"/>
        <v>-41500.388112918605</v>
      </c>
      <c r="O14" s="1">
        <f t="shared" si="17"/>
        <v>-25538.700377180681</v>
      </c>
      <c r="P14" s="1">
        <f t="shared" si="17"/>
        <v>-15961.687735737925</v>
      </c>
      <c r="Q14" s="41">
        <f t="shared" ref="Q14" si="18">Q37+Q57+Q77+Q97</f>
        <v>-461.57801486678198</v>
      </c>
      <c r="R14" s="34"/>
    </row>
    <row r="15" spans="1:18" x14ac:dyDescent="0.3">
      <c r="A15" s="6">
        <f t="shared" si="12"/>
        <v>6</v>
      </c>
      <c r="B15" s="24">
        <v>42767</v>
      </c>
      <c r="C15" s="6">
        <v>7</v>
      </c>
      <c r="D15" s="1">
        <f t="shared" si="1"/>
        <v>299252.25</v>
      </c>
      <c r="E15" s="1">
        <f t="shared" si="2"/>
        <v>161135.82692307691</v>
      </c>
      <c r="F15" s="1">
        <f t="shared" si="3"/>
        <v>138116.42307692309</v>
      </c>
      <c r="G15" s="1">
        <f t="shared" si="4"/>
        <v>-8326.1522800101466</v>
      </c>
      <c r="H15" s="1">
        <f t="shared" si="5"/>
        <v>-4483.3127661593098</v>
      </c>
      <c r="I15" s="1">
        <f t="shared" si="6"/>
        <v>-3842.8395138508367</v>
      </c>
      <c r="J15" s="1">
        <f t="shared" si="7"/>
        <v>16839.171972081749</v>
      </c>
      <c r="K15" s="1">
        <f t="shared" si="8"/>
        <v>9067.2464465055564</v>
      </c>
      <c r="L15" s="1">
        <f t="shared" si="9"/>
        <v>7771.9255255761927</v>
      </c>
      <c r="M15" s="1">
        <f t="shared" ref="M15:P15" si="19">M38+M58+M78+M98</f>
        <v>2765.4032669203002</v>
      </c>
      <c r="N15" s="1">
        <f t="shared" si="19"/>
        <v>-17004.011463684747</v>
      </c>
      <c r="O15" s="1">
        <f t="shared" si="19"/>
        <v>-9156.0061727533248</v>
      </c>
      <c r="P15" s="1">
        <f t="shared" si="19"/>
        <v>-7848.0052909314218</v>
      </c>
      <c r="Q15" s="41">
        <f t="shared" ref="Q15" si="20">Q38+Q58+Q78+Q98</f>
        <v>-241.86563806572849</v>
      </c>
      <c r="R15" s="34"/>
    </row>
    <row r="16" spans="1:18" x14ac:dyDescent="0.3">
      <c r="A16" s="6">
        <f t="shared" si="12"/>
        <v>7</v>
      </c>
      <c r="B16" s="24">
        <v>42795</v>
      </c>
      <c r="C16" s="6">
        <v>6</v>
      </c>
      <c r="D16" s="1">
        <f t="shared" si="1"/>
        <v>267179</v>
      </c>
      <c r="E16" s="1">
        <f t="shared" si="2"/>
        <v>123313.38461538462</v>
      </c>
      <c r="F16" s="1">
        <f t="shared" si="3"/>
        <v>143865.61538461538</v>
      </c>
      <c r="G16" s="1">
        <f t="shared" si="4"/>
        <v>-17471.705153286759</v>
      </c>
      <c r="H16" s="1">
        <f t="shared" si="5"/>
        <v>-8063.8639169015814</v>
      </c>
      <c r="I16" s="1">
        <f t="shared" si="6"/>
        <v>-9407.8412363851785</v>
      </c>
      <c r="J16" s="1">
        <f t="shared" si="7"/>
        <v>22542.627353113654</v>
      </c>
      <c r="K16" s="1">
        <f t="shared" si="8"/>
        <v>10404.289547590917</v>
      </c>
      <c r="L16" s="1">
        <f t="shared" si="9"/>
        <v>12138.337805522737</v>
      </c>
      <c r="M16" s="1">
        <f t="shared" ref="M16:P16" si="21">M39+M59+M79+M99</f>
        <v>2806.9280060363981</v>
      </c>
      <c r="N16" s="1">
        <f t="shared" si="21"/>
        <v>-43578.321913026361</v>
      </c>
      <c r="O16" s="1">
        <f t="shared" si="21"/>
        <v>-20113.071652166014</v>
      </c>
      <c r="P16" s="1">
        <f t="shared" si="21"/>
        <v>-23465.250260860346</v>
      </c>
      <c r="Q16" s="41">
        <f t="shared" ref="Q16" si="22">Q39+Q59+Q79+Q99</f>
        <v>-652.24300606838005</v>
      </c>
      <c r="R16" s="34"/>
    </row>
    <row r="17" spans="1:18" x14ac:dyDescent="0.3">
      <c r="A17" s="6">
        <f t="shared" si="12"/>
        <v>8</v>
      </c>
      <c r="B17" s="24">
        <v>42826</v>
      </c>
      <c r="C17" s="6">
        <v>5</v>
      </c>
      <c r="D17" s="1">
        <f t="shared" si="1"/>
        <v>300723.5</v>
      </c>
      <c r="E17" s="1">
        <f t="shared" si="2"/>
        <v>115662.88461538462</v>
      </c>
      <c r="F17" s="1">
        <f t="shared" si="3"/>
        <v>185060.61538461538</v>
      </c>
      <c r="G17" s="1">
        <f t="shared" si="4"/>
        <v>-16843.213313496428</v>
      </c>
      <c r="H17" s="1">
        <f t="shared" si="5"/>
        <v>-6478.1589667293956</v>
      </c>
      <c r="I17" s="1">
        <f t="shared" si="6"/>
        <v>-10365.054346767032</v>
      </c>
      <c r="J17" s="1">
        <f t="shared" si="7"/>
        <v>24660.174179990343</v>
      </c>
      <c r="K17" s="1">
        <f t="shared" si="8"/>
        <v>9484.6823769193634</v>
      </c>
      <c r="L17" s="1">
        <f t="shared" si="9"/>
        <v>15175.49180307098</v>
      </c>
      <c r="M17" s="1">
        <f t="shared" ref="M17:P17" si="23">M40+M60+M80+M100</f>
        <v>4171.5403050121804</v>
      </c>
      <c r="N17" s="1">
        <f t="shared" si="23"/>
        <v>-54295.962172560197</v>
      </c>
      <c r="O17" s="1">
        <f t="shared" si="23"/>
        <v>-20883.062374061614</v>
      </c>
      <c r="P17" s="1">
        <f t="shared" si="23"/>
        <v>-33412.899798498576</v>
      </c>
      <c r="Q17" s="41">
        <f t="shared" ref="Q17" si="24">Q40+Q60+Q80+Q100</f>
        <v>-951.39587756728633</v>
      </c>
      <c r="R17" s="34"/>
    </row>
    <row r="18" spans="1:18" x14ac:dyDescent="0.3">
      <c r="A18" s="6">
        <f t="shared" si="12"/>
        <v>9</v>
      </c>
      <c r="B18" s="24">
        <v>42856</v>
      </c>
      <c r="C18" s="6">
        <v>4</v>
      </c>
      <c r="D18" s="1">
        <f t="shared" si="1"/>
        <v>406065</v>
      </c>
      <c r="E18" s="1">
        <f t="shared" si="2"/>
        <v>124943.07692307694</v>
      </c>
      <c r="F18" s="1">
        <f t="shared" si="3"/>
        <v>281121.92307692306</v>
      </c>
      <c r="G18" s="1">
        <f t="shared" si="4"/>
        <v>-17041.590702932201</v>
      </c>
      <c r="H18" s="1">
        <f t="shared" si="5"/>
        <v>-5243.566370132985</v>
      </c>
      <c r="I18" s="1">
        <f t="shared" si="6"/>
        <v>-11798.024332799216</v>
      </c>
      <c r="J18" s="1">
        <f t="shared" si="7"/>
        <v>24006.167446920714</v>
      </c>
      <c r="K18" s="1">
        <f t="shared" si="8"/>
        <v>7386.513060590989</v>
      </c>
      <c r="L18" s="1">
        <f t="shared" si="9"/>
        <v>16619.654386329727</v>
      </c>
      <c r="M18" s="1">
        <f t="shared" ref="M18:P18" si="25">M41+M61+M81+M101</f>
        <v>5781.1473131495268</v>
      </c>
      <c r="N18" s="1">
        <f t="shared" si="25"/>
        <v>-62230.354336799661</v>
      </c>
      <c r="O18" s="1">
        <f t="shared" si="25"/>
        <v>-19147.801334399897</v>
      </c>
      <c r="P18" s="1">
        <f t="shared" si="25"/>
        <v>-43082.553002399763</v>
      </c>
      <c r="Q18" s="41">
        <f t="shared" ref="Q18" si="26">Q41+Q61+Q81+Q101</f>
        <v>-1227.5894487753858</v>
      </c>
      <c r="R18" s="34"/>
    </row>
    <row r="19" spans="1:18" x14ac:dyDescent="0.3">
      <c r="A19" s="6">
        <f t="shared" si="12"/>
        <v>10</v>
      </c>
      <c r="B19" s="24">
        <v>42887</v>
      </c>
      <c r="C19" s="6">
        <v>3</v>
      </c>
      <c r="D19" s="1">
        <f t="shared" si="1"/>
        <v>599681.5</v>
      </c>
      <c r="E19" s="1">
        <f t="shared" si="2"/>
        <v>138388.03846153847</v>
      </c>
      <c r="F19" s="1">
        <f t="shared" si="3"/>
        <v>461293.4615384615</v>
      </c>
      <c r="G19" s="1">
        <f t="shared" si="4"/>
        <v>-17650.385874710511</v>
      </c>
      <c r="H19" s="1">
        <f t="shared" si="5"/>
        <v>-4073.1659710870413</v>
      </c>
      <c r="I19" s="1">
        <f t="shared" si="6"/>
        <v>-13577.219903623471</v>
      </c>
      <c r="J19" s="1">
        <f t="shared" si="7"/>
        <v>23490.123390363377</v>
      </c>
      <c r="K19" s="1">
        <f t="shared" si="8"/>
        <v>5420.7977054684716</v>
      </c>
      <c r="L19" s="1">
        <f t="shared" si="9"/>
        <v>18069.325684894906</v>
      </c>
      <c r="M19" s="1">
        <f t="shared" ref="M19:P19" si="27">M42+M62+M82+M102</f>
        <v>9613.14970546123</v>
      </c>
      <c r="N19" s="1">
        <f t="shared" si="27"/>
        <v>-88843.47176288419</v>
      </c>
      <c r="O19" s="1">
        <f t="shared" si="27"/>
        <v>-20502.339637588662</v>
      </c>
      <c r="P19" s="1">
        <f t="shared" si="27"/>
        <v>-68341.132125295539</v>
      </c>
      <c r="Q19" s="41">
        <f t="shared" ref="Q19" si="28">Q42+Q62+Q82+Q102</f>
        <v>-1938.4059369770912</v>
      </c>
      <c r="R19" s="34"/>
    </row>
    <row r="20" spans="1:18" x14ac:dyDescent="0.3">
      <c r="A20" s="6">
        <f t="shared" si="12"/>
        <v>11</v>
      </c>
      <c r="B20" s="24">
        <v>42917</v>
      </c>
      <c r="C20" s="6">
        <v>2</v>
      </c>
      <c r="D20" s="1">
        <f t="shared" si="1"/>
        <v>754221.6</v>
      </c>
      <c r="E20" s="1">
        <f t="shared" si="2"/>
        <v>116034.09230769231</v>
      </c>
      <c r="F20" s="1">
        <f t="shared" si="3"/>
        <v>638187.5076923077</v>
      </c>
      <c r="G20" s="1">
        <f t="shared" si="4"/>
        <v>-18975.56603620221</v>
      </c>
      <c r="H20" s="1">
        <f t="shared" si="5"/>
        <v>-2919.3178517234169</v>
      </c>
      <c r="I20" s="1">
        <f t="shared" si="6"/>
        <v>-16056.248184478793</v>
      </c>
      <c r="J20" s="1">
        <f t="shared" si="7"/>
        <v>24611.649120216382</v>
      </c>
      <c r="K20" s="1">
        <f t="shared" si="8"/>
        <v>3786.4075569563665</v>
      </c>
      <c r="L20" s="1">
        <f t="shared" si="9"/>
        <v>20825.241563260017</v>
      </c>
      <c r="M20" s="1">
        <f t="shared" ref="M20:P20" si="29">M43+M63+M83+M103</f>
        <v>12534.141000862794</v>
      </c>
      <c r="N20" s="1">
        <f t="shared" si="29"/>
        <v>-72541.160036753863</v>
      </c>
      <c r="O20" s="1">
        <f t="shared" si="29"/>
        <v>-11160.178467192902</v>
      </c>
      <c r="P20" s="1">
        <f t="shared" si="29"/>
        <v>-61380.98156956095</v>
      </c>
      <c r="Q20" s="41">
        <f t="shared" ref="Q20" si="30">Q43+Q63+Q83+Q103</f>
        <v>-1738.0333164599479</v>
      </c>
      <c r="R20" s="34"/>
    </row>
    <row r="21" spans="1:18" x14ac:dyDescent="0.3">
      <c r="A21" s="6">
        <f t="shared" ref="A21" si="31">A20+1</f>
        <v>12</v>
      </c>
      <c r="B21" s="24">
        <v>42948</v>
      </c>
      <c r="C21" s="6">
        <v>1</v>
      </c>
      <c r="D21" s="1">
        <f t="shared" si="1"/>
        <v>793886.5</v>
      </c>
      <c r="E21" s="1">
        <f t="shared" si="2"/>
        <v>61068.192307692312</v>
      </c>
      <c r="F21" s="1">
        <f t="shared" si="3"/>
        <v>732818.30769230775</v>
      </c>
      <c r="G21" s="1">
        <f t="shared" si="4"/>
        <v>-19361.872444520337</v>
      </c>
      <c r="H21" s="1">
        <f t="shared" si="5"/>
        <v>-1489.3748034246414</v>
      </c>
      <c r="I21" s="1">
        <f t="shared" si="6"/>
        <v>-17872.497641095695</v>
      </c>
      <c r="J21" s="1">
        <f t="shared" si="7"/>
        <v>24735.99143544698</v>
      </c>
      <c r="K21" s="1">
        <f t="shared" si="8"/>
        <v>1902.7685719574602</v>
      </c>
      <c r="L21" s="1">
        <f t="shared" si="9"/>
        <v>22833.222863489522</v>
      </c>
      <c r="M21" s="1">
        <f t="shared" ref="M21:P21" si="32">M44+M64+M84+M104</f>
        <v>14419.959437083618</v>
      </c>
      <c r="N21" s="1">
        <f t="shared" si="32"/>
        <v>-74172.973836691526</v>
      </c>
      <c r="O21" s="1">
        <f t="shared" si="32"/>
        <v>-5705.6133720531952</v>
      </c>
      <c r="P21" s="1">
        <f t="shared" si="32"/>
        <v>-68467.360464638332</v>
      </c>
      <c r="Q21" s="41">
        <f t="shared" ref="Q21" si="33">Q44+Q64+Q84+Q104</f>
        <v>-1972.6760156914468</v>
      </c>
      <c r="R21" s="34"/>
    </row>
    <row r="22" spans="1:18" x14ac:dyDescent="0.3">
      <c r="D22" s="69">
        <f>SUM(D10:D21)</f>
        <v>6463318.9499999993</v>
      </c>
      <c r="E22" s="69">
        <f t="shared" ref="E22:M22" si="34">SUM(E10:E21)</f>
        <v>3273956.7807692313</v>
      </c>
      <c r="F22" s="69">
        <f t="shared" si="34"/>
        <v>3189362.1692307694</v>
      </c>
      <c r="G22" s="69">
        <f t="shared" si="34"/>
        <v>-206099.85139741926</v>
      </c>
      <c r="H22" s="69">
        <f t="shared" si="34"/>
        <v>-102308.53404812701</v>
      </c>
      <c r="I22" s="69">
        <f t="shared" si="34"/>
        <v>-103791.31734929225</v>
      </c>
      <c r="J22" s="69">
        <f t="shared" si="34"/>
        <v>275894.69822187955</v>
      </c>
      <c r="K22" s="69">
        <f t="shared" si="34"/>
        <v>135923.65039947254</v>
      </c>
      <c r="L22" s="69">
        <f t="shared" si="34"/>
        <v>139971.04782240707</v>
      </c>
      <c r="M22" s="69">
        <f t="shared" si="34"/>
        <v>63518.391445838744</v>
      </c>
      <c r="N22" s="69">
        <f t="shared" ref="N22:Q22" si="35">SUM(N10:N21)</f>
        <v>-666559.81339915469</v>
      </c>
      <c r="O22" s="69">
        <f t="shared" si="35"/>
        <v>-307149.50180131767</v>
      </c>
      <c r="P22" s="69">
        <f t="shared" si="35"/>
        <v>-359410.31159783708</v>
      </c>
      <c r="Q22" s="88">
        <f t="shared" si="35"/>
        <v>-10273.586579850358</v>
      </c>
      <c r="R22" s="34"/>
    </row>
    <row r="23" spans="1:18" x14ac:dyDescent="0.3">
      <c r="A23" t="s">
        <v>84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P23" s="34"/>
      <c r="Q23" s="30"/>
      <c r="R23" s="34"/>
    </row>
    <row r="24" spans="1:18" x14ac:dyDescent="0.3">
      <c r="A24" s="1">
        <v>-1</v>
      </c>
      <c r="B24" t="s">
        <v>85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P24" s="34"/>
      <c r="Q24" s="30"/>
      <c r="R24" s="34"/>
    </row>
    <row r="25" spans="1:18" x14ac:dyDescent="0.3">
      <c r="A25" s="1">
        <v>-2</v>
      </c>
      <c r="B25" t="s">
        <v>293</v>
      </c>
    </row>
    <row r="26" spans="1:18" x14ac:dyDescent="0.3">
      <c r="A26" s="1"/>
    </row>
    <row r="28" spans="1:18" x14ac:dyDescent="0.3">
      <c r="A28" s="7" t="s">
        <v>100</v>
      </c>
    </row>
    <row r="30" spans="1:18" x14ac:dyDescent="0.3">
      <c r="A30" s="12" t="s">
        <v>28</v>
      </c>
      <c r="C30" s="13" t="s">
        <v>56</v>
      </c>
      <c r="I30" s="13" t="s">
        <v>59</v>
      </c>
      <c r="J30" s="13" t="s">
        <v>60</v>
      </c>
      <c r="L30" s="13" t="s">
        <v>62</v>
      </c>
      <c r="N30" s="13"/>
      <c r="P30" s="13" t="s">
        <v>214</v>
      </c>
    </row>
    <row r="31" spans="1:18" x14ac:dyDescent="0.3">
      <c r="A31" s="14" t="s">
        <v>29</v>
      </c>
      <c r="B31" s="14" t="s">
        <v>54</v>
      </c>
      <c r="C31" s="14" t="s">
        <v>55</v>
      </c>
      <c r="D31" s="14" t="s">
        <v>103</v>
      </c>
      <c r="E31" s="14" t="s">
        <v>57</v>
      </c>
      <c r="F31" s="14" t="s">
        <v>58</v>
      </c>
      <c r="G31" s="14" t="s">
        <v>40</v>
      </c>
      <c r="H31" s="14" t="s">
        <v>57</v>
      </c>
      <c r="I31" s="14" t="s">
        <v>58</v>
      </c>
      <c r="J31" s="14" t="s">
        <v>61</v>
      </c>
      <c r="K31" s="14" t="s">
        <v>57</v>
      </c>
      <c r="L31" s="14" t="s">
        <v>58</v>
      </c>
      <c r="M31" s="14" t="s">
        <v>2</v>
      </c>
      <c r="N31" s="14" t="s">
        <v>214</v>
      </c>
      <c r="O31" s="14" t="s">
        <v>57</v>
      </c>
      <c r="P31" s="14" t="s">
        <v>58</v>
      </c>
      <c r="Q31" s="79" t="s">
        <v>292</v>
      </c>
    </row>
    <row r="32" spans="1:18" x14ac:dyDescent="0.3">
      <c r="A32" s="6"/>
      <c r="B32" s="25" t="s">
        <v>63</v>
      </c>
      <c r="C32" s="25" t="s">
        <v>64</v>
      </c>
      <c r="D32" s="25" t="s">
        <v>65</v>
      </c>
      <c r="E32" s="25" t="s">
        <v>66</v>
      </c>
      <c r="F32" s="26" t="s">
        <v>70</v>
      </c>
      <c r="G32" s="25" t="s">
        <v>67</v>
      </c>
      <c r="H32" s="25" t="s">
        <v>68</v>
      </c>
      <c r="I32" s="26" t="s">
        <v>69</v>
      </c>
      <c r="J32" s="25" t="s">
        <v>71</v>
      </c>
      <c r="K32" s="25" t="s">
        <v>72</v>
      </c>
      <c r="L32" s="26" t="s">
        <v>73</v>
      </c>
      <c r="M32" s="25" t="s">
        <v>74</v>
      </c>
      <c r="N32" s="25" t="s">
        <v>215</v>
      </c>
      <c r="O32" s="25" t="s">
        <v>216</v>
      </c>
      <c r="P32" s="26" t="s">
        <v>294</v>
      </c>
      <c r="Q32" s="144" t="s">
        <v>295</v>
      </c>
    </row>
    <row r="33" spans="1:17" x14ac:dyDescent="0.3">
      <c r="A33" s="6">
        <v>1</v>
      </c>
      <c r="B33" s="24">
        <v>42614</v>
      </c>
      <c r="C33" s="6">
        <v>12</v>
      </c>
      <c r="D33" s="31">
        <f>'Link In'!C$7</f>
        <v>496246.74</v>
      </c>
      <c r="E33" s="31">
        <f>SUM($C33/13)*D33</f>
        <v>458073.91384615388</v>
      </c>
      <c r="F33" s="31">
        <f>D33-E33</f>
        <v>38172.826153846108</v>
      </c>
      <c r="G33" s="31">
        <f>-D33*'Link In'!C$34</f>
        <v>-3848.9060863200025</v>
      </c>
      <c r="H33" s="31">
        <f>SUM($C33/13)*G33</f>
        <v>-3552.8363873723101</v>
      </c>
      <c r="I33" s="31">
        <f>G33-H33</f>
        <v>-296.06969894769236</v>
      </c>
      <c r="J33" s="31">
        <f>-G33*'Link In'!C$44</f>
        <v>4946.0346442308719</v>
      </c>
      <c r="K33" s="31">
        <f>SUM($C33/13)*J33</f>
        <v>4565.5704408284973</v>
      </c>
      <c r="L33" s="31">
        <f>J33-K33</f>
        <v>380.46420340237455</v>
      </c>
      <c r="M33" s="31">
        <f>SUM(F33+I33)*'Form 2.0'!$F$10</f>
        <v>579.51437375994578</v>
      </c>
      <c r="N33" s="31">
        <f>'Link In'!C$61</f>
        <v>-14914.179983613647</v>
      </c>
      <c r="O33" s="31">
        <f>SUM($C33/13)*N33</f>
        <v>-13766.935369489522</v>
      </c>
      <c r="P33" s="31">
        <f>N33-O33</f>
        <v>-1147.2446141241253</v>
      </c>
      <c r="Q33" s="87">
        <f>P33*'Form 2.0'!$F$33</f>
        <v>-17.552842596099119</v>
      </c>
    </row>
    <row r="34" spans="1:17" x14ac:dyDescent="0.3">
      <c r="A34" s="6">
        <f>A33+1</f>
        <v>2</v>
      </c>
      <c r="B34" s="24">
        <v>42644</v>
      </c>
      <c r="C34" s="6">
        <v>11</v>
      </c>
      <c r="D34" s="1">
        <f>'Link In'!D$7</f>
        <v>539831.05000000005</v>
      </c>
      <c r="E34" s="1">
        <f t="shared" ref="E34:E44" si="36">SUM($C34/13)*D34</f>
        <v>456780.11923076928</v>
      </c>
      <c r="F34" s="1">
        <f t="shared" ref="F34:F44" si="37">D34-E34</f>
        <v>83050.930769230763</v>
      </c>
      <c r="G34" s="1">
        <f>-D34*'Link In'!D$34</f>
        <v>-1096.9635304459532</v>
      </c>
      <c r="H34" s="1">
        <f t="shared" ref="H34:H44" si="38">SUM($C34/13)*G34</f>
        <v>-928.19991037734496</v>
      </c>
      <c r="I34" s="1">
        <f t="shared" ref="I34:I44" si="39">G34-H34</f>
        <v>-168.76362006860825</v>
      </c>
      <c r="J34" s="1">
        <f>-G34*'Link In'!D$44</f>
        <v>1409.6523800171517</v>
      </c>
      <c r="K34" s="1">
        <f t="shared" ref="K34:K44" si="40">SUM($C34/13)*J34</f>
        <v>1192.7827830914359</v>
      </c>
      <c r="L34" s="1">
        <f t="shared" ref="L34:L44" si="41">J34-K34</f>
        <v>216.86959692571577</v>
      </c>
      <c r="M34" s="1">
        <f>SUM(F34+I34)*'Form 2.0'!$F$10</f>
        <v>1268.097157382181</v>
      </c>
      <c r="N34" s="1">
        <f>'Link In'!D$61</f>
        <v>-3216.7000218233161</v>
      </c>
      <c r="O34" s="1">
        <f t="shared" ref="O34:O44" si="42">SUM($C34/13)*N34</f>
        <v>-2721.8230953889597</v>
      </c>
      <c r="P34" s="1">
        <f t="shared" ref="P34:P44" si="43">N34-O34</f>
        <v>-494.87692643435639</v>
      </c>
      <c r="Q34" s="41">
        <f>P34*'Form 2.0'!$F$33</f>
        <v>-7.5716169744456536</v>
      </c>
    </row>
    <row r="35" spans="1:17" x14ac:dyDescent="0.3">
      <c r="A35" s="6">
        <f t="shared" ref="A35:A44" si="44">A34+1</f>
        <v>3</v>
      </c>
      <c r="B35" s="24">
        <v>42675</v>
      </c>
      <c r="C35" s="6">
        <v>10</v>
      </c>
      <c r="D35" s="1">
        <f>'Link In'!E$7</f>
        <v>464032.25</v>
      </c>
      <c r="E35" s="1">
        <f t="shared" si="36"/>
        <v>356947.88461538462</v>
      </c>
      <c r="F35" s="1">
        <f t="shared" si="37"/>
        <v>107084.36538461538</v>
      </c>
      <c r="G35" s="1">
        <f>-D35*'Link In'!E$34</f>
        <v>-3904.6423848990935</v>
      </c>
      <c r="H35" s="1">
        <f t="shared" si="38"/>
        <v>-3003.571065306995</v>
      </c>
      <c r="I35" s="1">
        <f t="shared" si="39"/>
        <v>-901.07131959209846</v>
      </c>
      <c r="J35" s="1">
        <f>-G35*'Link In'!E$44</f>
        <v>5017.6585439911687</v>
      </c>
      <c r="K35" s="1">
        <f t="shared" si="40"/>
        <v>3859.7373415316683</v>
      </c>
      <c r="L35" s="1">
        <f t="shared" si="41"/>
        <v>1157.9212024595004</v>
      </c>
      <c r="M35" s="1">
        <f>SUM(F35+I35)*'Form 2.0'!$F$10</f>
        <v>1624.6043991948563</v>
      </c>
      <c r="N35" s="1">
        <f>'Link In'!E$61</f>
        <v>-9814.1535216719512</v>
      </c>
      <c r="O35" s="1">
        <f t="shared" si="42"/>
        <v>-7549.3488628245786</v>
      </c>
      <c r="P35" s="1">
        <f t="shared" si="43"/>
        <v>-2264.8046588473726</v>
      </c>
      <c r="Q35" s="41">
        <f>P35*'Form 2.0'!$F$33</f>
        <v>-34.651511280364801</v>
      </c>
    </row>
    <row r="36" spans="1:17" x14ac:dyDescent="0.3">
      <c r="A36" s="6">
        <f t="shared" si="44"/>
        <v>4</v>
      </c>
      <c r="B36" s="24">
        <v>42705</v>
      </c>
      <c r="C36" s="6">
        <v>9</v>
      </c>
      <c r="D36" s="1">
        <f>'Link In'!F$7</f>
        <v>353453.1</v>
      </c>
      <c r="E36" s="1">
        <f t="shared" si="36"/>
        <v>244698.3</v>
      </c>
      <c r="F36" s="1">
        <f t="shared" si="37"/>
        <v>108754.79999999999</v>
      </c>
      <c r="G36" s="1">
        <f>-D36*'Link In'!F$34</f>
        <v>-3648.8219491470672</v>
      </c>
      <c r="H36" s="1">
        <f t="shared" si="38"/>
        <v>-2526.1075032556619</v>
      </c>
      <c r="I36" s="1">
        <f t="shared" si="39"/>
        <v>-1122.7144458914054</v>
      </c>
      <c r="J36" s="1">
        <f>-G36*'Link In'!F$44</f>
        <v>4688.9166340679967</v>
      </c>
      <c r="K36" s="1">
        <f t="shared" si="40"/>
        <v>3246.1730543547669</v>
      </c>
      <c r="L36" s="1">
        <f t="shared" si="41"/>
        <v>1442.7435797132298</v>
      </c>
      <c r="M36" s="1">
        <f>SUM(F36+I36)*'Form 2.0'!$F$10</f>
        <v>1646.7709089778614</v>
      </c>
      <c r="N36" s="1">
        <f>'Link In'!F$61</f>
        <v>-9171.159674101893</v>
      </c>
      <c r="O36" s="1">
        <f t="shared" si="42"/>
        <v>-6349.2643897628486</v>
      </c>
      <c r="P36" s="1">
        <f t="shared" si="43"/>
        <v>-2821.8952843390443</v>
      </c>
      <c r="Q36" s="41">
        <f>P36*'Form 2.0'!$F$33</f>
        <v>-43.174997850387385</v>
      </c>
    </row>
    <row r="37" spans="1:17" x14ac:dyDescent="0.3">
      <c r="A37" s="6">
        <f t="shared" si="44"/>
        <v>5</v>
      </c>
      <c r="B37" s="24">
        <v>42736</v>
      </c>
      <c r="C37" s="6">
        <v>8</v>
      </c>
      <c r="D37" s="1">
        <f>'Link In'!G$7</f>
        <v>233340.25</v>
      </c>
      <c r="E37" s="1">
        <f t="shared" si="36"/>
        <v>143594</v>
      </c>
      <c r="F37" s="1">
        <f t="shared" si="37"/>
        <v>89746.25</v>
      </c>
      <c r="G37" s="1">
        <f>-D37*'Link In'!G$34</f>
        <v>-3297.87048618671</v>
      </c>
      <c r="H37" s="1">
        <f t="shared" si="38"/>
        <v>-2029.4587607302831</v>
      </c>
      <c r="I37" s="1">
        <f t="shared" si="39"/>
        <v>-1268.4117254564269</v>
      </c>
      <c r="J37" s="1">
        <f>-G37*'Link In'!G$44</f>
        <v>4237.9266500787853</v>
      </c>
      <c r="K37" s="1">
        <f t="shared" si="40"/>
        <v>2607.9548615869448</v>
      </c>
      <c r="L37" s="1">
        <f t="shared" si="41"/>
        <v>1629.9717884918405</v>
      </c>
      <c r="M37" s="1">
        <f>SUM(F37+I37)*'Form 2.0'!$F$10</f>
        <v>1353.7109256005167</v>
      </c>
      <c r="N37" s="1">
        <f>'Link In'!G$61</f>
        <v>-7598.3031780152132</v>
      </c>
      <c r="O37" s="1">
        <f t="shared" si="42"/>
        <v>-4675.8788787785934</v>
      </c>
      <c r="P37" s="1">
        <f t="shared" si="43"/>
        <v>-2922.4242992366198</v>
      </c>
      <c r="Q37" s="41">
        <f>P37*'Form 2.0'!$F$33</f>
        <v>-44.71309177832029</v>
      </c>
    </row>
    <row r="38" spans="1:17" x14ac:dyDescent="0.3">
      <c r="A38" s="6">
        <f t="shared" si="44"/>
        <v>6</v>
      </c>
      <c r="B38" s="24">
        <v>42767</v>
      </c>
      <c r="C38" s="6">
        <v>7</v>
      </c>
      <c r="D38" s="1">
        <f>'Link In'!H$7</f>
        <v>180139.85</v>
      </c>
      <c r="E38" s="1">
        <f t="shared" si="36"/>
        <v>96998.380769230775</v>
      </c>
      <c r="F38" s="1">
        <f t="shared" si="37"/>
        <v>83141.469230769231</v>
      </c>
      <c r="G38" s="1">
        <f>-D38*'Link In'!H$34</f>
        <v>-711.30516948654849</v>
      </c>
      <c r="H38" s="1">
        <f t="shared" si="38"/>
        <v>-383.01047587737224</v>
      </c>
      <c r="I38" s="1">
        <f t="shared" si="39"/>
        <v>-328.29469360917625</v>
      </c>
      <c r="J38" s="1">
        <f>-G38*'Link In'!H$44</f>
        <v>914.06231588901358</v>
      </c>
      <c r="K38" s="1">
        <f t="shared" si="40"/>
        <v>492.18740086331496</v>
      </c>
      <c r="L38" s="1">
        <f t="shared" si="41"/>
        <v>421.87491502569861</v>
      </c>
      <c r="M38" s="1">
        <f>SUM(F38+I38)*'Form 2.0'!$F$10</f>
        <v>1267.0415704185489</v>
      </c>
      <c r="N38" s="1">
        <f>'Link In'!H$61</f>
        <v>-1638.8491763051916</v>
      </c>
      <c r="O38" s="1">
        <f t="shared" si="42"/>
        <v>-882.4572487797185</v>
      </c>
      <c r="P38" s="1">
        <f t="shared" si="43"/>
        <v>-756.39192752547308</v>
      </c>
      <c r="Q38" s="41">
        <f>P38*'Form 2.0'!$F$33</f>
        <v>-11.572796491139739</v>
      </c>
    </row>
    <row r="39" spans="1:17" x14ac:dyDescent="0.3">
      <c r="A39" s="6">
        <f t="shared" si="44"/>
        <v>7</v>
      </c>
      <c r="B39" s="24">
        <v>42795</v>
      </c>
      <c r="C39" s="6">
        <v>6</v>
      </c>
      <c r="D39" s="1">
        <f>'Link In'!I$7</f>
        <v>154187</v>
      </c>
      <c r="E39" s="1">
        <f t="shared" si="36"/>
        <v>71163.23076923078</v>
      </c>
      <c r="F39" s="1">
        <f t="shared" si="37"/>
        <v>83023.76923076922</v>
      </c>
      <c r="G39" s="1">
        <f>-D39*'Link In'!I$34</f>
        <v>-4288.1645987055017</v>
      </c>
      <c r="H39" s="1">
        <f t="shared" si="38"/>
        <v>-1979.1528917102316</v>
      </c>
      <c r="I39" s="1">
        <f t="shared" si="39"/>
        <v>-2309.0117069952703</v>
      </c>
      <c r="J39" s="1">
        <f>-G39*'Link In'!I$44</f>
        <v>5510.5035533980581</v>
      </c>
      <c r="K39" s="1">
        <f t="shared" si="40"/>
        <v>2543.3093323375656</v>
      </c>
      <c r="L39" s="1">
        <f t="shared" si="41"/>
        <v>2967.1942210604925</v>
      </c>
      <c r="M39" s="1">
        <f>SUM(F39+I39)*'Form 2.0'!$F$10</f>
        <v>1234.9357901137416</v>
      </c>
      <c r="N39" s="1">
        <f>'Link In'!I$61</f>
        <v>-10778.120388349515</v>
      </c>
      <c r="O39" s="1">
        <f t="shared" si="42"/>
        <v>-4974.5171023151606</v>
      </c>
      <c r="P39" s="1">
        <f t="shared" si="43"/>
        <v>-5803.6032860343539</v>
      </c>
      <c r="Q39" s="41">
        <f>P39*'Form 2.0'!$F$33</f>
        <v>-88.795130276325622</v>
      </c>
    </row>
    <row r="40" spans="1:17" x14ac:dyDescent="0.3">
      <c r="A40" s="6">
        <f t="shared" si="44"/>
        <v>8</v>
      </c>
      <c r="B40" s="24">
        <v>42826</v>
      </c>
      <c r="C40" s="6">
        <v>5</v>
      </c>
      <c r="D40" s="1">
        <f>'Link In'!J$7</f>
        <v>144182.5</v>
      </c>
      <c r="E40" s="1">
        <f t="shared" si="36"/>
        <v>55454.807692307695</v>
      </c>
      <c r="F40" s="1">
        <f t="shared" si="37"/>
        <v>88727.692307692312</v>
      </c>
      <c r="G40" s="1">
        <f>-D40*'Link In'!J$34</f>
        <v>-3616.65731903094</v>
      </c>
      <c r="H40" s="1">
        <f t="shared" si="38"/>
        <v>-1391.0220457811308</v>
      </c>
      <c r="I40" s="1">
        <f t="shared" si="39"/>
        <v>-2225.635273249809</v>
      </c>
      <c r="J40" s="1">
        <f>-G40*'Link In'!J$44</f>
        <v>4647.5834938704029</v>
      </c>
      <c r="K40" s="1">
        <f t="shared" si="40"/>
        <v>1787.5321130270781</v>
      </c>
      <c r="L40" s="1">
        <f t="shared" si="41"/>
        <v>2860.0513808433248</v>
      </c>
      <c r="M40" s="1">
        <f>SUM(F40+I40)*'Form 2.0'!$F$10</f>
        <v>1323.4814726269703</v>
      </c>
      <c r="N40" s="1">
        <f>'Link In'!J$61</f>
        <v>-12120.420315236428</v>
      </c>
      <c r="O40" s="1">
        <f t="shared" si="42"/>
        <v>-4661.7001212447803</v>
      </c>
      <c r="P40" s="1">
        <f t="shared" si="43"/>
        <v>-7458.7201939916476</v>
      </c>
      <c r="Q40" s="41">
        <f>P40*'Form 2.0'!$F$33</f>
        <v>-114.11841896807222</v>
      </c>
    </row>
    <row r="41" spans="1:17" x14ac:dyDescent="0.3">
      <c r="A41" s="6">
        <f t="shared" si="44"/>
        <v>9</v>
      </c>
      <c r="B41" s="24">
        <v>42856</v>
      </c>
      <c r="C41" s="6">
        <v>4</v>
      </c>
      <c r="D41" s="1">
        <f>'Link In'!K$7</f>
        <v>243521.3</v>
      </c>
      <c r="E41" s="1">
        <f t="shared" si="36"/>
        <v>74929.630769230775</v>
      </c>
      <c r="F41" s="1">
        <f t="shared" si="37"/>
        <v>168591.66923076921</v>
      </c>
      <c r="G41" s="1">
        <f>-D41*'Link In'!K$34</f>
        <v>-3665.2367977770464</v>
      </c>
      <c r="H41" s="1">
        <f t="shared" si="38"/>
        <v>-1127.7651685467836</v>
      </c>
      <c r="I41" s="1">
        <f t="shared" si="39"/>
        <v>-2537.4716292302628</v>
      </c>
      <c r="J41" s="1">
        <f>-G41*'Link In'!K$44</f>
        <v>4710.0105262500501</v>
      </c>
      <c r="K41" s="1">
        <f t="shared" si="40"/>
        <v>1449.2340080769386</v>
      </c>
      <c r="L41" s="1">
        <f t="shared" si="41"/>
        <v>3260.7765181731115</v>
      </c>
      <c r="M41" s="1">
        <f>SUM(F41+I41)*'Form 2.0'!$F$10</f>
        <v>2540.629223303546</v>
      </c>
      <c r="N41" s="1">
        <f>'Link In'!K$61</f>
        <v>-13818.626553015874</v>
      </c>
      <c r="O41" s="1">
        <f t="shared" si="42"/>
        <v>-4251.8850932356536</v>
      </c>
      <c r="P41" s="1">
        <f t="shared" si="43"/>
        <v>-9566.7414597802199</v>
      </c>
      <c r="Q41" s="41">
        <f>P41*'Form 2.0'!$F$33</f>
        <v>-146.37114433463736</v>
      </c>
    </row>
    <row r="42" spans="1:17" x14ac:dyDescent="0.3">
      <c r="A42" s="6">
        <f t="shared" si="44"/>
        <v>10</v>
      </c>
      <c r="B42" s="24">
        <v>42887</v>
      </c>
      <c r="C42" s="6">
        <v>3</v>
      </c>
      <c r="D42" s="1">
        <f>'Link In'!L$7</f>
        <v>365693.9</v>
      </c>
      <c r="E42" s="1">
        <f t="shared" si="36"/>
        <v>84390.900000000009</v>
      </c>
      <c r="F42" s="1">
        <f t="shared" si="37"/>
        <v>281303</v>
      </c>
      <c r="G42" s="1">
        <f>-D42*'Link In'!L$34</f>
        <v>-3888.3462514485118</v>
      </c>
      <c r="H42" s="1">
        <f t="shared" si="38"/>
        <v>-897.31067341119513</v>
      </c>
      <c r="I42" s="1">
        <f t="shared" si="39"/>
        <v>-2991.0355780373166</v>
      </c>
      <c r="J42" s="1">
        <f>-G42*'Link In'!L$44</f>
        <v>4996.7172066849498</v>
      </c>
      <c r="K42" s="1">
        <f t="shared" si="40"/>
        <v>1153.0885861580655</v>
      </c>
      <c r="L42" s="1">
        <f t="shared" si="41"/>
        <v>3843.6286205268843</v>
      </c>
      <c r="M42" s="1">
        <f>SUM(F42+I42)*'Form 2.0'!$F$10</f>
        <v>4258.1730556560296</v>
      </c>
      <c r="N42" s="1">
        <f>'Link In'!L$61</f>
        <v>-19953.604170332754</v>
      </c>
      <c r="O42" s="1">
        <f t="shared" si="42"/>
        <v>-4604.6778854614049</v>
      </c>
      <c r="P42" s="1">
        <f t="shared" si="43"/>
        <v>-15348.926284871348</v>
      </c>
      <c r="Q42" s="41">
        <f>P42*'Form 2.0'!$F$33</f>
        <v>-234.83857215853163</v>
      </c>
    </row>
    <row r="43" spans="1:17" x14ac:dyDescent="0.3">
      <c r="A43" s="6">
        <f t="shared" si="44"/>
        <v>11</v>
      </c>
      <c r="B43" s="24">
        <v>42917</v>
      </c>
      <c r="C43" s="6">
        <v>2</v>
      </c>
      <c r="D43" s="1">
        <f>'Link In'!M$7</f>
        <v>509287.9</v>
      </c>
      <c r="E43" s="1">
        <f t="shared" si="36"/>
        <v>78351.98461538463</v>
      </c>
      <c r="F43" s="1">
        <f t="shared" si="37"/>
        <v>430935.91538461542</v>
      </c>
      <c r="G43" s="1">
        <f>-D43*'Link In'!M$34</f>
        <v>-4204.613718043217</v>
      </c>
      <c r="H43" s="1">
        <f t="shared" si="38"/>
        <v>-646.86364892972574</v>
      </c>
      <c r="I43" s="1">
        <f t="shared" si="39"/>
        <v>-3557.750069113491</v>
      </c>
      <c r="J43" s="1">
        <f>-G43*'Link In'!M$44</f>
        <v>5403.1365402666024</v>
      </c>
      <c r="K43" s="1">
        <f t="shared" si="40"/>
        <v>831.25177542563119</v>
      </c>
      <c r="L43" s="1">
        <f t="shared" si="41"/>
        <v>4571.884764840971</v>
      </c>
      <c r="M43" s="1">
        <f>SUM(F43+I43)*'Form 2.0'!$F$10</f>
        <v>6538.8859293271798</v>
      </c>
      <c r="N43" s="1">
        <f>'Link In'!M$61</f>
        <v>-16292.516456909429</v>
      </c>
      <c r="O43" s="1">
        <f t="shared" si="42"/>
        <v>-2506.5409933706815</v>
      </c>
      <c r="P43" s="1">
        <f t="shared" si="43"/>
        <v>-13785.975463538747</v>
      </c>
      <c r="Q43" s="41">
        <f>P43*'Form 2.0'!$F$33</f>
        <v>-210.92542459214283</v>
      </c>
    </row>
    <row r="44" spans="1:17" x14ac:dyDescent="0.3">
      <c r="A44" s="6">
        <f t="shared" si="44"/>
        <v>12</v>
      </c>
      <c r="B44" s="24">
        <v>42948</v>
      </c>
      <c r="C44" s="6">
        <v>1</v>
      </c>
      <c r="D44" s="1">
        <f>'Link In'!N$7</f>
        <v>530473.9</v>
      </c>
      <c r="E44" s="1">
        <f t="shared" si="36"/>
        <v>40805.68461538462</v>
      </c>
      <c r="F44" s="1">
        <f t="shared" si="37"/>
        <v>489668.21538461541</v>
      </c>
      <c r="G44" s="1">
        <f>-D44*'Link In'!N$34</f>
        <v>-3727.4876057632737</v>
      </c>
      <c r="H44" s="1">
        <f t="shared" si="38"/>
        <v>-286.72981582794415</v>
      </c>
      <c r="I44" s="1">
        <f t="shared" si="39"/>
        <v>-3440.7577899353296</v>
      </c>
      <c r="J44" s="1">
        <f>-G44*'Link In'!N$44</f>
        <v>4790.0058927323817</v>
      </c>
      <c r="K44" s="1">
        <f t="shared" si="40"/>
        <v>368.46199174864478</v>
      </c>
      <c r="L44" s="1">
        <f t="shared" si="41"/>
        <v>4421.5439009837373</v>
      </c>
      <c r="M44" s="1">
        <f>SUM(F44+I44)*'Form 2.0'!$F$10</f>
        <v>7439.2801011986057</v>
      </c>
      <c r="N44" s="1">
        <f>'Link In'!N$61</f>
        <v>-14443.693816441059</v>
      </c>
      <c r="O44" s="1">
        <f t="shared" si="42"/>
        <v>-1111.0533704954662</v>
      </c>
      <c r="P44" s="1">
        <f t="shared" si="43"/>
        <v>-13332.640445945592</v>
      </c>
      <c r="Q44" s="41">
        <f>P44*'Form 2.0'!$F$33</f>
        <v>-203.98939882296756</v>
      </c>
    </row>
    <row r="45" spans="1:17" x14ac:dyDescent="0.3">
      <c r="D45" s="69">
        <f>SUM(D33:D44)</f>
        <v>4214389.74</v>
      </c>
      <c r="E45" s="69">
        <f t="shared" ref="E45" si="45">SUM(E33:E44)</f>
        <v>2162188.8369230772</v>
      </c>
      <c r="F45" s="69">
        <f t="shared" ref="F45" si="46">SUM(F33:F44)</f>
        <v>2052200.9030769228</v>
      </c>
      <c r="G45" s="69">
        <f t="shared" ref="G45" si="47">SUM(G33:G44)</f>
        <v>-39899.015897253863</v>
      </c>
      <c r="H45" s="69">
        <f t="shared" ref="H45" si="48">SUM(H33:H44)</f>
        <v>-18752.028347126976</v>
      </c>
      <c r="I45" s="69">
        <f t="shared" ref="I45" si="49">SUM(I33:I44)</f>
        <v>-21146.987550126891</v>
      </c>
      <c r="J45" s="69">
        <f t="shared" ref="J45" si="50">SUM(J33:J44)</f>
        <v>51272.208381477438</v>
      </c>
      <c r="K45" s="69">
        <f t="shared" ref="K45" si="51">SUM(K33:K44)</f>
        <v>24097.283689030552</v>
      </c>
      <c r="L45" s="69">
        <f t="shared" ref="L45" si="52">SUM(L33:L44)</f>
        <v>27174.924692446883</v>
      </c>
      <c r="M45" s="69">
        <f t="shared" ref="M45:P45" si="53">SUM(M33:M44)</f>
        <v>31075.124907559981</v>
      </c>
      <c r="N45" s="69">
        <f t="shared" si="53"/>
        <v>-133760.32725581629</v>
      </c>
      <c r="O45" s="69">
        <f t="shared" si="53"/>
        <v>-58056.08241114737</v>
      </c>
      <c r="P45" s="69">
        <f t="shared" si="53"/>
        <v>-75704.244844668909</v>
      </c>
      <c r="Q45" s="88">
        <f t="shared" ref="Q45" si="54">SUM(Q33:Q44)</f>
        <v>-1158.2749461234341</v>
      </c>
    </row>
    <row r="48" spans="1:17" x14ac:dyDescent="0.3">
      <c r="A48" s="7" t="s">
        <v>75</v>
      </c>
    </row>
    <row r="50" spans="1:17" x14ac:dyDescent="0.3">
      <c r="A50" s="12" t="s">
        <v>28</v>
      </c>
      <c r="C50" s="13" t="s">
        <v>56</v>
      </c>
      <c r="I50" s="13" t="s">
        <v>59</v>
      </c>
      <c r="J50" s="13" t="s">
        <v>60</v>
      </c>
      <c r="L50" s="13" t="s">
        <v>62</v>
      </c>
      <c r="N50" s="13"/>
      <c r="P50" s="13" t="s">
        <v>214</v>
      </c>
    </row>
    <row r="51" spans="1:17" x14ac:dyDescent="0.3">
      <c r="A51" s="14" t="s">
        <v>29</v>
      </c>
      <c r="B51" s="14" t="s">
        <v>54</v>
      </c>
      <c r="C51" s="14" t="s">
        <v>55</v>
      </c>
      <c r="D51" s="14" t="s">
        <v>103</v>
      </c>
      <c r="E51" s="14" t="s">
        <v>57</v>
      </c>
      <c r="F51" s="14" t="s">
        <v>58</v>
      </c>
      <c r="G51" s="14" t="s">
        <v>40</v>
      </c>
      <c r="H51" s="14" t="s">
        <v>57</v>
      </c>
      <c r="I51" s="14" t="s">
        <v>58</v>
      </c>
      <c r="J51" s="14" t="s">
        <v>61</v>
      </c>
      <c r="K51" s="14" t="s">
        <v>57</v>
      </c>
      <c r="L51" s="14" t="s">
        <v>58</v>
      </c>
      <c r="M51" s="14" t="s">
        <v>2</v>
      </c>
      <c r="N51" s="14" t="s">
        <v>214</v>
      </c>
      <c r="O51" s="14" t="s">
        <v>57</v>
      </c>
      <c r="P51" s="14" t="s">
        <v>58</v>
      </c>
      <c r="Q51" s="79" t="s">
        <v>292</v>
      </c>
    </row>
    <row r="52" spans="1:17" x14ac:dyDescent="0.3">
      <c r="A52" s="6"/>
      <c r="B52" s="25" t="s">
        <v>63</v>
      </c>
      <c r="C52" s="25" t="s">
        <v>64</v>
      </c>
      <c r="D52" s="25" t="s">
        <v>65</v>
      </c>
      <c r="E52" s="25" t="s">
        <v>66</v>
      </c>
      <c r="F52" s="26" t="s">
        <v>70</v>
      </c>
      <c r="G52" s="25" t="s">
        <v>67</v>
      </c>
      <c r="H52" s="25" t="s">
        <v>68</v>
      </c>
      <c r="I52" s="26" t="s">
        <v>69</v>
      </c>
      <c r="J52" s="25" t="s">
        <v>71</v>
      </c>
      <c r="K52" s="25" t="s">
        <v>72</v>
      </c>
      <c r="L52" s="26" t="s">
        <v>73</v>
      </c>
      <c r="M52" s="25" t="s">
        <v>74</v>
      </c>
      <c r="N52" s="25" t="s">
        <v>215</v>
      </c>
      <c r="O52" s="25" t="s">
        <v>216</v>
      </c>
      <c r="P52" s="26" t="s">
        <v>294</v>
      </c>
      <c r="Q52" s="144" t="s">
        <v>295</v>
      </c>
    </row>
    <row r="53" spans="1:17" x14ac:dyDescent="0.3">
      <c r="A53" s="6">
        <v>1</v>
      </c>
      <c r="B53" s="24">
        <v>42614</v>
      </c>
      <c r="C53" s="6">
        <v>12</v>
      </c>
      <c r="D53" s="31">
        <f>'Link In'!C$8</f>
        <v>61415.86</v>
      </c>
      <c r="E53" s="31">
        <f>SUM($C53/13)*D53</f>
        <v>56691.563076923077</v>
      </c>
      <c r="F53" s="31">
        <f>D53-E53</f>
        <v>4724.2969230769231</v>
      </c>
      <c r="G53" s="31">
        <f>-D53*'Link In'!C$35</f>
        <v>-638.06884496799353</v>
      </c>
      <c r="H53" s="31">
        <f>SUM($C53/13)*G53</f>
        <v>-588.98662612430178</v>
      </c>
      <c r="I53" s="31">
        <f>G53-H53</f>
        <v>-49.082218843691749</v>
      </c>
      <c r="J53" s="31">
        <f>-G53*'Link In'!C$45</f>
        <v>1450.1760931570561</v>
      </c>
      <c r="K53" s="31">
        <f>SUM($C53/13)*J53</f>
        <v>1338.6240859911288</v>
      </c>
      <c r="L53" s="31">
        <f>J53-K53</f>
        <v>111.55200716592731</v>
      </c>
      <c r="M53" s="31">
        <f>SUM(F53+I53)*'Form 2.0'!$F$11</f>
        <v>100.51711614101448</v>
      </c>
      <c r="N53" s="31">
        <f>'Link In'!C$62</f>
        <v>-3318.4419120535599</v>
      </c>
      <c r="O53" s="31">
        <f>SUM($C53/13)*N53</f>
        <v>-3063.1771495879016</v>
      </c>
      <c r="P53" s="31">
        <f>N53-O53</f>
        <v>-255.26476246565835</v>
      </c>
      <c r="Q53" s="87">
        <f>P53*'Form 2.0'!$F$34</f>
        <v>-5.488192393011655</v>
      </c>
    </row>
    <row r="54" spans="1:17" x14ac:dyDescent="0.3">
      <c r="A54" s="6">
        <f>A53+1</f>
        <v>2</v>
      </c>
      <c r="B54" s="24">
        <v>42644</v>
      </c>
      <c r="C54" s="6">
        <v>11</v>
      </c>
      <c r="D54" s="1">
        <f>'Link In'!D$8</f>
        <v>63322.600000000006</v>
      </c>
      <c r="E54" s="1">
        <f t="shared" ref="E54:E64" si="55">SUM($C54/13)*D54</f>
        <v>53580.661538461543</v>
      </c>
      <c r="F54" s="1">
        <f t="shared" ref="F54:F64" si="56">D54-E54</f>
        <v>9741.9384615384624</v>
      </c>
      <c r="G54" s="1">
        <f>-D54*'Link In'!D$35</f>
        <v>-374.19121452101768</v>
      </c>
      <c r="H54" s="1">
        <f t="shared" ref="H54:H64" si="57">SUM($C54/13)*G54</f>
        <v>-316.62333536393805</v>
      </c>
      <c r="I54" s="1">
        <f t="shared" ref="I54:I64" si="58">G54-H54</f>
        <v>-57.567879157079631</v>
      </c>
      <c r="J54" s="1">
        <f>-G54*'Link In'!D$45</f>
        <v>850.44608876805933</v>
      </c>
      <c r="K54" s="1">
        <f t="shared" ref="K54:K64" si="59">SUM($C54/13)*J54</f>
        <v>719.60822895758861</v>
      </c>
      <c r="L54" s="1">
        <f t="shared" ref="L54:L64" si="60">J54-K54</f>
        <v>130.83785981047072</v>
      </c>
      <c r="M54" s="1">
        <f>SUM(F54+I54)*'Form 2.0'!$F$11</f>
        <v>208.21396752119975</v>
      </c>
      <c r="N54" s="1">
        <f>'Link In'!D$62</f>
        <v>-1472.7077559818499</v>
      </c>
      <c r="O54" s="1">
        <f t="shared" ref="O54:O64" si="61">SUM($C54/13)*N54</f>
        <v>-1246.1373319846423</v>
      </c>
      <c r="P54" s="1">
        <f t="shared" ref="P54:P64" si="62">N54-O54</f>
        <v>-226.57042399720763</v>
      </c>
      <c r="Q54" s="41">
        <f>P54*'Form 2.0'!$F$34</f>
        <v>-4.8712641159399643</v>
      </c>
    </row>
    <row r="55" spans="1:17" x14ac:dyDescent="0.3">
      <c r="A55" s="6">
        <f t="shared" ref="A55:A64" si="63">A54+1</f>
        <v>3</v>
      </c>
      <c r="B55" s="24">
        <v>42675</v>
      </c>
      <c r="C55" s="6">
        <v>10</v>
      </c>
      <c r="D55" s="1">
        <f>'Link In'!E$8</f>
        <v>49434</v>
      </c>
      <c r="E55" s="1">
        <f t="shared" si="55"/>
        <v>38026.153846153851</v>
      </c>
      <c r="F55" s="1">
        <f t="shared" si="56"/>
        <v>11407.846153846149</v>
      </c>
      <c r="G55" s="1">
        <f>-D55*'Link In'!E$35</f>
        <v>-650.3867808219178</v>
      </c>
      <c r="H55" s="1">
        <f t="shared" si="57"/>
        <v>-500.29752370916754</v>
      </c>
      <c r="I55" s="1">
        <f t="shared" si="58"/>
        <v>-150.08925711275026</v>
      </c>
      <c r="J55" s="1">
        <f>-G55*'Link In'!E$45</f>
        <v>1478.171780821918</v>
      </c>
      <c r="K55" s="1">
        <f t="shared" si="59"/>
        <v>1137.05521601686</v>
      </c>
      <c r="L55" s="1">
        <f t="shared" si="60"/>
        <v>341.11656480505803</v>
      </c>
      <c r="M55" s="1">
        <f>SUM(F55+I55)*'Form 2.0'!$F$11</f>
        <v>242.04177327976811</v>
      </c>
      <c r="N55" s="1">
        <f>'Link In'!E$62</f>
        <v>-2194.0569863013698</v>
      </c>
      <c r="O55" s="1">
        <f t="shared" si="61"/>
        <v>-1687.736143308746</v>
      </c>
      <c r="P55" s="1">
        <f t="shared" si="62"/>
        <v>-506.32084299262374</v>
      </c>
      <c r="Q55" s="41">
        <f>P55*'Form 2.0'!$F$34</f>
        <v>-10.885898124341411</v>
      </c>
    </row>
    <row r="56" spans="1:17" x14ac:dyDescent="0.3">
      <c r="A56" s="6">
        <f t="shared" si="63"/>
        <v>4</v>
      </c>
      <c r="B56" s="24">
        <v>42705</v>
      </c>
      <c r="C56" s="6">
        <v>9</v>
      </c>
      <c r="D56" s="1">
        <f>'Link In'!F$8</f>
        <v>32897.15</v>
      </c>
      <c r="E56" s="1">
        <f t="shared" si="55"/>
        <v>22774.95</v>
      </c>
      <c r="F56" s="1">
        <f t="shared" si="56"/>
        <v>10122.200000000001</v>
      </c>
      <c r="G56" s="1">
        <f>-D56*'Link In'!F$35</f>
        <v>-609.07472561888562</v>
      </c>
      <c r="H56" s="1">
        <f t="shared" si="57"/>
        <v>-421.66711773615157</v>
      </c>
      <c r="I56" s="1">
        <f t="shared" si="58"/>
        <v>-187.40760788273406</v>
      </c>
      <c r="J56" s="1">
        <f>-G56*'Link In'!F$45</f>
        <v>1384.2794754898389</v>
      </c>
      <c r="K56" s="1">
        <f t="shared" si="59"/>
        <v>958.347329185273</v>
      </c>
      <c r="L56" s="1">
        <f t="shared" si="60"/>
        <v>425.93214630456589</v>
      </c>
      <c r="M56" s="1">
        <f>SUM(F56+I56)*'Form 2.0'!$F$11</f>
        <v>213.59803643052123</v>
      </c>
      <c r="N56" s="1">
        <f>'Link In'!F$62</f>
        <v>-2054.6922175062014</v>
      </c>
      <c r="O56" s="1">
        <f t="shared" si="61"/>
        <v>-1422.4792275042932</v>
      </c>
      <c r="P56" s="1">
        <f t="shared" si="62"/>
        <v>-632.21299000190811</v>
      </c>
      <c r="Q56" s="41">
        <f>P56*'Form 2.0'!$F$34</f>
        <v>-13.592579285041026</v>
      </c>
    </row>
    <row r="57" spans="1:17" x14ac:dyDescent="0.3">
      <c r="A57" s="6">
        <f t="shared" si="63"/>
        <v>5</v>
      </c>
      <c r="B57" s="24">
        <v>42736</v>
      </c>
      <c r="C57" s="6">
        <v>8</v>
      </c>
      <c r="D57" s="1">
        <f>'Link In'!G$8</f>
        <v>36487</v>
      </c>
      <c r="E57" s="1">
        <f t="shared" si="55"/>
        <v>22453.538461538461</v>
      </c>
      <c r="F57" s="1">
        <f t="shared" si="56"/>
        <v>14033.461538461539</v>
      </c>
      <c r="G57" s="1">
        <f>-D57*'Link In'!G$35</f>
        <v>-731.21750545878956</v>
      </c>
      <c r="H57" s="1">
        <f t="shared" si="57"/>
        <v>-449.98000335925514</v>
      </c>
      <c r="I57" s="1">
        <f t="shared" si="58"/>
        <v>-281.23750209953442</v>
      </c>
      <c r="J57" s="1">
        <f>-G57*'Link In'!G$45</f>
        <v>1661.8804595724569</v>
      </c>
      <c r="K57" s="1">
        <f t="shared" si="59"/>
        <v>1022.6956674292043</v>
      </c>
      <c r="L57" s="1">
        <f t="shared" si="60"/>
        <v>639.18479214325259</v>
      </c>
      <c r="M57" s="1">
        <f>SUM(F57+I57)*'Form 2.0'!$F$11</f>
        <v>295.67281678178313</v>
      </c>
      <c r="N57" s="1">
        <f>'Link In'!G$62</f>
        <v>-2261.1752165935382</v>
      </c>
      <c r="O57" s="1">
        <f t="shared" si="61"/>
        <v>-1391.492440980639</v>
      </c>
      <c r="P57" s="1">
        <f t="shared" si="62"/>
        <v>-869.68277561289915</v>
      </c>
      <c r="Q57" s="41">
        <f>P57*'Form 2.0'!$F$34</f>
        <v>-18.698179675677334</v>
      </c>
    </row>
    <row r="58" spans="1:17" x14ac:dyDescent="0.3">
      <c r="A58" s="6">
        <f t="shared" si="63"/>
        <v>6</v>
      </c>
      <c r="B58" s="24">
        <v>42767</v>
      </c>
      <c r="C58" s="6">
        <v>7</v>
      </c>
      <c r="D58" s="1">
        <f>'Link In'!H$8</f>
        <v>38323.120000000003</v>
      </c>
      <c r="E58" s="1">
        <f t="shared" si="55"/>
        <v>20635.526153846153</v>
      </c>
      <c r="F58" s="1">
        <f t="shared" si="56"/>
        <v>17687.59384615385</v>
      </c>
      <c r="G58" s="1">
        <f>-D58*'Link In'!H$35</f>
        <v>-271.31297872400836</v>
      </c>
      <c r="H58" s="1">
        <f t="shared" si="57"/>
        <v>-146.0916039283122</v>
      </c>
      <c r="I58" s="1">
        <f t="shared" si="58"/>
        <v>-125.22137479569616</v>
      </c>
      <c r="J58" s="1">
        <f>-G58*'Link In'!H$45</f>
        <v>616.62875191551166</v>
      </c>
      <c r="K58" s="1">
        <f t="shared" si="59"/>
        <v>332.03086641604472</v>
      </c>
      <c r="L58" s="1">
        <f t="shared" si="60"/>
        <v>284.59788549946694</v>
      </c>
      <c r="M58" s="1">
        <f>SUM(F58+I58)*'Form 2.0'!$F$11</f>
        <v>377.59100813420037</v>
      </c>
      <c r="N58" s="1">
        <f>'Link In'!H$62</f>
        <v>-838.99274682432076</v>
      </c>
      <c r="O58" s="1">
        <f t="shared" si="61"/>
        <v>-451.76532521309576</v>
      </c>
      <c r="P58" s="1">
        <f t="shared" si="62"/>
        <v>-387.227421611225</v>
      </c>
      <c r="Q58" s="41">
        <f>P58*'Form 2.0'!$F$34</f>
        <v>-8.3253895646413376</v>
      </c>
    </row>
    <row r="59" spans="1:17" x14ac:dyDescent="0.3">
      <c r="A59" s="6">
        <f t="shared" si="63"/>
        <v>7</v>
      </c>
      <c r="B59" s="24">
        <v>42795</v>
      </c>
      <c r="C59" s="6">
        <v>6</v>
      </c>
      <c r="D59" s="1">
        <f>'Link In'!I$8</f>
        <v>36487</v>
      </c>
      <c r="E59" s="1">
        <f t="shared" si="55"/>
        <v>16840.153846153848</v>
      </c>
      <c r="F59" s="1">
        <f t="shared" si="56"/>
        <v>19646.846153846152</v>
      </c>
      <c r="G59" s="1">
        <f>-D59*'Link In'!I$35</f>
        <v>-707.94867003367006</v>
      </c>
      <c r="H59" s="1">
        <f t="shared" si="57"/>
        <v>-326.74554001554003</v>
      </c>
      <c r="I59" s="1">
        <f t="shared" si="58"/>
        <v>-381.20313001813003</v>
      </c>
      <c r="J59" s="1">
        <f>-G59*'Link In'!I$45</f>
        <v>1608.9960269360272</v>
      </c>
      <c r="K59" s="1">
        <f t="shared" si="59"/>
        <v>742.61355089355106</v>
      </c>
      <c r="L59" s="1">
        <f t="shared" si="60"/>
        <v>866.38247604247613</v>
      </c>
      <c r="M59" s="1">
        <f>SUM(F59+I59)*'Form 2.0'!$F$11</f>
        <v>414.2113250123025</v>
      </c>
      <c r="N59" s="1">
        <f>'Link In'!I$62</f>
        <v>-2388.2400000000002</v>
      </c>
      <c r="O59" s="1">
        <f t="shared" si="61"/>
        <v>-1102.2646153846156</v>
      </c>
      <c r="P59" s="1">
        <f t="shared" si="62"/>
        <v>-1285.9753846153847</v>
      </c>
      <c r="Q59" s="41">
        <f>P59*'Form 2.0'!$F$34</f>
        <v>-27.648470769230773</v>
      </c>
    </row>
    <row r="60" spans="1:17" x14ac:dyDescent="0.3">
      <c r="A60" s="6">
        <f t="shared" si="63"/>
        <v>8</v>
      </c>
      <c r="B60" s="24">
        <v>42826</v>
      </c>
      <c r="C60" s="6">
        <v>5</v>
      </c>
      <c r="D60" s="1">
        <f>'Link In'!J$8</f>
        <v>22363</v>
      </c>
      <c r="E60" s="1">
        <f t="shared" si="55"/>
        <v>8601.1538461538457</v>
      </c>
      <c r="F60" s="1">
        <f t="shared" si="56"/>
        <v>13761.846153846154</v>
      </c>
      <c r="G60" s="1">
        <f>-D60*'Link In'!J$35</f>
        <v>-466.91846014492751</v>
      </c>
      <c r="H60" s="1">
        <f t="shared" si="57"/>
        <v>-179.58402313266444</v>
      </c>
      <c r="I60" s="1">
        <f t="shared" si="58"/>
        <v>-287.33443701226304</v>
      </c>
      <c r="J60" s="1">
        <f>-G60*'Link In'!J$45</f>
        <v>1061.1926811594203</v>
      </c>
      <c r="K60" s="1">
        <f t="shared" si="59"/>
        <v>408.15103121516171</v>
      </c>
      <c r="L60" s="1">
        <f t="shared" si="60"/>
        <v>653.04164994425855</v>
      </c>
      <c r="M60" s="1">
        <f>SUM(F60+I60)*'Form 2.0'!$F$11</f>
        <v>289.70200191192868</v>
      </c>
      <c r="N60" s="1">
        <f>'Link In'!J$62</f>
        <v>-2100.177391304348</v>
      </c>
      <c r="O60" s="1">
        <f t="shared" si="61"/>
        <v>-807.76053511705697</v>
      </c>
      <c r="P60" s="1">
        <f t="shared" si="62"/>
        <v>-1292.4168561872912</v>
      </c>
      <c r="Q60" s="41">
        <f>P60*'Form 2.0'!$F$34</f>
        <v>-27.786962408026763</v>
      </c>
    </row>
    <row r="61" spans="1:17" x14ac:dyDescent="0.3">
      <c r="A61" s="6">
        <f t="shared" si="63"/>
        <v>9</v>
      </c>
      <c r="B61" s="24">
        <v>42856</v>
      </c>
      <c r="C61" s="6">
        <v>4</v>
      </c>
      <c r="D61" s="1">
        <f>'Link In'!K$8</f>
        <v>31308.2</v>
      </c>
      <c r="E61" s="1">
        <f t="shared" si="55"/>
        <v>9633.2923076923089</v>
      </c>
      <c r="F61" s="1">
        <f t="shared" si="56"/>
        <v>21674.907692307694</v>
      </c>
      <c r="G61" s="1">
        <f>-D61*'Link In'!K$35</f>
        <v>-451.49472722722726</v>
      </c>
      <c r="H61" s="1">
        <f t="shared" si="57"/>
        <v>-138.92145453145454</v>
      </c>
      <c r="I61" s="1">
        <f t="shared" si="58"/>
        <v>-312.57327269577274</v>
      </c>
      <c r="J61" s="1">
        <f>-G61*'Link In'!K$45</f>
        <v>1026.1382682682683</v>
      </c>
      <c r="K61" s="1">
        <f t="shared" si="59"/>
        <v>315.73485177485179</v>
      </c>
      <c r="L61" s="1">
        <f t="shared" si="60"/>
        <v>710.40341649341656</v>
      </c>
      <c r="M61" s="1">
        <f>SUM(F61+I61)*'Form 2.0'!$F$11</f>
        <v>459.29019002165637</v>
      </c>
      <c r="N61" s="1">
        <f>'Link In'!K$62</f>
        <v>-2284.6524324324328</v>
      </c>
      <c r="O61" s="1">
        <f t="shared" si="61"/>
        <v>-702.96997920997933</v>
      </c>
      <c r="P61" s="1">
        <f t="shared" si="62"/>
        <v>-1581.6824532224534</v>
      </c>
      <c r="Q61" s="41">
        <f>P61*'Form 2.0'!$F$34</f>
        <v>-34.00617274428275</v>
      </c>
    </row>
    <row r="62" spans="1:17" x14ac:dyDescent="0.3">
      <c r="A62" s="6">
        <f t="shared" si="63"/>
        <v>10</v>
      </c>
      <c r="B62" s="24">
        <v>42887</v>
      </c>
      <c r="C62" s="6">
        <v>3</v>
      </c>
      <c r="D62" s="1">
        <f>'Link In'!L$8</f>
        <v>42136.6</v>
      </c>
      <c r="E62" s="1">
        <f t="shared" si="55"/>
        <v>9723.8307692307699</v>
      </c>
      <c r="F62" s="1">
        <f t="shared" si="56"/>
        <v>32412.769230769227</v>
      </c>
      <c r="G62" s="1">
        <f>-D62*'Link In'!L$35</f>
        <v>-533.89898636763417</v>
      </c>
      <c r="H62" s="1">
        <f t="shared" si="57"/>
        <v>-123.20745839253097</v>
      </c>
      <c r="I62" s="1">
        <f t="shared" si="58"/>
        <v>-410.69152797510321</v>
      </c>
      <c r="J62" s="1">
        <f>-G62*'Link In'!L$45</f>
        <v>1213.423210202287</v>
      </c>
      <c r="K62" s="1">
        <f t="shared" si="59"/>
        <v>280.0207408159124</v>
      </c>
      <c r="L62" s="1">
        <f t="shared" si="60"/>
        <v>933.40246938637461</v>
      </c>
      <c r="M62" s="1">
        <f>SUM(F62+I62)*'Form 2.0'!$F$11</f>
        <v>688.04467061007369</v>
      </c>
      <c r="N62" s="1">
        <f>'Link In'!L$62</f>
        <v>-3677.2243931398416</v>
      </c>
      <c r="O62" s="1">
        <f t="shared" si="61"/>
        <v>-848.59024457073269</v>
      </c>
      <c r="P62" s="1">
        <f t="shared" si="62"/>
        <v>-2828.6341485691091</v>
      </c>
      <c r="Q62" s="41">
        <f>P62*'Form 2.0'!$F$34</f>
        <v>-60.815634194235848</v>
      </c>
    </row>
    <row r="63" spans="1:17" x14ac:dyDescent="0.3">
      <c r="A63" s="6">
        <f t="shared" si="63"/>
        <v>11</v>
      </c>
      <c r="B63" s="24">
        <v>42917</v>
      </c>
      <c r="C63" s="6">
        <v>2</v>
      </c>
      <c r="D63" s="1">
        <f>'Link In'!M$8</f>
        <v>56260.600000000006</v>
      </c>
      <c r="E63" s="1">
        <f t="shared" si="55"/>
        <v>8655.4769230769252</v>
      </c>
      <c r="F63" s="1">
        <f t="shared" si="56"/>
        <v>47605.123076923082</v>
      </c>
      <c r="G63" s="1">
        <f>-D63*'Link In'!M$35</f>
        <v>-618.95478999618183</v>
      </c>
      <c r="H63" s="1">
        <f t="shared" si="57"/>
        <v>-95.22381384556644</v>
      </c>
      <c r="I63" s="1">
        <f t="shared" si="58"/>
        <v>-523.73097615061533</v>
      </c>
      <c r="J63" s="1">
        <f>-G63*'Link In'!M$45</f>
        <v>1406.7344711722035</v>
      </c>
      <c r="K63" s="1">
        <f t="shared" si="59"/>
        <v>216.42068787264671</v>
      </c>
      <c r="L63" s="1">
        <f t="shared" si="60"/>
        <v>1190.3137832995567</v>
      </c>
      <c r="M63" s="1">
        <f>SUM(F63+I63)*'Form 2.0'!$F$11</f>
        <v>1012.249930166608</v>
      </c>
      <c r="N63" s="1">
        <f>'Link In'!M$62</f>
        <v>-3219.0343298969074</v>
      </c>
      <c r="O63" s="1">
        <f t="shared" si="61"/>
        <v>-495.23605075337036</v>
      </c>
      <c r="P63" s="1">
        <f t="shared" si="62"/>
        <v>-2723.798279143537</v>
      </c>
      <c r="Q63" s="41">
        <f>P63*'Form 2.0'!$F$34</f>
        <v>-58.561663001586048</v>
      </c>
    </row>
    <row r="64" spans="1:17" x14ac:dyDescent="0.3">
      <c r="A64" s="6">
        <f t="shared" si="63"/>
        <v>12</v>
      </c>
      <c r="B64" s="24">
        <v>42948</v>
      </c>
      <c r="C64" s="6">
        <v>1</v>
      </c>
      <c r="D64" s="1">
        <f>'Link In'!N$8</f>
        <v>64499.600000000006</v>
      </c>
      <c r="E64" s="1">
        <f t="shared" si="55"/>
        <v>4961.5076923076931</v>
      </c>
      <c r="F64" s="1">
        <f t="shared" si="56"/>
        <v>59538.092307692314</v>
      </c>
      <c r="G64" s="1">
        <f>-D64*'Link In'!N$35</f>
        <v>-653.45772503516173</v>
      </c>
      <c r="H64" s="1">
        <f t="shared" si="57"/>
        <v>-50.265978848858595</v>
      </c>
      <c r="I64" s="1">
        <f t="shared" si="58"/>
        <v>-603.19174618630313</v>
      </c>
      <c r="J64" s="1">
        <f>-G64*'Link In'!N$45</f>
        <v>1485.1512939521801</v>
      </c>
      <c r="K64" s="1">
        <f t="shared" si="59"/>
        <v>114.24240722709078</v>
      </c>
      <c r="L64" s="1">
        <f t="shared" si="60"/>
        <v>1370.9088867250894</v>
      </c>
      <c r="M64" s="1">
        <f>SUM(F64+I64)*'Form 2.0'!$F$11</f>
        <v>1267.1003620723793</v>
      </c>
      <c r="N64" s="1">
        <f>'Link In'!N$62</f>
        <v>-3398.4757594936709</v>
      </c>
      <c r="O64" s="1">
        <f t="shared" si="61"/>
        <v>-261.42121226874394</v>
      </c>
      <c r="P64" s="1">
        <f t="shared" si="62"/>
        <v>-3137.0545472249269</v>
      </c>
      <c r="Q64" s="41">
        <f>P64*'Form 2.0'!$F$34</f>
        <v>-67.446672765335933</v>
      </c>
    </row>
    <row r="65" spans="1:17" x14ac:dyDescent="0.3">
      <c r="D65" s="69">
        <f>SUM(D53:D64)</f>
        <v>534934.73</v>
      </c>
      <c r="E65" s="69">
        <f t="shared" ref="E65" si="64">SUM(E53:E64)</f>
        <v>272577.80846153846</v>
      </c>
      <c r="F65" s="69">
        <f t="shared" ref="F65" si="65">SUM(F53:F64)</f>
        <v>262356.92153846158</v>
      </c>
      <c r="G65" s="69">
        <f t="shared" ref="G65" si="66">SUM(G53:G64)</f>
        <v>-6706.9254089174156</v>
      </c>
      <c r="H65" s="69">
        <f t="shared" ref="H65" si="67">SUM(H53:H64)</f>
        <v>-3337.5944789877408</v>
      </c>
      <c r="I65" s="69">
        <f t="shared" ref="I65" si="68">SUM(I53:I64)</f>
        <v>-3369.3309299296739</v>
      </c>
      <c r="J65" s="69">
        <f t="shared" ref="J65" si="69">SUM(J53:J64)</f>
        <v>15243.218601415227</v>
      </c>
      <c r="K65" s="69">
        <f t="shared" ref="K65" si="70">SUM(K53:K64)</f>
        <v>7585.5446637953128</v>
      </c>
      <c r="L65" s="69">
        <f t="shared" ref="L65" si="71">SUM(L53:L64)</f>
        <v>7657.6739376199139</v>
      </c>
      <c r="M65" s="69">
        <f t="shared" ref="M65:P65" si="72">SUM(M53:M64)</f>
        <v>5568.233198083436</v>
      </c>
      <c r="N65" s="69">
        <f t="shared" si="72"/>
        <v>-29207.871141528038</v>
      </c>
      <c r="O65" s="69">
        <f t="shared" si="72"/>
        <v>-13481.030255883818</v>
      </c>
      <c r="P65" s="69">
        <f t="shared" si="72"/>
        <v>-15726.840885644226</v>
      </c>
      <c r="Q65" s="88">
        <f t="shared" ref="Q65" si="73">SUM(Q53:Q64)</f>
        <v>-338.12707904135084</v>
      </c>
    </row>
    <row r="68" spans="1:17" x14ac:dyDescent="0.3">
      <c r="A68" s="7" t="s">
        <v>101</v>
      </c>
    </row>
    <row r="70" spans="1:17" x14ac:dyDescent="0.3">
      <c r="A70" s="12" t="s">
        <v>28</v>
      </c>
      <c r="C70" s="13" t="s">
        <v>56</v>
      </c>
      <c r="I70" s="13" t="s">
        <v>59</v>
      </c>
      <c r="J70" s="13" t="s">
        <v>60</v>
      </c>
      <c r="L70" s="13" t="s">
        <v>62</v>
      </c>
      <c r="N70" s="13"/>
      <c r="P70" s="13" t="s">
        <v>214</v>
      </c>
    </row>
    <row r="71" spans="1:17" x14ac:dyDescent="0.3">
      <c r="A71" s="14" t="s">
        <v>29</v>
      </c>
      <c r="B71" s="14" t="s">
        <v>54</v>
      </c>
      <c r="C71" s="14" t="s">
        <v>55</v>
      </c>
      <c r="D71" s="14" t="s">
        <v>103</v>
      </c>
      <c r="E71" s="14" t="s">
        <v>57</v>
      </c>
      <c r="F71" s="14" t="s">
        <v>58</v>
      </c>
      <c r="G71" s="14" t="s">
        <v>40</v>
      </c>
      <c r="H71" s="14" t="s">
        <v>57</v>
      </c>
      <c r="I71" s="14" t="s">
        <v>58</v>
      </c>
      <c r="J71" s="14" t="s">
        <v>61</v>
      </c>
      <c r="K71" s="14" t="s">
        <v>57</v>
      </c>
      <c r="L71" s="14" t="s">
        <v>58</v>
      </c>
      <c r="M71" s="14" t="s">
        <v>2</v>
      </c>
      <c r="N71" s="14" t="s">
        <v>214</v>
      </c>
      <c r="O71" s="14" t="s">
        <v>57</v>
      </c>
      <c r="P71" s="14" t="s">
        <v>58</v>
      </c>
      <c r="Q71" s="79" t="s">
        <v>292</v>
      </c>
    </row>
    <row r="72" spans="1:17" x14ac:dyDescent="0.3">
      <c r="A72" s="6"/>
      <c r="B72" s="25" t="s">
        <v>63</v>
      </c>
      <c r="C72" s="25" t="s">
        <v>64</v>
      </c>
      <c r="D72" s="25" t="s">
        <v>65</v>
      </c>
      <c r="E72" s="25" t="s">
        <v>66</v>
      </c>
      <c r="F72" s="26" t="s">
        <v>70</v>
      </c>
      <c r="G72" s="25" t="s">
        <v>67</v>
      </c>
      <c r="H72" s="25" t="s">
        <v>68</v>
      </c>
      <c r="I72" s="26" t="s">
        <v>69</v>
      </c>
      <c r="J72" s="25" t="s">
        <v>71</v>
      </c>
      <c r="K72" s="25" t="s">
        <v>72</v>
      </c>
      <c r="L72" s="26" t="s">
        <v>73</v>
      </c>
      <c r="M72" s="25" t="s">
        <v>74</v>
      </c>
      <c r="N72" s="25" t="s">
        <v>215</v>
      </c>
      <c r="O72" s="25" t="s">
        <v>216</v>
      </c>
      <c r="P72" s="26" t="s">
        <v>294</v>
      </c>
      <c r="Q72" s="144" t="s">
        <v>295</v>
      </c>
    </row>
    <row r="73" spans="1:17" x14ac:dyDescent="0.3">
      <c r="A73" s="6">
        <v>1</v>
      </c>
      <c r="B73" s="24">
        <v>42614</v>
      </c>
      <c r="C73" s="6">
        <v>12</v>
      </c>
      <c r="D73" s="31">
        <f>'Link In'!C$9</f>
        <v>104753</v>
      </c>
      <c r="E73" s="31">
        <f>SUM($C73/13)*D73</f>
        <v>96695.076923076922</v>
      </c>
      <c r="F73" s="31">
        <f>D73-E73</f>
        <v>8057.923076923078</v>
      </c>
      <c r="G73" s="31">
        <f>-D73*'Link In'!C$36</f>
        <v>-12528.306899067411</v>
      </c>
      <c r="H73" s="31">
        <f>SUM($C73/13)*G73</f>
        <v>-11564.590983754533</v>
      </c>
      <c r="I73" s="31">
        <f>G73-H73</f>
        <v>-963.71591531287777</v>
      </c>
      <c r="J73" s="31">
        <f>-G73*'Link In'!C$46</f>
        <v>4447.99591027304</v>
      </c>
      <c r="K73" s="31">
        <f>SUM($C73/13)*J73</f>
        <v>4105.8423787135753</v>
      </c>
      <c r="L73" s="31">
        <f>J73-K73</f>
        <v>342.15353155946468</v>
      </c>
      <c r="M73" s="31">
        <f>SUM(F73+I73)*'Form 2.0'!$F$12</f>
        <v>229.85231203617047</v>
      </c>
      <c r="N73" s="31">
        <f>'Link In'!C$63+'Link In'!C$67</f>
        <v>-52696.827885658895</v>
      </c>
      <c r="O73" s="31">
        <f>SUM($C73/13)*N73</f>
        <v>-48643.225740608214</v>
      </c>
      <c r="P73" s="31">
        <f>N73-O73</f>
        <v>-4053.6021450506814</v>
      </c>
      <c r="Q73" s="87">
        <f>P73*'Form 2.0'!$F$35</f>
        <v>-131.33670949964207</v>
      </c>
    </row>
    <row r="74" spans="1:17" x14ac:dyDescent="0.3">
      <c r="A74" s="6">
        <f>A73+1</f>
        <v>2</v>
      </c>
      <c r="B74" s="24">
        <v>42644</v>
      </c>
      <c r="C74" s="6">
        <v>11</v>
      </c>
      <c r="D74" s="1">
        <f>'Link In'!D$9</f>
        <v>106047.70000000001</v>
      </c>
      <c r="E74" s="1">
        <f t="shared" ref="E74:E84" si="74">SUM($C74/13)*D74</f>
        <v>89732.669230769243</v>
      </c>
      <c r="F74" s="1">
        <f t="shared" ref="F74:F84" si="75">D74-E74</f>
        <v>16315.030769230769</v>
      </c>
      <c r="G74" s="1">
        <f>-D74*'Link In'!D$36</f>
        <v>-9090.1761782423146</v>
      </c>
      <c r="H74" s="1">
        <f t="shared" ref="H74:H84" si="76">SUM($C74/13)*G74</f>
        <v>-7691.6875354358044</v>
      </c>
      <c r="I74" s="1">
        <f t="shared" ref="I74:I84" si="77">G74-H74</f>
        <v>-1398.4886428065101</v>
      </c>
      <c r="J74" s="1">
        <f>-G74*'Link In'!D$46</f>
        <v>3227.3368452917616</v>
      </c>
      <c r="K74" s="1">
        <f t="shared" ref="K74:K84" si="78">SUM($C74/13)*J74</f>
        <v>2730.8234844776443</v>
      </c>
      <c r="L74" s="1">
        <f t="shared" ref="L74:L84" si="79">J74-K74</f>
        <v>496.51336081411728</v>
      </c>
      <c r="M74" s="1">
        <f>SUM(F74+I74)*'Form 2.0'!$F$12</f>
        <v>483.2959648961459</v>
      </c>
      <c r="N74" s="1">
        <f>'Link In'!D$63+'Link In'!D$67</f>
        <v>-28934.814176088272</v>
      </c>
      <c r="O74" s="1">
        <f t="shared" ref="O74:O84" si="80">SUM($C74/13)*N74</f>
        <v>-24483.304302843921</v>
      </c>
      <c r="P74" s="1">
        <f t="shared" ref="P74:P84" si="81">N74-O74</f>
        <v>-4451.5098732443512</v>
      </c>
      <c r="Q74" s="41">
        <f>P74*'Form 2.0'!$F$35</f>
        <v>-144.22891989311697</v>
      </c>
    </row>
    <row r="75" spans="1:17" x14ac:dyDescent="0.3">
      <c r="A75" s="6">
        <f t="shared" ref="A75:A84" si="82">A74+1</f>
        <v>3</v>
      </c>
      <c r="B75" s="24">
        <v>42675</v>
      </c>
      <c r="C75" s="6">
        <v>10</v>
      </c>
      <c r="D75" s="1">
        <f>'Link In'!E$9</f>
        <v>72974</v>
      </c>
      <c r="E75" s="1">
        <f t="shared" si="74"/>
        <v>56133.846153846156</v>
      </c>
      <c r="F75" s="1">
        <f t="shared" si="75"/>
        <v>16840.153846153844</v>
      </c>
      <c r="G75" s="1">
        <f>-D75*'Link In'!E$36</f>
        <v>-12930.009952380951</v>
      </c>
      <c r="H75" s="1">
        <f t="shared" si="76"/>
        <v>-9946.1615018315024</v>
      </c>
      <c r="I75" s="1">
        <f t="shared" si="77"/>
        <v>-2983.8484505494489</v>
      </c>
      <c r="J75" s="1">
        <f>-G75*'Link In'!E$46</f>
        <v>4590.6148253968249</v>
      </c>
      <c r="K75" s="1">
        <f t="shared" si="78"/>
        <v>3531.2421733821734</v>
      </c>
      <c r="L75" s="1">
        <f t="shared" si="79"/>
        <v>1059.3726520146515</v>
      </c>
      <c r="M75" s="1">
        <f>SUM(F75+I75)*'Form 2.0'!$F$12</f>
        <v>448.94429481758237</v>
      </c>
      <c r="N75" s="1">
        <f>'Link In'!E$63+'Link In'!E$67</f>
        <v>-35277.716571428573</v>
      </c>
      <c r="O75" s="1">
        <f t="shared" si="80"/>
        <v>-27136.705054945058</v>
      </c>
      <c r="P75" s="1">
        <f t="shared" si="81"/>
        <v>-8141.0115164835152</v>
      </c>
      <c r="Q75" s="41">
        <f>P75*'Form 2.0'!$F$35</f>
        <v>-263.7687731340659</v>
      </c>
    </row>
    <row r="76" spans="1:17" x14ac:dyDescent="0.3">
      <c r="A76" s="6">
        <f t="shared" si="82"/>
        <v>4</v>
      </c>
      <c r="B76" s="24">
        <v>42705</v>
      </c>
      <c r="C76" s="6">
        <v>9</v>
      </c>
      <c r="D76" s="1">
        <f>'Link In'!F$9</f>
        <v>48845.5</v>
      </c>
      <c r="E76" s="1">
        <f t="shared" si="74"/>
        <v>33816.115384615383</v>
      </c>
      <c r="F76" s="1">
        <f t="shared" si="75"/>
        <v>15029.384615384617</v>
      </c>
      <c r="G76" s="1">
        <f>-D76*'Link In'!F$36</f>
        <v>-10653.579088511136</v>
      </c>
      <c r="H76" s="1">
        <f t="shared" si="76"/>
        <v>-7375.5547535846326</v>
      </c>
      <c r="I76" s="1">
        <f t="shared" si="77"/>
        <v>-3278.0243349265038</v>
      </c>
      <c r="J76" s="1">
        <f>-G76*'Link In'!F$46</f>
        <v>3782.4006545525594</v>
      </c>
      <c r="K76" s="1">
        <f t="shared" si="78"/>
        <v>2618.5850685363871</v>
      </c>
      <c r="L76" s="1">
        <f t="shared" si="79"/>
        <v>1163.8155860161723</v>
      </c>
      <c r="M76" s="1">
        <f>SUM(F76+I76)*'Form 2.0'!$F$12</f>
        <v>380.74407308684283</v>
      </c>
      <c r="N76" s="1">
        <f>'Link In'!F$63+'Link In'!F$67</f>
        <v>-29066.794607268464</v>
      </c>
      <c r="O76" s="1">
        <f t="shared" si="80"/>
        <v>-20123.165497339705</v>
      </c>
      <c r="P76" s="1">
        <f t="shared" si="81"/>
        <v>-8943.6291099287591</v>
      </c>
      <c r="Q76" s="41">
        <f>P76*'Form 2.0'!$F$35</f>
        <v>-289.77358316169176</v>
      </c>
    </row>
    <row r="77" spans="1:17" x14ac:dyDescent="0.3">
      <c r="A77" s="6">
        <f t="shared" si="82"/>
        <v>5</v>
      </c>
      <c r="B77" s="24">
        <v>42736</v>
      </c>
      <c r="C77" s="6">
        <v>8</v>
      </c>
      <c r="D77" s="1">
        <f>'Link In'!G$9</f>
        <v>42372</v>
      </c>
      <c r="E77" s="1">
        <f t="shared" si="74"/>
        <v>26075.076923076926</v>
      </c>
      <c r="F77" s="1">
        <f t="shared" si="75"/>
        <v>16296.923076923074</v>
      </c>
      <c r="G77" s="1">
        <f>-D77*'Link In'!G$36</f>
        <v>-11103.007183098591</v>
      </c>
      <c r="H77" s="1">
        <f t="shared" si="76"/>
        <v>-6832.6198049837485</v>
      </c>
      <c r="I77" s="1">
        <f t="shared" si="77"/>
        <v>-4270.3873781148422</v>
      </c>
      <c r="J77" s="1">
        <f>-G77*'Link In'!G$46</f>
        <v>3941.9636619718308</v>
      </c>
      <c r="K77" s="1">
        <f t="shared" si="78"/>
        <v>2425.8237919826652</v>
      </c>
      <c r="L77" s="1">
        <f t="shared" si="79"/>
        <v>1516.1398699891656</v>
      </c>
      <c r="M77" s="1">
        <f>SUM(F77+I77)*'Form 2.0'!$F$12</f>
        <v>389.65975664138665</v>
      </c>
      <c r="N77" s="1">
        <f>'Link In'!G$63+'Link In'!G$67</f>
        <v>-27768.579718309855</v>
      </c>
      <c r="O77" s="1">
        <f t="shared" si="80"/>
        <v>-17088.356749729141</v>
      </c>
      <c r="P77" s="1">
        <f t="shared" si="81"/>
        <v>-10680.222968580714</v>
      </c>
      <c r="Q77" s="41">
        <f>P77*'Form 2.0'!$F$35</f>
        <v>-346.03922418201512</v>
      </c>
    </row>
    <row r="78" spans="1:17" x14ac:dyDescent="0.3">
      <c r="A78" s="6">
        <f t="shared" si="82"/>
        <v>6</v>
      </c>
      <c r="B78" s="24">
        <v>42767</v>
      </c>
      <c r="C78" s="6">
        <v>7</v>
      </c>
      <c r="D78" s="1">
        <f>'Link In'!H$9</f>
        <v>58944.160000000003</v>
      </c>
      <c r="E78" s="1">
        <f t="shared" si="74"/>
        <v>31739.163076923076</v>
      </c>
      <c r="F78" s="1">
        <f t="shared" si="75"/>
        <v>27204.996923076927</v>
      </c>
      <c r="G78" s="1">
        <f>-D78*'Link In'!H$36</f>
        <v>-4227.0007984662561</v>
      </c>
      <c r="H78" s="1">
        <f t="shared" si="76"/>
        <v>-2276.0773530202919</v>
      </c>
      <c r="I78" s="1">
        <f t="shared" si="77"/>
        <v>-1950.9234454459643</v>
      </c>
      <c r="J78" s="1">
        <f>-G78*'Link In'!H$46</f>
        <v>1500.7360863500521</v>
      </c>
      <c r="K78" s="1">
        <f t="shared" si="78"/>
        <v>808.0886618807973</v>
      </c>
      <c r="L78" s="1">
        <f t="shared" si="79"/>
        <v>692.64742446925482</v>
      </c>
      <c r="M78" s="1">
        <f>SUM(F78+I78)*'Form 2.0'!$F$12</f>
        <v>818.23198067524311</v>
      </c>
      <c r="N78" s="1">
        <f>'Link In'!H$63+'Link In'!H$67</f>
        <v>-10571.713294056635</v>
      </c>
      <c r="O78" s="1">
        <f t="shared" si="80"/>
        <v>-5692.4610044920337</v>
      </c>
      <c r="P78" s="1">
        <f t="shared" si="81"/>
        <v>-4879.2522895646016</v>
      </c>
      <c r="Q78" s="41">
        <f>P78*'Form 2.0'!$F$35</f>
        <v>-158.08777418189308</v>
      </c>
    </row>
    <row r="79" spans="1:17" x14ac:dyDescent="0.3">
      <c r="A79" s="6">
        <f t="shared" si="82"/>
        <v>7</v>
      </c>
      <c r="B79" s="24">
        <v>42795</v>
      </c>
      <c r="C79" s="6">
        <v>6</v>
      </c>
      <c r="D79" s="1">
        <f>'Link In'!I$9</f>
        <v>44726</v>
      </c>
      <c r="E79" s="1">
        <f t="shared" si="74"/>
        <v>20642.76923076923</v>
      </c>
      <c r="F79" s="1">
        <f t="shared" si="75"/>
        <v>24083.23076923077</v>
      </c>
      <c r="G79" s="1">
        <f>-D79*'Link In'!I$36</f>
        <v>-9778.0106345475888</v>
      </c>
      <c r="H79" s="1">
        <f t="shared" si="76"/>
        <v>-4512.9279851758101</v>
      </c>
      <c r="I79" s="1">
        <f t="shared" si="77"/>
        <v>-5265.0826493717786</v>
      </c>
      <c r="J79" s="1">
        <f>-G79*'Link In'!I$46</f>
        <v>3471.5426165295721</v>
      </c>
      <c r="K79" s="1">
        <f t="shared" si="78"/>
        <v>1602.2504383982641</v>
      </c>
      <c r="L79" s="1">
        <f t="shared" si="79"/>
        <v>1869.292178131308</v>
      </c>
      <c r="M79" s="1">
        <f>SUM(F79+I79)*'Form 2.0'!$F$12</f>
        <v>609.70799908343122</v>
      </c>
      <c r="N79" s="1">
        <f>'Link In'!I$63+'Link In'!I$67</f>
        <v>-26677.929024676847</v>
      </c>
      <c r="O79" s="1">
        <f t="shared" si="80"/>
        <v>-12312.890319081622</v>
      </c>
      <c r="P79" s="1">
        <f t="shared" si="81"/>
        <v>-14365.038705595225</v>
      </c>
      <c r="Q79" s="41">
        <f>P79*'Form 2.0'!$F$35</f>
        <v>-465.42725406128528</v>
      </c>
    </row>
    <row r="80" spans="1:17" x14ac:dyDescent="0.3">
      <c r="A80" s="6">
        <f t="shared" si="82"/>
        <v>8</v>
      </c>
      <c r="B80" s="24">
        <v>42826</v>
      </c>
      <c r="C80" s="6">
        <v>5</v>
      </c>
      <c r="D80" s="1">
        <f>'Link In'!J$9</f>
        <v>44726</v>
      </c>
      <c r="E80" s="1">
        <f t="shared" si="74"/>
        <v>17202.307692307691</v>
      </c>
      <c r="F80" s="1">
        <f t="shared" si="75"/>
        <v>27523.692307692309</v>
      </c>
      <c r="G80" s="1">
        <f>-D80*'Link In'!J$36</f>
        <v>-9221.0627770390056</v>
      </c>
      <c r="H80" s="1">
        <f t="shared" si="76"/>
        <v>-3546.5626065534639</v>
      </c>
      <c r="I80" s="1">
        <f t="shared" si="77"/>
        <v>-5674.5001704855422</v>
      </c>
      <c r="J80" s="1">
        <f>-G80*'Link In'!J$46</f>
        <v>3273.8062573877064</v>
      </c>
      <c r="K80" s="1">
        <f t="shared" si="78"/>
        <v>1259.1562528414256</v>
      </c>
      <c r="L80" s="1">
        <f t="shared" si="79"/>
        <v>2014.6500045462808</v>
      </c>
      <c r="M80" s="1">
        <f>SUM(F80+I80)*'Form 2.0'!$F$12</f>
        <v>707.9138252454992</v>
      </c>
      <c r="N80" s="1">
        <f>'Link In'!J$63+'Link In'!J$67</f>
        <v>-33544.5</v>
      </c>
      <c r="O80" s="1">
        <f t="shared" si="80"/>
        <v>-12901.73076923077</v>
      </c>
      <c r="P80" s="1">
        <f t="shared" si="81"/>
        <v>-20642.76923076923</v>
      </c>
      <c r="Q80" s="41">
        <f>P80*'Form 2.0'!$F$35</f>
        <v>-668.82572307692305</v>
      </c>
    </row>
    <row r="81" spans="1:17" x14ac:dyDescent="0.3">
      <c r="A81" s="6">
        <f t="shared" si="82"/>
        <v>9</v>
      </c>
      <c r="B81" s="24">
        <v>42856</v>
      </c>
      <c r="C81" s="6">
        <v>4</v>
      </c>
      <c r="D81" s="1">
        <f>'Link In'!K$9</f>
        <v>57084.5</v>
      </c>
      <c r="E81" s="1">
        <f t="shared" si="74"/>
        <v>17564.461538461539</v>
      </c>
      <c r="F81" s="1">
        <f t="shared" si="75"/>
        <v>39520.038461538461</v>
      </c>
      <c r="G81" s="1">
        <f>-D81*'Link In'!K$36</f>
        <v>-9567.869177927927</v>
      </c>
      <c r="H81" s="1">
        <f t="shared" si="76"/>
        <v>-2943.9597470547469</v>
      </c>
      <c r="I81" s="1">
        <f t="shared" si="77"/>
        <v>-6623.9094308731801</v>
      </c>
      <c r="J81" s="1">
        <f>-G81*'Link In'!K$46</f>
        <v>3396.9349024024023</v>
      </c>
      <c r="K81" s="1">
        <f t="shared" si="78"/>
        <v>1045.2107392007392</v>
      </c>
      <c r="L81" s="1">
        <f t="shared" si="79"/>
        <v>2351.724163201663</v>
      </c>
      <c r="M81" s="1">
        <f>SUM(F81+I81)*'Form 2.0'!$F$12</f>
        <v>1065.8345805935551</v>
      </c>
      <c r="N81" s="1">
        <f>'Link In'!K$63+'Link In'!K$67</f>
        <v>-39156.881351351352</v>
      </c>
      <c r="O81" s="1">
        <f t="shared" si="80"/>
        <v>-12048.271185031186</v>
      </c>
      <c r="P81" s="1">
        <f t="shared" si="81"/>
        <v>-27108.610166320166</v>
      </c>
      <c r="Q81" s="41">
        <f>P81*'Form 2.0'!$F$35</f>
        <v>-878.31896938877333</v>
      </c>
    </row>
    <row r="82" spans="1:17" x14ac:dyDescent="0.3">
      <c r="A82" s="6">
        <f t="shared" si="82"/>
        <v>10</v>
      </c>
      <c r="B82" s="24">
        <v>42887</v>
      </c>
      <c r="C82" s="6">
        <v>3</v>
      </c>
      <c r="D82" s="1">
        <f>'Link In'!L$9</f>
        <v>81213</v>
      </c>
      <c r="E82" s="1">
        <f t="shared" si="74"/>
        <v>18741.461538461539</v>
      </c>
      <c r="F82" s="1">
        <f t="shared" si="75"/>
        <v>62471.538461538461</v>
      </c>
      <c r="G82" s="1">
        <f>-D82*'Link In'!L$36</f>
        <v>-10140.49817114094</v>
      </c>
      <c r="H82" s="1">
        <f t="shared" si="76"/>
        <v>-2340.1149625709863</v>
      </c>
      <c r="I82" s="1">
        <f t="shared" si="77"/>
        <v>-7800.3832085699541</v>
      </c>
      <c r="J82" s="1">
        <f>-G82*'Link In'!L$46</f>
        <v>3600.2386241610739</v>
      </c>
      <c r="K82" s="1">
        <f t="shared" si="78"/>
        <v>830.82429788332479</v>
      </c>
      <c r="L82" s="1">
        <f t="shared" si="79"/>
        <v>2769.4143262777488</v>
      </c>
      <c r="M82" s="1">
        <f>SUM(F82+I82)*'Form 2.0'!$F$12</f>
        <v>1771.3454301961794</v>
      </c>
      <c r="N82" s="1">
        <f>'Link In'!L$63+'Link In'!L$67</f>
        <v>-56486.639295302011</v>
      </c>
      <c r="O82" s="1">
        <f t="shared" si="80"/>
        <v>-13035.37829891585</v>
      </c>
      <c r="P82" s="1">
        <f t="shared" si="81"/>
        <v>-43451.260996386161</v>
      </c>
      <c r="Q82" s="41">
        <f>P82*'Form 2.0'!$F$35</f>
        <v>-1407.8208562829116</v>
      </c>
    </row>
    <row r="83" spans="1:17" x14ac:dyDescent="0.3">
      <c r="A83" s="6">
        <f t="shared" si="82"/>
        <v>11</v>
      </c>
      <c r="B83" s="24">
        <v>42917</v>
      </c>
      <c r="C83" s="6">
        <v>2</v>
      </c>
      <c r="D83" s="1">
        <f>'Link In'!M$9</f>
        <v>95337</v>
      </c>
      <c r="E83" s="1">
        <f t="shared" si="74"/>
        <v>14667.23076923077</v>
      </c>
      <c r="F83" s="1">
        <f t="shared" si="75"/>
        <v>80669.769230769234</v>
      </c>
      <c r="G83" s="1">
        <f>-D83*'Link In'!M$36</f>
        <v>-11016.803711180124</v>
      </c>
      <c r="H83" s="1">
        <f t="shared" si="76"/>
        <v>-1694.8928786430961</v>
      </c>
      <c r="I83" s="1">
        <f t="shared" si="77"/>
        <v>-9321.9108325370289</v>
      </c>
      <c r="J83" s="1">
        <f>-G83*'Link In'!M$46</f>
        <v>3911.358354037267</v>
      </c>
      <c r="K83" s="1">
        <f t="shared" si="78"/>
        <v>601.74743908265646</v>
      </c>
      <c r="L83" s="1">
        <f t="shared" si="79"/>
        <v>3309.6109149546105</v>
      </c>
      <c r="M83" s="1">
        <f>SUM(F83+I83)*'Form 2.0'!$F$12</f>
        <v>2311.6706121027232</v>
      </c>
      <c r="N83" s="1">
        <f>'Link In'!M$63+'Link In'!M$67</f>
        <v>-46339.111397515531</v>
      </c>
      <c r="O83" s="1">
        <f t="shared" si="80"/>
        <v>-7129.0940611562364</v>
      </c>
      <c r="P83" s="1">
        <f t="shared" si="81"/>
        <v>-39210.017336359291</v>
      </c>
      <c r="Q83" s="41">
        <f>P83*'Form 2.0'!$F$35</f>
        <v>-1270.4045616980409</v>
      </c>
    </row>
    <row r="84" spans="1:17" x14ac:dyDescent="0.3">
      <c r="A84" s="6">
        <f t="shared" si="82"/>
        <v>12</v>
      </c>
      <c r="B84" s="24">
        <v>42948</v>
      </c>
      <c r="C84" s="6">
        <v>1</v>
      </c>
      <c r="D84" s="1">
        <f>'Link In'!N$9</f>
        <v>107107</v>
      </c>
      <c r="E84" s="1">
        <f t="shared" si="74"/>
        <v>8239</v>
      </c>
      <c r="F84" s="1">
        <f t="shared" si="75"/>
        <v>98868</v>
      </c>
      <c r="G84" s="1">
        <f>-D84*'Link In'!N$36</f>
        <v>-11756.232286135693</v>
      </c>
      <c r="H84" s="1">
        <f t="shared" si="76"/>
        <v>-904.32556047197647</v>
      </c>
      <c r="I84" s="1">
        <f t="shared" si="77"/>
        <v>-10851.906725663717</v>
      </c>
      <c r="J84" s="1">
        <f>-G84*'Link In'!N$46</f>
        <v>4173.8818780727634</v>
      </c>
      <c r="K84" s="1">
        <f t="shared" si="78"/>
        <v>321.06783677482798</v>
      </c>
      <c r="L84" s="1">
        <f t="shared" si="79"/>
        <v>3852.8140412979355</v>
      </c>
      <c r="M84" s="1">
        <f>SUM(F84+I84)*'Form 2.0'!$F$12</f>
        <v>2851.7214220884953</v>
      </c>
      <c r="N84" s="1">
        <f>'Link In'!N$63+'Link In'!N$67</f>
        <v>-49449.311415929209</v>
      </c>
      <c r="O84" s="1">
        <f t="shared" si="80"/>
        <v>-3803.7931858407087</v>
      </c>
      <c r="P84" s="1">
        <f t="shared" si="81"/>
        <v>-45645.518230088499</v>
      </c>
      <c r="Q84" s="41">
        <f>P84*'Form 2.0'!$F$35</f>
        <v>-1478.9147906548674</v>
      </c>
    </row>
    <row r="85" spans="1:17" x14ac:dyDescent="0.3">
      <c r="D85" s="69">
        <f>SUM(D73:D84)</f>
        <v>864129.86</v>
      </c>
      <c r="E85" s="69">
        <f t="shared" ref="E85" si="83">SUM(E73:E84)</f>
        <v>431249.17846153851</v>
      </c>
      <c r="F85" s="69">
        <f t="shared" ref="F85" si="84">SUM(F73:F84)</f>
        <v>432880.68153846153</v>
      </c>
      <c r="G85" s="69">
        <f t="shared" ref="G85" si="85">SUM(G73:G84)</f>
        <v>-122012.55685773796</v>
      </c>
      <c r="H85" s="69">
        <f t="shared" ref="H85" si="86">SUM(H73:H84)</f>
        <v>-61629.475673080597</v>
      </c>
      <c r="I85" s="69">
        <f t="shared" ref="I85" si="87">SUM(I73:I84)</f>
        <v>-60383.081184657349</v>
      </c>
      <c r="J85" s="69">
        <f t="shared" ref="J85" si="88">SUM(J73:J84)</f>
        <v>43318.810616426854</v>
      </c>
      <c r="K85" s="69">
        <f t="shared" ref="K85" si="89">SUM(K73:K84)</f>
        <v>21880.662563154485</v>
      </c>
      <c r="L85" s="69">
        <f t="shared" ref="L85" si="90">SUM(L73:L84)</f>
        <v>21438.148053272373</v>
      </c>
      <c r="M85" s="69">
        <f t="shared" ref="M85:P85" si="91">SUM(M73:M84)</f>
        <v>12068.922251463253</v>
      </c>
      <c r="N85" s="69">
        <f t="shared" si="91"/>
        <v>-435970.81873758568</v>
      </c>
      <c r="O85" s="69">
        <f t="shared" si="91"/>
        <v>-204398.37616921446</v>
      </c>
      <c r="P85" s="69">
        <f t="shared" si="91"/>
        <v>-231572.44256837122</v>
      </c>
      <c r="Q85" s="88">
        <f t="shared" ref="Q85" si="92">SUM(Q73:Q84)</f>
        <v>-7502.9471392152263</v>
      </c>
    </row>
    <row r="88" spans="1:17" x14ac:dyDescent="0.3">
      <c r="A88" s="7" t="s">
        <v>102</v>
      </c>
    </row>
    <row r="90" spans="1:17" x14ac:dyDescent="0.3">
      <c r="A90" s="12" t="s">
        <v>28</v>
      </c>
      <c r="C90" s="13" t="s">
        <v>56</v>
      </c>
      <c r="I90" s="13" t="s">
        <v>59</v>
      </c>
      <c r="J90" s="13" t="s">
        <v>60</v>
      </c>
      <c r="L90" s="13" t="s">
        <v>62</v>
      </c>
      <c r="N90" s="13"/>
      <c r="P90" s="13" t="s">
        <v>214</v>
      </c>
    </row>
    <row r="91" spans="1:17" x14ac:dyDescent="0.3">
      <c r="A91" s="14" t="s">
        <v>29</v>
      </c>
      <c r="B91" s="14" t="s">
        <v>54</v>
      </c>
      <c r="C91" s="14" t="s">
        <v>55</v>
      </c>
      <c r="D91" s="14" t="s">
        <v>103</v>
      </c>
      <c r="E91" s="14" t="s">
        <v>57</v>
      </c>
      <c r="F91" s="14" t="s">
        <v>58</v>
      </c>
      <c r="G91" s="14" t="s">
        <v>40</v>
      </c>
      <c r="H91" s="14" t="s">
        <v>57</v>
      </c>
      <c r="I91" s="14" t="s">
        <v>58</v>
      </c>
      <c r="J91" s="14" t="s">
        <v>61</v>
      </c>
      <c r="K91" s="14" t="s">
        <v>57</v>
      </c>
      <c r="L91" s="14" t="s">
        <v>58</v>
      </c>
      <c r="M91" s="14" t="s">
        <v>2</v>
      </c>
      <c r="N91" s="14" t="s">
        <v>214</v>
      </c>
      <c r="O91" s="14" t="s">
        <v>57</v>
      </c>
      <c r="P91" s="14" t="s">
        <v>58</v>
      </c>
      <c r="Q91" s="79" t="s">
        <v>292</v>
      </c>
    </row>
    <row r="92" spans="1:17" x14ac:dyDescent="0.3">
      <c r="A92" s="6"/>
      <c r="B92" s="25" t="s">
        <v>63</v>
      </c>
      <c r="C92" s="25" t="s">
        <v>64</v>
      </c>
      <c r="D92" s="25" t="s">
        <v>65</v>
      </c>
      <c r="E92" s="25" t="s">
        <v>66</v>
      </c>
      <c r="F92" s="26" t="s">
        <v>70</v>
      </c>
      <c r="G92" s="25" t="s">
        <v>67</v>
      </c>
      <c r="H92" s="25" t="s">
        <v>68</v>
      </c>
      <c r="I92" s="26" t="s">
        <v>69</v>
      </c>
      <c r="J92" s="25" t="s">
        <v>71</v>
      </c>
      <c r="K92" s="25" t="s">
        <v>72</v>
      </c>
      <c r="L92" s="26" t="s">
        <v>73</v>
      </c>
      <c r="M92" s="25" t="s">
        <v>74</v>
      </c>
      <c r="N92" s="25" t="s">
        <v>215</v>
      </c>
      <c r="O92" s="25" t="s">
        <v>216</v>
      </c>
      <c r="P92" s="26" t="s">
        <v>294</v>
      </c>
      <c r="Q92" s="144" t="s">
        <v>295</v>
      </c>
    </row>
    <row r="93" spans="1:17" x14ac:dyDescent="0.3">
      <c r="A93" s="6">
        <v>1</v>
      </c>
      <c r="B93" s="24">
        <v>42614</v>
      </c>
      <c r="C93" s="6">
        <v>12</v>
      </c>
      <c r="D93" s="31">
        <f>'Link In'!C$10</f>
        <v>124173.5</v>
      </c>
      <c r="E93" s="31">
        <f>SUM($C93/13)*D93</f>
        <v>114621.69230769231</v>
      </c>
      <c r="F93" s="31">
        <f>D93-E93</f>
        <v>9551.8076923076878</v>
      </c>
      <c r="G93" s="31">
        <f>-D93*'Link In'!C$37</f>
        <v>-3550.5007017543867</v>
      </c>
      <c r="H93" s="31">
        <f>SUM($C93/13)*G93</f>
        <v>-3277.3852631578957</v>
      </c>
      <c r="I93" s="31">
        <f>G93-H93</f>
        <v>-273.115438596491</v>
      </c>
      <c r="J93" s="31">
        <f>-G93*'Link In'!C$47</f>
        <v>15730.429429824559</v>
      </c>
      <c r="K93" s="31">
        <f>SUM($C93/13)*J93</f>
        <v>14520.396396761133</v>
      </c>
      <c r="L93" s="31">
        <f>J93-K93</f>
        <v>1210.033033063426</v>
      </c>
      <c r="M93" s="31">
        <f>SUM(F93+I93)*'Form 2.0'!$F$13</f>
        <v>324.75422887989191</v>
      </c>
      <c r="N93" s="31">
        <f>'Link In'!C$64</f>
        <v>-7576.7619824561416</v>
      </c>
      <c r="O93" s="31">
        <f>SUM($C93/13)*N93</f>
        <v>-6993.9341376518232</v>
      </c>
      <c r="P93" s="31">
        <f>N93-O93</f>
        <v>-582.82784480431837</v>
      </c>
      <c r="Q93" s="87">
        <f>P93*'Form 2.0'!$F$36</f>
        <v>-20.398974568151147</v>
      </c>
    </row>
    <row r="94" spans="1:17" x14ac:dyDescent="0.3">
      <c r="A94" s="6">
        <f>A93+1</f>
        <v>2</v>
      </c>
      <c r="B94" s="24">
        <v>42644</v>
      </c>
      <c r="C94" s="6">
        <v>11</v>
      </c>
      <c r="D94" s="1">
        <f>'Link In'!D$10</f>
        <v>75563.399999999994</v>
      </c>
      <c r="E94" s="1">
        <f t="shared" ref="E94:E104" si="93">SUM($C94/13)*D94</f>
        <v>63938.261538461535</v>
      </c>
      <c r="F94" s="1">
        <f t="shared" ref="F94:F104" si="94">D94-E94</f>
        <v>11625.13846153846</v>
      </c>
      <c r="G94" s="1">
        <f>-D94*'Link In'!D$37</f>
        <v>-2649.6036144578316</v>
      </c>
      <c r="H94" s="1">
        <f t="shared" ref="H94:H104" si="95">SUM($C94/13)*G94</f>
        <v>-2241.9722891566266</v>
      </c>
      <c r="I94" s="1">
        <f t="shared" ref="I94:I104" si="96">G94-H94</f>
        <v>-407.63132530120492</v>
      </c>
      <c r="J94" s="1">
        <f>-G94*'Link In'!D$47</f>
        <v>11739.021105851976</v>
      </c>
      <c r="K94" s="1">
        <f t="shared" ref="K94:K104" si="97">SUM($C94/13)*J94</f>
        <v>9933.0178587978262</v>
      </c>
      <c r="L94" s="1">
        <f t="shared" ref="L94:L104" si="98">J94-K94</f>
        <v>1806.0032470541501</v>
      </c>
      <c r="M94" s="1">
        <f>SUM(F94+I94)*'Form 2.0'!$F$13</f>
        <v>392.61274976830396</v>
      </c>
      <c r="N94" s="1">
        <f>'Link In'!D$64</f>
        <v>-4278.8913253012042</v>
      </c>
      <c r="O94" s="1">
        <f t="shared" ref="O94:O104" si="99">SUM($C94/13)*N94</f>
        <v>-3620.6003521779421</v>
      </c>
      <c r="P94" s="1">
        <f t="shared" ref="P94:P104" si="100">N94-O94</f>
        <v>-658.29097312326212</v>
      </c>
      <c r="Q94" s="41">
        <f>P94*'Form 2.0'!$F$36</f>
        <v>-23.040184059314175</v>
      </c>
    </row>
    <row r="95" spans="1:17" x14ac:dyDescent="0.3">
      <c r="A95" s="6">
        <f t="shared" ref="A95:A104" si="101">A94+1</f>
        <v>3</v>
      </c>
      <c r="B95" s="24">
        <v>42675</v>
      </c>
      <c r="C95" s="6">
        <v>10</v>
      </c>
      <c r="D95" s="1">
        <f>'Link In'!E$10</f>
        <v>70620</v>
      </c>
      <c r="E95" s="1">
        <f t="shared" si="93"/>
        <v>54323.076923076929</v>
      </c>
      <c r="F95" s="1">
        <f t="shared" si="94"/>
        <v>16296.923076923071</v>
      </c>
      <c r="G95" s="1">
        <f>-D95*'Link In'!E$37</f>
        <v>-2966.4123711340212</v>
      </c>
      <c r="H95" s="1">
        <f t="shared" si="95"/>
        <v>-2281.8556701030934</v>
      </c>
      <c r="I95" s="1">
        <f t="shared" si="96"/>
        <v>-684.5567010309278</v>
      </c>
      <c r="J95" s="1">
        <f>-G95*'Link In'!E$47</f>
        <v>13142.636597938143</v>
      </c>
      <c r="K95" s="1">
        <f t="shared" si="97"/>
        <v>10109.720459952418</v>
      </c>
      <c r="L95" s="1">
        <f t="shared" si="98"/>
        <v>3032.9161379857251</v>
      </c>
      <c r="M95" s="1">
        <f>SUM(F95+I95)*'Form 2.0'!$F$13</f>
        <v>546.43282315622503</v>
      </c>
      <c r="N95" s="1">
        <f>'Link In'!E$64</f>
        <v>-4106.1525773195881</v>
      </c>
      <c r="O95" s="1">
        <f t="shared" si="99"/>
        <v>-3158.5789056304525</v>
      </c>
      <c r="P95" s="1">
        <f t="shared" si="100"/>
        <v>-947.57367168913561</v>
      </c>
      <c r="Q95" s="41">
        <f>P95*'Form 2.0'!$F$36</f>
        <v>-33.165078509119752</v>
      </c>
    </row>
    <row r="96" spans="1:17" x14ac:dyDescent="0.3">
      <c r="A96" s="6">
        <f t="shared" si="101"/>
        <v>4</v>
      </c>
      <c r="B96" s="24">
        <v>42705</v>
      </c>
      <c r="C96" s="6">
        <v>9</v>
      </c>
      <c r="D96" s="1">
        <f>'Link In'!F$10</f>
        <v>45903</v>
      </c>
      <c r="E96" s="1">
        <f t="shared" si="93"/>
        <v>31779</v>
      </c>
      <c r="F96" s="1">
        <f t="shared" si="94"/>
        <v>14124</v>
      </c>
      <c r="G96" s="1">
        <f>-D96*'Link In'!F$37</f>
        <v>-3105.8170043175028</v>
      </c>
      <c r="H96" s="1">
        <f t="shared" si="95"/>
        <v>-2150.1810029890403</v>
      </c>
      <c r="I96" s="1">
        <f t="shared" si="96"/>
        <v>-955.6360013284625</v>
      </c>
      <c r="J96" s="1">
        <f>-G96*'Link In'!F$47</f>
        <v>13760.266315177678</v>
      </c>
      <c r="K96" s="1">
        <f t="shared" si="97"/>
        <v>9526.3382181999314</v>
      </c>
      <c r="L96" s="1">
        <f t="shared" si="98"/>
        <v>4233.9280969777465</v>
      </c>
      <c r="M96" s="1">
        <f>SUM(F96+I96)*'Form 2.0'!$F$13</f>
        <v>460.89273995350385</v>
      </c>
      <c r="N96" s="1">
        <f>'Link In'!F$64</f>
        <v>-4299.118565260711</v>
      </c>
      <c r="O96" s="1">
        <f t="shared" si="99"/>
        <v>-2976.3128528727998</v>
      </c>
      <c r="P96" s="1">
        <f t="shared" si="100"/>
        <v>-1322.8057123879112</v>
      </c>
      <c r="Q96" s="41">
        <f>P96*'Form 2.0'!$F$36</f>
        <v>-46.298199933576896</v>
      </c>
    </row>
    <row r="97" spans="1:17" x14ac:dyDescent="0.3">
      <c r="A97" s="6">
        <f t="shared" si="101"/>
        <v>5</v>
      </c>
      <c r="B97" s="24">
        <v>42736</v>
      </c>
      <c r="C97" s="6">
        <v>8</v>
      </c>
      <c r="D97" s="1">
        <f>'Link In'!G$10</f>
        <v>20597.5</v>
      </c>
      <c r="E97" s="1">
        <f t="shared" si="93"/>
        <v>12675.384615384615</v>
      </c>
      <c r="F97" s="1">
        <f t="shared" si="94"/>
        <v>7922.1153846153848</v>
      </c>
      <c r="G97" s="1">
        <f>-D97*'Link In'!G$37</f>
        <v>-3051.8090909090915</v>
      </c>
      <c r="H97" s="1">
        <f t="shared" si="95"/>
        <v>-1878.0363636363641</v>
      </c>
      <c r="I97" s="1">
        <f t="shared" si="96"/>
        <v>-1173.7727272727275</v>
      </c>
      <c r="J97" s="1">
        <f>-G97*'Link In'!G$47</f>
        <v>13520.985227272726</v>
      </c>
      <c r="K97" s="1">
        <f t="shared" si="97"/>
        <v>8320.6062937062925</v>
      </c>
      <c r="L97" s="1">
        <f t="shared" si="98"/>
        <v>5200.3789335664333</v>
      </c>
      <c r="M97" s="1">
        <f>SUM(F97+I97)*'Form 2.0'!$F$13</f>
        <v>236.19199300699302</v>
      </c>
      <c r="N97" s="1">
        <f>'Link In'!G$64</f>
        <v>-3872.33</v>
      </c>
      <c r="O97" s="1">
        <f t="shared" si="99"/>
        <v>-2382.9723076923078</v>
      </c>
      <c r="P97" s="1">
        <f t="shared" si="100"/>
        <v>-1489.3576923076921</v>
      </c>
      <c r="Q97" s="41">
        <f>P97*'Form 2.0'!$F$36</f>
        <v>-52.127519230769231</v>
      </c>
    </row>
    <row r="98" spans="1:17" x14ac:dyDescent="0.3">
      <c r="A98" s="6">
        <f t="shared" si="101"/>
        <v>6</v>
      </c>
      <c r="B98" s="24">
        <v>42767</v>
      </c>
      <c r="C98" s="6">
        <v>7</v>
      </c>
      <c r="D98" s="1">
        <f>'Link In'!H$10</f>
        <v>21845.120000000003</v>
      </c>
      <c r="E98" s="1">
        <f t="shared" si="93"/>
        <v>11762.756923076924</v>
      </c>
      <c r="F98" s="1">
        <f t="shared" si="94"/>
        <v>10082.363076923079</v>
      </c>
      <c r="G98" s="1">
        <f>-D98*'Link In'!H$37</f>
        <v>-3116.5333333333342</v>
      </c>
      <c r="H98" s="1">
        <f t="shared" si="95"/>
        <v>-1678.1333333333337</v>
      </c>
      <c r="I98" s="1">
        <f t="shared" si="96"/>
        <v>-1438.4000000000005</v>
      </c>
      <c r="J98" s="1">
        <f>-G98*'Link In'!H$47</f>
        <v>13807.744817927171</v>
      </c>
      <c r="K98" s="1">
        <f t="shared" si="97"/>
        <v>7434.9395173453995</v>
      </c>
      <c r="L98" s="1">
        <f t="shared" si="98"/>
        <v>6372.805300581771</v>
      </c>
      <c r="M98" s="1">
        <f>SUM(F98+I98)*'Form 2.0'!$F$13</f>
        <v>302.53870769230781</v>
      </c>
      <c r="N98" s="1">
        <f>'Link In'!H$64</f>
        <v>-3954.4562464985997</v>
      </c>
      <c r="O98" s="1">
        <f t="shared" si="99"/>
        <v>-2129.3225942684767</v>
      </c>
      <c r="P98" s="1">
        <f t="shared" si="100"/>
        <v>-1825.1336522301231</v>
      </c>
      <c r="Q98" s="41">
        <f>P98*'Form 2.0'!$F$36</f>
        <v>-63.879677828054312</v>
      </c>
    </row>
    <row r="99" spans="1:17" x14ac:dyDescent="0.3">
      <c r="A99" s="6">
        <f t="shared" si="101"/>
        <v>7</v>
      </c>
      <c r="B99" s="24">
        <v>42795</v>
      </c>
      <c r="C99" s="6">
        <v>6</v>
      </c>
      <c r="D99" s="1">
        <f>'Link In'!I$10</f>
        <v>31779</v>
      </c>
      <c r="E99" s="1">
        <f t="shared" si="93"/>
        <v>14667.23076923077</v>
      </c>
      <c r="F99" s="1">
        <f t="shared" si="94"/>
        <v>17111.76923076923</v>
      </c>
      <c r="G99" s="1">
        <f>-D99*'Link In'!I$37</f>
        <v>-2697.5812500000002</v>
      </c>
      <c r="H99" s="1">
        <f t="shared" si="95"/>
        <v>-1245.0375000000001</v>
      </c>
      <c r="I99" s="1">
        <f t="shared" si="96"/>
        <v>-1452.54375</v>
      </c>
      <c r="J99" s="1">
        <f>-G99*'Link In'!I$47</f>
        <v>11951.585156249996</v>
      </c>
      <c r="K99" s="1">
        <f t="shared" si="97"/>
        <v>5516.1162259615367</v>
      </c>
      <c r="L99" s="1">
        <f t="shared" si="98"/>
        <v>6435.468930288459</v>
      </c>
      <c r="M99" s="1">
        <f>SUM(F99+I99)*'Form 2.0'!$F$13</f>
        <v>548.07289182692307</v>
      </c>
      <c r="N99" s="1">
        <f>'Link In'!I$64</f>
        <v>-3734.0325000000003</v>
      </c>
      <c r="O99" s="1">
        <f t="shared" si="99"/>
        <v>-1723.3996153846156</v>
      </c>
      <c r="P99" s="1">
        <f t="shared" si="100"/>
        <v>-2010.6328846153847</v>
      </c>
      <c r="Q99" s="41">
        <f>P99*'Form 2.0'!$F$36</f>
        <v>-70.372150961538466</v>
      </c>
    </row>
    <row r="100" spans="1:17" x14ac:dyDescent="0.3">
      <c r="A100" s="6">
        <f t="shared" si="101"/>
        <v>8</v>
      </c>
      <c r="B100" s="24">
        <v>42826</v>
      </c>
      <c r="C100" s="6">
        <v>5</v>
      </c>
      <c r="D100" s="1">
        <f>'Link In'!J$10</f>
        <v>89452</v>
      </c>
      <c r="E100" s="1">
        <f t="shared" si="93"/>
        <v>34404.615384615383</v>
      </c>
      <c r="F100" s="1">
        <f t="shared" si="94"/>
        <v>55047.384615384617</v>
      </c>
      <c r="G100" s="1">
        <f>-D100*'Link In'!J$37</f>
        <v>-3538.574757281554</v>
      </c>
      <c r="H100" s="1">
        <f t="shared" si="95"/>
        <v>-1360.9902912621362</v>
      </c>
      <c r="I100" s="1">
        <f t="shared" si="96"/>
        <v>-2177.584466019418</v>
      </c>
      <c r="J100" s="1">
        <f>-G100*'Link In'!J$47</f>
        <v>15677.591747572813</v>
      </c>
      <c r="K100" s="1">
        <f t="shared" si="97"/>
        <v>6029.8429798356974</v>
      </c>
      <c r="L100" s="1">
        <f t="shared" si="98"/>
        <v>9647.7487677371155</v>
      </c>
      <c r="M100" s="1">
        <f>SUM(F100+I100)*'Form 2.0'!$F$13</f>
        <v>1850.4430052277821</v>
      </c>
      <c r="N100" s="1">
        <f>'Link In'!J$64</f>
        <v>-6530.8644660194177</v>
      </c>
      <c r="O100" s="1">
        <f t="shared" si="99"/>
        <v>-2511.8709484690071</v>
      </c>
      <c r="P100" s="1">
        <f t="shared" si="100"/>
        <v>-4018.9935175504106</v>
      </c>
      <c r="Q100" s="41">
        <f>P100*'Form 2.0'!$F$36</f>
        <v>-140.66477311426439</v>
      </c>
    </row>
    <row r="101" spans="1:17" x14ac:dyDescent="0.3">
      <c r="A101" s="6">
        <f t="shared" si="101"/>
        <v>9</v>
      </c>
      <c r="B101" s="24">
        <v>42856</v>
      </c>
      <c r="C101" s="6">
        <v>4</v>
      </c>
      <c r="D101" s="1">
        <f>'Link In'!K$10</f>
        <v>74151</v>
      </c>
      <c r="E101" s="1">
        <f t="shared" si="93"/>
        <v>22815.692307692309</v>
      </c>
      <c r="F101" s="1">
        <f t="shared" si="94"/>
        <v>51335.307692307688</v>
      </c>
      <c r="G101" s="1">
        <f>-D101*'Link In'!K$37</f>
        <v>-3356.9900000000002</v>
      </c>
      <c r="H101" s="1">
        <f t="shared" si="95"/>
        <v>-1032.92</v>
      </c>
      <c r="I101" s="1">
        <f t="shared" si="96"/>
        <v>-2324.0700000000002</v>
      </c>
      <c r="J101" s="1">
        <f>-G101*'Link In'!K$47</f>
        <v>14873.083749999996</v>
      </c>
      <c r="K101" s="1">
        <f t="shared" si="97"/>
        <v>4576.3334615384611</v>
      </c>
      <c r="L101" s="1">
        <f t="shared" si="98"/>
        <v>10296.750288461535</v>
      </c>
      <c r="M101" s="1">
        <f>SUM(F101+I101)*'Form 2.0'!$F$13</f>
        <v>1715.3933192307693</v>
      </c>
      <c r="N101" s="1">
        <f>'Link In'!K$64</f>
        <v>-6970.1940000000004</v>
      </c>
      <c r="O101" s="1">
        <f t="shared" si="99"/>
        <v>-2144.6750769230771</v>
      </c>
      <c r="P101" s="1">
        <f t="shared" si="100"/>
        <v>-4825.5189230769229</v>
      </c>
      <c r="Q101" s="41">
        <f>P101*'Form 2.0'!$F$36</f>
        <v>-168.89316230769231</v>
      </c>
    </row>
    <row r="102" spans="1:17" x14ac:dyDescent="0.3">
      <c r="A102" s="6">
        <f t="shared" si="101"/>
        <v>10</v>
      </c>
      <c r="B102" s="24">
        <v>42887</v>
      </c>
      <c r="C102" s="6">
        <v>3</v>
      </c>
      <c r="D102" s="1">
        <f>'Link In'!L$10</f>
        <v>110638</v>
      </c>
      <c r="E102" s="1">
        <f t="shared" si="93"/>
        <v>25531.846153846156</v>
      </c>
      <c r="F102" s="1">
        <f t="shared" si="94"/>
        <v>85106.153846153844</v>
      </c>
      <c r="G102" s="1">
        <f>-D102*'Link In'!L$37</f>
        <v>-3087.6424657534253</v>
      </c>
      <c r="H102" s="1">
        <f t="shared" si="95"/>
        <v>-712.53287671232897</v>
      </c>
      <c r="I102" s="1">
        <f t="shared" si="96"/>
        <v>-2375.1095890410961</v>
      </c>
      <c r="J102" s="1">
        <f>-G102*'Link In'!L$47</f>
        <v>13679.744349315066</v>
      </c>
      <c r="K102" s="1">
        <f t="shared" si="97"/>
        <v>3156.8640806111694</v>
      </c>
      <c r="L102" s="1">
        <f t="shared" si="98"/>
        <v>10522.880268703897</v>
      </c>
      <c r="M102" s="1">
        <f>SUM(F102+I102)*'Form 2.0'!$F$13</f>
        <v>2895.5865489989465</v>
      </c>
      <c r="N102" s="1">
        <f>'Link In'!L$64</f>
        <v>-8726.0039041095897</v>
      </c>
      <c r="O102" s="1">
        <f t="shared" si="99"/>
        <v>-2013.6932086406746</v>
      </c>
      <c r="P102" s="1">
        <f t="shared" si="100"/>
        <v>-6712.3106954689156</v>
      </c>
      <c r="Q102" s="41">
        <f>P102*'Form 2.0'!$F$36</f>
        <v>-234.93087434141208</v>
      </c>
    </row>
    <row r="103" spans="1:17" x14ac:dyDescent="0.3">
      <c r="A103" s="6">
        <f t="shared" si="101"/>
        <v>11</v>
      </c>
      <c r="B103" s="24">
        <v>42917</v>
      </c>
      <c r="C103" s="6">
        <v>2</v>
      </c>
      <c r="D103" s="1">
        <f>'Link In'!M$10</f>
        <v>93336.1</v>
      </c>
      <c r="E103" s="1">
        <f t="shared" si="93"/>
        <v>14359.400000000001</v>
      </c>
      <c r="F103" s="1">
        <f t="shared" si="94"/>
        <v>78976.700000000012</v>
      </c>
      <c r="G103" s="1">
        <f>-D103*'Link In'!M$37</f>
        <v>-3135.1938169826881</v>
      </c>
      <c r="H103" s="1">
        <f t="shared" si="95"/>
        <v>-482.33751030502896</v>
      </c>
      <c r="I103" s="1">
        <f t="shared" si="96"/>
        <v>-2652.8563066776592</v>
      </c>
      <c r="J103" s="1">
        <f>-G103*'Link In'!M$47</f>
        <v>13890.419754740311</v>
      </c>
      <c r="K103" s="1">
        <f t="shared" si="97"/>
        <v>2136.9876545754328</v>
      </c>
      <c r="L103" s="1">
        <f t="shared" si="98"/>
        <v>11753.432100164879</v>
      </c>
      <c r="M103" s="1">
        <f>SUM(F103+I103)*'Form 2.0'!$F$13</f>
        <v>2671.3345292662825</v>
      </c>
      <c r="N103" s="1">
        <f>'Link In'!M$64</f>
        <v>-6690.4978524319886</v>
      </c>
      <c r="O103" s="1">
        <f t="shared" si="99"/>
        <v>-1029.3073619126137</v>
      </c>
      <c r="P103" s="1">
        <f t="shared" si="100"/>
        <v>-5661.1904905193751</v>
      </c>
      <c r="Q103" s="41">
        <f>P103*'Form 2.0'!$F$36</f>
        <v>-198.14166716817815</v>
      </c>
    </row>
    <row r="104" spans="1:17" x14ac:dyDescent="0.3">
      <c r="A104" s="6">
        <f t="shared" si="101"/>
        <v>12</v>
      </c>
      <c r="B104" s="24">
        <v>42948</v>
      </c>
      <c r="C104" s="6">
        <v>1</v>
      </c>
      <c r="D104" s="1">
        <f>'Link In'!N$10</f>
        <v>91806</v>
      </c>
      <c r="E104" s="1">
        <f t="shared" si="93"/>
        <v>7062</v>
      </c>
      <c r="F104" s="1">
        <f t="shared" si="94"/>
        <v>84744</v>
      </c>
      <c r="G104" s="1">
        <f>-D104*'Link In'!N$37</f>
        <v>-3224.6948275862078</v>
      </c>
      <c r="H104" s="1">
        <f t="shared" si="95"/>
        <v>-248.05344827586214</v>
      </c>
      <c r="I104" s="1">
        <f t="shared" si="96"/>
        <v>-2976.6413793103457</v>
      </c>
      <c r="J104" s="1">
        <f>-G104*'Link In'!N$47</f>
        <v>14286.952370689654</v>
      </c>
      <c r="K104" s="1">
        <f t="shared" si="97"/>
        <v>1098.9963362068966</v>
      </c>
      <c r="L104" s="1">
        <f t="shared" si="98"/>
        <v>13187.956034482759</v>
      </c>
      <c r="M104" s="1">
        <f>SUM(F104+I104)*'Form 2.0'!$F$13</f>
        <v>2861.8575517241384</v>
      </c>
      <c r="N104" s="1">
        <f>'Link In'!N$64</f>
        <v>-6881.4928448275869</v>
      </c>
      <c r="O104" s="1">
        <f t="shared" si="99"/>
        <v>-529.34560344827594</v>
      </c>
      <c r="P104" s="1">
        <f t="shared" si="100"/>
        <v>-6352.1472413793108</v>
      </c>
      <c r="Q104" s="41">
        <f>P104*'Form 2.0'!$F$36</f>
        <v>-222.3251534482759</v>
      </c>
    </row>
    <row r="105" spans="1:17" x14ac:dyDescent="0.3">
      <c r="D105" s="69">
        <f>SUM(D93:D104)</f>
        <v>849864.62</v>
      </c>
      <c r="E105" s="69">
        <f t="shared" ref="E105" si="102">SUM(E93:E104)</f>
        <v>407940.956923077</v>
      </c>
      <c r="F105" s="69">
        <f t="shared" ref="F105" si="103">SUM(F93:F104)</f>
        <v>441923.66307692305</v>
      </c>
      <c r="G105" s="69">
        <f t="shared" ref="G105" si="104">SUM(G93:G104)</f>
        <v>-37481.353233510046</v>
      </c>
      <c r="H105" s="69">
        <f t="shared" ref="H105" si="105">SUM(H93:H104)</f>
        <v>-18589.435548931709</v>
      </c>
      <c r="I105" s="69">
        <f t="shared" ref="I105" si="106">SUM(I93:I104)</f>
        <v>-18891.917684578329</v>
      </c>
      <c r="J105" s="69">
        <f t="shared" ref="J105" si="107">SUM(J93:J104)</f>
        <v>166060.46062256012</v>
      </c>
      <c r="K105" s="69">
        <f t="shared" ref="K105" si="108">SUM(K93:K104)</f>
        <v>82360.1594834922</v>
      </c>
      <c r="L105" s="69">
        <f t="shared" ref="L105" si="109">SUM(L93:L104)</f>
        <v>83700.301139067902</v>
      </c>
      <c r="M105" s="69">
        <f t="shared" ref="M105:P105" si="110">SUM(M93:M104)</f>
        <v>14806.111088732066</v>
      </c>
      <c r="N105" s="69">
        <f t="shared" si="110"/>
        <v>-67620.796264224831</v>
      </c>
      <c r="O105" s="69">
        <f t="shared" si="110"/>
        <v>-31214.012965072074</v>
      </c>
      <c r="P105" s="69">
        <f t="shared" si="110"/>
        <v>-36406.783299152754</v>
      </c>
      <c r="Q105" s="88">
        <f t="shared" ref="Q105" si="111">SUM(Q93:Q104)</f>
        <v>-1274.2374154703466</v>
      </c>
    </row>
  </sheetData>
  <pageMargins left="0.7" right="0.7" top="0.75" bottom="0.75" header="0.3" footer="0.3"/>
  <pageSetup scale="60" fitToHeight="5" orientation="landscape" verticalDpi="1200" r:id="rId1"/>
  <rowBreaks count="2" manualBreakCount="2">
    <brk id="46" max="16383" man="1"/>
    <brk id="86" max="16383" man="1"/>
  </rowBreaks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="80" zoomScaleNormal="80" workbookViewId="0"/>
  </sheetViews>
  <sheetFormatPr defaultRowHeight="14.4" x14ac:dyDescent="0.3"/>
  <cols>
    <col min="1" max="1" width="5.5546875" customWidth="1"/>
    <col min="2" max="2" width="31.109375" customWidth="1"/>
    <col min="3" max="3" width="17" customWidth="1"/>
    <col min="4" max="4" width="17.33203125" customWidth="1"/>
    <col min="5" max="7" width="15.33203125" customWidth="1"/>
    <col min="8" max="8" width="13.109375" customWidth="1"/>
  </cols>
  <sheetData>
    <row r="1" spans="1:8" x14ac:dyDescent="0.3">
      <c r="A1" s="7" t="s">
        <v>86</v>
      </c>
    </row>
    <row r="2" spans="1:8" x14ac:dyDescent="0.3">
      <c r="A2" s="7" t="s">
        <v>96</v>
      </c>
    </row>
    <row r="3" spans="1:8" x14ac:dyDescent="0.3">
      <c r="A3" s="7" t="s">
        <v>109</v>
      </c>
    </row>
    <row r="5" spans="1:8" x14ac:dyDescent="0.3">
      <c r="A5" s="12"/>
    </row>
    <row r="6" spans="1:8" ht="43.2" x14ac:dyDescent="0.3">
      <c r="A6" s="141" t="s">
        <v>284</v>
      </c>
      <c r="B6" s="15" t="s">
        <v>30</v>
      </c>
      <c r="C6" s="142" t="s">
        <v>290</v>
      </c>
      <c r="D6" s="142" t="s">
        <v>291</v>
      </c>
      <c r="E6" s="142" t="s">
        <v>110</v>
      </c>
      <c r="F6" s="142" t="s">
        <v>288</v>
      </c>
      <c r="G6" s="142" t="s">
        <v>289</v>
      </c>
      <c r="H6" s="142" t="s">
        <v>6</v>
      </c>
    </row>
    <row r="7" spans="1:8" x14ac:dyDescent="0.3">
      <c r="C7" s="38">
        <v>-1</v>
      </c>
      <c r="D7" s="38">
        <v>-2</v>
      </c>
      <c r="E7" s="38">
        <v>-3</v>
      </c>
      <c r="F7" s="38"/>
      <c r="G7" s="38"/>
      <c r="H7" s="38">
        <v>-4</v>
      </c>
    </row>
    <row r="8" spans="1:8" x14ac:dyDescent="0.3">
      <c r="A8" s="6">
        <v>1</v>
      </c>
      <c r="B8" t="s">
        <v>111</v>
      </c>
    </row>
    <row r="9" spans="1:8" x14ac:dyDescent="0.3">
      <c r="A9" s="6">
        <f>A8+1</f>
        <v>2</v>
      </c>
      <c r="B9" t="s">
        <v>34</v>
      </c>
      <c r="C9" s="31">
        <f>'Form 2.2'!F22</f>
        <v>3189362.1692307694</v>
      </c>
      <c r="D9" s="1"/>
      <c r="E9" s="1"/>
      <c r="F9" s="1"/>
      <c r="G9" s="1"/>
      <c r="H9" t="s">
        <v>120</v>
      </c>
    </row>
    <row r="10" spans="1:8" x14ac:dyDescent="0.3">
      <c r="A10" s="6">
        <f t="shared" ref="A10:A41" si="0">A9+1</f>
        <v>3</v>
      </c>
      <c r="B10" t="s">
        <v>112</v>
      </c>
      <c r="C10" s="1">
        <f>'Form 2.2'!I22</f>
        <v>-103791.31734929225</v>
      </c>
      <c r="D10" s="31">
        <f>-C10</f>
        <v>103791.31734929225</v>
      </c>
      <c r="E10" s="1"/>
      <c r="F10" s="1"/>
      <c r="G10" s="1"/>
      <c r="H10" t="s">
        <v>120</v>
      </c>
    </row>
    <row r="11" spans="1:8" x14ac:dyDescent="0.3">
      <c r="A11" s="6">
        <f t="shared" si="0"/>
        <v>4</v>
      </c>
      <c r="B11" t="s">
        <v>10</v>
      </c>
      <c r="C11" s="1"/>
      <c r="D11" s="1"/>
      <c r="E11" s="31">
        <f>'Form 2.2'!L22</f>
        <v>139971.04782240707</v>
      </c>
      <c r="F11" s="31"/>
      <c r="G11" s="31"/>
      <c r="H11" t="s">
        <v>120</v>
      </c>
    </row>
    <row r="12" spans="1:8" x14ac:dyDescent="0.3">
      <c r="A12" s="6">
        <f t="shared" si="0"/>
        <v>5</v>
      </c>
      <c r="B12" t="s">
        <v>113</v>
      </c>
      <c r="C12" s="1"/>
      <c r="D12" s="1">
        <f>-'Form 2.2'!M22</f>
        <v>-63518.391445838744</v>
      </c>
      <c r="E12" s="1"/>
      <c r="F12" s="1"/>
      <c r="G12" s="1"/>
      <c r="H12" t="s">
        <v>120</v>
      </c>
    </row>
    <row r="13" spans="1:8" x14ac:dyDescent="0.3">
      <c r="A13" s="6">
        <f t="shared" si="0"/>
        <v>6</v>
      </c>
      <c r="B13" t="s">
        <v>214</v>
      </c>
      <c r="C13" s="1"/>
      <c r="D13" s="1"/>
      <c r="E13" s="1"/>
      <c r="F13" s="1">
        <f>'Form 2.2'!P22</f>
        <v>-359410.31159783708</v>
      </c>
      <c r="G13" s="1"/>
      <c r="H13" t="s">
        <v>120</v>
      </c>
    </row>
    <row r="14" spans="1:8" x14ac:dyDescent="0.3">
      <c r="A14" s="6">
        <f t="shared" si="0"/>
        <v>7</v>
      </c>
      <c r="B14" t="s">
        <v>296</v>
      </c>
      <c r="C14" s="1"/>
      <c r="D14" s="1"/>
      <c r="E14" s="1"/>
      <c r="F14" s="1"/>
      <c r="G14" s="1">
        <f>-'Form 2.2'!Q22</f>
        <v>10273.586579850358</v>
      </c>
      <c r="H14" t="s">
        <v>120</v>
      </c>
    </row>
    <row r="15" spans="1:8" x14ac:dyDescent="0.3">
      <c r="A15" s="6">
        <f t="shared" si="0"/>
        <v>8</v>
      </c>
      <c r="C15" s="1"/>
      <c r="D15" s="1"/>
      <c r="E15" s="1"/>
      <c r="F15" s="1"/>
      <c r="G15" s="1"/>
    </row>
    <row r="16" spans="1:8" x14ac:dyDescent="0.3">
      <c r="A16" s="6">
        <f t="shared" si="0"/>
        <v>9</v>
      </c>
      <c r="B16" t="s">
        <v>114</v>
      </c>
      <c r="C16" s="1"/>
      <c r="D16" s="1"/>
      <c r="E16" s="1"/>
      <c r="F16" s="1"/>
      <c r="G16" s="1"/>
    </row>
    <row r="17" spans="1:8" x14ac:dyDescent="0.3">
      <c r="A17" s="6">
        <f t="shared" si="0"/>
        <v>10</v>
      </c>
      <c r="B17" t="s">
        <v>34</v>
      </c>
      <c r="C17" s="1">
        <f>'Form 2.0'!H56</f>
        <v>2754533.1</v>
      </c>
      <c r="D17" s="1"/>
      <c r="E17" s="1"/>
      <c r="F17" s="1"/>
      <c r="G17" s="1"/>
      <c r="H17" t="s">
        <v>3</v>
      </c>
    </row>
    <row r="18" spans="1:8" x14ac:dyDescent="0.3">
      <c r="A18" s="6">
        <f t="shared" si="0"/>
        <v>11</v>
      </c>
      <c r="B18" t="s">
        <v>112</v>
      </c>
      <c r="C18" s="1">
        <f>'Form 2.0'!H63</f>
        <v>-74953.123834282596</v>
      </c>
      <c r="D18" s="1">
        <f>-C18</f>
        <v>74953.123834282596</v>
      </c>
      <c r="E18" s="1"/>
      <c r="F18" s="1"/>
      <c r="G18" s="1"/>
      <c r="H18" t="s">
        <v>3</v>
      </c>
    </row>
    <row r="19" spans="1:8" x14ac:dyDescent="0.3">
      <c r="A19" s="6">
        <f t="shared" si="0"/>
        <v>12</v>
      </c>
      <c r="B19" t="s">
        <v>10</v>
      </c>
      <c r="C19" s="1"/>
      <c r="D19" s="1"/>
      <c r="E19" s="1">
        <f>'Form 2.0'!H72</f>
        <v>101223.64764757085</v>
      </c>
      <c r="F19" s="1"/>
      <c r="G19" s="1"/>
      <c r="H19" t="s">
        <v>3</v>
      </c>
    </row>
    <row r="20" spans="1:8" x14ac:dyDescent="0.3">
      <c r="A20" s="6">
        <f t="shared" si="0"/>
        <v>13</v>
      </c>
      <c r="B20" t="s">
        <v>113</v>
      </c>
      <c r="C20" s="1"/>
      <c r="D20" s="1">
        <f>-'Form 2.0'!G65-'Form 2.0'!I65</f>
        <v>-90084.069030674713</v>
      </c>
      <c r="E20" s="1"/>
      <c r="F20" s="1"/>
      <c r="G20" s="1"/>
      <c r="H20" t="s">
        <v>3</v>
      </c>
    </row>
    <row r="21" spans="1:8" x14ac:dyDescent="0.3">
      <c r="A21" s="6">
        <f t="shared" si="0"/>
        <v>14</v>
      </c>
      <c r="B21" t="s">
        <v>214</v>
      </c>
      <c r="C21" s="1"/>
      <c r="D21" s="1"/>
      <c r="E21" s="1"/>
      <c r="F21" s="1">
        <f>'Form 2.0'!H79</f>
        <v>-238079.69686547513</v>
      </c>
      <c r="G21" s="1"/>
      <c r="H21" t="s">
        <v>3</v>
      </c>
    </row>
    <row r="22" spans="1:8" x14ac:dyDescent="0.3">
      <c r="A22" s="6">
        <f t="shared" si="0"/>
        <v>15</v>
      </c>
      <c r="B22" t="s">
        <v>296</v>
      </c>
      <c r="C22" s="1"/>
      <c r="D22" s="1"/>
      <c r="E22" s="1"/>
      <c r="F22" s="1"/>
      <c r="G22" s="1">
        <f>-'Form 2.0'!G79-'Form 2.0'!I79</f>
        <v>13723.788757070806</v>
      </c>
      <c r="H22" t="s">
        <v>3</v>
      </c>
    </row>
    <row r="23" spans="1:8" x14ac:dyDescent="0.3">
      <c r="A23" s="6">
        <f t="shared" si="0"/>
        <v>16</v>
      </c>
      <c r="C23" s="1"/>
      <c r="D23" s="1"/>
      <c r="E23" s="1"/>
      <c r="F23" s="1"/>
      <c r="G23" s="1"/>
    </row>
    <row r="24" spans="1:8" x14ac:dyDescent="0.3">
      <c r="A24" s="6">
        <f t="shared" si="0"/>
        <v>17</v>
      </c>
      <c r="B24" t="s">
        <v>115</v>
      </c>
      <c r="C24" s="1"/>
      <c r="D24" s="1"/>
      <c r="E24" s="1"/>
      <c r="F24" s="1"/>
      <c r="G24" s="1"/>
    </row>
    <row r="25" spans="1:8" x14ac:dyDescent="0.3">
      <c r="A25" s="6">
        <f t="shared" si="0"/>
        <v>18</v>
      </c>
      <c r="B25" t="s">
        <v>34</v>
      </c>
      <c r="C25" s="1">
        <f>'Form 2.0'!H14</f>
        <v>8510535</v>
      </c>
      <c r="D25" s="1"/>
      <c r="E25" s="1"/>
      <c r="F25" s="1"/>
      <c r="G25" s="1"/>
      <c r="H25" t="s">
        <v>3</v>
      </c>
    </row>
    <row r="26" spans="1:8" x14ac:dyDescent="0.3">
      <c r="A26" s="6">
        <f t="shared" si="0"/>
        <v>19</v>
      </c>
      <c r="B26" t="s">
        <v>112</v>
      </c>
      <c r="C26" s="1">
        <f>'Form 2.0'!H21</f>
        <v>-171913.78861950885</v>
      </c>
      <c r="D26" s="1">
        <f>-C26</f>
        <v>171913.78861950885</v>
      </c>
      <c r="E26" s="1"/>
      <c r="F26" s="1"/>
      <c r="G26" s="1"/>
      <c r="H26" t="s">
        <v>3</v>
      </c>
    </row>
    <row r="27" spans="1:8" x14ac:dyDescent="0.3">
      <c r="A27" s="6">
        <f t="shared" si="0"/>
        <v>20</v>
      </c>
      <c r="B27" t="s">
        <v>10</v>
      </c>
      <c r="C27" s="1"/>
      <c r="D27" s="1"/>
      <c r="E27" s="1">
        <f>'Form 2.0'!H30</f>
        <v>312018.92136144475</v>
      </c>
      <c r="F27" s="1"/>
      <c r="G27" s="1"/>
      <c r="H27" t="s">
        <v>3</v>
      </c>
    </row>
    <row r="28" spans="1:8" x14ac:dyDescent="0.3">
      <c r="A28" s="6">
        <f t="shared" si="0"/>
        <v>21</v>
      </c>
      <c r="B28" t="s">
        <v>113</v>
      </c>
      <c r="C28" s="1"/>
      <c r="D28" s="1">
        <f>-'Form 2.0'!G23-'Form 2.0'!I23</f>
        <v>-195861.63427556213</v>
      </c>
      <c r="E28" s="1"/>
      <c r="F28" s="1"/>
      <c r="G28" s="1"/>
      <c r="H28" t="s">
        <v>3</v>
      </c>
    </row>
    <row r="29" spans="1:8" x14ac:dyDescent="0.3">
      <c r="A29" s="6">
        <f t="shared" si="0"/>
        <v>22</v>
      </c>
      <c r="B29" t="s">
        <v>214</v>
      </c>
      <c r="C29" s="1"/>
      <c r="D29" s="1"/>
      <c r="E29" s="1"/>
      <c r="F29" s="1">
        <f>'Form 2.0'!H37</f>
        <v>-512072.71541084518</v>
      </c>
      <c r="G29" s="1"/>
      <c r="H29" t="s">
        <v>3</v>
      </c>
    </row>
    <row r="30" spans="1:8" x14ac:dyDescent="0.3">
      <c r="A30" s="6">
        <f t="shared" si="0"/>
        <v>23</v>
      </c>
      <c r="B30" t="s">
        <v>296</v>
      </c>
      <c r="C30" s="1"/>
      <c r="D30" s="1"/>
      <c r="E30" s="1"/>
      <c r="F30" s="1"/>
      <c r="G30" s="1">
        <f>-'Form 2.0'!G37-'Form 2.0'!I37</f>
        <v>24171.093314404909</v>
      </c>
      <c r="H30" t="s">
        <v>3</v>
      </c>
    </row>
    <row r="31" spans="1:8" x14ac:dyDescent="0.3">
      <c r="A31" s="6">
        <f t="shared" si="0"/>
        <v>24</v>
      </c>
      <c r="C31" s="1"/>
      <c r="D31" s="1"/>
      <c r="E31" s="1"/>
      <c r="F31" s="1"/>
      <c r="G31" s="1"/>
    </row>
    <row r="32" spans="1:8" x14ac:dyDescent="0.3">
      <c r="A32" s="6">
        <f t="shared" si="0"/>
        <v>25</v>
      </c>
      <c r="B32" t="s">
        <v>116</v>
      </c>
      <c r="C32" s="70">
        <f>SUM(C9:C30)</f>
        <v>14103772.039427686</v>
      </c>
      <c r="D32" s="70">
        <f t="shared" ref="D32:G32" si="1">SUM(D9:D30)</f>
        <v>1194.1350510081102</v>
      </c>
      <c r="E32" s="70">
        <f t="shared" si="1"/>
        <v>553213.61683142267</v>
      </c>
      <c r="F32" s="70">
        <f t="shared" si="1"/>
        <v>-1109562.7238741573</v>
      </c>
      <c r="G32" s="70">
        <f t="shared" si="1"/>
        <v>48168.468651326068</v>
      </c>
    </row>
    <row r="33" spans="1:7" x14ac:dyDescent="0.3">
      <c r="A33" s="6">
        <f t="shared" si="0"/>
        <v>26</v>
      </c>
      <c r="C33" s="1"/>
      <c r="D33" s="1"/>
      <c r="E33" s="1"/>
      <c r="F33" s="1"/>
      <c r="G33" s="1"/>
    </row>
    <row r="34" spans="1:7" x14ac:dyDescent="0.3">
      <c r="A34" s="6">
        <f t="shared" si="0"/>
        <v>27</v>
      </c>
      <c r="B34" t="s">
        <v>117</v>
      </c>
      <c r="C34" s="1"/>
      <c r="D34" s="1"/>
      <c r="E34" s="1"/>
      <c r="F34" s="1"/>
      <c r="G34" s="1"/>
    </row>
    <row r="35" spans="1:7" x14ac:dyDescent="0.3">
      <c r="A35" s="6">
        <f t="shared" si="0"/>
        <v>28</v>
      </c>
      <c r="B35" t="s">
        <v>39</v>
      </c>
      <c r="C35" s="31">
        <f>C9+C17+C25</f>
        <v>14454430.26923077</v>
      </c>
      <c r="D35" s="1"/>
      <c r="E35" s="1"/>
      <c r="F35" s="1"/>
      <c r="G35" s="1"/>
    </row>
    <row r="36" spans="1:7" x14ac:dyDescent="0.3">
      <c r="A36" s="6">
        <f t="shared" si="0"/>
        <v>29</v>
      </c>
      <c r="B36" t="s">
        <v>118</v>
      </c>
      <c r="C36" s="1">
        <f>C10+C18+C26</f>
        <v>-350658.2298030837</v>
      </c>
      <c r="D36" s="31">
        <f>D10+D18+D26</f>
        <v>350658.2298030837</v>
      </c>
      <c r="E36" s="1"/>
      <c r="F36" s="1"/>
      <c r="G36" s="1"/>
    </row>
    <row r="37" spans="1:7" x14ac:dyDescent="0.3">
      <c r="A37" s="6">
        <f t="shared" si="0"/>
        <v>30</v>
      </c>
      <c r="B37" t="s">
        <v>42</v>
      </c>
      <c r="C37" s="1"/>
      <c r="D37" s="1"/>
      <c r="E37" s="31">
        <f>E11+E19+E27</f>
        <v>553213.61683142267</v>
      </c>
      <c r="F37" s="31"/>
      <c r="G37" s="31"/>
    </row>
    <row r="38" spans="1:7" x14ac:dyDescent="0.3">
      <c r="A38" s="6">
        <f t="shared" si="0"/>
        <v>31</v>
      </c>
      <c r="B38" t="s">
        <v>119</v>
      </c>
      <c r="C38" s="1"/>
      <c r="D38" s="1">
        <f>D12+D20+D28</f>
        <v>-349464.09475207562</v>
      </c>
      <c r="E38" s="1"/>
      <c r="F38" s="1"/>
      <c r="G38" s="1"/>
    </row>
    <row r="39" spans="1:7" x14ac:dyDescent="0.3">
      <c r="A39" s="6">
        <f t="shared" si="0"/>
        <v>32</v>
      </c>
      <c r="B39" t="s">
        <v>217</v>
      </c>
      <c r="C39" s="1"/>
      <c r="D39" s="1"/>
      <c r="E39" s="1"/>
      <c r="F39" s="1">
        <f>F13+F21+F29</f>
        <v>-1109562.7238741573</v>
      </c>
      <c r="G39" s="1"/>
    </row>
    <row r="40" spans="1:7" x14ac:dyDescent="0.3">
      <c r="A40" s="6">
        <f t="shared" si="0"/>
        <v>33</v>
      </c>
      <c r="B40" t="s">
        <v>297</v>
      </c>
      <c r="C40" s="1"/>
      <c r="D40" s="1"/>
      <c r="E40" s="1"/>
      <c r="F40" s="1"/>
      <c r="G40" s="1">
        <f>G14+G22+G30</f>
        <v>48168.468651326068</v>
      </c>
    </row>
    <row r="41" spans="1:7" x14ac:dyDescent="0.3">
      <c r="A41" s="6">
        <f t="shared" si="0"/>
        <v>34</v>
      </c>
      <c r="C41" s="70">
        <f>SUM(C35:C40)</f>
        <v>14103772.039427686</v>
      </c>
      <c r="D41" s="70">
        <f t="shared" ref="D41:G41" si="2">SUM(D35:D40)</f>
        <v>1194.1350510080811</v>
      </c>
      <c r="E41" s="70">
        <f t="shared" si="2"/>
        <v>553213.61683142267</v>
      </c>
      <c r="F41" s="70">
        <f t="shared" si="2"/>
        <v>-1109562.7238741573</v>
      </c>
      <c r="G41" s="70">
        <f t="shared" si="2"/>
        <v>48168.468651326068</v>
      </c>
    </row>
  </sheetData>
  <pageMargins left="0.7" right="0.7" top="0.75" bottom="0.75" header="0.3" footer="0.3"/>
  <pageSetup scale="70" orientation="portrait" verticalDpi="1200" r:id="rId1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workbookViewId="0"/>
  </sheetViews>
  <sheetFormatPr defaultRowHeight="14.4" x14ac:dyDescent="0.3"/>
  <cols>
    <col min="1" max="1" width="4.33203125" bestFit="1" customWidth="1"/>
    <col min="2" max="2" width="20.44140625" bestFit="1" customWidth="1"/>
    <col min="3" max="14" width="9" bestFit="1" customWidth="1"/>
    <col min="15" max="15" width="9.44140625" bestFit="1" customWidth="1"/>
  </cols>
  <sheetData>
    <row r="1" spans="1:15" x14ac:dyDescent="0.3">
      <c r="A1" s="7" t="s">
        <v>86</v>
      </c>
      <c r="B1" s="7"/>
    </row>
    <row r="2" spans="1:15" x14ac:dyDescent="0.3">
      <c r="A2" s="7" t="s">
        <v>96</v>
      </c>
      <c r="B2" s="7"/>
    </row>
    <row r="3" spans="1:15" x14ac:dyDescent="0.3">
      <c r="A3" s="7" t="s">
        <v>252</v>
      </c>
      <c r="B3" s="7"/>
    </row>
    <row r="4" spans="1:15" x14ac:dyDescent="0.3">
      <c r="A4" s="7" t="s">
        <v>253</v>
      </c>
      <c r="B4" s="7"/>
    </row>
    <row r="7" spans="1:15" x14ac:dyDescent="0.3">
      <c r="A7" s="62" t="s">
        <v>28</v>
      </c>
    </row>
    <row r="8" spans="1:15" x14ac:dyDescent="0.3">
      <c r="A8" s="63" t="s">
        <v>29</v>
      </c>
      <c r="B8" s="10" t="s">
        <v>254</v>
      </c>
      <c r="C8" s="61">
        <v>43101</v>
      </c>
      <c r="D8" s="61">
        <v>43132</v>
      </c>
      <c r="E8" s="61">
        <v>43160</v>
      </c>
      <c r="F8" s="61">
        <v>43191</v>
      </c>
      <c r="G8" s="61">
        <v>43221</v>
      </c>
      <c r="H8" s="61">
        <v>43252</v>
      </c>
      <c r="I8" s="61">
        <v>43282</v>
      </c>
      <c r="J8" s="61">
        <v>43313</v>
      </c>
      <c r="K8" s="61">
        <v>43344</v>
      </c>
      <c r="L8" s="61">
        <v>43374</v>
      </c>
      <c r="M8" s="61">
        <v>43405</v>
      </c>
      <c r="N8" s="61">
        <v>43435</v>
      </c>
      <c r="O8" s="61" t="s">
        <v>21</v>
      </c>
    </row>
    <row r="9" spans="1:15" x14ac:dyDescent="0.3">
      <c r="A9" s="6"/>
      <c r="B9" s="38">
        <v>-1</v>
      </c>
      <c r="C9" s="38">
        <v>-2</v>
      </c>
      <c r="D9" s="38">
        <v>-3</v>
      </c>
      <c r="E9" s="38">
        <v>-4</v>
      </c>
      <c r="F9" s="38">
        <v>-5</v>
      </c>
      <c r="G9" s="38">
        <v>-6</v>
      </c>
      <c r="H9" s="38">
        <v>-7</v>
      </c>
      <c r="I9" s="38">
        <v>-8</v>
      </c>
      <c r="J9" s="38">
        <v>-9</v>
      </c>
      <c r="K9" s="38">
        <v>-10</v>
      </c>
      <c r="L9" s="38">
        <v>-11</v>
      </c>
      <c r="M9" s="38">
        <v>-12</v>
      </c>
      <c r="N9" s="38">
        <v>-13</v>
      </c>
      <c r="O9" s="38">
        <v>-14</v>
      </c>
    </row>
    <row r="10" spans="1:15" x14ac:dyDescent="0.3">
      <c r="A10" s="6">
        <v>1</v>
      </c>
      <c r="B10" t="s">
        <v>240</v>
      </c>
      <c r="C10" s="1">
        <v>117982</v>
      </c>
      <c r="D10" s="1">
        <v>118084</v>
      </c>
      <c r="E10" s="1">
        <v>118168</v>
      </c>
      <c r="F10" s="1">
        <v>118307</v>
      </c>
      <c r="G10" s="1">
        <v>118396</v>
      </c>
      <c r="H10" s="1">
        <v>118614</v>
      </c>
      <c r="I10" s="1">
        <v>118652</v>
      </c>
      <c r="J10" s="1">
        <v>119053</v>
      </c>
      <c r="K10" s="1">
        <v>119222</v>
      </c>
      <c r="L10" s="1">
        <v>119321</v>
      </c>
      <c r="M10" s="1">
        <v>119320</v>
      </c>
      <c r="N10" s="1">
        <v>119395</v>
      </c>
      <c r="O10" s="1">
        <f>SUM(C10:N10)</f>
        <v>1424514</v>
      </c>
    </row>
    <row r="11" spans="1:15" x14ac:dyDescent="0.3">
      <c r="A11" s="6">
        <f>A10+1</f>
        <v>2</v>
      </c>
      <c r="B11" t="s">
        <v>239</v>
      </c>
      <c r="C11" s="1">
        <v>9248</v>
      </c>
      <c r="D11" s="1">
        <v>9241</v>
      </c>
      <c r="E11" s="1">
        <v>9243</v>
      </c>
      <c r="F11" s="1">
        <v>9251</v>
      </c>
      <c r="G11" s="1">
        <v>9263</v>
      </c>
      <c r="H11" s="1">
        <v>9267</v>
      </c>
      <c r="I11" s="1">
        <v>9277</v>
      </c>
      <c r="J11" s="1">
        <v>9310</v>
      </c>
      <c r="K11" s="1">
        <v>9303</v>
      </c>
      <c r="L11" s="1">
        <v>9285</v>
      </c>
      <c r="M11" s="1">
        <v>9275</v>
      </c>
      <c r="N11" s="1">
        <v>9319</v>
      </c>
      <c r="O11" s="1">
        <f t="shared" ref="O11:O17" si="0">SUM(C11:N11)</f>
        <v>111282</v>
      </c>
    </row>
    <row r="12" spans="1:15" x14ac:dyDescent="0.3">
      <c r="A12" s="6">
        <f t="shared" ref="A12:A18" si="1">A11+1</f>
        <v>3</v>
      </c>
      <c r="B12" t="s">
        <v>241</v>
      </c>
      <c r="C12" s="1">
        <v>54</v>
      </c>
      <c r="D12" s="1">
        <v>54</v>
      </c>
      <c r="E12" s="1">
        <v>54</v>
      </c>
      <c r="F12" s="1">
        <v>54</v>
      </c>
      <c r="G12" s="1">
        <v>54</v>
      </c>
      <c r="H12" s="1">
        <v>54</v>
      </c>
      <c r="I12" s="1">
        <v>54</v>
      </c>
      <c r="J12" s="1">
        <v>54</v>
      </c>
      <c r="K12" s="1">
        <v>54</v>
      </c>
      <c r="L12" s="1">
        <v>54</v>
      </c>
      <c r="M12" s="1">
        <v>54</v>
      </c>
      <c r="N12" s="1">
        <v>54</v>
      </c>
      <c r="O12" s="1">
        <f t="shared" si="0"/>
        <v>648</v>
      </c>
    </row>
    <row r="13" spans="1:15" x14ac:dyDescent="0.3">
      <c r="A13" s="6">
        <f t="shared" si="1"/>
        <v>4</v>
      </c>
      <c r="B13" t="s">
        <v>246</v>
      </c>
      <c r="C13" s="1">
        <v>768</v>
      </c>
      <c r="D13" s="1">
        <v>768</v>
      </c>
      <c r="E13" s="1">
        <v>768</v>
      </c>
      <c r="F13" s="1">
        <v>768</v>
      </c>
      <c r="G13" s="1">
        <v>768</v>
      </c>
      <c r="H13" s="1">
        <v>768</v>
      </c>
      <c r="I13" s="1">
        <v>768</v>
      </c>
      <c r="J13" s="1">
        <v>768</v>
      </c>
      <c r="K13" s="1">
        <v>768</v>
      </c>
      <c r="L13" s="1">
        <v>768</v>
      </c>
      <c r="M13" s="1">
        <v>768</v>
      </c>
      <c r="N13" s="1">
        <v>768</v>
      </c>
      <c r="O13" s="1">
        <f t="shared" si="0"/>
        <v>9216</v>
      </c>
    </row>
    <row r="14" spans="1:15" x14ac:dyDescent="0.3">
      <c r="A14" s="6">
        <f t="shared" si="1"/>
        <v>5</v>
      </c>
      <c r="B14" t="s">
        <v>244</v>
      </c>
      <c r="C14" s="1">
        <v>23</v>
      </c>
      <c r="D14" s="1">
        <v>23</v>
      </c>
      <c r="E14" s="1">
        <v>23</v>
      </c>
      <c r="F14" s="1">
        <v>23</v>
      </c>
      <c r="G14" s="1">
        <v>23</v>
      </c>
      <c r="H14" s="1">
        <v>23</v>
      </c>
      <c r="I14" s="1">
        <v>23</v>
      </c>
      <c r="J14" s="1">
        <v>23</v>
      </c>
      <c r="K14" s="1">
        <v>23</v>
      </c>
      <c r="L14" s="1">
        <v>23</v>
      </c>
      <c r="M14" s="1">
        <v>23</v>
      </c>
      <c r="N14" s="1">
        <v>23</v>
      </c>
      <c r="O14" s="1">
        <f t="shared" si="0"/>
        <v>276</v>
      </c>
    </row>
    <row r="15" spans="1:15" x14ac:dyDescent="0.3">
      <c r="A15" s="6">
        <f t="shared" si="1"/>
        <v>6</v>
      </c>
      <c r="B15" t="s">
        <v>243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f t="shared" si="0"/>
        <v>0</v>
      </c>
    </row>
    <row r="16" spans="1:15" x14ac:dyDescent="0.3">
      <c r="A16" s="6">
        <f t="shared" si="1"/>
        <v>7</v>
      </c>
      <c r="B16" t="s">
        <v>242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f t="shared" si="0"/>
        <v>0</v>
      </c>
    </row>
    <row r="17" spans="1:15" x14ac:dyDescent="0.3">
      <c r="A17" s="6">
        <f t="shared" si="1"/>
        <v>8</v>
      </c>
      <c r="B17" t="s">
        <v>245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f t="shared" si="0"/>
        <v>0</v>
      </c>
    </row>
    <row r="18" spans="1:15" x14ac:dyDescent="0.3">
      <c r="A18" s="6">
        <f t="shared" si="1"/>
        <v>9</v>
      </c>
      <c r="B18" t="s">
        <v>21</v>
      </c>
      <c r="C18" s="57">
        <f>SUM(C10:C17)</f>
        <v>128075</v>
      </c>
      <c r="D18" s="57">
        <f t="shared" ref="D18:O18" si="2">SUM(D10:D17)</f>
        <v>128170</v>
      </c>
      <c r="E18" s="57">
        <f t="shared" si="2"/>
        <v>128256</v>
      </c>
      <c r="F18" s="57">
        <f t="shared" si="2"/>
        <v>128403</v>
      </c>
      <c r="G18" s="57">
        <f t="shared" si="2"/>
        <v>128504</v>
      </c>
      <c r="H18" s="57">
        <f t="shared" si="2"/>
        <v>128726</v>
      </c>
      <c r="I18" s="57">
        <f t="shared" si="2"/>
        <v>128774</v>
      </c>
      <c r="J18" s="57">
        <f t="shared" si="2"/>
        <v>129208</v>
      </c>
      <c r="K18" s="57">
        <f t="shared" si="2"/>
        <v>129370</v>
      </c>
      <c r="L18" s="57">
        <f t="shared" si="2"/>
        <v>129451</v>
      </c>
      <c r="M18" s="57">
        <f t="shared" si="2"/>
        <v>129440</v>
      </c>
      <c r="N18" s="57">
        <f t="shared" si="2"/>
        <v>129559</v>
      </c>
      <c r="O18" s="57">
        <f t="shared" si="2"/>
        <v>1545936</v>
      </c>
    </row>
  </sheetData>
  <pageMargins left="0.7" right="0.7" top="0.75" bottom="0.75" header="0.3" footer="0.3"/>
  <pageSetup scale="86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P96"/>
  <sheetViews>
    <sheetView zoomScale="80" zoomScaleNormal="80" workbookViewId="0"/>
  </sheetViews>
  <sheetFormatPr defaultRowHeight="14.4" x14ac:dyDescent="0.3"/>
  <cols>
    <col min="1" max="1" width="4.6640625" customWidth="1"/>
    <col min="2" max="2" width="29" bestFit="1" customWidth="1"/>
    <col min="3" max="3" width="10.33203125" bestFit="1" customWidth="1"/>
    <col min="4" max="6" width="9.5546875" bestFit="1" customWidth="1"/>
    <col min="7" max="7" width="11.33203125" bestFit="1" customWidth="1"/>
    <col min="8" max="11" width="9.5546875" bestFit="1" customWidth="1"/>
    <col min="12" max="12" width="11.33203125" bestFit="1" customWidth="1"/>
    <col min="13" max="14" width="9.5546875" bestFit="1" customWidth="1"/>
    <col min="15" max="15" width="18" bestFit="1" customWidth="1"/>
    <col min="16" max="16" width="20.33203125" bestFit="1" customWidth="1"/>
  </cols>
  <sheetData>
    <row r="5" spans="2:16" x14ac:dyDescent="0.3">
      <c r="D5" s="19"/>
    </row>
    <row r="6" spans="2:16" x14ac:dyDescent="0.3">
      <c r="B6" t="s">
        <v>34</v>
      </c>
      <c r="C6" s="20">
        <v>42614</v>
      </c>
      <c r="D6" s="20">
        <v>42644</v>
      </c>
      <c r="E6" s="20">
        <v>42675</v>
      </c>
      <c r="F6" s="20">
        <v>42705</v>
      </c>
      <c r="G6" s="20">
        <v>42736</v>
      </c>
      <c r="H6" s="20">
        <v>42767</v>
      </c>
      <c r="I6" s="20">
        <v>42795</v>
      </c>
      <c r="J6" s="20">
        <v>42826</v>
      </c>
      <c r="K6" s="20">
        <v>42856</v>
      </c>
      <c r="L6" s="20">
        <v>42887</v>
      </c>
      <c r="M6" s="20">
        <v>42917</v>
      </c>
      <c r="N6" s="20">
        <v>42948</v>
      </c>
      <c r="O6" s="20" t="s">
        <v>21</v>
      </c>
    </row>
    <row r="7" spans="2:16" x14ac:dyDescent="0.3">
      <c r="B7" t="s">
        <v>35</v>
      </c>
      <c r="C7" s="21">
        <f>'[1]Link Out'!C7</f>
        <v>496246.74</v>
      </c>
      <c r="D7" s="21">
        <f>'[1]Link Out'!D7</f>
        <v>539831.05000000005</v>
      </c>
      <c r="E7" s="21">
        <f>'[1]Link Out'!E7</f>
        <v>464032.25</v>
      </c>
      <c r="F7" s="21">
        <f>'[1]Link Out'!F7</f>
        <v>353453.1</v>
      </c>
      <c r="G7" s="21">
        <f>'[1]Link Out'!G7</f>
        <v>233340.25</v>
      </c>
      <c r="H7" s="21">
        <f>'[1]Link Out'!H7</f>
        <v>180139.85</v>
      </c>
      <c r="I7" s="21">
        <f>'[1]Link Out'!I7</f>
        <v>154187</v>
      </c>
      <c r="J7" s="21">
        <f>'[1]Link Out'!J7</f>
        <v>144182.5</v>
      </c>
      <c r="K7" s="21">
        <f>'[1]Link Out'!K7</f>
        <v>243521.3</v>
      </c>
      <c r="L7" s="21">
        <f>'[1]Link Out'!L7</f>
        <v>365693.9</v>
      </c>
      <c r="M7" s="21">
        <f>'[1]Link Out'!M7</f>
        <v>509287.9</v>
      </c>
      <c r="N7" s="21">
        <f>'[1]Link Out'!N7</f>
        <v>530473.9</v>
      </c>
      <c r="O7" s="21">
        <f>SUM(C7:N7)</f>
        <v>4214389.74</v>
      </c>
    </row>
    <row r="8" spans="2:16" x14ac:dyDescent="0.3">
      <c r="B8" t="s">
        <v>36</v>
      </c>
      <c r="C8" s="21">
        <f>'[1]Link Out'!C8</f>
        <v>61415.86</v>
      </c>
      <c r="D8" s="21">
        <f>'[1]Link Out'!D8</f>
        <v>63322.600000000006</v>
      </c>
      <c r="E8" s="21">
        <f>'[1]Link Out'!E8</f>
        <v>49434</v>
      </c>
      <c r="F8" s="21">
        <f>'[1]Link Out'!F8</f>
        <v>32897.15</v>
      </c>
      <c r="G8" s="21">
        <f>'[1]Link Out'!G8</f>
        <v>36487</v>
      </c>
      <c r="H8" s="21">
        <f>'[1]Link Out'!H8</f>
        <v>38323.120000000003</v>
      </c>
      <c r="I8" s="21">
        <f>'[1]Link Out'!I8</f>
        <v>36487</v>
      </c>
      <c r="J8" s="21">
        <f>'[1]Link Out'!J8</f>
        <v>22363</v>
      </c>
      <c r="K8" s="21">
        <f>'[1]Link Out'!K8</f>
        <v>31308.2</v>
      </c>
      <c r="L8" s="21">
        <f>'[1]Link Out'!L8</f>
        <v>42136.6</v>
      </c>
      <c r="M8" s="21">
        <f>'[1]Link Out'!M8</f>
        <v>56260.600000000006</v>
      </c>
      <c r="N8" s="21">
        <f>'[1]Link Out'!N8</f>
        <v>64499.600000000006</v>
      </c>
      <c r="O8" s="21">
        <f t="shared" ref="O8:O10" si="0">SUM(C8:N8)</f>
        <v>534934.73</v>
      </c>
    </row>
    <row r="9" spans="2:16" x14ac:dyDescent="0.3">
      <c r="B9" t="s">
        <v>37</v>
      </c>
      <c r="C9" s="21">
        <f>'[1]Link Out'!C9</f>
        <v>104753</v>
      </c>
      <c r="D9" s="21">
        <f>'[1]Link Out'!D9</f>
        <v>106047.70000000001</v>
      </c>
      <c r="E9" s="21">
        <f>'[1]Link Out'!E9</f>
        <v>72974</v>
      </c>
      <c r="F9" s="21">
        <f>'[1]Link Out'!F9</f>
        <v>48845.5</v>
      </c>
      <c r="G9" s="21">
        <f>'[1]Link Out'!G9</f>
        <v>42372</v>
      </c>
      <c r="H9" s="21">
        <f>'[1]Link Out'!H9</f>
        <v>58944.160000000003</v>
      </c>
      <c r="I9" s="21">
        <f>'[1]Link Out'!I9</f>
        <v>44726</v>
      </c>
      <c r="J9" s="21">
        <f>'[1]Link Out'!J9</f>
        <v>44726</v>
      </c>
      <c r="K9" s="21">
        <f>'[1]Link Out'!K9</f>
        <v>57084.5</v>
      </c>
      <c r="L9" s="21">
        <f>'[1]Link Out'!L9</f>
        <v>81213</v>
      </c>
      <c r="M9" s="21">
        <f>'[1]Link Out'!M9</f>
        <v>95337</v>
      </c>
      <c r="N9" s="21">
        <f>'[1]Link Out'!N9</f>
        <v>107107</v>
      </c>
      <c r="O9" s="21">
        <f t="shared" si="0"/>
        <v>864129.86</v>
      </c>
    </row>
    <row r="10" spans="2:16" x14ac:dyDescent="0.3">
      <c r="B10" t="s">
        <v>38</v>
      </c>
      <c r="C10" s="21">
        <f>'[1]Link Out'!C10</f>
        <v>124173.5</v>
      </c>
      <c r="D10" s="21">
        <f>'[1]Link Out'!D10</f>
        <v>75563.399999999994</v>
      </c>
      <c r="E10" s="21">
        <f>'[1]Link Out'!E10</f>
        <v>70620</v>
      </c>
      <c r="F10" s="21">
        <f>'[1]Link Out'!F10</f>
        <v>45903</v>
      </c>
      <c r="G10" s="21">
        <f>'[1]Link Out'!G10</f>
        <v>20597.5</v>
      </c>
      <c r="H10" s="21">
        <f>'[1]Link Out'!H10</f>
        <v>21845.120000000003</v>
      </c>
      <c r="I10" s="21">
        <f>'[1]Link Out'!I10</f>
        <v>31779</v>
      </c>
      <c r="J10" s="21">
        <f>'[1]Link Out'!J10</f>
        <v>89452</v>
      </c>
      <c r="K10" s="21">
        <f>'[1]Link Out'!K10</f>
        <v>74151</v>
      </c>
      <c r="L10" s="21">
        <f>'[1]Link Out'!L10</f>
        <v>110638</v>
      </c>
      <c r="M10" s="21">
        <f>'[1]Link Out'!M10</f>
        <v>93336.1</v>
      </c>
      <c r="N10" s="21">
        <f>'[1]Link Out'!N10</f>
        <v>91806</v>
      </c>
      <c r="O10" s="21">
        <f t="shared" si="0"/>
        <v>849864.62</v>
      </c>
    </row>
    <row r="11" spans="2:16" x14ac:dyDescent="0.3">
      <c r="B11" t="s">
        <v>21</v>
      </c>
      <c r="C11" s="22">
        <f t="shared" ref="C11:O11" si="1">SUM(C7:C10)</f>
        <v>786589.1</v>
      </c>
      <c r="D11" s="22">
        <f t="shared" si="1"/>
        <v>784764.75000000012</v>
      </c>
      <c r="E11" s="22">
        <f t="shared" si="1"/>
        <v>657060.25</v>
      </c>
      <c r="F11" s="22">
        <f t="shared" si="1"/>
        <v>481098.75</v>
      </c>
      <c r="G11" s="22">
        <f t="shared" si="1"/>
        <v>332796.75</v>
      </c>
      <c r="H11" s="22">
        <f t="shared" si="1"/>
        <v>299252.25</v>
      </c>
      <c r="I11" s="22">
        <f t="shared" si="1"/>
        <v>267179</v>
      </c>
      <c r="J11" s="22">
        <f t="shared" si="1"/>
        <v>300723.5</v>
      </c>
      <c r="K11" s="22">
        <f t="shared" si="1"/>
        <v>406065</v>
      </c>
      <c r="L11" s="22">
        <f t="shared" si="1"/>
        <v>599681.5</v>
      </c>
      <c r="M11" s="22">
        <f t="shared" si="1"/>
        <v>754221.6</v>
      </c>
      <c r="N11" s="22">
        <f t="shared" si="1"/>
        <v>793886.5</v>
      </c>
      <c r="O11" s="22">
        <f t="shared" si="1"/>
        <v>6463318.9500000011</v>
      </c>
    </row>
    <row r="12" spans="2:16" x14ac:dyDescent="0.3">
      <c r="C12" s="17"/>
      <c r="P12" s="17"/>
    </row>
    <row r="13" spans="2:16" x14ac:dyDescent="0.3">
      <c r="C13" s="17"/>
      <c r="I13" s="17"/>
      <c r="J13" s="17"/>
      <c r="K13" s="17"/>
      <c r="L13" s="17"/>
      <c r="M13" s="17"/>
      <c r="N13" s="17"/>
    </row>
    <row r="14" spans="2:16" x14ac:dyDescent="0.3">
      <c r="B14" t="s">
        <v>34</v>
      </c>
      <c r="C14" s="20">
        <v>42979</v>
      </c>
      <c r="D14" s="20">
        <v>43009</v>
      </c>
      <c r="E14" s="20">
        <v>43040</v>
      </c>
      <c r="F14" s="20">
        <v>43070</v>
      </c>
      <c r="G14" s="20" t="s">
        <v>21</v>
      </c>
      <c r="I14" s="17"/>
      <c r="J14" s="24"/>
      <c r="K14" s="24"/>
      <c r="L14" s="24"/>
      <c r="M14" s="24"/>
      <c r="N14" s="24"/>
    </row>
    <row r="15" spans="2:16" x14ac:dyDescent="0.3">
      <c r="B15" t="s">
        <v>35</v>
      </c>
      <c r="C15" s="21">
        <f>'[1]Link Out'!C15</f>
        <v>506839.74</v>
      </c>
      <c r="D15" s="21">
        <f>'[1]Link Out'!D15</f>
        <v>550424.05000000005</v>
      </c>
      <c r="E15" s="21">
        <f>'[1]Link Out'!E15</f>
        <v>485218.25</v>
      </c>
      <c r="F15" s="21">
        <f>'[1]Link Out'!F15</f>
        <v>353453.1</v>
      </c>
      <c r="G15" s="21">
        <f>SUM(C15:F15)</f>
        <v>1895935.1400000001</v>
      </c>
      <c r="I15" s="17"/>
      <c r="J15" s="28"/>
      <c r="K15" s="28"/>
      <c r="L15" s="28"/>
      <c r="M15" s="28"/>
      <c r="N15" s="28"/>
    </row>
    <row r="16" spans="2:16" x14ac:dyDescent="0.3">
      <c r="B16" t="s">
        <v>36</v>
      </c>
      <c r="C16" s="21">
        <f>'[1]Link Out'!C16</f>
        <v>62592.86</v>
      </c>
      <c r="D16" s="21">
        <f>'[1]Link Out'!D16</f>
        <v>64499.600000000006</v>
      </c>
      <c r="E16" s="21">
        <f>'[1]Link Out'!E16</f>
        <v>51788</v>
      </c>
      <c r="F16" s="21">
        <f>'[1]Link Out'!F16</f>
        <v>32897.15</v>
      </c>
      <c r="G16" s="21">
        <f t="shared" ref="G16:G18" si="2">SUM(C16:F16)</f>
        <v>211777.61000000002</v>
      </c>
      <c r="I16" s="17"/>
      <c r="J16" s="28"/>
      <c r="K16" s="28"/>
      <c r="L16" s="28"/>
      <c r="M16" s="28"/>
      <c r="N16" s="28"/>
    </row>
    <row r="17" spans="2:15" x14ac:dyDescent="0.3">
      <c r="B17" t="s">
        <v>37</v>
      </c>
      <c r="C17" s="21">
        <f>'[1]Link Out'!C17</f>
        <v>104753</v>
      </c>
      <c r="D17" s="21">
        <f>'[1]Link Out'!D17</f>
        <v>106047.70000000001</v>
      </c>
      <c r="E17" s="21">
        <f>'[1]Link Out'!E17</f>
        <v>72974</v>
      </c>
      <c r="F17" s="21">
        <f>'[1]Link Out'!F17</f>
        <v>48845.5</v>
      </c>
      <c r="G17" s="21">
        <f t="shared" si="2"/>
        <v>332620.2</v>
      </c>
      <c r="I17" s="17"/>
      <c r="J17" s="28"/>
      <c r="K17" s="28"/>
      <c r="L17" s="28"/>
      <c r="M17" s="28"/>
      <c r="N17" s="28"/>
    </row>
    <row r="18" spans="2:15" x14ac:dyDescent="0.3">
      <c r="B18" t="s">
        <v>38</v>
      </c>
      <c r="C18" s="21">
        <f>'[1]Link Out'!C18</f>
        <v>112403.5</v>
      </c>
      <c r="D18" s="21">
        <f>'[1]Link Out'!D18</f>
        <v>75563.399999999994</v>
      </c>
      <c r="E18" s="21">
        <f>'[1]Link Out'!E18</f>
        <v>69737.25</v>
      </c>
      <c r="F18" s="21">
        <f>'[1]Link Out'!F18</f>
        <v>56496</v>
      </c>
      <c r="G18" s="21">
        <f t="shared" si="2"/>
        <v>314200.15000000002</v>
      </c>
      <c r="I18" s="17"/>
      <c r="J18" s="28"/>
      <c r="K18" s="28"/>
      <c r="L18" s="28"/>
      <c r="M18" s="28"/>
      <c r="N18" s="28"/>
    </row>
    <row r="19" spans="2:15" x14ac:dyDescent="0.3">
      <c r="B19" t="s">
        <v>21</v>
      </c>
      <c r="C19" s="22">
        <f>SUM(C15:C18)</f>
        <v>786589.1</v>
      </c>
      <c r="D19" s="22">
        <f t="shared" ref="D19:G19" si="3">SUM(D15:D18)</f>
        <v>796534.75000000012</v>
      </c>
      <c r="E19" s="22">
        <f t="shared" si="3"/>
        <v>679717.5</v>
      </c>
      <c r="F19" s="22">
        <f t="shared" si="3"/>
        <v>491691.75</v>
      </c>
      <c r="G19" s="22">
        <f t="shared" si="3"/>
        <v>2754533.1</v>
      </c>
      <c r="I19" s="17"/>
      <c r="J19" s="28"/>
      <c r="K19" s="28"/>
      <c r="L19" s="28"/>
      <c r="M19" s="28"/>
      <c r="N19" s="28"/>
    </row>
    <row r="22" spans="2:15" x14ac:dyDescent="0.3">
      <c r="B22" t="s">
        <v>34</v>
      </c>
      <c r="C22" s="20">
        <v>43101</v>
      </c>
      <c r="D22" s="20">
        <v>43132</v>
      </c>
      <c r="E22" s="20">
        <v>43160</v>
      </c>
      <c r="F22" s="20">
        <v>43191</v>
      </c>
      <c r="G22" s="20">
        <v>43221</v>
      </c>
      <c r="H22" s="20">
        <v>43252</v>
      </c>
      <c r="I22" s="20">
        <v>43282</v>
      </c>
      <c r="J22" s="20">
        <v>43313</v>
      </c>
      <c r="K22" s="20">
        <v>43344</v>
      </c>
      <c r="L22" s="20">
        <v>43374</v>
      </c>
      <c r="M22" s="20">
        <v>43405</v>
      </c>
      <c r="N22" s="20">
        <v>43435</v>
      </c>
      <c r="O22" s="20" t="s">
        <v>21</v>
      </c>
    </row>
    <row r="23" spans="2:15" x14ac:dyDescent="0.3">
      <c r="B23" t="s">
        <v>35</v>
      </c>
      <c r="C23" s="29">
        <f>'[1]Link Out'!C23</f>
        <v>253000</v>
      </c>
      <c r="D23" s="29">
        <f>'[1]Link Out'!D23</f>
        <v>194500</v>
      </c>
      <c r="E23" s="29">
        <f>'[1]Link Out'!E23</f>
        <v>475100</v>
      </c>
      <c r="F23" s="29">
        <f>'[1]Link Out'!F23</f>
        <v>440600</v>
      </c>
      <c r="G23" s="29">
        <f>'[1]Link Out'!G23</f>
        <v>451400</v>
      </c>
      <c r="H23" s="29">
        <f>'[1]Link Out'!H23</f>
        <v>631400</v>
      </c>
      <c r="I23" s="29">
        <f>'[1]Link Out'!I23</f>
        <v>645400</v>
      </c>
      <c r="J23" s="29">
        <f>'[1]Link Out'!J23</f>
        <v>710600</v>
      </c>
      <c r="K23" s="29">
        <f>'[1]Link Out'!K23</f>
        <v>722120</v>
      </c>
      <c r="L23" s="29">
        <f>'[1]Link Out'!L23</f>
        <v>818730</v>
      </c>
      <c r="M23" s="29">
        <f>'[1]Link Out'!M23</f>
        <v>604050</v>
      </c>
      <c r="N23" s="29">
        <f>'[1]Link Out'!N23</f>
        <v>546680</v>
      </c>
      <c r="O23" s="21">
        <f>SUM(C23:N23)</f>
        <v>6493580</v>
      </c>
    </row>
    <row r="24" spans="2:15" x14ac:dyDescent="0.3">
      <c r="B24" t="s">
        <v>36</v>
      </c>
      <c r="C24" s="29">
        <f>'[1]Link Out'!C24</f>
        <v>30500</v>
      </c>
      <c r="D24" s="29">
        <f>'[1]Link Out'!D24</f>
        <v>34500</v>
      </c>
      <c r="E24" s="29">
        <f>'[1]Link Out'!E24</f>
        <v>35600</v>
      </c>
      <c r="F24" s="29">
        <f>'[1]Link Out'!F24</f>
        <v>29600</v>
      </c>
      <c r="G24" s="29">
        <f>'[1]Link Out'!G24</f>
        <v>30800</v>
      </c>
      <c r="H24" s="29">
        <f>'[1]Link Out'!H24</f>
        <v>33700</v>
      </c>
      <c r="I24" s="29">
        <f>'[1]Link Out'!I24</f>
        <v>34000</v>
      </c>
      <c r="J24" s="29">
        <f>'[1]Link Out'!J24</f>
        <v>39700</v>
      </c>
      <c r="K24" s="29">
        <f>'[1]Link Out'!K24</f>
        <v>41280</v>
      </c>
      <c r="L24" s="29">
        <f>'[1]Link Out'!L24</f>
        <v>40020</v>
      </c>
      <c r="M24" s="29">
        <f>'[1]Link Out'!M24</f>
        <v>27600</v>
      </c>
      <c r="N24" s="29">
        <f>'[1]Link Out'!N24</f>
        <v>14720</v>
      </c>
      <c r="O24" s="21">
        <f t="shared" ref="O24:O26" si="4">SUM(C24:N24)</f>
        <v>392020</v>
      </c>
    </row>
    <row r="25" spans="2:15" x14ac:dyDescent="0.3">
      <c r="B25" t="s">
        <v>37</v>
      </c>
      <c r="C25" s="29">
        <f>'[1]Link Out'!C25</f>
        <v>24000</v>
      </c>
      <c r="D25" s="29">
        <f>'[1]Link Out'!D25</f>
        <v>18000</v>
      </c>
      <c r="E25" s="29">
        <f>'[1]Link Out'!E25</f>
        <v>36600</v>
      </c>
      <c r="F25" s="29">
        <f>'[1]Link Out'!F25</f>
        <v>42600</v>
      </c>
      <c r="G25" s="29">
        <f>'[1]Link Out'!G25</f>
        <v>43600</v>
      </c>
      <c r="H25" s="29">
        <f>'[1]Link Out'!H25</f>
        <v>64800</v>
      </c>
      <c r="I25" s="29">
        <f>'[1]Link Out'!I25</f>
        <v>55200</v>
      </c>
      <c r="J25" s="29">
        <f>'[1]Link Out'!J25</f>
        <v>57400</v>
      </c>
      <c r="K25" s="29">
        <f>'[1]Link Out'!K25</f>
        <v>51800</v>
      </c>
      <c r="L25" s="29">
        <f>'[1]Link Out'!L25</f>
        <v>66400</v>
      </c>
      <c r="M25" s="29">
        <f>'[1]Link Out'!M25</f>
        <v>45200</v>
      </c>
      <c r="N25" s="29">
        <f>'[1]Link Out'!N25</f>
        <v>27100</v>
      </c>
      <c r="O25" s="21">
        <f t="shared" si="4"/>
        <v>532700</v>
      </c>
    </row>
    <row r="26" spans="2:15" x14ac:dyDescent="0.3">
      <c r="B26" t="s">
        <v>38</v>
      </c>
      <c r="C26" s="29">
        <f>'[1]Link Out'!C26</f>
        <v>52000</v>
      </c>
      <c r="D26" s="29">
        <f>'[1]Link Out'!D26</f>
        <v>38000</v>
      </c>
      <c r="E26" s="29">
        <f>'[1]Link Out'!E26</f>
        <v>56200</v>
      </c>
      <c r="F26" s="29">
        <f>'[1]Link Out'!F26</f>
        <v>116200</v>
      </c>
      <c r="G26" s="29">
        <f>'[1]Link Out'!G26</f>
        <v>139200</v>
      </c>
      <c r="H26" s="29">
        <f>'[1]Link Out'!H26</f>
        <v>145100</v>
      </c>
      <c r="I26" s="29">
        <f>'[1]Link Out'!I26</f>
        <v>135400</v>
      </c>
      <c r="J26" s="29">
        <f>'[1]Link Out'!J26</f>
        <v>116300</v>
      </c>
      <c r="K26" s="29">
        <f>'[1]Link Out'!K26</f>
        <v>114267</v>
      </c>
      <c r="L26" s="29">
        <f>'[1]Link Out'!L26</f>
        <v>72300</v>
      </c>
      <c r="M26" s="29">
        <f>'[1]Link Out'!M26</f>
        <v>58450</v>
      </c>
      <c r="N26" s="29">
        <f>'[1]Link Out'!N26</f>
        <v>48818</v>
      </c>
      <c r="O26" s="21">
        <f t="shared" si="4"/>
        <v>1092235</v>
      </c>
    </row>
    <row r="27" spans="2:15" x14ac:dyDescent="0.3">
      <c r="B27" t="s">
        <v>21</v>
      </c>
      <c r="C27" s="22">
        <f>SUM(C23:C26)</f>
        <v>359500</v>
      </c>
      <c r="D27" s="22">
        <f t="shared" ref="D27:O27" si="5">SUM(D23:D26)</f>
        <v>285000</v>
      </c>
      <c r="E27" s="22">
        <f t="shared" si="5"/>
        <v>603500</v>
      </c>
      <c r="F27" s="22">
        <f t="shared" si="5"/>
        <v>629000</v>
      </c>
      <c r="G27" s="22">
        <f t="shared" si="5"/>
        <v>665000</v>
      </c>
      <c r="H27" s="22">
        <f t="shared" si="5"/>
        <v>875000</v>
      </c>
      <c r="I27" s="22">
        <f t="shared" si="5"/>
        <v>870000</v>
      </c>
      <c r="J27" s="22">
        <f t="shared" si="5"/>
        <v>924000</v>
      </c>
      <c r="K27" s="22">
        <f t="shared" si="5"/>
        <v>929467</v>
      </c>
      <c r="L27" s="22">
        <f t="shared" si="5"/>
        <v>997450</v>
      </c>
      <c r="M27" s="22">
        <f t="shared" si="5"/>
        <v>735300</v>
      </c>
      <c r="N27" s="22">
        <f t="shared" si="5"/>
        <v>637318</v>
      </c>
      <c r="O27" s="22">
        <f t="shared" si="5"/>
        <v>8510535</v>
      </c>
    </row>
    <row r="31" spans="2:15" x14ac:dyDescent="0.3">
      <c r="B31" t="s">
        <v>78</v>
      </c>
    </row>
    <row r="32" spans="2:15" x14ac:dyDescent="0.3">
      <c r="C32" s="17"/>
    </row>
    <row r="33" spans="2:15" x14ac:dyDescent="0.3">
      <c r="C33" s="37">
        <v>42614</v>
      </c>
      <c r="D33" s="37">
        <v>42644</v>
      </c>
      <c r="E33" s="37">
        <v>42675</v>
      </c>
      <c r="F33" s="37">
        <v>42705</v>
      </c>
      <c r="G33" s="37">
        <v>42736</v>
      </c>
      <c r="H33" s="37">
        <v>42767</v>
      </c>
      <c r="I33" s="37">
        <v>42795</v>
      </c>
      <c r="J33" s="37">
        <v>42826</v>
      </c>
      <c r="K33" s="37">
        <v>42856</v>
      </c>
      <c r="L33" s="37">
        <v>42887</v>
      </c>
      <c r="M33" s="37">
        <v>42917</v>
      </c>
      <c r="N33" s="37">
        <v>42948</v>
      </c>
      <c r="O33" s="37" t="s">
        <v>125</v>
      </c>
    </row>
    <row r="34" spans="2:15" x14ac:dyDescent="0.3">
      <c r="B34" s="35" t="s">
        <v>79</v>
      </c>
      <c r="C34" s="23">
        <f>'[1]Link Out'!M35</f>
        <v>7.7560329893955624E-3</v>
      </c>
      <c r="D34" s="23">
        <f>'[1]Link Out'!N35</f>
        <v>2.0320497134167313E-3</v>
      </c>
      <c r="E34" s="23">
        <f>'[1]Link Out'!O35</f>
        <v>8.414592703199171E-3</v>
      </c>
      <c r="F34" s="23">
        <f>'[1]Link Out'!P35</f>
        <v>1.0323355345156309E-2</v>
      </c>
      <c r="G34" s="23">
        <f>'[1]Link Out'!Q35</f>
        <v>1.4133311703346122E-2</v>
      </c>
      <c r="H34" s="23">
        <f>'[1]Link Out'!R35</f>
        <v>3.9486275218201215E-3</v>
      </c>
      <c r="I34" s="23">
        <f>'[1]Link Out'!S35</f>
        <v>2.7811453616099293E-2</v>
      </c>
      <c r="J34" s="23">
        <f>'[1]Link Out'!T35</f>
        <v>2.5083885485623705E-2</v>
      </c>
      <c r="K34" s="23">
        <f>'[1]Link Out'!U35</f>
        <v>1.5050990602370497E-2</v>
      </c>
      <c r="L34" s="23">
        <f>'[1]Link Out'!V35</f>
        <v>1.0632789476249157E-2</v>
      </c>
      <c r="M34" s="23">
        <f>'[1]Link Out'!W35</f>
        <v>8.2558680817730341E-3</v>
      </c>
      <c r="N34" s="23">
        <f>'[1]Link Out'!X35</f>
        <v>7.0267125409247721E-3</v>
      </c>
      <c r="O34" s="23">
        <f>'[1]Link Out'!Y35</f>
        <v>7.2266767658806614E-3</v>
      </c>
    </row>
    <row r="35" spans="2:15" x14ac:dyDescent="0.3">
      <c r="B35" s="35" t="s">
        <v>80</v>
      </c>
      <c r="C35" s="23">
        <f>'[1]Link Out'!M36</f>
        <v>1.0389317107470181E-2</v>
      </c>
      <c r="D35" s="23">
        <f>'[1]Link Out'!N36</f>
        <v>5.9092838026394631E-3</v>
      </c>
      <c r="E35" s="23">
        <f>'[1]Link Out'!O36</f>
        <v>1.3156669110772299E-2</v>
      </c>
      <c r="F35" s="23">
        <f>'[1]Link Out'!P36</f>
        <v>1.8514513434108596E-2</v>
      </c>
      <c r="G35" s="23">
        <f>'[1]Link Out'!Q36</f>
        <v>2.0040494024139818E-2</v>
      </c>
      <c r="H35" s="23">
        <f>'[1]Link Out'!R36</f>
        <v>7.0796161357428184E-3</v>
      </c>
      <c r="I35" s="23">
        <f>'[1]Link Out'!S36</f>
        <v>1.9402764547199552E-2</v>
      </c>
      <c r="J35" s="23">
        <f>'[1]Link Out'!T36</f>
        <v>2.0879061849703864E-2</v>
      </c>
      <c r="K35" s="23">
        <f>'[1]Link Out'!U36</f>
        <v>1.4420973649945613E-2</v>
      </c>
      <c r="L35" s="23">
        <f>'[1]Link Out'!V36</f>
        <v>1.2670670779503665E-2</v>
      </c>
      <c r="M35" s="23">
        <f>'[1]Link Out'!W36</f>
        <v>1.1001567526762632E-2</v>
      </c>
      <c r="N35" s="23">
        <f>'[1]Link Out'!X36</f>
        <v>1.0131190349012423E-2</v>
      </c>
      <c r="O35" s="23">
        <f>'[1]Link Out'!Y36</f>
        <v>1.1719353173527118E-2</v>
      </c>
    </row>
    <row r="36" spans="2:15" x14ac:dyDescent="0.3">
      <c r="B36" s="36" t="s">
        <v>81</v>
      </c>
      <c r="C36" s="23">
        <f>'[1]Link Out'!M37</f>
        <v>0.11959854991329519</v>
      </c>
      <c r="D36" s="23">
        <f>'[1]Link Out'!N37</f>
        <v>8.5717806027309537E-2</v>
      </c>
      <c r="E36" s="23">
        <f>'[1]Link Out'!O37</f>
        <v>0.17718653153699881</v>
      </c>
      <c r="F36" s="23">
        <f>'[1]Link Out'!P37</f>
        <v>0.21810768829290592</v>
      </c>
      <c r="G36" s="23">
        <f>'[1]Link Out'!Q37</f>
        <v>0.26203641987866022</v>
      </c>
      <c r="H36" s="23">
        <f>'[1]Link Out'!R37</f>
        <v>7.1711952438821017E-2</v>
      </c>
      <c r="I36" s="23">
        <f>'[1]Link Out'!S37</f>
        <v>0.21862027980475762</v>
      </c>
      <c r="J36" s="23">
        <f>'[1]Link Out'!T37</f>
        <v>0.20616783922190685</v>
      </c>
      <c r="K36" s="23">
        <f>'[1]Link Out'!U37</f>
        <v>0.16760888118364753</v>
      </c>
      <c r="L36" s="23">
        <f>'[1]Link Out'!V37</f>
        <v>0.12486299202271729</v>
      </c>
      <c r="M36" s="23">
        <f>'[1]Link Out'!W37</f>
        <v>0.1155564336110862</v>
      </c>
      <c r="N36" s="23">
        <f>'[1]Link Out'!X37</f>
        <v>0.10976156820876033</v>
      </c>
      <c r="O36" s="23">
        <f>'[1]Link Out'!Y37</f>
        <v>0.13455760018795684</v>
      </c>
    </row>
    <row r="37" spans="2:15" x14ac:dyDescent="0.3">
      <c r="B37" s="36" t="s">
        <v>82</v>
      </c>
      <c r="C37" s="23">
        <f>'[1]Link Out'!M38</f>
        <v>2.8593062946235603E-2</v>
      </c>
      <c r="D37" s="23">
        <f>'[1]Link Out'!N38</f>
        <v>3.5064642597578084E-2</v>
      </c>
      <c r="E37" s="23">
        <f>'[1]Link Out'!O38</f>
        <v>4.2005272884933748E-2</v>
      </c>
      <c r="F37" s="23">
        <f>'[1]Link Out'!P38</f>
        <v>6.7660436231128745E-2</v>
      </c>
      <c r="G37" s="23">
        <f>'[1]Link Out'!Q38</f>
        <v>0.14816405344867539</v>
      </c>
      <c r="H37" s="23">
        <f>'[1]Link Out'!R38</f>
        <v>0.14266496743132259</v>
      </c>
      <c r="I37" s="23">
        <f>'[1]Link Out'!S38</f>
        <v>8.4885655621636941E-2</v>
      </c>
      <c r="J37" s="23">
        <f>'[1]Link Out'!T38</f>
        <v>3.9558363784840518E-2</v>
      </c>
      <c r="K37" s="23">
        <f>'[1]Link Out'!U38</f>
        <v>4.5272349664873035E-2</v>
      </c>
      <c r="L37" s="23">
        <f>'[1]Link Out'!V38</f>
        <v>2.7907612807113517E-2</v>
      </c>
      <c r="M37" s="23">
        <f>'[1]Link Out'!W38</f>
        <v>3.3590366610375705E-2</v>
      </c>
      <c r="N37" s="23">
        <f>'[1]Link Out'!X38</f>
        <v>3.5125098877918738E-2</v>
      </c>
      <c r="O37" s="23">
        <f>'[1]Link Out'!Y38</f>
        <v>4.4600045278635807E-2</v>
      </c>
    </row>
    <row r="41" spans="2:15" x14ac:dyDescent="0.3">
      <c r="B41" t="s">
        <v>83</v>
      </c>
    </row>
    <row r="43" spans="2:15" x14ac:dyDescent="0.3">
      <c r="C43" s="37">
        <v>42614</v>
      </c>
      <c r="D43" s="37">
        <v>42644</v>
      </c>
      <c r="E43" s="37">
        <v>42675</v>
      </c>
      <c r="F43" s="37">
        <v>42705</v>
      </c>
      <c r="G43" s="37">
        <v>42736</v>
      </c>
      <c r="H43" s="37">
        <v>42767</v>
      </c>
      <c r="I43" s="37">
        <v>42795</v>
      </c>
      <c r="J43" s="37">
        <v>42826</v>
      </c>
      <c r="K43" s="37">
        <v>42856</v>
      </c>
      <c r="L43" s="37">
        <v>42887</v>
      </c>
      <c r="M43" s="37">
        <v>42917</v>
      </c>
      <c r="N43" s="37">
        <v>42948</v>
      </c>
      <c r="O43" s="37" t="s">
        <v>125</v>
      </c>
    </row>
    <row r="44" spans="2:15" x14ac:dyDescent="0.3">
      <c r="B44" s="35" t="s">
        <v>79</v>
      </c>
      <c r="C44" s="23">
        <f>'[1]Link Out'!M45</f>
        <v>1.2850494486759096</v>
      </c>
      <c r="D44" s="23">
        <f>'[1]Link Out'!N45</f>
        <v>1.2850494486759096</v>
      </c>
      <c r="E44" s="23">
        <f>'[1]Link Out'!O45</f>
        <v>1.2850494486759096</v>
      </c>
      <c r="F44" s="23">
        <f>'[1]Link Out'!P45</f>
        <v>1.2850494486759096</v>
      </c>
      <c r="G44" s="23">
        <f>'[1]Link Out'!Q45</f>
        <v>1.2850494486759096</v>
      </c>
      <c r="H44" s="23">
        <f>'[1]Link Out'!R45</f>
        <v>1.2850494486759096</v>
      </c>
      <c r="I44" s="23">
        <f>'[1]Link Out'!S45</f>
        <v>1.2850494486759096</v>
      </c>
      <c r="J44" s="23">
        <f>'[1]Link Out'!T45</f>
        <v>1.2850494486759096</v>
      </c>
      <c r="K44" s="23">
        <f>'[1]Link Out'!U45</f>
        <v>1.2850494486759096</v>
      </c>
      <c r="L44" s="23">
        <f>'[1]Link Out'!V45</f>
        <v>1.2850494486759096</v>
      </c>
      <c r="M44" s="23">
        <f>'[1]Link Out'!W45</f>
        <v>1.2850494486759096</v>
      </c>
      <c r="N44" s="23">
        <f>'[1]Link Out'!X45</f>
        <v>1.2850494486759096</v>
      </c>
      <c r="O44" s="23">
        <f>'[1]Link Out'!Y45</f>
        <v>1.2850494486759094</v>
      </c>
    </row>
    <row r="45" spans="2:15" x14ac:dyDescent="0.3">
      <c r="B45" s="35" t="s">
        <v>80</v>
      </c>
      <c r="C45" s="23">
        <f>'[1]Link Out'!M46</f>
        <v>2.272758033233544</v>
      </c>
      <c r="D45" s="23">
        <f>'[1]Link Out'!N46</f>
        <v>2.272758033233544</v>
      </c>
      <c r="E45" s="23">
        <f>'[1]Link Out'!O46</f>
        <v>2.272758033233544</v>
      </c>
      <c r="F45" s="23">
        <f>'[1]Link Out'!P46</f>
        <v>2.272758033233544</v>
      </c>
      <c r="G45" s="23">
        <f>'[1]Link Out'!Q46</f>
        <v>2.272758033233544</v>
      </c>
      <c r="H45" s="23">
        <f>'[1]Link Out'!R46</f>
        <v>2.272758033233544</v>
      </c>
      <c r="I45" s="23">
        <f>'[1]Link Out'!S46</f>
        <v>2.272758033233544</v>
      </c>
      <c r="J45" s="23">
        <f>'[1]Link Out'!T46</f>
        <v>2.272758033233544</v>
      </c>
      <c r="K45" s="23">
        <f>'[1]Link Out'!U46</f>
        <v>2.272758033233544</v>
      </c>
      <c r="L45" s="23">
        <f>'[1]Link Out'!V46</f>
        <v>2.272758033233544</v>
      </c>
      <c r="M45" s="23">
        <f>'[1]Link Out'!W46</f>
        <v>2.272758033233544</v>
      </c>
      <c r="N45" s="23">
        <f>'[1]Link Out'!X46</f>
        <v>2.272758033233544</v>
      </c>
      <c r="O45" s="23">
        <f>'[1]Link Out'!Y46</f>
        <v>2.2727580332335449</v>
      </c>
    </row>
    <row r="46" spans="2:15" x14ac:dyDescent="0.3">
      <c r="B46" s="36" t="s">
        <v>81</v>
      </c>
      <c r="C46" s="23">
        <f>'[1]Link Out'!M47</f>
        <v>0.35503567609795245</v>
      </c>
      <c r="D46" s="23">
        <f>'[1]Link Out'!N47</f>
        <v>0.35503567609795245</v>
      </c>
      <c r="E46" s="23">
        <f>'[1]Link Out'!O47</f>
        <v>0.35503567609795245</v>
      </c>
      <c r="F46" s="23">
        <f>'[1]Link Out'!P47</f>
        <v>0.35503567609795245</v>
      </c>
      <c r="G46" s="23">
        <f>'[1]Link Out'!Q47</f>
        <v>0.35503567609795245</v>
      </c>
      <c r="H46" s="23">
        <f>'[1]Link Out'!R47</f>
        <v>0.35503567609795245</v>
      </c>
      <c r="I46" s="23">
        <f>'[1]Link Out'!S47</f>
        <v>0.35503567609795245</v>
      </c>
      <c r="J46" s="23">
        <f>'[1]Link Out'!T47</f>
        <v>0.35503567609795245</v>
      </c>
      <c r="K46" s="23">
        <f>'[1]Link Out'!U47</f>
        <v>0.35503567609795245</v>
      </c>
      <c r="L46" s="23">
        <f>'[1]Link Out'!V47</f>
        <v>0.35503567609795245</v>
      </c>
      <c r="M46" s="23">
        <f>'[1]Link Out'!W47</f>
        <v>0.35503567609795245</v>
      </c>
      <c r="N46" s="23">
        <f>'[1]Link Out'!X47</f>
        <v>0.35503567609795245</v>
      </c>
      <c r="O46" s="23">
        <f>'[1]Link Out'!Y47</f>
        <v>0.35503567609795234</v>
      </c>
    </row>
    <row r="47" spans="2:15" x14ac:dyDescent="0.3">
      <c r="B47" s="36" t="s">
        <v>82</v>
      </c>
      <c r="C47" s="23">
        <f>'[1]Link Out'!M48</f>
        <v>4.4304819942865468</v>
      </c>
      <c r="D47" s="23">
        <f>'[1]Link Out'!N48</f>
        <v>4.4304819942865468</v>
      </c>
      <c r="E47" s="23">
        <f>'[1]Link Out'!O48</f>
        <v>4.4304819942865468</v>
      </c>
      <c r="F47" s="23">
        <f>'[1]Link Out'!P48</f>
        <v>4.4304819942865468</v>
      </c>
      <c r="G47" s="23">
        <f>'[1]Link Out'!Q48</f>
        <v>4.4304819942865468</v>
      </c>
      <c r="H47" s="23">
        <f>'[1]Link Out'!R48</f>
        <v>4.4304819942865468</v>
      </c>
      <c r="I47" s="23">
        <f>'[1]Link Out'!S48</f>
        <v>4.4304819942865468</v>
      </c>
      <c r="J47" s="23">
        <f>'[1]Link Out'!T48</f>
        <v>4.4304819942865468</v>
      </c>
      <c r="K47" s="23">
        <f>'[1]Link Out'!U48</f>
        <v>4.4304819942865468</v>
      </c>
      <c r="L47" s="23">
        <f>'[1]Link Out'!V48</f>
        <v>4.4304819942865468</v>
      </c>
      <c r="M47" s="23">
        <f>'[1]Link Out'!W48</f>
        <v>4.4304819942865468</v>
      </c>
      <c r="N47" s="23">
        <f>'[1]Link Out'!X48</f>
        <v>4.4304819942865468</v>
      </c>
      <c r="O47" s="23">
        <f>'[1]Link Out'!Y48</f>
        <v>4.4304819942865494</v>
      </c>
    </row>
    <row r="50" spans="2:15" x14ac:dyDescent="0.3">
      <c r="B50" s="48" t="s">
        <v>213</v>
      </c>
    </row>
    <row r="51" spans="2:15" x14ac:dyDescent="0.3">
      <c r="B51" s="48"/>
    </row>
    <row r="52" spans="2:15" x14ac:dyDescent="0.3">
      <c r="B52" s="48"/>
      <c r="C52" s="37">
        <v>42614</v>
      </c>
      <c r="D52" s="37">
        <v>42644</v>
      </c>
      <c r="E52" s="37">
        <v>42675</v>
      </c>
      <c r="F52" s="37">
        <v>42705</v>
      </c>
      <c r="G52" s="37">
        <v>42736</v>
      </c>
      <c r="H52" s="37">
        <v>42767</v>
      </c>
      <c r="I52" s="37">
        <v>42795</v>
      </c>
      <c r="J52" s="37">
        <v>42826</v>
      </c>
      <c r="K52" s="37">
        <v>42856</v>
      </c>
      <c r="L52" s="37">
        <v>42887</v>
      </c>
      <c r="M52" s="37">
        <v>42917</v>
      </c>
      <c r="N52" s="37">
        <v>42948</v>
      </c>
      <c r="O52" s="37" t="s">
        <v>125</v>
      </c>
    </row>
    <row r="53" spans="2:15" x14ac:dyDescent="0.3">
      <c r="B53" s="35" t="s">
        <v>79</v>
      </c>
      <c r="C53" s="23">
        <f>'[1]Link Out'!M54</f>
        <v>-3.0053960623728525E-2</v>
      </c>
      <c r="D53" s="23">
        <f>'[1]Link Out'!N54</f>
        <v>-5.958716198009203E-3</v>
      </c>
      <c r="E53" s="23">
        <f>'[1]Link Out'!O54</f>
        <v>-2.1149722937731055E-2</v>
      </c>
      <c r="F53" s="23">
        <f>'[1]Link Out'!P54</f>
        <v>-2.5947317123833101E-2</v>
      </c>
      <c r="G53" s="23">
        <f>'[1]Link Out'!Q54</f>
        <v>-3.2563191211182868E-2</v>
      </c>
      <c r="H53" s="23">
        <f>'[1]Link Out'!R54</f>
        <v>-9.0976492780758481E-3</v>
      </c>
      <c r="I53" s="23">
        <f>'[1]Link Out'!S54</f>
        <v>-6.9902912621359226E-2</v>
      </c>
      <c r="J53" s="23">
        <f>'[1]Link Out'!T54</f>
        <v>-8.4063047285464099E-2</v>
      </c>
      <c r="K53" s="23">
        <f>'[1]Link Out'!U54</f>
        <v>-5.6745042643152263E-2</v>
      </c>
      <c r="L53" s="23">
        <f>'[1]Link Out'!V54</f>
        <v>-5.4563677902017924E-2</v>
      </c>
      <c r="M53" s="23">
        <f>'[1]Link Out'!W54</f>
        <v>-3.1990778608542297E-2</v>
      </c>
      <c r="N53" s="23">
        <f>'[1]Link Out'!X54</f>
        <v>-2.7227906625455198E-2</v>
      </c>
      <c r="O53" s="23">
        <f>'[1]Link Out'!Y54</f>
        <v>-2.3461764179848278E-2</v>
      </c>
    </row>
    <row r="54" spans="2:15" x14ac:dyDescent="0.3">
      <c r="B54" s="35" t="s">
        <v>80</v>
      </c>
      <c r="C54" s="23">
        <f>'[1]Link Out'!M55</f>
        <v>-5.4032328327789592E-2</v>
      </c>
      <c r="D54" s="23">
        <f>'[1]Link Out'!N55</f>
        <v>-2.3257221844678672E-2</v>
      </c>
      <c r="E54" s="23">
        <f>'[1]Link Out'!O55</f>
        <v>-4.4383561643835619E-2</v>
      </c>
      <c r="F54" s="23">
        <f>'[1]Link Out'!P55</f>
        <v>-6.2458061488797699E-2</v>
      </c>
      <c r="G54" s="23">
        <f>'[1]Link Out'!Q55</f>
        <v>-6.1972078181092939E-2</v>
      </c>
      <c r="H54" s="23">
        <f>'[1]Link Out'!R55</f>
        <v>-2.1892600258651192E-2</v>
      </c>
      <c r="I54" s="23">
        <f>'[1]Link Out'!S55</f>
        <v>-6.545454545454546E-2</v>
      </c>
      <c r="J54" s="23">
        <f>'[1]Link Out'!T55</f>
        <v>-9.3913043478260877E-2</v>
      </c>
      <c r="K54" s="23">
        <f>'[1]Link Out'!U55</f>
        <v>-7.2972972972972977E-2</v>
      </c>
      <c r="L54" s="23">
        <f>'[1]Link Out'!V55</f>
        <v>-8.7269129287598945E-2</v>
      </c>
      <c r="M54" s="23">
        <f>'[1]Link Out'!W55</f>
        <v>-5.7216494845360823E-2</v>
      </c>
      <c r="N54" s="23">
        <f>'[1]Link Out'!X55</f>
        <v>-5.2689873417721515E-2</v>
      </c>
      <c r="O54" s="23">
        <f>'[1]Link Out'!Y55</f>
        <v>-5.1065817895397422E-2</v>
      </c>
    </row>
    <row r="55" spans="2:15" x14ac:dyDescent="0.3">
      <c r="B55" s="36" t="s">
        <v>81</v>
      </c>
      <c r="C55" s="23">
        <f>'[1]Link Out'!M56</f>
        <v>-0.42932367519150161</v>
      </c>
      <c r="D55" s="23">
        <f>'[1]Link Out'!N56</f>
        <v>-0.23285538095501132</v>
      </c>
      <c r="E55" s="23">
        <f>'[1]Link Out'!O56</f>
        <v>-0.41257142857142859</v>
      </c>
      <c r="F55" s="23">
        <f>'[1]Link Out'!P56</f>
        <v>-0.50785463071512305</v>
      </c>
      <c r="G55" s="23">
        <f>'[1]Link Out'!Q56</f>
        <v>-0.55929577464788727</v>
      </c>
      <c r="H55" s="23">
        <f>'[1]Link Out'!R56</f>
        <v>-0.15306342534123896</v>
      </c>
      <c r="I55" s="23">
        <f>'[1]Link Out'!S56</f>
        <v>-0.50904817861339591</v>
      </c>
      <c r="J55" s="23">
        <f>'[1]Link Out'!T56</f>
        <v>-0.64007092198581561</v>
      </c>
      <c r="K55" s="23">
        <f>'[1]Link Out'!U56</f>
        <v>-0.58540540540540542</v>
      </c>
      <c r="L55" s="23">
        <f>'[1]Link Out'!V56</f>
        <v>-0.5935906040268456</v>
      </c>
      <c r="M55" s="23">
        <f>'[1]Link Out'!W56</f>
        <v>-0.41481366459627333</v>
      </c>
      <c r="N55" s="23">
        <f>'[1]Link Out'!X56</f>
        <v>-0.39401179941002951</v>
      </c>
      <c r="O55" s="23">
        <f>'[1]Link Out'!Y56</f>
        <v>-0.40469433691502726</v>
      </c>
    </row>
    <row r="56" spans="2:15" x14ac:dyDescent="0.3">
      <c r="B56" s="36" t="s">
        <v>82</v>
      </c>
      <c r="C56" s="23">
        <f>'[1]Link Out'!M57</f>
        <v>-6.101754385964913E-2</v>
      </c>
      <c r="D56" s="23">
        <f>'[1]Link Out'!N57</f>
        <v>-5.6626506024096385E-2</v>
      </c>
      <c r="E56" s="23">
        <f>'[1]Link Out'!O57</f>
        <v>-5.8144329896907224E-2</v>
      </c>
      <c r="F56" s="23">
        <f>'[1]Link Out'!P57</f>
        <v>-9.3656592494187979E-2</v>
      </c>
      <c r="G56" s="23">
        <f>'[1]Link Out'!Q57</f>
        <v>-0.188</v>
      </c>
      <c r="H56" s="23">
        <f>'[1]Link Out'!R57</f>
        <v>-0.18102240896358543</v>
      </c>
      <c r="I56" s="23">
        <f>'[1]Link Out'!S57</f>
        <v>-0.11750000000000001</v>
      </c>
      <c r="J56" s="23">
        <f>'[1]Link Out'!T57</f>
        <v>-7.3009708737864082E-2</v>
      </c>
      <c r="K56" s="23">
        <f>'[1]Link Out'!U57</f>
        <v>-9.4E-2</v>
      </c>
      <c r="L56" s="23">
        <f>'[1]Link Out'!V57</f>
        <v>-7.8869863013698638E-2</v>
      </c>
      <c r="M56" s="23">
        <f>'[1]Link Out'!W57</f>
        <v>-7.1681780708985995E-2</v>
      </c>
      <c r="N56" s="23">
        <f>'[1]Link Out'!X57</f>
        <v>-7.4956896551724148E-2</v>
      </c>
      <c r="O56" s="23">
        <f>'[1]Link Out'!Y57</f>
        <v>-7.9742401576239644E-2</v>
      </c>
    </row>
    <row r="58" spans="2:15" x14ac:dyDescent="0.3">
      <c r="B58" s="36" t="s">
        <v>218</v>
      </c>
      <c r="C58" s="23">
        <f>'[1]Link Out'!M59</f>
        <v>-7.3734260005188637E-2</v>
      </c>
      <c r="D58" s="23">
        <f>'[1]Link Out'!N59</f>
        <v>-3.9991782878700005E-2</v>
      </c>
      <c r="E58" s="23">
        <f>'[1]Link Out'!O59</f>
        <v>-7.0857142857142869E-2</v>
      </c>
      <c r="F58" s="23">
        <f>'[1]Link Out'!P59</f>
        <v>-8.7221570926143036E-2</v>
      </c>
      <c r="G58" s="23">
        <f>'[1]Link Out'!Q59</f>
        <v>-9.6056338028169014E-2</v>
      </c>
      <c r="H58" s="23">
        <f>'[1]Link Out'!R59</f>
        <v>-2.6287901305143534E-2</v>
      </c>
      <c r="I58" s="23">
        <f>'[1]Link Out'!S59</f>
        <v>-8.7426556991774387E-2</v>
      </c>
      <c r="J58" s="23">
        <f>'[1]Link Out'!T59</f>
        <v>-0.10992907801418439</v>
      </c>
      <c r="K58" s="23">
        <f>'[1]Link Out'!U59</f>
        <v>-0.10054054054054054</v>
      </c>
      <c r="L58" s="23">
        <f>'[1]Link Out'!V59</f>
        <v>-0.10194630872483222</v>
      </c>
      <c r="M58" s="23">
        <f>'[1]Link Out'!W59</f>
        <v>-7.1242236024844724E-2</v>
      </c>
      <c r="N58" s="23">
        <f>'[1]Link Out'!X59</f>
        <v>-6.7669616519174039E-2</v>
      </c>
      <c r="O58" s="23">
        <f>'[1]Link Out'!Y59</f>
        <v>-6.9504290550503292E-2</v>
      </c>
    </row>
    <row r="60" spans="2:15" x14ac:dyDescent="0.3">
      <c r="B60" t="s">
        <v>214</v>
      </c>
      <c r="C60" s="20">
        <v>42614</v>
      </c>
      <c r="D60" s="20">
        <v>42644</v>
      </c>
      <c r="E60" s="20">
        <v>42675</v>
      </c>
      <c r="F60" s="20">
        <v>42705</v>
      </c>
      <c r="G60" s="20">
        <v>42736</v>
      </c>
      <c r="H60" s="20">
        <v>42767</v>
      </c>
      <c r="I60" s="20">
        <v>42795</v>
      </c>
      <c r="J60" s="20">
        <v>42826</v>
      </c>
      <c r="K60" s="20">
        <v>42856</v>
      </c>
      <c r="L60" s="20">
        <v>42887</v>
      </c>
      <c r="M60" s="20">
        <v>42917</v>
      </c>
      <c r="N60" s="20">
        <v>42948</v>
      </c>
      <c r="O60" s="24"/>
    </row>
    <row r="61" spans="2:15" x14ac:dyDescent="0.3">
      <c r="B61" t="s">
        <v>35</v>
      </c>
      <c r="C61" s="21">
        <f t="shared" ref="C61:N61" si="6">C7*C53</f>
        <v>-14914.179983613647</v>
      </c>
      <c r="D61" s="21">
        <f t="shared" si="6"/>
        <v>-3216.7000218233161</v>
      </c>
      <c r="E61" s="21">
        <f t="shared" si="6"/>
        <v>-9814.1535216719512</v>
      </c>
      <c r="F61" s="21">
        <f t="shared" si="6"/>
        <v>-9171.159674101893</v>
      </c>
      <c r="G61" s="21">
        <f t="shared" si="6"/>
        <v>-7598.3031780152132</v>
      </c>
      <c r="H61" s="21">
        <f t="shared" si="6"/>
        <v>-1638.8491763051916</v>
      </c>
      <c r="I61" s="21">
        <f t="shared" si="6"/>
        <v>-10778.120388349515</v>
      </c>
      <c r="J61" s="21">
        <f t="shared" si="6"/>
        <v>-12120.420315236428</v>
      </c>
      <c r="K61" s="21">
        <f t="shared" si="6"/>
        <v>-13818.626553015874</v>
      </c>
      <c r="L61" s="21">
        <f t="shared" si="6"/>
        <v>-19953.604170332754</v>
      </c>
      <c r="M61" s="21">
        <f t="shared" si="6"/>
        <v>-16292.516456909429</v>
      </c>
      <c r="N61" s="21">
        <f t="shared" si="6"/>
        <v>-14443.693816441059</v>
      </c>
      <c r="O61" s="28"/>
    </row>
    <row r="62" spans="2:15" x14ac:dyDescent="0.3">
      <c r="B62" t="s">
        <v>36</v>
      </c>
      <c r="C62" s="21">
        <f t="shared" ref="C62:N62" si="7">C8*C54</f>
        <v>-3318.4419120535599</v>
      </c>
      <c r="D62" s="21">
        <f t="shared" si="7"/>
        <v>-1472.7077559818499</v>
      </c>
      <c r="E62" s="21">
        <f t="shared" si="7"/>
        <v>-2194.0569863013698</v>
      </c>
      <c r="F62" s="21">
        <f t="shared" si="7"/>
        <v>-2054.6922175062014</v>
      </c>
      <c r="G62" s="21">
        <f t="shared" si="7"/>
        <v>-2261.1752165935382</v>
      </c>
      <c r="H62" s="21">
        <f t="shared" si="7"/>
        <v>-838.99274682432076</v>
      </c>
      <c r="I62" s="21">
        <f t="shared" si="7"/>
        <v>-2388.2400000000002</v>
      </c>
      <c r="J62" s="21">
        <f t="shared" si="7"/>
        <v>-2100.177391304348</v>
      </c>
      <c r="K62" s="21">
        <f t="shared" si="7"/>
        <v>-2284.6524324324328</v>
      </c>
      <c r="L62" s="21">
        <f t="shared" si="7"/>
        <v>-3677.2243931398416</v>
      </c>
      <c r="M62" s="21">
        <f t="shared" si="7"/>
        <v>-3219.0343298969074</v>
      </c>
      <c r="N62" s="21">
        <f t="shared" si="7"/>
        <v>-3398.4757594936709</v>
      </c>
      <c r="O62" s="28"/>
    </row>
    <row r="63" spans="2:15" x14ac:dyDescent="0.3">
      <c r="B63" t="s">
        <v>37</v>
      </c>
      <c r="C63" s="21">
        <f t="shared" ref="C63:N63" si="8">C9*C55</f>
        <v>-44972.942947335367</v>
      </c>
      <c r="D63" s="21">
        <f t="shared" si="8"/>
        <v>-24693.777582902756</v>
      </c>
      <c r="E63" s="21">
        <f t="shared" si="8"/>
        <v>-30106.987428571429</v>
      </c>
      <c r="F63" s="21">
        <f t="shared" si="8"/>
        <v>-24806.413364595544</v>
      </c>
      <c r="G63" s="21">
        <f t="shared" si="8"/>
        <v>-23698.480563380279</v>
      </c>
      <c r="H63" s="21">
        <f t="shared" si="8"/>
        <v>-9022.1950334620451</v>
      </c>
      <c r="I63" s="21">
        <f t="shared" si="8"/>
        <v>-22767.688836662746</v>
      </c>
      <c r="J63" s="21">
        <f t="shared" si="8"/>
        <v>-28627.812056737588</v>
      </c>
      <c r="K63" s="21">
        <f t="shared" si="8"/>
        <v>-33417.574864864866</v>
      </c>
      <c r="L63" s="21">
        <f t="shared" si="8"/>
        <v>-48207.273724832216</v>
      </c>
      <c r="M63" s="21">
        <f t="shared" si="8"/>
        <v>-39547.090341614909</v>
      </c>
      <c r="N63" s="21">
        <f t="shared" si="8"/>
        <v>-42201.421799410033</v>
      </c>
      <c r="O63" s="28"/>
    </row>
    <row r="64" spans="2:15" x14ac:dyDescent="0.3">
      <c r="B64" t="s">
        <v>38</v>
      </c>
      <c r="C64" s="21">
        <f t="shared" ref="C64:N64" si="9">C10*C56</f>
        <v>-7576.7619824561416</v>
      </c>
      <c r="D64" s="21">
        <f t="shared" si="9"/>
        <v>-4278.8913253012042</v>
      </c>
      <c r="E64" s="21">
        <f t="shared" si="9"/>
        <v>-4106.1525773195881</v>
      </c>
      <c r="F64" s="21">
        <f t="shared" si="9"/>
        <v>-4299.118565260711</v>
      </c>
      <c r="G64" s="21">
        <f t="shared" si="9"/>
        <v>-3872.33</v>
      </c>
      <c r="H64" s="21">
        <f t="shared" si="9"/>
        <v>-3954.4562464985997</v>
      </c>
      <c r="I64" s="21">
        <f t="shared" si="9"/>
        <v>-3734.0325000000003</v>
      </c>
      <c r="J64" s="21">
        <f t="shared" si="9"/>
        <v>-6530.8644660194177</v>
      </c>
      <c r="K64" s="21">
        <f t="shared" si="9"/>
        <v>-6970.1940000000004</v>
      </c>
      <c r="L64" s="21">
        <f t="shared" si="9"/>
        <v>-8726.0039041095897</v>
      </c>
      <c r="M64" s="21">
        <f t="shared" si="9"/>
        <v>-6690.4978524319886</v>
      </c>
      <c r="N64" s="21">
        <f t="shared" si="9"/>
        <v>-6881.4928448275869</v>
      </c>
      <c r="O64" s="28"/>
    </row>
    <row r="65" spans="2:16" x14ac:dyDescent="0.3">
      <c r="B65" t="s">
        <v>21</v>
      </c>
      <c r="C65" s="22">
        <f t="shared" ref="C65:N65" si="10">SUM(C61:C64)</f>
        <v>-70782.326825458716</v>
      </c>
      <c r="D65" s="22">
        <f t="shared" si="10"/>
        <v>-33662.076686009124</v>
      </c>
      <c r="E65" s="22">
        <f t="shared" si="10"/>
        <v>-46221.350513864338</v>
      </c>
      <c r="F65" s="22">
        <f t="shared" si="10"/>
        <v>-40331.383821464347</v>
      </c>
      <c r="G65" s="22">
        <f t="shared" si="10"/>
        <v>-37430.288957989032</v>
      </c>
      <c r="H65" s="22">
        <f t="shared" si="10"/>
        <v>-15454.493203090156</v>
      </c>
      <c r="I65" s="22">
        <f t="shared" si="10"/>
        <v>-39668.081725012264</v>
      </c>
      <c r="J65" s="22">
        <f t="shared" si="10"/>
        <v>-49379.274229297785</v>
      </c>
      <c r="K65" s="22">
        <f t="shared" si="10"/>
        <v>-56491.047850313174</v>
      </c>
      <c r="L65" s="22">
        <f t="shared" si="10"/>
        <v>-80564.106192414401</v>
      </c>
      <c r="M65" s="22">
        <f t="shared" si="10"/>
        <v>-65749.138980853226</v>
      </c>
      <c r="N65" s="22">
        <f t="shared" si="10"/>
        <v>-66925.084220172343</v>
      </c>
      <c r="O65" s="28"/>
    </row>
    <row r="66" spans="2:16" x14ac:dyDescent="0.3">
      <c r="O66" s="17"/>
    </row>
    <row r="67" spans="2:16" x14ac:dyDescent="0.3">
      <c r="B67" t="s">
        <v>219</v>
      </c>
      <c r="C67" s="21">
        <f t="shared" ref="C67:N67" si="11">C9*C58</f>
        <v>-7723.8849383235256</v>
      </c>
      <c r="D67" s="21">
        <f t="shared" si="11"/>
        <v>-4241.0365931855149</v>
      </c>
      <c r="E67" s="21">
        <f t="shared" si="11"/>
        <v>-5170.7291428571434</v>
      </c>
      <c r="F67" s="21">
        <f t="shared" si="11"/>
        <v>-4260.3812426729201</v>
      </c>
      <c r="G67" s="21">
        <f t="shared" si="11"/>
        <v>-4070.0991549295773</v>
      </c>
      <c r="H67" s="21">
        <f t="shared" si="11"/>
        <v>-1549.5182605945895</v>
      </c>
      <c r="I67" s="21">
        <f t="shared" si="11"/>
        <v>-3910.240188014101</v>
      </c>
      <c r="J67" s="21">
        <f t="shared" si="11"/>
        <v>-4916.687943262411</v>
      </c>
      <c r="K67" s="21">
        <f t="shared" si="11"/>
        <v>-5739.3064864864864</v>
      </c>
      <c r="L67" s="21">
        <f t="shared" si="11"/>
        <v>-8279.3655704697994</v>
      </c>
      <c r="M67" s="21">
        <f t="shared" si="11"/>
        <v>-6792.0210559006218</v>
      </c>
      <c r="N67" s="21">
        <f t="shared" si="11"/>
        <v>-7247.8896165191736</v>
      </c>
      <c r="O67" s="28"/>
    </row>
    <row r="68" spans="2:16" x14ac:dyDescent="0.3">
      <c r="B68" t="s">
        <v>217</v>
      </c>
      <c r="C68" s="21">
        <f>C65+C67</f>
        <v>-78506.211763782238</v>
      </c>
      <c r="D68" s="21">
        <f t="shared" ref="D68:N68" si="12">D65+D67</f>
        <v>-37903.113279194637</v>
      </c>
      <c r="E68" s="21">
        <f t="shared" si="12"/>
        <v>-51392.079656721478</v>
      </c>
      <c r="F68" s="21">
        <f t="shared" si="12"/>
        <v>-44591.765064137267</v>
      </c>
      <c r="G68" s="21">
        <f t="shared" si="12"/>
        <v>-41500.388112918612</v>
      </c>
      <c r="H68" s="21">
        <f t="shared" si="12"/>
        <v>-17004.011463684747</v>
      </c>
      <c r="I68" s="21">
        <f t="shared" si="12"/>
        <v>-43578.321913026368</v>
      </c>
      <c r="J68" s="21">
        <f t="shared" si="12"/>
        <v>-54295.962172560197</v>
      </c>
      <c r="K68" s="21">
        <f t="shared" si="12"/>
        <v>-62230.354336799661</v>
      </c>
      <c r="L68" s="21">
        <f t="shared" si="12"/>
        <v>-88843.471762884205</v>
      </c>
      <c r="M68" s="21">
        <f t="shared" si="12"/>
        <v>-72541.160036753849</v>
      </c>
      <c r="N68" s="21">
        <f t="shared" si="12"/>
        <v>-74172.973836691512</v>
      </c>
      <c r="O68" s="28"/>
    </row>
    <row r="69" spans="2:16" x14ac:dyDescent="0.3">
      <c r="I69" s="17"/>
      <c r="J69" s="17"/>
      <c r="K69" s="17"/>
      <c r="L69" s="17"/>
      <c r="M69" s="17"/>
      <c r="N69" s="17"/>
      <c r="P69" s="17"/>
    </row>
    <row r="70" spans="2:16" x14ac:dyDescent="0.3">
      <c r="B70" t="s">
        <v>214</v>
      </c>
      <c r="C70" s="20">
        <v>42979</v>
      </c>
      <c r="D70" s="20">
        <v>43009</v>
      </c>
      <c r="E70" s="20">
        <v>43040</v>
      </c>
      <c r="F70" s="20">
        <v>43070</v>
      </c>
      <c r="G70" s="20" t="s">
        <v>21</v>
      </c>
      <c r="I70" s="17"/>
      <c r="J70" s="24"/>
      <c r="K70" s="24"/>
      <c r="L70" s="24"/>
      <c r="M70" s="24"/>
      <c r="N70" s="24"/>
      <c r="P70" s="17"/>
    </row>
    <row r="71" spans="2:16" x14ac:dyDescent="0.3">
      <c r="B71" t="s">
        <v>35</v>
      </c>
      <c r="C71" s="21">
        <f t="shared" ref="C71:F74" si="13">C15*$O53</f>
        <v>-11891.354456855614</v>
      </c>
      <c r="D71" s="21">
        <f t="shared" si="13"/>
        <v>-12913.919260017019</v>
      </c>
      <c r="E71" s="21">
        <f t="shared" si="13"/>
        <v>-11384.076157258667</v>
      </c>
      <c r="F71" s="21">
        <f t="shared" si="13"/>
        <v>-8292.6332808363313</v>
      </c>
      <c r="G71" s="21">
        <f>SUM(C71:F71)</f>
        <v>-44481.983154967624</v>
      </c>
      <c r="I71" s="17"/>
      <c r="J71" s="28"/>
      <c r="K71" s="28"/>
      <c r="L71" s="28"/>
      <c r="M71" s="28"/>
      <c r="N71" s="28"/>
    </row>
    <row r="72" spans="2:16" x14ac:dyDescent="0.3">
      <c r="B72" t="s">
        <v>36</v>
      </c>
      <c r="C72" s="21">
        <f t="shared" si="13"/>
        <v>-3196.3555903121055</v>
      </c>
      <c r="D72" s="21">
        <f t="shared" si="13"/>
        <v>-3293.7248279259757</v>
      </c>
      <c r="E72" s="21">
        <f t="shared" si="13"/>
        <v>-2644.5965771668416</v>
      </c>
      <c r="F72" s="21">
        <f t="shared" si="13"/>
        <v>-1679.9198711775734</v>
      </c>
      <c r="G72" s="21">
        <f t="shared" ref="G72:G74" si="14">SUM(C72:F72)</f>
        <v>-10814.596866582497</v>
      </c>
      <c r="I72" s="17"/>
      <c r="J72" s="28"/>
      <c r="K72" s="28"/>
      <c r="L72" s="28"/>
      <c r="M72" s="28"/>
      <c r="N72" s="28"/>
    </row>
    <row r="73" spans="2:16" x14ac:dyDescent="0.3">
      <c r="B73" t="s">
        <v>37</v>
      </c>
      <c r="C73" s="21">
        <f t="shared" si="13"/>
        <v>-42392.945874859848</v>
      </c>
      <c r="D73" s="21">
        <f t="shared" si="13"/>
        <v>-42916.903632863745</v>
      </c>
      <c r="E73" s="21">
        <f t="shared" si="13"/>
        <v>-29532.164542037201</v>
      </c>
      <c r="F73" s="21">
        <f t="shared" si="13"/>
        <v>-19767.497233782964</v>
      </c>
      <c r="G73" s="21">
        <f t="shared" si="14"/>
        <v>-134609.51128354375</v>
      </c>
      <c r="I73" s="17"/>
      <c r="J73" s="28"/>
      <c r="K73" s="28"/>
      <c r="L73" s="28"/>
      <c r="M73" s="28"/>
      <c r="N73" s="28"/>
    </row>
    <row r="74" spans="2:16" x14ac:dyDescent="0.3">
      <c r="B74" t="s">
        <v>38</v>
      </c>
      <c r="C74" s="21">
        <f t="shared" si="13"/>
        <v>-8963.3250355748532</v>
      </c>
      <c r="D74" s="21">
        <f t="shared" si="13"/>
        <v>-6025.6069872660264</v>
      </c>
      <c r="E74" s="21">
        <f t="shared" si="13"/>
        <v>-5561.0157943226177</v>
      </c>
      <c r="F74" s="21">
        <f t="shared" si="13"/>
        <v>-4505.1267194512347</v>
      </c>
      <c r="G74" s="21">
        <f t="shared" si="14"/>
        <v>-25055.074536614731</v>
      </c>
      <c r="I74" s="17"/>
      <c r="J74" s="28"/>
      <c r="K74" s="28"/>
      <c r="L74" s="28"/>
      <c r="M74" s="28"/>
      <c r="N74" s="28"/>
    </row>
    <row r="75" spans="2:16" x14ac:dyDescent="0.3">
      <c r="B75" t="s">
        <v>21</v>
      </c>
      <c r="C75" s="22">
        <f>SUM(C71:C74)</f>
        <v>-66443.980957602413</v>
      </c>
      <c r="D75" s="22">
        <f t="shared" ref="D75:G75" si="15">SUM(D71:D74)</f>
        <v>-65150.154708072761</v>
      </c>
      <c r="E75" s="22">
        <f t="shared" si="15"/>
        <v>-49121.853070785328</v>
      </c>
      <c r="F75" s="22">
        <f t="shared" si="15"/>
        <v>-34245.177105248105</v>
      </c>
      <c r="G75" s="22">
        <f t="shared" si="15"/>
        <v>-214961.1658417086</v>
      </c>
      <c r="I75" s="17"/>
      <c r="J75" s="28"/>
      <c r="K75" s="28"/>
      <c r="L75" s="28"/>
      <c r="M75" s="28"/>
      <c r="N75" s="28"/>
    </row>
    <row r="77" spans="2:16" x14ac:dyDescent="0.3">
      <c r="B77" t="s">
        <v>219</v>
      </c>
      <c r="C77" s="21">
        <f>C17*$O58</f>
        <v>-7280.7829480368709</v>
      </c>
      <c r="D77" s="21">
        <f>D17*$O58</f>
        <v>-7370.7701530126087</v>
      </c>
      <c r="E77" s="21">
        <f>E17*$O58</f>
        <v>-5072.006098632427</v>
      </c>
      <c r="F77" s="21">
        <f>F17*$O58</f>
        <v>-3394.9718240846087</v>
      </c>
      <c r="G77" s="21">
        <f t="shared" ref="G77" si="16">SUM(C77:F77)</f>
        <v>-23118.531023766514</v>
      </c>
    </row>
    <row r="78" spans="2:16" x14ac:dyDescent="0.3">
      <c r="B78" t="s">
        <v>217</v>
      </c>
      <c r="C78" s="21">
        <f>C75+C77</f>
        <v>-73724.76390563928</v>
      </c>
      <c r="D78" s="21">
        <f t="shared" ref="D78:G78" si="17">D75+D77</f>
        <v>-72520.924861085368</v>
      </c>
      <c r="E78" s="21">
        <f t="shared" si="17"/>
        <v>-54193.859169417752</v>
      </c>
      <c r="F78" s="21">
        <f t="shared" si="17"/>
        <v>-37640.148929332718</v>
      </c>
      <c r="G78" s="21">
        <f t="shared" si="17"/>
        <v>-238079.69686547513</v>
      </c>
    </row>
    <row r="80" spans="2:16" x14ac:dyDescent="0.3">
      <c r="B80" t="s">
        <v>214</v>
      </c>
      <c r="C80" s="20">
        <v>43101</v>
      </c>
      <c r="D80" s="20">
        <v>43132</v>
      </c>
      <c r="E80" s="20">
        <v>43160</v>
      </c>
      <c r="F80" s="20">
        <v>43191</v>
      </c>
      <c r="G80" s="20">
        <v>43221</v>
      </c>
      <c r="H80" s="20">
        <v>43252</v>
      </c>
      <c r="I80" s="20">
        <v>43282</v>
      </c>
      <c r="J80" s="20">
        <v>43313</v>
      </c>
      <c r="K80" s="20">
        <v>43344</v>
      </c>
      <c r="L80" s="20">
        <v>43374</v>
      </c>
      <c r="M80" s="20">
        <v>43405</v>
      </c>
      <c r="N80" s="20">
        <v>43435</v>
      </c>
      <c r="O80" s="20" t="s">
        <v>21</v>
      </c>
    </row>
    <row r="81" spans="2:15" x14ac:dyDescent="0.3">
      <c r="B81" t="s">
        <v>35</v>
      </c>
      <c r="C81" s="21">
        <f t="shared" ref="C81:N81" si="18">C23*$O53</f>
        <v>-5935.826337501614</v>
      </c>
      <c r="D81" s="21">
        <f t="shared" si="18"/>
        <v>-4563.3131329804901</v>
      </c>
      <c r="E81" s="21">
        <f t="shared" si="18"/>
        <v>-11146.684161845917</v>
      </c>
      <c r="F81" s="21">
        <f t="shared" si="18"/>
        <v>-10337.253297641151</v>
      </c>
      <c r="G81" s="21">
        <f t="shared" si="18"/>
        <v>-10590.640350783513</v>
      </c>
      <c r="H81" s="21">
        <f t="shared" si="18"/>
        <v>-14813.757903156204</v>
      </c>
      <c r="I81" s="21">
        <f t="shared" si="18"/>
        <v>-15142.222601674079</v>
      </c>
      <c r="J81" s="21">
        <f t="shared" si="18"/>
        <v>-16671.929626200188</v>
      </c>
      <c r="K81" s="21">
        <f t="shared" si="18"/>
        <v>-16942.20914955204</v>
      </c>
      <c r="L81" s="21">
        <f t="shared" si="18"/>
        <v>-19208.850186967182</v>
      </c>
      <c r="M81" s="21">
        <f t="shared" si="18"/>
        <v>-14172.078652837352</v>
      </c>
      <c r="N81" s="21">
        <f t="shared" si="18"/>
        <v>-12826.077241839457</v>
      </c>
      <c r="O81" s="21">
        <f>SUM(C81:N81)</f>
        <v>-152350.8426429792</v>
      </c>
    </row>
    <row r="82" spans="2:15" x14ac:dyDescent="0.3">
      <c r="B82" t="s">
        <v>36</v>
      </c>
      <c r="C82" s="21">
        <f t="shared" ref="C82:N82" si="19">C24*$O54</f>
        <v>-1557.5074458096215</v>
      </c>
      <c r="D82" s="21">
        <f t="shared" si="19"/>
        <v>-1761.7707173912111</v>
      </c>
      <c r="E82" s="21">
        <f t="shared" si="19"/>
        <v>-1817.9431170761482</v>
      </c>
      <c r="F82" s="21">
        <f t="shared" si="19"/>
        <v>-1511.5482097037636</v>
      </c>
      <c r="G82" s="21">
        <f t="shared" si="19"/>
        <v>-1572.8271911782406</v>
      </c>
      <c r="H82" s="21">
        <f t="shared" si="19"/>
        <v>-1720.9180630748931</v>
      </c>
      <c r="I82" s="21">
        <f t="shared" si="19"/>
        <v>-1736.2378084435124</v>
      </c>
      <c r="J82" s="21">
        <f t="shared" si="19"/>
        <v>-2027.3129704472776</v>
      </c>
      <c r="K82" s="21">
        <f t="shared" si="19"/>
        <v>-2107.9969627220057</v>
      </c>
      <c r="L82" s="21">
        <f t="shared" si="19"/>
        <v>-2043.6540321738048</v>
      </c>
      <c r="M82" s="21">
        <f t="shared" si="19"/>
        <v>-1409.4165739129689</v>
      </c>
      <c r="N82" s="21">
        <f t="shared" si="19"/>
        <v>-751.68883942025002</v>
      </c>
      <c r="O82" s="21">
        <f t="shared" ref="O82:O84" si="20">SUM(C82:N82)</f>
        <v>-20018.821931353697</v>
      </c>
    </row>
    <row r="83" spans="2:15" x14ac:dyDescent="0.3">
      <c r="B83" t="s">
        <v>37</v>
      </c>
      <c r="C83" s="21">
        <f t="shared" ref="C83:N83" si="21">C25*$O55</f>
        <v>-9712.6640859606541</v>
      </c>
      <c r="D83" s="21">
        <f t="shared" si="21"/>
        <v>-7284.498064470491</v>
      </c>
      <c r="E83" s="21">
        <f t="shared" si="21"/>
        <v>-14811.812731089998</v>
      </c>
      <c r="F83" s="21">
        <f t="shared" si="21"/>
        <v>-17239.978752580162</v>
      </c>
      <c r="G83" s="21">
        <f t="shared" si="21"/>
        <v>-17644.673089495187</v>
      </c>
      <c r="H83" s="21">
        <f t="shared" si="21"/>
        <v>-26224.193032093768</v>
      </c>
      <c r="I83" s="21">
        <f t="shared" si="21"/>
        <v>-22339.127397709504</v>
      </c>
      <c r="J83" s="21">
        <f t="shared" si="21"/>
        <v>-23229.454938922565</v>
      </c>
      <c r="K83" s="21">
        <f t="shared" si="21"/>
        <v>-20963.166652198412</v>
      </c>
      <c r="L83" s="21">
        <f t="shared" si="21"/>
        <v>-26871.703971157811</v>
      </c>
      <c r="M83" s="21">
        <f t="shared" si="21"/>
        <v>-18292.184028559233</v>
      </c>
      <c r="N83" s="21">
        <f t="shared" si="21"/>
        <v>-10967.21653039724</v>
      </c>
      <c r="O83" s="21">
        <f t="shared" si="20"/>
        <v>-215580.67327463505</v>
      </c>
    </row>
    <row r="84" spans="2:15" x14ac:dyDescent="0.3">
      <c r="B84" t="s">
        <v>38</v>
      </c>
      <c r="C84" s="21">
        <f t="shared" ref="C84:N84" si="22">C26*$O56</f>
        <v>-4146.6048819644611</v>
      </c>
      <c r="D84" s="21">
        <f t="shared" si="22"/>
        <v>-3030.2112598971066</v>
      </c>
      <c r="E84" s="21">
        <f t="shared" si="22"/>
        <v>-4481.522968584668</v>
      </c>
      <c r="F84" s="21">
        <f t="shared" si="22"/>
        <v>-9266.0670631590474</v>
      </c>
      <c r="G84" s="21">
        <f t="shared" si="22"/>
        <v>-11100.142299412559</v>
      </c>
      <c r="H84" s="21">
        <f t="shared" si="22"/>
        <v>-11570.622468712372</v>
      </c>
      <c r="I84" s="21">
        <f t="shared" si="22"/>
        <v>-10797.121173422847</v>
      </c>
      <c r="J84" s="21">
        <f t="shared" si="22"/>
        <v>-9274.0413033166715</v>
      </c>
      <c r="K84" s="21">
        <f t="shared" si="22"/>
        <v>-9111.9250009121752</v>
      </c>
      <c r="L84" s="21">
        <f t="shared" si="22"/>
        <v>-5765.3756339621259</v>
      </c>
      <c r="M84" s="21">
        <f t="shared" si="22"/>
        <v>-4660.9433721312071</v>
      </c>
      <c r="N84" s="21">
        <f t="shared" si="22"/>
        <v>-3892.864560148867</v>
      </c>
      <c r="O84" s="21">
        <f t="shared" si="20"/>
        <v>-87097.441985624129</v>
      </c>
    </row>
    <row r="85" spans="2:15" x14ac:dyDescent="0.3">
      <c r="B85" t="s">
        <v>21</v>
      </c>
      <c r="C85" s="22">
        <f>SUM(C81:C84)</f>
        <v>-21352.602751236351</v>
      </c>
      <c r="D85" s="22">
        <f t="shared" ref="D85:O85" si="23">SUM(D81:D84)</f>
        <v>-16639.793174739298</v>
      </c>
      <c r="E85" s="22">
        <f t="shared" si="23"/>
        <v>-32257.96297859673</v>
      </c>
      <c r="F85" s="22">
        <f t="shared" si="23"/>
        <v>-38354.847323084126</v>
      </c>
      <c r="G85" s="22">
        <f t="shared" si="23"/>
        <v>-40908.2829308695</v>
      </c>
      <c r="H85" s="22">
        <f t="shared" si="23"/>
        <v>-54329.491467037238</v>
      </c>
      <c r="I85" s="22">
        <f t="shared" si="23"/>
        <v>-50014.70898124994</v>
      </c>
      <c r="J85" s="22">
        <f t="shared" si="23"/>
        <v>-51202.738838886697</v>
      </c>
      <c r="K85" s="22">
        <f t="shared" si="23"/>
        <v>-49125.297765384632</v>
      </c>
      <c r="L85" s="22">
        <f t="shared" si="23"/>
        <v>-53889.583824260924</v>
      </c>
      <c r="M85" s="22">
        <f t="shared" si="23"/>
        <v>-38534.622627440767</v>
      </c>
      <c r="N85" s="22">
        <f t="shared" si="23"/>
        <v>-28437.847171805814</v>
      </c>
      <c r="O85" s="22">
        <f t="shared" si="23"/>
        <v>-475047.77983459207</v>
      </c>
    </row>
    <row r="87" spans="2:15" x14ac:dyDescent="0.3">
      <c r="B87" t="s">
        <v>219</v>
      </c>
      <c r="C87" s="21">
        <f t="shared" ref="C87:N87" si="24">C25*$O58</f>
        <v>-1668.102973212079</v>
      </c>
      <c r="D87" s="21">
        <f t="shared" si="24"/>
        <v>-1251.0772299090593</v>
      </c>
      <c r="E87" s="21">
        <f t="shared" si="24"/>
        <v>-2543.8570341484206</v>
      </c>
      <c r="F87" s="21">
        <f t="shared" si="24"/>
        <v>-2960.8827774514402</v>
      </c>
      <c r="G87" s="21">
        <f t="shared" si="24"/>
        <v>-3030.3870680019436</v>
      </c>
      <c r="H87" s="21">
        <f t="shared" si="24"/>
        <v>-4503.8780276726129</v>
      </c>
      <c r="I87" s="21">
        <f t="shared" si="24"/>
        <v>-3836.6368383877816</v>
      </c>
      <c r="J87" s="21">
        <f t="shared" si="24"/>
        <v>-3989.546277598889</v>
      </c>
      <c r="K87" s="21">
        <f t="shared" si="24"/>
        <v>-3600.3222505160707</v>
      </c>
      <c r="L87" s="21">
        <f t="shared" si="24"/>
        <v>-4615.0848925534183</v>
      </c>
      <c r="M87" s="21">
        <f t="shared" si="24"/>
        <v>-3141.593932882749</v>
      </c>
      <c r="N87" s="21">
        <f t="shared" si="24"/>
        <v>-1883.5662739186391</v>
      </c>
      <c r="O87" s="21">
        <f t="shared" ref="O87" si="25">SUM(C87:N87)</f>
        <v>-37024.935576253105</v>
      </c>
    </row>
    <row r="88" spans="2:15" x14ac:dyDescent="0.3">
      <c r="B88" t="s">
        <v>217</v>
      </c>
      <c r="C88" s="21">
        <f>C85+C87</f>
        <v>-23020.705724448431</v>
      </c>
      <c r="D88" s="21">
        <f t="shared" ref="D88:O88" si="26">D85+D87</f>
        <v>-17890.870404648358</v>
      </c>
      <c r="E88" s="21">
        <f t="shared" si="26"/>
        <v>-34801.820012745149</v>
      </c>
      <c r="F88" s="21">
        <f t="shared" si="26"/>
        <v>-41315.730100535569</v>
      </c>
      <c r="G88" s="21">
        <f t="shared" si="26"/>
        <v>-43938.669998871446</v>
      </c>
      <c r="H88" s="21">
        <f t="shared" si="26"/>
        <v>-58833.369494709848</v>
      </c>
      <c r="I88" s="21">
        <f t="shared" si="26"/>
        <v>-53851.345819637718</v>
      </c>
      <c r="J88" s="21">
        <f t="shared" si="26"/>
        <v>-55192.285116485582</v>
      </c>
      <c r="K88" s="21">
        <f t="shared" si="26"/>
        <v>-52725.620015900706</v>
      </c>
      <c r="L88" s="21">
        <f t="shared" si="26"/>
        <v>-58504.66871681434</v>
      </c>
      <c r="M88" s="21">
        <f t="shared" si="26"/>
        <v>-41676.216560323519</v>
      </c>
      <c r="N88" s="21">
        <f t="shared" si="26"/>
        <v>-30321.413445724451</v>
      </c>
      <c r="O88" s="21">
        <f t="shared" si="26"/>
        <v>-512072.71541084518</v>
      </c>
    </row>
    <row r="91" spans="2:15" x14ac:dyDescent="0.3">
      <c r="B91" t="s">
        <v>121</v>
      </c>
      <c r="C91" s="42">
        <f>'[2]Link Out'!$K$3</f>
        <v>1.9009999999999999E-3</v>
      </c>
    </row>
    <row r="93" spans="2:15" x14ac:dyDescent="0.3">
      <c r="B93" t="s">
        <v>122</v>
      </c>
      <c r="C93" s="42">
        <f>'[3]Property Tax Wksht'!$E$27</f>
        <v>8.0796094065181054E-3</v>
      </c>
    </row>
    <row r="95" spans="2:15" x14ac:dyDescent="0.3">
      <c r="B95" t="s">
        <v>300</v>
      </c>
      <c r="C95" s="42">
        <f>0.35</f>
        <v>0.35</v>
      </c>
    </row>
    <row r="96" spans="2:15" x14ac:dyDescent="0.3">
      <c r="B96" t="s">
        <v>301</v>
      </c>
      <c r="C96" s="42">
        <f>0.06</f>
        <v>0.06</v>
      </c>
    </row>
  </sheetData>
  <pageMargins left="0.7" right="0.7" top="0.75" bottom="0.75" header="0.3" footer="0.3"/>
  <pageSetup orientation="portrait" verticalDpi="0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90" zoomScaleNormal="90" workbookViewId="0"/>
  </sheetViews>
  <sheetFormatPr defaultRowHeight="14.4" x14ac:dyDescent="0.3"/>
  <cols>
    <col min="1" max="1" width="4.5546875" style="6" bestFit="1" customWidth="1"/>
    <col min="2" max="2" width="36.44140625" customWidth="1"/>
    <col min="3" max="3" width="20.109375" bestFit="1" customWidth="1"/>
    <col min="4" max="4" width="10.6640625" bestFit="1" customWidth="1"/>
    <col min="5" max="5" width="12.6640625" bestFit="1" customWidth="1"/>
    <col min="6" max="6" width="12.33203125" bestFit="1" customWidth="1"/>
    <col min="7" max="7" width="9.6640625" bestFit="1" customWidth="1"/>
    <col min="8" max="8" width="11.5546875" bestFit="1" customWidth="1"/>
  </cols>
  <sheetData>
    <row r="1" spans="1:10" x14ac:dyDescent="0.3">
      <c r="A1" s="7" t="s">
        <v>86</v>
      </c>
    </row>
    <row r="2" spans="1:10" x14ac:dyDescent="0.3">
      <c r="A2" s="7" t="s">
        <v>96</v>
      </c>
    </row>
    <row r="3" spans="1:10" x14ac:dyDescent="0.3">
      <c r="A3" s="7" t="s">
        <v>271</v>
      </c>
    </row>
    <row r="6" spans="1:10" x14ac:dyDescent="0.3">
      <c r="A6" s="13"/>
      <c r="B6" s="7"/>
      <c r="C6" s="18" t="s">
        <v>228</v>
      </c>
      <c r="D6" s="18"/>
      <c r="E6" s="18"/>
      <c r="F6" s="18" t="s">
        <v>235</v>
      </c>
      <c r="G6" s="18" t="s">
        <v>236</v>
      </c>
    </row>
    <row r="7" spans="1:10" x14ac:dyDescent="0.3">
      <c r="A7" s="12" t="s">
        <v>28</v>
      </c>
      <c r="B7" s="7"/>
      <c r="C7" s="18" t="s">
        <v>229</v>
      </c>
      <c r="D7" s="18" t="s">
        <v>231</v>
      </c>
      <c r="E7" s="18" t="s">
        <v>232</v>
      </c>
      <c r="F7" s="18" t="s">
        <v>234</v>
      </c>
      <c r="G7" s="18" t="s">
        <v>237</v>
      </c>
    </row>
    <row r="8" spans="1:10" x14ac:dyDescent="0.3">
      <c r="A8" s="14" t="s">
        <v>29</v>
      </c>
      <c r="B8" s="15" t="s">
        <v>227</v>
      </c>
      <c r="C8" s="15" t="s">
        <v>230</v>
      </c>
      <c r="D8" s="15" t="s">
        <v>247</v>
      </c>
      <c r="E8" s="15" t="s">
        <v>233</v>
      </c>
      <c r="F8" s="15" t="s">
        <v>248</v>
      </c>
      <c r="G8" s="15" t="s">
        <v>238</v>
      </c>
    </row>
    <row r="9" spans="1:10" x14ac:dyDescent="0.3">
      <c r="B9" s="38">
        <v>-1</v>
      </c>
      <c r="C9" s="38">
        <v>-2</v>
      </c>
      <c r="D9" s="38">
        <v>-3</v>
      </c>
      <c r="E9" s="38">
        <v>-4</v>
      </c>
      <c r="F9" s="38">
        <v>-5</v>
      </c>
      <c r="G9" s="38">
        <v>-6</v>
      </c>
    </row>
    <row r="10" spans="1:10" x14ac:dyDescent="0.3">
      <c r="A10" s="6">
        <v>1</v>
      </c>
      <c r="B10" t="s">
        <v>240</v>
      </c>
      <c r="C10" s="75">
        <f>51604319+932009</f>
        <v>52536328</v>
      </c>
      <c r="D10" s="4">
        <f>C10/SUM($C$10:$C$14)</f>
        <v>0.60468296733031213</v>
      </c>
      <c r="E10" s="75">
        <f ca="1">D10*$E$18</f>
        <v>1005803.1837019594</v>
      </c>
      <c r="F10" s="75">
        <f>'Form 3.0'!O10</f>
        <v>1424514</v>
      </c>
      <c r="G10" s="59">
        <f ca="1">E10/F10</f>
        <v>0.70606760179398687</v>
      </c>
      <c r="J10" s="60"/>
    </row>
    <row r="11" spans="1:10" x14ac:dyDescent="0.3">
      <c r="A11" s="6">
        <f>A10+1</f>
        <v>2</v>
      </c>
      <c r="B11" t="s">
        <v>239</v>
      </c>
      <c r="C11" s="41">
        <f>22495325+804879</f>
        <v>23300204</v>
      </c>
      <c r="D11" s="4">
        <f>C11/SUM($C$10:$C$14)</f>
        <v>0.26818083848801932</v>
      </c>
      <c r="E11" s="1">
        <f t="shared" ref="E11:E17" ca="1" si="0">D11*$E$18</f>
        <v>446080.26971556002</v>
      </c>
      <c r="F11" s="41">
        <f>'Form 3.0'!O11</f>
        <v>111282</v>
      </c>
      <c r="G11" s="59">
        <f t="shared" ref="G11:G14" ca="1" si="1">E11/F11</f>
        <v>4.008557266364372</v>
      </c>
      <c r="J11" s="60"/>
    </row>
    <row r="12" spans="1:10" x14ac:dyDescent="0.3">
      <c r="A12" s="6">
        <f t="shared" ref="A12:A22" si="2">A11+1</f>
        <v>3</v>
      </c>
      <c r="B12" t="s">
        <v>241</v>
      </c>
      <c r="C12" s="41">
        <v>2808611</v>
      </c>
      <c r="D12" s="4">
        <f>C12/SUM($C$10:$C$14)</f>
        <v>3.2326569027750766E-2</v>
      </c>
      <c r="E12" s="1">
        <f t="shared" ca="1" si="0"/>
        <v>53770.600137496178</v>
      </c>
      <c r="F12" s="41">
        <f>'Form 3.0'!O12</f>
        <v>648</v>
      </c>
      <c r="G12" s="59">
        <f t="shared" ca="1" si="1"/>
        <v>82.979321199839774</v>
      </c>
      <c r="J12" s="60"/>
    </row>
    <row r="13" spans="1:10" x14ac:dyDescent="0.3">
      <c r="A13" s="6">
        <f t="shared" si="2"/>
        <v>4</v>
      </c>
      <c r="B13" t="s">
        <v>246</v>
      </c>
      <c r="C13" s="41">
        <v>6408697</v>
      </c>
      <c r="D13" s="4">
        <f>C13/SUM($C$10:$C$14)</f>
        <v>7.3762862122394038E-2</v>
      </c>
      <c r="E13" s="1">
        <f t="shared" ca="1" si="0"/>
        <v>122693.9165976959</v>
      </c>
      <c r="F13" s="41">
        <f>'Form 3.0'!O13</f>
        <v>9216</v>
      </c>
      <c r="G13" s="59">
        <f t="shared" ca="1" si="1"/>
        <v>13.31314199193749</v>
      </c>
      <c r="J13" s="60"/>
    </row>
    <row r="14" spans="1:10" x14ac:dyDescent="0.3">
      <c r="A14" s="6">
        <f t="shared" si="2"/>
        <v>5</v>
      </c>
      <c r="B14" t="s">
        <v>244</v>
      </c>
      <c r="C14" s="41">
        <v>1828594</v>
      </c>
      <c r="D14" s="4">
        <f>C14/SUM($C$10:$C$14)</f>
        <v>2.1046763031523724E-2</v>
      </c>
      <c r="E14" s="1">
        <f t="shared" ca="1" si="0"/>
        <v>35008.264507909662</v>
      </c>
      <c r="F14" s="41">
        <f>'Form 3.0'!O14</f>
        <v>276</v>
      </c>
      <c r="G14" s="59">
        <f t="shared" ca="1" si="1"/>
        <v>126.84153807213646</v>
      </c>
      <c r="H14" s="60"/>
      <c r="J14" s="60"/>
    </row>
    <row r="15" spans="1:10" x14ac:dyDescent="0.3">
      <c r="A15" s="6">
        <f t="shared" si="2"/>
        <v>6</v>
      </c>
      <c r="B15" t="s">
        <v>243</v>
      </c>
      <c r="C15" s="41">
        <v>2738564</v>
      </c>
      <c r="D15" s="4"/>
      <c r="E15" s="1">
        <f t="shared" ca="1" si="0"/>
        <v>0</v>
      </c>
      <c r="F15" s="41">
        <f>'Form 3.0'!O15</f>
        <v>0</v>
      </c>
      <c r="G15" s="59">
        <v>0</v>
      </c>
      <c r="J15" s="60"/>
    </row>
    <row r="16" spans="1:10" x14ac:dyDescent="0.3">
      <c r="A16" s="6">
        <f t="shared" si="2"/>
        <v>7</v>
      </c>
      <c r="B16" t="s">
        <v>242</v>
      </c>
      <c r="C16" s="41">
        <v>4017447</v>
      </c>
      <c r="D16" s="4"/>
      <c r="E16" s="1">
        <f t="shared" ca="1" si="0"/>
        <v>0</v>
      </c>
      <c r="F16" s="41">
        <f>'Form 3.0'!O16</f>
        <v>0</v>
      </c>
      <c r="G16" s="59">
        <v>0</v>
      </c>
      <c r="J16" s="60"/>
    </row>
    <row r="17" spans="1:10" x14ac:dyDescent="0.3">
      <c r="A17" s="6">
        <f t="shared" si="2"/>
        <v>8</v>
      </c>
      <c r="B17" t="s">
        <v>245</v>
      </c>
      <c r="C17" s="41">
        <v>84644</v>
      </c>
      <c r="D17" s="4"/>
      <c r="E17" s="1">
        <f t="shared" ca="1" si="0"/>
        <v>0</v>
      </c>
      <c r="F17" s="41">
        <f>'Form 3.0'!O17</f>
        <v>0</v>
      </c>
      <c r="G17" s="59">
        <v>0</v>
      </c>
      <c r="J17" s="60"/>
    </row>
    <row r="18" spans="1:10" x14ac:dyDescent="0.3">
      <c r="A18" s="6">
        <f t="shared" si="2"/>
        <v>9</v>
      </c>
      <c r="B18" t="s">
        <v>21</v>
      </c>
      <c r="C18" s="77">
        <f>SUM(C10:C17)</f>
        <v>93723089</v>
      </c>
      <c r="D18" s="58">
        <f>SUM(D10:D17)</f>
        <v>1</v>
      </c>
      <c r="E18" s="77">
        <f ca="1">'Form 1.1'!C29</f>
        <v>1663356.2346606213</v>
      </c>
      <c r="F18" s="64">
        <f>SUM(F10:F17)</f>
        <v>1545936</v>
      </c>
      <c r="H18" s="59"/>
    </row>
    <row r="19" spans="1:10" x14ac:dyDescent="0.3">
      <c r="A19" s="6">
        <f t="shared" si="2"/>
        <v>10</v>
      </c>
      <c r="C19" s="41"/>
    </row>
    <row r="20" spans="1:10" x14ac:dyDescent="0.3">
      <c r="A20" s="6">
        <f t="shared" si="2"/>
        <v>11</v>
      </c>
      <c r="B20" t="s">
        <v>255</v>
      </c>
      <c r="C20" s="75">
        <f>2174648+111040+120</f>
        <v>2285808</v>
      </c>
    </row>
    <row r="21" spans="1:10" x14ac:dyDescent="0.3">
      <c r="A21" s="6">
        <f t="shared" si="2"/>
        <v>12</v>
      </c>
      <c r="B21" t="s">
        <v>256</v>
      </c>
      <c r="C21" s="3">
        <v>665027</v>
      </c>
    </row>
    <row r="22" spans="1:10" ht="15" thickBot="1" x14ac:dyDescent="0.35">
      <c r="A22" s="6">
        <f t="shared" si="2"/>
        <v>13</v>
      </c>
      <c r="C22" s="76">
        <f>C18+C20+C21</f>
        <v>96673924</v>
      </c>
    </row>
    <row r="23" spans="1:10" ht="15" thickTop="1" x14ac:dyDescent="0.3"/>
    <row r="24" spans="1:10" x14ac:dyDescent="0.3">
      <c r="C24" s="1"/>
    </row>
    <row r="25" spans="1:10" x14ac:dyDescent="0.3">
      <c r="A25" s="48" t="s">
        <v>8</v>
      </c>
    </row>
    <row r="26" spans="1:10" x14ac:dyDescent="0.3">
      <c r="A26" s="38">
        <v>-1</v>
      </c>
      <c r="B26" t="s">
        <v>249</v>
      </c>
    </row>
    <row r="27" spans="1:10" x14ac:dyDescent="0.3">
      <c r="A27" s="67">
        <v>-2</v>
      </c>
      <c r="B27" s="43" t="s">
        <v>250</v>
      </c>
      <c r="C27" s="43"/>
      <c r="D27" s="43"/>
      <c r="E27" s="43"/>
    </row>
    <row r="30" spans="1:10" x14ac:dyDescent="0.3">
      <c r="C30" s="1"/>
    </row>
    <row r="31" spans="1:10" x14ac:dyDescent="0.3">
      <c r="C31" s="1"/>
    </row>
  </sheetData>
  <pageMargins left="0.7" right="0.7" top="0.75" bottom="0.75" header="0.3" footer="0.3"/>
  <pageSetup orientation="landscape" verticalDpi="1200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zoomScale="90" zoomScaleNormal="90" zoomScaleSheetLayoutView="90" workbookViewId="0"/>
  </sheetViews>
  <sheetFormatPr defaultRowHeight="14.4" outlineLevelCol="1" x14ac:dyDescent="0.3"/>
  <cols>
    <col min="1" max="1" width="4.33203125" style="6" bestFit="1" customWidth="1"/>
    <col min="2" max="2" width="49.33203125" customWidth="1"/>
    <col min="3" max="3" width="18" bestFit="1" customWidth="1"/>
    <col min="4" max="4" width="39.6640625" bestFit="1" customWidth="1"/>
    <col min="6" max="7" width="17.88671875" style="43" hidden="1" customWidth="1" outlineLevel="1"/>
    <col min="8" max="8" width="8.88671875" collapsed="1"/>
  </cols>
  <sheetData>
    <row r="1" spans="1:7" x14ac:dyDescent="0.3">
      <c r="A1" s="7" t="s">
        <v>86</v>
      </c>
    </row>
    <row r="2" spans="1:7" x14ac:dyDescent="0.3">
      <c r="A2" s="7" t="s">
        <v>96</v>
      </c>
    </row>
    <row r="3" spans="1:7" x14ac:dyDescent="0.3">
      <c r="A3" s="7" t="s">
        <v>97</v>
      </c>
    </row>
    <row r="6" spans="1:7" x14ac:dyDescent="0.3">
      <c r="A6" s="12" t="s">
        <v>28</v>
      </c>
      <c r="B6" s="7"/>
      <c r="C6" s="13" t="s">
        <v>105</v>
      </c>
      <c r="D6" s="7"/>
      <c r="F6" s="139" t="s">
        <v>105</v>
      </c>
      <c r="G6" s="139" t="s">
        <v>105</v>
      </c>
    </row>
    <row r="7" spans="1:7" x14ac:dyDescent="0.3">
      <c r="A7" s="14" t="s">
        <v>29</v>
      </c>
      <c r="B7" s="7"/>
      <c r="C7" s="79" t="s">
        <v>53</v>
      </c>
      <c r="D7" s="14" t="s">
        <v>6</v>
      </c>
      <c r="F7" s="40" t="s">
        <v>220</v>
      </c>
      <c r="G7" s="40" t="s">
        <v>221</v>
      </c>
    </row>
    <row r="8" spans="1:7" x14ac:dyDescent="0.3">
      <c r="A8" s="12"/>
      <c r="B8" s="7"/>
      <c r="C8" s="38">
        <v>-1</v>
      </c>
      <c r="D8" s="38">
        <v>-2</v>
      </c>
      <c r="F8" s="138"/>
      <c r="G8" s="138"/>
    </row>
    <row r="9" spans="1:7" x14ac:dyDescent="0.3">
      <c r="A9" s="11"/>
      <c r="B9" s="7" t="s">
        <v>9</v>
      </c>
      <c r="C9" s="11"/>
      <c r="D9" s="11"/>
    </row>
    <row r="10" spans="1:7" x14ac:dyDescent="0.3">
      <c r="B10" s="8" t="s">
        <v>0</v>
      </c>
    </row>
    <row r="11" spans="1:7" x14ac:dyDescent="0.3">
      <c r="A11" s="6">
        <v>1</v>
      </c>
      <c r="B11" t="s">
        <v>106</v>
      </c>
      <c r="C11" s="31">
        <f>'Form 2.0'!J23</f>
        <v>14103772.039427686</v>
      </c>
      <c r="D11" t="s">
        <v>3</v>
      </c>
      <c r="F11" s="29">
        <f>+'Form 2.0'!J65</f>
        <v>5765150.8280471954</v>
      </c>
      <c r="G11" s="29">
        <f>SUM('Form 2.2'!F10:F13)+SUM('Form 2.2'!I10:I13)</f>
        <v>467021.78252726689</v>
      </c>
    </row>
    <row r="12" spans="1:7" x14ac:dyDescent="0.3">
      <c r="A12" s="6">
        <v>2</v>
      </c>
      <c r="B12" t="s">
        <v>10</v>
      </c>
      <c r="C12" s="1">
        <f>'Form 2.0'!J30</f>
        <v>553213.61683142255</v>
      </c>
      <c r="D12" t="s">
        <v>3</v>
      </c>
      <c r="F12" s="29">
        <f>+'Form 2.0'!J72</f>
        <v>241194.69546997792</v>
      </c>
      <c r="G12" s="29">
        <f>+SUM('Form 2.2'!L10:L13)</f>
        <v>17552.172806072296</v>
      </c>
    </row>
    <row r="13" spans="1:7" x14ac:dyDescent="0.3">
      <c r="A13" s="6">
        <v>3</v>
      </c>
      <c r="B13" t="s">
        <v>11</v>
      </c>
      <c r="C13" s="41">
        <f>'Form 2.3'!D32</f>
        <v>1194.1350510081102</v>
      </c>
      <c r="D13" t="s">
        <v>274</v>
      </c>
      <c r="F13" s="29">
        <f>+'Form 2.3'!D32-'Form 2.3'!D26-'Form 2.3'!D28</f>
        <v>25141.98070706139</v>
      </c>
      <c r="G13" s="29">
        <f>+SUM('Form 2.2'!M10:M13)</f>
        <v>9150.8869192820148</v>
      </c>
    </row>
    <row r="14" spans="1:7" x14ac:dyDescent="0.3">
      <c r="A14" s="6">
        <v>4</v>
      </c>
      <c r="B14" t="s">
        <v>214</v>
      </c>
      <c r="C14" s="41">
        <f>'Form 2.0'!J37</f>
        <v>-1109562.7238741573</v>
      </c>
      <c r="D14" t="s">
        <v>3</v>
      </c>
      <c r="F14" s="29">
        <f>+'Form 2.0'!J79</f>
        <v>-597490.00846331217</v>
      </c>
      <c r="G14" s="29">
        <f>+SUM('Form 2.2'!P10:P13)</f>
        <v>-37450.441349914232</v>
      </c>
    </row>
    <row r="15" spans="1:7" x14ac:dyDescent="0.3">
      <c r="A15" s="6">
        <v>5</v>
      </c>
      <c r="B15" t="s">
        <v>299</v>
      </c>
      <c r="C15" s="41">
        <f>'Form 2.3'!G41</f>
        <v>48168.468651326068</v>
      </c>
      <c r="D15" t="s">
        <v>274</v>
      </c>
      <c r="F15" s="29">
        <f>'Form 2.3'!G32-'Form 2.3'!G30</f>
        <v>23997.375336921159</v>
      </c>
      <c r="G15" s="87">
        <f>-+SUM('Form 2.2'!Q10:Q13)</f>
        <v>1089.7993253783097</v>
      </c>
    </row>
    <row r="16" spans="1:7" x14ac:dyDescent="0.3">
      <c r="A16" s="6">
        <v>6</v>
      </c>
      <c r="B16" t="s">
        <v>107</v>
      </c>
      <c r="C16" s="2">
        <f>SUM(C11:C15)</f>
        <v>13596785.536087286</v>
      </c>
      <c r="F16" s="83">
        <f>SUM(F11:F15)</f>
        <v>5457994.8710978441</v>
      </c>
      <c r="G16" s="83">
        <f>SUM(G11:G15)</f>
        <v>457364.20022808528</v>
      </c>
    </row>
    <row r="17" spans="1:7" x14ac:dyDescent="0.3">
      <c r="A17" s="6">
        <v>7</v>
      </c>
      <c r="B17" t="s">
        <v>12</v>
      </c>
      <c r="C17" s="3">
        <f ca="1">'Form 2.1'!K26</f>
        <v>-62818.319131852593</v>
      </c>
      <c r="D17" t="s">
        <v>4</v>
      </c>
      <c r="F17" s="65">
        <f>+'Form 2.1'!K13</f>
        <v>122389.54711930137</v>
      </c>
      <c r="G17" s="65">
        <f>+'Form 2.1'!K11</f>
        <v>8683.2920740285426</v>
      </c>
    </row>
    <row r="18" spans="1:7" x14ac:dyDescent="0.3">
      <c r="A18" s="6">
        <v>8</v>
      </c>
      <c r="B18" t="s">
        <v>13</v>
      </c>
      <c r="C18" s="2">
        <f ca="1">SUM(C16:C17)</f>
        <v>13533967.216955433</v>
      </c>
      <c r="D18" t="s">
        <v>305</v>
      </c>
      <c r="F18" s="83">
        <f>SUM(F16:F17)</f>
        <v>5580384.4182171458</v>
      </c>
      <c r="G18" s="83">
        <f t="shared" ref="G18" si="0">SUM(G16:G17)</f>
        <v>466047.49230211379</v>
      </c>
    </row>
    <row r="19" spans="1:7" x14ac:dyDescent="0.3">
      <c r="A19" s="6">
        <v>9</v>
      </c>
      <c r="B19" t="s">
        <v>14</v>
      </c>
      <c r="C19" s="53">
        <f>'Form 1.2'!G14</f>
        <v>0.10654108019639935</v>
      </c>
      <c r="D19" t="s">
        <v>5</v>
      </c>
    </row>
    <row r="20" spans="1:7" x14ac:dyDescent="0.3">
      <c r="A20" s="6">
        <v>10</v>
      </c>
      <c r="B20" t="s">
        <v>108</v>
      </c>
      <c r="C20" s="5">
        <f ca="1">C18*C19</f>
        <v>1441923.4866370885</v>
      </c>
      <c r="D20" t="s">
        <v>306</v>
      </c>
    </row>
    <row r="21" spans="1:7" x14ac:dyDescent="0.3">
      <c r="C21" s="1"/>
    </row>
    <row r="22" spans="1:7" x14ac:dyDescent="0.3">
      <c r="B22" s="8" t="s">
        <v>1</v>
      </c>
      <c r="C22" s="1"/>
    </row>
    <row r="23" spans="1:7" x14ac:dyDescent="0.3">
      <c r="A23" s="6">
        <v>11</v>
      </c>
      <c r="B23" t="s">
        <v>2</v>
      </c>
      <c r="C23" s="1">
        <f>'Form 2.0'!G23+'Form 2.0'!I23+'Form 2.0'!G37+'Form 2.0'!I37</f>
        <v>171690.54096115724</v>
      </c>
      <c r="D23" t="s">
        <v>3</v>
      </c>
    </row>
    <row r="24" spans="1:7" x14ac:dyDescent="0.3">
      <c r="A24" s="6">
        <v>12</v>
      </c>
      <c r="B24" t="s">
        <v>15</v>
      </c>
      <c r="C24" s="41">
        <f>'Form 2.0'!J65*'Link In'!C93</f>
        <v>46580.166860285768</v>
      </c>
      <c r="D24" s="43" t="s">
        <v>270</v>
      </c>
    </row>
    <row r="25" spans="1:7" x14ac:dyDescent="0.3">
      <c r="A25" s="6">
        <v>13</v>
      </c>
      <c r="B25" s="43" t="s">
        <v>285</v>
      </c>
      <c r="C25" s="1">
        <v>0</v>
      </c>
    </row>
    <row r="26" spans="1:7" x14ac:dyDescent="0.3">
      <c r="A26" s="6">
        <v>14</v>
      </c>
      <c r="B26" t="s">
        <v>286</v>
      </c>
      <c r="C26" s="41">
        <f ca="1">(SUM(C20:C25)*('Link In'!C91/(1-'Link In'!C91)))</f>
        <v>3162.0402020898409</v>
      </c>
      <c r="D26" t="s">
        <v>307</v>
      </c>
      <c r="F26" s="140"/>
    </row>
    <row r="27" spans="1:7" x14ac:dyDescent="0.3">
      <c r="A27" s="6">
        <v>15</v>
      </c>
      <c r="B27" t="s">
        <v>17</v>
      </c>
      <c r="C27" s="2">
        <f ca="1">SUM(C23:C26)</f>
        <v>221432.74802353285</v>
      </c>
      <c r="D27" t="s">
        <v>308</v>
      </c>
    </row>
    <row r="28" spans="1:7" x14ac:dyDescent="0.3">
      <c r="C28" s="2"/>
    </row>
    <row r="29" spans="1:7" ht="15" thickBot="1" x14ac:dyDescent="0.35">
      <c r="A29" s="6">
        <v>16</v>
      </c>
      <c r="B29" s="7" t="s">
        <v>18</v>
      </c>
      <c r="C29" s="78">
        <f ca="1">C20+C27</f>
        <v>1663356.2346606213</v>
      </c>
      <c r="D29" t="s">
        <v>309</v>
      </c>
      <c r="F29" s="41"/>
    </row>
    <row r="30" spans="1:7" ht="15" thickTop="1" x14ac:dyDescent="0.3">
      <c r="C30" s="1"/>
      <c r="F30" s="41"/>
    </row>
    <row r="31" spans="1:7" x14ac:dyDescent="0.3">
      <c r="C31" s="41"/>
    </row>
    <row r="32" spans="1:7" x14ac:dyDescent="0.3">
      <c r="B32" t="s">
        <v>8</v>
      </c>
      <c r="C32" s="1"/>
    </row>
    <row r="33" spans="1:2" x14ac:dyDescent="0.3">
      <c r="A33" s="9">
        <v>-1</v>
      </c>
      <c r="B33" s="43" t="s">
        <v>123</v>
      </c>
    </row>
    <row r="34" spans="1:2" x14ac:dyDescent="0.3">
      <c r="A34" s="9">
        <v>-2</v>
      </c>
      <c r="B34" s="43" t="s">
        <v>287</v>
      </c>
    </row>
    <row r="35" spans="1:2" x14ac:dyDescent="0.3">
      <c r="A35" s="9">
        <v>-3</v>
      </c>
      <c r="B35" s="43" t="s">
        <v>124</v>
      </c>
    </row>
  </sheetData>
  <pageMargins left="0.7" right="0.7" top="0.75" bottom="0.75" header="0.3" footer="0.3"/>
  <pageSetup scale="99" orientation="landscape" verticalDpi="120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"/>
  <sheetViews>
    <sheetView workbookViewId="0"/>
  </sheetViews>
  <sheetFormatPr defaultRowHeight="14.4" x14ac:dyDescent="0.3"/>
  <cols>
    <col min="1" max="1" width="4.33203125" style="6" bestFit="1" customWidth="1"/>
    <col min="2" max="2" width="20" customWidth="1"/>
    <col min="3" max="3" width="12.88671875" bestFit="1" customWidth="1"/>
    <col min="4" max="5" width="8.44140625" customWidth="1"/>
    <col min="6" max="6" width="9.109375" bestFit="1" customWidth="1"/>
    <col min="7" max="7" width="11.44140625" bestFit="1" customWidth="1"/>
    <col min="9" max="9" width="22.33203125" bestFit="1" customWidth="1"/>
  </cols>
  <sheetData>
    <row r="1" spans="1:11" x14ac:dyDescent="0.3">
      <c r="A1" s="7" t="s">
        <v>86</v>
      </c>
    </row>
    <row r="2" spans="1:11" x14ac:dyDescent="0.3">
      <c r="A2" s="7" t="s">
        <v>96</v>
      </c>
    </row>
    <row r="3" spans="1:11" x14ac:dyDescent="0.3">
      <c r="A3" s="7" t="s">
        <v>95</v>
      </c>
    </row>
    <row r="5" spans="1:11" x14ac:dyDescent="0.3">
      <c r="A5" s="13"/>
      <c r="B5" s="80"/>
      <c r="C5" s="18"/>
      <c r="D5" s="18"/>
      <c r="E5" s="18"/>
      <c r="F5" s="18"/>
      <c r="G5" s="18" t="s">
        <v>26</v>
      </c>
    </row>
    <row r="6" spans="1:11" x14ac:dyDescent="0.3">
      <c r="A6" s="12" t="s">
        <v>28</v>
      </c>
      <c r="B6" s="18"/>
      <c r="C6" s="18"/>
      <c r="D6" s="18"/>
      <c r="E6" s="18"/>
      <c r="F6" s="18" t="s">
        <v>25</v>
      </c>
      <c r="G6" s="18" t="s">
        <v>27</v>
      </c>
    </row>
    <row r="7" spans="1:11" x14ac:dyDescent="0.3">
      <c r="A7" s="14" t="s">
        <v>29</v>
      </c>
      <c r="B7" s="15" t="s">
        <v>22</v>
      </c>
      <c r="C7" s="15" t="s">
        <v>77</v>
      </c>
      <c r="D7" s="15" t="s">
        <v>23</v>
      </c>
      <c r="E7" s="15" t="s">
        <v>24</v>
      </c>
      <c r="F7" s="15" t="s">
        <v>24</v>
      </c>
      <c r="G7" s="81">
        <f>'Link In'!C95+'Link In'!C96*0.65</f>
        <v>0.38899999999999996</v>
      </c>
    </row>
    <row r="8" spans="1:11" x14ac:dyDescent="0.3">
      <c r="B8" s="9">
        <v>-1</v>
      </c>
      <c r="C8" s="9">
        <v>-2</v>
      </c>
      <c r="D8" s="9">
        <v>-3</v>
      </c>
      <c r="E8" s="9">
        <v>-4</v>
      </c>
      <c r="F8" s="9">
        <v>-5</v>
      </c>
      <c r="G8" s="54">
        <v>-6</v>
      </c>
    </row>
    <row r="9" spans="1:11" x14ac:dyDescent="0.3">
      <c r="A9" s="6">
        <v>1</v>
      </c>
      <c r="B9" t="s">
        <v>20</v>
      </c>
      <c r="C9" s="31">
        <v>201711194</v>
      </c>
      <c r="D9" s="4">
        <f>C9/$C$14</f>
        <v>0.50585241650132229</v>
      </c>
      <c r="E9" s="4">
        <v>6.0199999999999997E-2</v>
      </c>
      <c r="F9" s="32">
        <f>ROUND(D9*E9,4)</f>
        <v>3.0499999999999999E-2</v>
      </c>
      <c r="G9" s="53">
        <f>F9</f>
        <v>3.0499999999999999E-2</v>
      </c>
    </row>
    <row r="10" spans="1:11" x14ac:dyDescent="0.3">
      <c r="A10" s="6">
        <v>2</v>
      </c>
      <c r="B10" t="s">
        <v>19</v>
      </c>
      <c r="C10" s="1">
        <v>5948343</v>
      </c>
      <c r="D10" s="4">
        <f>C10/$C$14</f>
        <v>1.4917286547462135E-2</v>
      </c>
      <c r="E10" s="4">
        <v>0.01</v>
      </c>
      <c r="F10" s="32">
        <f t="shared" ref="F10:F12" si="0">ROUND(D10*E10,4)</f>
        <v>1E-4</v>
      </c>
      <c r="G10" s="53">
        <f t="shared" ref="G10" si="1">F10</f>
        <v>1E-4</v>
      </c>
    </row>
    <row r="11" spans="1:11" x14ac:dyDescent="0.3">
      <c r="A11" s="6">
        <v>3</v>
      </c>
      <c r="B11" t="s">
        <v>76</v>
      </c>
      <c r="C11" s="1">
        <v>2244673</v>
      </c>
      <c r="D11" s="4">
        <f>C11/$C$14</f>
        <v>5.6292030144111512E-3</v>
      </c>
      <c r="E11" s="4">
        <v>8.5199999999999998E-2</v>
      </c>
      <c r="F11" s="32">
        <f t="shared" si="0"/>
        <v>5.0000000000000001E-4</v>
      </c>
      <c r="G11" s="23">
        <f>F11*1/SUM(1-$G$7)</f>
        <v>8.1833060556464816E-4</v>
      </c>
      <c r="H11" s="23"/>
      <c r="I11" s="55"/>
    </row>
    <row r="12" spans="1:11" x14ac:dyDescent="0.3">
      <c r="A12" s="6">
        <v>4</v>
      </c>
      <c r="B12" t="s">
        <v>251</v>
      </c>
      <c r="C12" s="5">
        <v>188850817</v>
      </c>
      <c r="D12" s="4">
        <f>C12/$C$14</f>
        <v>0.47360109393680444</v>
      </c>
      <c r="E12" s="4">
        <v>9.7000000000000003E-2</v>
      </c>
      <c r="F12" s="33">
        <f t="shared" si="0"/>
        <v>4.5900000000000003E-2</v>
      </c>
      <c r="G12" s="68">
        <f>F12*1/SUM(1-$G$7)</f>
        <v>7.5122749590834703E-2</v>
      </c>
      <c r="H12" s="23"/>
      <c r="I12" s="55"/>
      <c r="J12" s="23"/>
      <c r="K12" s="23"/>
    </row>
    <row r="13" spans="1:11" x14ac:dyDescent="0.3">
      <c r="A13" s="6">
        <v>5</v>
      </c>
      <c r="C13" s="1"/>
    </row>
    <row r="14" spans="1:11" x14ac:dyDescent="0.3">
      <c r="A14" s="6">
        <v>6</v>
      </c>
      <c r="B14" t="s">
        <v>21</v>
      </c>
      <c r="C14" s="31">
        <f>SUM(C9:C12)</f>
        <v>398755027</v>
      </c>
      <c r="D14" s="23">
        <f>SUM(D9:D12)</f>
        <v>1</v>
      </c>
      <c r="F14" s="23">
        <f>SUM(F9:F12)</f>
        <v>7.6999999999999999E-2</v>
      </c>
      <c r="G14" s="23">
        <f>SUM(G9:G12)</f>
        <v>0.10654108019639935</v>
      </c>
    </row>
    <row r="16" spans="1:11" x14ac:dyDescent="0.3">
      <c r="G16" s="23"/>
    </row>
    <row r="17" spans="7:7" x14ac:dyDescent="0.3">
      <c r="G17" s="1"/>
    </row>
  </sheetData>
  <pageMargins left="0.7" right="0.7" top="0.75" bottom="0.75" header="0.3" footer="0.3"/>
  <pageSetup orientation="portrait" verticalDpi="1200" r:id="rId1"/>
  <customProperties>
    <customPr name="_pios_id" r:id="rId2"/>
  </customProperties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zoomScale="80" zoomScaleNormal="80" workbookViewId="0"/>
  </sheetViews>
  <sheetFormatPr defaultRowHeight="14.4" x14ac:dyDescent="0.3"/>
  <cols>
    <col min="1" max="1" width="4.33203125" style="6" bestFit="1" customWidth="1"/>
    <col min="2" max="2" width="3.33203125" customWidth="1"/>
    <col min="3" max="3" width="19.33203125" bestFit="1" customWidth="1"/>
    <col min="5" max="5" width="15.44140625" bestFit="1" customWidth="1"/>
    <col min="6" max="6" width="9.33203125" bestFit="1" customWidth="1"/>
    <col min="7" max="7" width="12.6640625" customWidth="1"/>
    <col min="8" max="8" width="13.33203125" bestFit="1" customWidth="1"/>
    <col min="9" max="9" width="14.5546875" bestFit="1" customWidth="1"/>
    <col min="10" max="10" width="12.33203125" bestFit="1" customWidth="1"/>
    <col min="11" max="11" width="11" bestFit="1" customWidth="1"/>
  </cols>
  <sheetData>
    <row r="1" spans="1:11" x14ac:dyDescent="0.3">
      <c r="A1" s="7" t="s">
        <v>86</v>
      </c>
    </row>
    <row r="2" spans="1:11" x14ac:dyDescent="0.3">
      <c r="A2" s="7" t="s">
        <v>96</v>
      </c>
    </row>
    <row r="3" spans="1:11" x14ac:dyDescent="0.3">
      <c r="A3" s="7" t="s">
        <v>94</v>
      </c>
    </row>
    <row r="4" spans="1:11" x14ac:dyDescent="0.3">
      <c r="J4" s="18">
        <v>2018</v>
      </c>
    </row>
    <row r="5" spans="1:11" x14ac:dyDescent="0.3">
      <c r="E5" s="18">
        <v>2018</v>
      </c>
      <c r="G5" s="13" t="s">
        <v>45</v>
      </c>
      <c r="H5" s="18">
        <v>2018</v>
      </c>
      <c r="I5" s="13" t="s">
        <v>89</v>
      </c>
      <c r="J5" s="13" t="s">
        <v>52</v>
      </c>
    </row>
    <row r="6" spans="1:11" x14ac:dyDescent="0.3">
      <c r="A6" s="12" t="s">
        <v>28</v>
      </c>
      <c r="B6" s="7"/>
      <c r="C6" s="13"/>
      <c r="D6" s="13"/>
      <c r="E6" s="13" t="s">
        <v>46</v>
      </c>
      <c r="F6" s="13"/>
      <c r="G6" s="13" t="s">
        <v>46</v>
      </c>
      <c r="H6" s="18" t="s">
        <v>91</v>
      </c>
      <c r="I6" s="13" t="s">
        <v>45</v>
      </c>
      <c r="J6" s="13" t="s">
        <v>51</v>
      </c>
      <c r="K6" s="6"/>
    </row>
    <row r="7" spans="1:11" x14ac:dyDescent="0.3">
      <c r="A7" s="14" t="s">
        <v>29</v>
      </c>
      <c r="B7" s="7"/>
      <c r="C7" s="15" t="s">
        <v>30</v>
      </c>
      <c r="D7" s="15" t="s">
        <v>31</v>
      </c>
      <c r="E7" s="16" t="s">
        <v>44</v>
      </c>
      <c r="F7" s="15" t="s">
        <v>43</v>
      </c>
      <c r="G7" s="15" t="s">
        <v>44</v>
      </c>
      <c r="H7" s="15" t="s">
        <v>40</v>
      </c>
      <c r="I7" s="15" t="s">
        <v>90</v>
      </c>
      <c r="J7" s="15" t="s">
        <v>44</v>
      </c>
      <c r="K7" s="6"/>
    </row>
    <row r="8" spans="1:11" x14ac:dyDescent="0.3">
      <c r="A8" s="6">
        <v>1</v>
      </c>
      <c r="C8" s="38">
        <v>-1</v>
      </c>
      <c r="D8" s="38">
        <v>-2</v>
      </c>
      <c r="E8" s="38">
        <v>-3</v>
      </c>
      <c r="F8" s="38">
        <v>-4</v>
      </c>
      <c r="G8" s="39" t="s">
        <v>88</v>
      </c>
      <c r="H8" s="38">
        <v>-6</v>
      </c>
      <c r="I8" s="66" t="s">
        <v>92</v>
      </c>
      <c r="J8" s="39" t="s">
        <v>93</v>
      </c>
      <c r="K8" s="6"/>
    </row>
    <row r="9" spans="1:11" x14ac:dyDescent="0.3">
      <c r="A9" s="6">
        <f>A8+1</f>
        <v>2</v>
      </c>
      <c r="B9" s="7" t="s">
        <v>34</v>
      </c>
    </row>
    <row r="10" spans="1:11" x14ac:dyDescent="0.3">
      <c r="A10" s="6">
        <f t="shared" ref="A10:A37" si="0">A9+1</f>
        <v>3</v>
      </c>
      <c r="C10" t="s">
        <v>35</v>
      </c>
      <c r="D10" s="6" t="s">
        <v>47</v>
      </c>
      <c r="E10" s="31">
        <f>J52</f>
        <v>3948136.0430769231</v>
      </c>
      <c r="F10" s="4">
        <v>1.5300000000000001E-2</v>
      </c>
      <c r="G10" s="31">
        <f>E10*F10</f>
        <v>60406.481459076931</v>
      </c>
      <c r="H10" s="31">
        <f>'Link In'!O23</f>
        <v>6493580</v>
      </c>
      <c r="I10" s="31">
        <f>F10*H10*0.5</f>
        <v>49675.887000000002</v>
      </c>
      <c r="J10" s="31">
        <f>H10+E10</f>
        <v>10441716.043076923</v>
      </c>
    </row>
    <row r="11" spans="1:11" x14ac:dyDescent="0.3">
      <c r="A11" s="6">
        <f t="shared" si="0"/>
        <v>4</v>
      </c>
      <c r="C11" t="s">
        <v>36</v>
      </c>
      <c r="D11" s="6" t="s">
        <v>48</v>
      </c>
      <c r="E11" s="1">
        <f t="shared" ref="E11:E13" si="1">J53</f>
        <v>474134.53153846157</v>
      </c>
      <c r="F11" s="4">
        <v>2.1500000000000002E-2</v>
      </c>
      <c r="G11" s="1">
        <f t="shared" ref="G11:G13" si="2">E11*F11</f>
        <v>10193.892428076924</v>
      </c>
      <c r="H11" s="1">
        <f>'Link In'!O24</f>
        <v>392020</v>
      </c>
      <c r="I11" s="1">
        <f t="shared" ref="I11:I13" si="3">F11*H11*0.5</f>
        <v>4214.2150000000001</v>
      </c>
      <c r="J11" s="1">
        <f t="shared" ref="J11:J13" si="4">H11+E11</f>
        <v>866154.53153846157</v>
      </c>
    </row>
    <row r="12" spans="1:11" x14ac:dyDescent="0.3">
      <c r="A12" s="6">
        <f t="shared" si="0"/>
        <v>5</v>
      </c>
      <c r="C12" t="s">
        <v>37</v>
      </c>
      <c r="D12" s="6" t="s">
        <v>49</v>
      </c>
      <c r="E12" s="1">
        <f t="shared" si="1"/>
        <v>765500.88153846154</v>
      </c>
      <c r="F12" s="4">
        <v>3.2399999999999998E-2</v>
      </c>
      <c r="G12" s="1">
        <f t="shared" si="2"/>
        <v>24802.228561846154</v>
      </c>
      <c r="H12" s="1">
        <f>'Link In'!O25</f>
        <v>532700</v>
      </c>
      <c r="I12" s="1">
        <f t="shared" si="3"/>
        <v>8629.74</v>
      </c>
      <c r="J12" s="1">
        <f t="shared" si="4"/>
        <v>1298200.8815384614</v>
      </c>
    </row>
    <row r="13" spans="1:11" x14ac:dyDescent="0.3">
      <c r="A13" s="6">
        <f t="shared" si="0"/>
        <v>6</v>
      </c>
      <c r="C13" t="s">
        <v>38</v>
      </c>
      <c r="D13" s="6" t="s">
        <v>50</v>
      </c>
      <c r="E13" s="1">
        <f t="shared" si="1"/>
        <v>756123.81307692314</v>
      </c>
      <c r="F13" s="4">
        <v>3.5000000000000003E-2</v>
      </c>
      <c r="G13" s="1">
        <f t="shared" si="2"/>
        <v>26464.333457692312</v>
      </c>
      <c r="H13" s="1">
        <f>'Link In'!O26</f>
        <v>1092235</v>
      </c>
      <c r="I13" s="1">
        <f t="shared" si="3"/>
        <v>19114.112500000003</v>
      </c>
      <c r="J13" s="1">
        <f t="shared" si="4"/>
        <v>1848358.8130769231</v>
      </c>
    </row>
    <row r="14" spans="1:11" x14ac:dyDescent="0.3">
      <c r="A14" s="6">
        <f t="shared" si="0"/>
        <v>7</v>
      </c>
      <c r="C14" t="s">
        <v>39</v>
      </c>
      <c r="E14" s="2">
        <f>SUM(E10:E13)</f>
        <v>5943895.2692307699</v>
      </c>
      <c r="G14" s="2">
        <f>SUM(G10:G13)</f>
        <v>121866.93590669231</v>
      </c>
      <c r="H14" s="2">
        <f>SUM(H10:H13)</f>
        <v>8510535</v>
      </c>
      <c r="I14" s="2">
        <f>SUM(I10:I13)</f>
        <v>81633.954499999993</v>
      </c>
      <c r="J14" s="2">
        <f>SUM(J10:J13)</f>
        <v>14454430.26923077</v>
      </c>
    </row>
    <row r="15" spans="1:11" x14ac:dyDescent="0.3">
      <c r="A15" s="6">
        <f t="shared" si="0"/>
        <v>8</v>
      </c>
      <c r="E15" s="1"/>
      <c r="G15" s="1"/>
      <c r="H15" s="41"/>
      <c r="I15" s="1"/>
      <c r="J15" s="1"/>
    </row>
    <row r="16" spans="1:11" x14ac:dyDescent="0.3">
      <c r="A16" s="6">
        <f t="shared" si="0"/>
        <v>9</v>
      </c>
      <c r="B16" s="7" t="s">
        <v>40</v>
      </c>
      <c r="E16" s="1"/>
      <c r="G16" s="1"/>
      <c r="H16" s="41"/>
      <c r="I16" s="1"/>
      <c r="J16" s="1"/>
    </row>
    <row r="17" spans="1:10" x14ac:dyDescent="0.3">
      <c r="A17" s="6">
        <f t="shared" si="0"/>
        <v>10</v>
      </c>
      <c r="C17" t="s">
        <v>35</v>
      </c>
      <c r="D17" s="6" t="s">
        <v>47</v>
      </c>
      <c r="E17" s="1">
        <f t="shared" ref="E17:E20" si="5">J59</f>
        <v>-34848.297975981593</v>
      </c>
      <c r="F17" s="4">
        <v>1.5300000000000001E-2</v>
      </c>
      <c r="G17" s="1">
        <f t="shared" ref="G17:G20" si="6">E17*F17</f>
        <v>-533.17895903251838</v>
      </c>
      <c r="H17" s="41">
        <f>-H10*'Link In'!O34</f>
        <v>-46927.003713387348</v>
      </c>
      <c r="I17" s="1">
        <f>F17*H17*0.5</f>
        <v>-358.99157840741321</v>
      </c>
      <c r="J17" s="1">
        <f t="shared" ref="J17:J20" si="7">H17+E17</f>
        <v>-81775.301689368935</v>
      </c>
    </row>
    <row r="18" spans="1:10" x14ac:dyDescent="0.3">
      <c r="A18" s="6">
        <f t="shared" si="0"/>
        <v>11</v>
      </c>
      <c r="C18" t="s">
        <v>36</v>
      </c>
      <c r="D18" s="6" t="s">
        <v>48</v>
      </c>
      <c r="E18" s="1">
        <f t="shared" si="5"/>
        <v>-5851.2275357651624</v>
      </c>
      <c r="F18" s="4">
        <v>2.1500000000000002E-2</v>
      </c>
      <c r="G18" s="1">
        <f t="shared" si="6"/>
        <v>-125.80139201895101</v>
      </c>
      <c r="H18" s="41">
        <f>-H11*'Link In'!O35</f>
        <v>-4594.2208310861006</v>
      </c>
      <c r="I18" s="1">
        <f t="shared" ref="I18:I20" si="8">F18*H18*0.5</f>
        <v>-49.387873934175587</v>
      </c>
      <c r="J18" s="1">
        <f t="shared" si="7"/>
        <v>-10445.448366851262</v>
      </c>
    </row>
    <row r="19" spans="1:10" x14ac:dyDescent="0.3">
      <c r="A19" s="6">
        <f t="shared" si="0"/>
        <v>12</v>
      </c>
      <c r="C19" t="s">
        <v>37</v>
      </c>
      <c r="D19" s="6" t="s">
        <v>49</v>
      </c>
      <c r="E19" s="1">
        <f t="shared" si="5"/>
        <v>-105139.6570706956</v>
      </c>
      <c r="F19" s="4">
        <v>3.2399999999999998E-2</v>
      </c>
      <c r="G19" s="1">
        <f t="shared" si="6"/>
        <v>-3406.5248890905373</v>
      </c>
      <c r="H19" s="41">
        <f>-H12*'Link In'!O36</f>
        <v>-71678.833620124613</v>
      </c>
      <c r="I19" s="1">
        <f t="shared" si="8"/>
        <v>-1161.1971046460187</v>
      </c>
      <c r="J19" s="1">
        <f t="shared" si="7"/>
        <v>-176818.49069082021</v>
      </c>
    </row>
    <row r="20" spans="1:10" x14ac:dyDescent="0.3">
      <c r="A20" s="6">
        <f t="shared" si="0"/>
        <v>13</v>
      </c>
      <c r="C20" t="s">
        <v>38</v>
      </c>
      <c r="D20" s="6" t="s">
        <v>50</v>
      </c>
      <c r="E20" s="1">
        <f t="shared" si="5"/>
        <v>-32905.258601132489</v>
      </c>
      <c r="F20" s="4">
        <v>3.5000000000000003E-2</v>
      </c>
      <c r="G20" s="1">
        <f t="shared" si="6"/>
        <v>-1151.6840510396373</v>
      </c>
      <c r="H20" s="41">
        <f>-H13*'Link In'!O37</f>
        <v>-48713.730454910779</v>
      </c>
      <c r="I20" s="1">
        <f t="shared" si="8"/>
        <v>-852.49028296093877</v>
      </c>
      <c r="J20" s="1">
        <f t="shared" si="7"/>
        <v>-81618.989056043269</v>
      </c>
    </row>
    <row r="21" spans="1:10" x14ac:dyDescent="0.3">
      <c r="A21" s="6">
        <f t="shared" si="0"/>
        <v>14</v>
      </c>
      <c r="C21" t="s">
        <v>41</v>
      </c>
      <c r="E21" s="2">
        <f>SUM(E17:E20)</f>
        <v>-178744.44118357485</v>
      </c>
      <c r="F21" s="17"/>
      <c r="G21" s="2">
        <f>SUM(G17:G20)</f>
        <v>-5217.189291181644</v>
      </c>
      <c r="H21" s="83">
        <f>SUM(H17:H20)</f>
        <v>-171913.78861950885</v>
      </c>
      <c r="I21" s="2">
        <f>SUM(I17:I20)</f>
        <v>-2422.0668399485462</v>
      </c>
      <c r="J21" s="2">
        <f>SUM(J17:J20)</f>
        <v>-350658.22980308364</v>
      </c>
    </row>
    <row r="22" spans="1:10" x14ac:dyDescent="0.3">
      <c r="A22" s="6">
        <f t="shared" si="0"/>
        <v>15</v>
      </c>
      <c r="E22" s="1"/>
      <c r="G22" s="1"/>
      <c r="H22" s="41"/>
      <c r="I22" s="1"/>
      <c r="J22" s="1"/>
    </row>
    <row r="23" spans="1:10" ht="15" thickBot="1" x14ac:dyDescent="0.35">
      <c r="A23" s="6">
        <f t="shared" si="0"/>
        <v>16</v>
      </c>
      <c r="B23" s="7" t="s">
        <v>257</v>
      </c>
      <c r="E23" s="84">
        <f>E14+E21</f>
        <v>5765150.8280471954</v>
      </c>
      <c r="F23" s="31"/>
      <c r="G23" s="84">
        <f>G14+G21</f>
        <v>116649.74661551067</v>
      </c>
      <c r="H23" s="85">
        <f t="shared" ref="H23" si="9">H14+H21</f>
        <v>8338621.211380491</v>
      </c>
      <c r="I23" s="84">
        <f>I14+I21</f>
        <v>79211.887660051449</v>
      </c>
      <c r="J23" s="84">
        <f>J14+J21</f>
        <v>14103772.039427686</v>
      </c>
    </row>
    <row r="24" spans="1:10" ht="15" thickTop="1" x14ac:dyDescent="0.3">
      <c r="A24" s="6">
        <f t="shared" si="0"/>
        <v>17</v>
      </c>
      <c r="E24" s="1"/>
      <c r="G24" s="1"/>
      <c r="H24" s="41"/>
      <c r="I24" s="1"/>
      <c r="J24" s="1"/>
    </row>
    <row r="25" spans="1:10" x14ac:dyDescent="0.3">
      <c r="A25" s="6">
        <f t="shared" si="0"/>
        <v>18</v>
      </c>
      <c r="B25" s="7" t="s">
        <v>10</v>
      </c>
      <c r="E25" s="1"/>
      <c r="G25" s="1"/>
      <c r="H25" s="41"/>
      <c r="I25" s="1"/>
      <c r="J25" s="1"/>
    </row>
    <row r="26" spans="1:10" x14ac:dyDescent="0.3">
      <c r="A26" s="6">
        <f t="shared" si="0"/>
        <v>19</v>
      </c>
      <c r="C26" t="s">
        <v>35</v>
      </c>
      <c r="D26" s="6" t="s">
        <v>47</v>
      </c>
      <c r="E26" s="31">
        <f t="shared" ref="E26:E29" si="10">J68</f>
        <v>44781.786101328951</v>
      </c>
      <c r="F26" s="31"/>
      <c r="G26" s="31"/>
      <c r="H26" s="31">
        <f>-H17*'Link In'!O44</f>
        <v>60303.520249900765</v>
      </c>
      <c r="I26" s="31"/>
      <c r="J26" s="31">
        <f t="shared" ref="J26:J29" si="11">H26+E26</f>
        <v>105085.30635122972</v>
      </c>
    </row>
    <row r="27" spans="1:10" x14ac:dyDescent="0.3">
      <c r="A27" s="6">
        <f t="shared" si="0"/>
        <v>20</v>
      </c>
      <c r="C27" t="s">
        <v>36</v>
      </c>
      <c r="D27" s="6" t="s">
        <v>48</v>
      </c>
      <c r="E27" s="1">
        <f t="shared" si="10"/>
        <v>13298.424386187589</v>
      </c>
      <c r="F27" s="21"/>
      <c r="G27" s="1"/>
      <c r="H27" s="41">
        <f>-H18*'Link In'!O45</f>
        <v>10441.552300299827</v>
      </c>
      <c r="I27" s="1"/>
      <c r="J27" s="1">
        <f t="shared" si="11"/>
        <v>23739.976686487418</v>
      </c>
    </row>
    <row r="28" spans="1:10" x14ac:dyDescent="0.3">
      <c r="A28" s="6">
        <f t="shared" si="0"/>
        <v>21</v>
      </c>
      <c r="C28" t="s">
        <v>37</v>
      </c>
      <c r="D28" s="6" t="s">
        <v>49</v>
      </c>
      <c r="E28" s="1">
        <f t="shared" si="10"/>
        <v>37328.329232801269</v>
      </c>
      <c r="F28" s="21"/>
      <c r="G28" s="1"/>
      <c r="H28" s="41">
        <f>-H19*'Link In'!O46</f>
        <v>25448.54315623358</v>
      </c>
      <c r="I28" s="1"/>
      <c r="J28" s="1">
        <f t="shared" si="11"/>
        <v>62776.872389034848</v>
      </c>
    </row>
    <row r="29" spans="1:10" x14ac:dyDescent="0.3">
      <c r="A29" s="6">
        <f t="shared" si="0"/>
        <v>22</v>
      </c>
      <c r="C29" t="s">
        <v>38</v>
      </c>
      <c r="D29" s="6" t="s">
        <v>50</v>
      </c>
      <c r="E29" s="1">
        <f t="shared" si="10"/>
        <v>145786.1557496601</v>
      </c>
      <c r="G29" s="1"/>
      <c r="H29" s="41">
        <f>-H20*'Link In'!O47</f>
        <v>215825.30565501054</v>
      </c>
      <c r="I29" s="1"/>
      <c r="J29" s="1">
        <f t="shared" si="11"/>
        <v>361611.46140467061</v>
      </c>
    </row>
    <row r="30" spans="1:10" x14ac:dyDescent="0.3">
      <c r="A30" s="6">
        <f t="shared" si="0"/>
        <v>23</v>
      </c>
      <c r="C30" t="s">
        <v>42</v>
      </c>
      <c r="E30" s="2">
        <f>SUM(E26:E29)</f>
        <v>241194.69546997792</v>
      </c>
      <c r="G30" s="1"/>
      <c r="H30" s="83">
        <f t="shared" ref="H30" si="12">SUM(H26:H29)</f>
        <v>312018.92136144475</v>
      </c>
      <c r="I30" s="1"/>
      <c r="J30" s="2">
        <f>SUM(J26:J29)</f>
        <v>553213.61683142255</v>
      </c>
    </row>
    <row r="31" spans="1:10" x14ac:dyDescent="0.3">
      <c r="A31" s="6">
        <f t="shared" si="0"/>
        <v>24</v>
      </c>
      <c r="E31" s="82"/>
      <c r="F31" s="28"/>
      <c r="G31" s="41"/>
      <c r="H31" s="3"/>
      <c r="I31" s="1"/>
      <c r="J31" s="82"/>
    </row>
    <row r="32" spans="1:10" x14ac:dyDescent="0.3">
      <c r="A32" s="6">
        <f t="shared" si="0"/>
        <v>25</v>
      </c>
      <c r="B32" s="7" t="s">
        <v>214</v>
      </c>
      <c r="E32" s="1"/>
      <c r="G32" s="1"/>
      <c r="H32" s="41"/>
      <c r="I32" s="1"/>
      <c r="J32" s="1"/>
    </row>
    <row r="33" spans="1:11" x14ac:dyDescent="0.3">
      <c r="A33" s="6">
        <f t="shared" si="0"/>
        <v>26</v>
      </c>
      <c r="C33" t="s">
        <v>35</v>
      </c>
      <c r="D33" s="6" t="s">
        <v>47</v>
      </c>
      <c r="E33" s="41">
        <f>J75</f>
        <v>-120186.22799963653</v>
      </c>
      <c r="F33" s="4">
        <v>1.5300000000000001E-2</v>
      </c>
      <c r="G33" s="41">
        <f>E33*F33</f>
        <v>-1838.8492883944389</v>
      </c>
      <c r="H33" s="41">
        <f>'Link In'!O81</f>
        <v>-152350.8426429792</v>
      </c>
      <c r="I33" s="41">
        <f>F33*H33*0.5</f>
        <v>-1165.4839462187911</v>
      </c>
      <c r="J33" s="1">
        <f t="shared" ref="J33:J36" si="13">H33+E33</f>
        <v>-272537.07064261573</v>
      </c>
    </row>
    <row r="34" spans="1:11" x14ac:dyDescent="0.3">
      <c r="A34" s="6">
        <f t="shared" si="0"/>
        <v>27</v>
      </c>
      <c r="C34" t="s">
        <v>36</v>
      </c>
      <c r="D34" s="6" t="s">
        <v>48</v>
      </c>
      <c r="E34" s="41">
        <f t="shared" ref="E34:E36" si="14">J76</f>
        <v>-26541.437752226724</v>
      </c>
      <c r="F34" s="4">
        <v>2.1500000000000002E-2</v>
      </c>
      <c r="G34" s="1">
        <f t="shared" ref="G34:G36" si="15">E34*F34</f>
        <v>-570.64091167287461</v>
      </c>
      <c r="H34" s="41">
        <f>'Link In'!O82</f>
        <v>-20018.821931353697</v>
      </c>
      <c r="I34" s="1">
        <f t="shared" ref="I34:I36" si="16">F34*H34*0.5</f>
        <v>-215.20233576205226</v>
      </c>
      <c r="J34" s="1">
        <f t="shared" si="13"/>
        <v>-46560.259683580422</v>
      </c>
    </row>
    <row r="35" spans="1:11" x14ac:dyDescent="0.3">
      <c r="A35" s="6">
        <f t="shared" si="0"/>
        <v>28</v>
      </c>
      <c r="C35" t="s">
        <v>37</v>
      </c>
      <c r="D35" s="6" t="s">
        <v>49</v>
      </c>
      <c r="E35" s="41">
        <f t="shared" si="14"/>
        <v>-389300.48487568146</v>
      </c>
      <c r="F35" s="4">
        <v>3.2399999999999998E-2</v>
      </c>
      <c r="G35" s="1">
        <f t="shared" si="15"/>
        <v>-12613.335709972078</v>
      </c>
      <c r="H35" s="41">
        <f>'Link In'!O83+'Link In'!O87</f>
        <v>-252605.60885088815</v>
      </c>
      <c r="I35" s="1">
        <f t="shared" si="16"/>
        <v>-4092.2108633843877</v>
      </c>
      <c r="J35" s="1">
        <f t="shared" si="13"/>
        <v>-641906.09372656955</v>
      </c>
    </row>
    <row r="36" spans="1:11" x14ac:dyDescent="0.3">
      <c r="A36" s="6">
        <f t="shared" si="0"/>
        <v>29</v>
      </c>
      <c r="C36" t="s">
        <v>38</v>
      </c>
      <c r="D36" s="6" t="s">
        <v>50</v>
      </c>
      <c r="E36" s="41">
        <f t="shared" si="14"/>
        <v>-61461.857835767485</v>
      </c>
      <c r="F36" s="4">
        <v>3.5000000000000003E-2</v>
      </c>
      <c r="G36" s="1">
        <f t="shared" si="15"/>
        <v>-2151.1650242518622</v>
      </c>
      <c r="H36" s="41">
        <f>'Link In'!O84</f>
        <v>-87097.441985624129</v>
      </c>
      <c r="I36" s="1">
        <f t="shared" si="16"/>
        <v>-1524.2052347484223</v>
      </c>
      <c r="J36" s="1">
        <f t="shared" si="13"/>
        <v>-148559.29982139161</v>
      </c>
    </row>
    <row r="37" spans="1:11" x14ac:dyDescent="0.3">
      <c r="A37" s="6">
        <f t="shared" si="0"/>
        <v>30</v>
      </c>
      <c r="C37" t="s">
        <v>217</v>
      </c>
      <c r="E37" s="69">
        <f>SUM(E33:E36)</f>
        <v>-597490.00846331217</v>
      </c>
      <c r="F37" s="86"/>
      <c r="G37" s="69">
        <f>SUM(G33:G36)</f>
        <v>-17173.990934291254</v>
      </c>
      <c r="H37" s="88">
        <f t="shared" ref="H37" si="17">SUM(H33:H36)</f>
        <v>-512072.71541084518</v>
      </c>
      <c r="I37" s="69">
        <f>SUM(I33:I36)</f>
        <v>-6997.1023801136535</v>
      </c>
      <c r="J37" s="69">
        <f>SUM(J33:J36)</f>
        <v>-1109562.7238741573</v>
      </c>
    </row>
    <row r="38" spans="1:11" x14ac:dyDescent="0.3">
      <c r="E38" s="28"/>
      <c r="G38" s="21"/>
      <c r="H38" s="30"/>
      <c r="J38" s="28"/>
    </row>
    <row r="39" spans="1:11" x14ac:dyDescent="0.3">
      <c r="E39" s="28"/>
      <c r="G39" s="21"/>
      <c r="H39" s="30"/>
      <c r="J39" s="28"/>
      <c r="K39" s="17"/>
    </row>
    <row r="40" spans="1:11" x14ac:dyDescent="0.3">
      <c r="E40" s="28"/>
      <c r="G40" s="21"/>
      <c r="H40" s="30"/>
      <c r="J40" s="28"/>
      <c r="K40" s="86"/>
    </row>
    <row r="41" spans="1:11" x14ac:dyDescent="0.3">
      <c r="E41" s="28"/>
      <c r="G41" s="21"/>
      <c r="H41" s="28"/>
      <c r="J41" s="28"/>
    </row>
    <row r="43" spans="1:11" x14ac:dyDescent="0.3">
      <c r="A43" s="7" t="s">
        <v>86</v>
      </c>
    </row>
    <row r="44" spans="1:11" x14ac:dyDescent="0.3">
      <c r="A44" s="7" t="s">
        <v>96</v>
      </c>
    </row>
    <row r="45" spans="1:11" x14ac:dyDescent="0.3">
      <c r="A45" s="7" t="s">
        <v>298</v>
      </c>
    </row>
    <row r="46" spans="1:11" x14ac:dyDescent="0.3">
      <c r="H46" s="18"/>
      <c r="J46" s="18">
        <v>2017</v>
      </c>
    </row>
    <row r="47" spans="1:11" x14ac:dyDescent="0.3">
      <c r="E47" s="27" t="s">
        <v>32</v>
      </c>
      <c r="G47" s="13" t="s">
        <v>45</v>
      </c>
      <c r="H47" s="18" t="s">
        <v>33</v>
      </c>
      <c r="I47" s="13" t="s">
        <v>89</v>
      </c>
      <c r="J47" s="13" t="s">
        <v>52</v>
      </c>
    </row>
    <row r="48" spans="1:11" x14ac:dyDescent="0.3">
      <c r="A48" s="12" t="s">
        <v>28</v>
      </c>
      <c r="B48" s="7"/>
      <c r="C48" s="13"/>
      <c r="D48" s="13"/>
      <c r="E48" s="13" t="s">
        <v>46</v>
      </c>
      <c r="F48" s="13"/>
      <c r="G48" s="13" t="s">
        <v>46</v>
      </c>
      <c r="H48" s="18" t="s">
        <v>91</v>
      </c>
      <c r="I48" s="13" t="s">
        <v>45</v>
      </c>
      <c r="J48" s="13" t="s">
        <v>51</v>
      </c>
    </row>
    <row r="49" spans="1:10" x14ac:dyDescent="0.3">
      <c r="A49" s="14" t="s">
        <v>29</v>
      </c>
      <c r="B49" s="7"/>
      <c r="C49" s="15" t="s">
        <v>30</v>
      </c>
      <c r="D49" s="15" t="s">
        <v>31</v>
      </c>
      <c r="E49" s="16" t="s">
        <v>87</v>
      </c>
      <c r="F49" s="15" t="s">
        <v>43</v>
      </c>
      <c r="G49" s="15" t="s">
        <v>44</v>
      </c>
      <c r="H49" s="15" t="s">
        <v>40</v>
      </c>
      <c r="I49" s="15" t="s">
        <v>90</v>
      </c>
      <c r="J49" s="15" t="s">
        <v>44</v>
      </c>
    </row>
    <row r="50" spans="1:10" x14ac:dyDescent="0.3">
      <c r="A50" s="6">
        <v>1</v>
      </c>
      <c r="C50" s="38">
        <v>-1</v>
      </c>
      <c r="D50" s="38">
        <v>-2</v>
      </c>
      <c r="E50" s="38">
        <v>-3</v>
      </c>
      <c r="F50" s="38">
        <v>-4</v>
      </c>
      <c r="G50" s="39" t="s">
        <v>88</v>
      </c>
      <c r="H50" s="38">
        <v>-6</v>
      </c>
      <c r="I50" s="66" t="s">
        <v>92</v>
      </c>
      <c r="J50" s="39" t="s">
        <v>93</v>
      </c>
    </row>
    <row r="51" spans="1:10" x14ac:dyDescent="0.3">
      <c r="A51" s="6">
        <f>A50+1</f>
        <v>2</v>
      </c>
      <c r="B51" s="7" t="s">
        <v>34</v>
      </c>
      <c r="E51" s="17"/>
      <c r="F51" s="17"/>
      <c r="G51" s="17"/>
      <c r="H51" s="17"/>
      <c r="I51" s="17"/>
      <c r="J51" s="17"/>
    </row>
    <row r="52" spans="1:10" x14ac:dyDescent="0.3">
      <c r="A52" s="6">
        <f t="shared" ref="A52:A79" si="18">A51+1</f>
        <v>3</v>
      </c>
      <c r="C52" t="s">
        <v>35</v>
      </c>
      <c r="D52" s="6" t="s">
        <v>47</v>
      </c>
      <c r="E52" s="86">
        <f>'Form 2.2'!F45</f>
        <v>2052200.9030769228</v>
      </c>
      <c r="F52" s="4">
        <v>1.5300000000000001E-2</v>
      </c>
      <c r="G52" s="86">
        <f>E52*F52</f>
        <v>31398.67381707692</v>
      </c>
      <c r="H52" s="86">
        <f>'Link In'!G15</f>
        <v>1895935.1400000001</v>
      </c>
      <c r="I52" s="86">
        <f>F52*H52*0.5</f>
        <v>14503.903821000002</v>
      </c>
      <c r="J52" s="86">
        <f>H52+E52</f>
        <v>3948136.0430769231</v>
      </c>
    </row>
    <row r="53" spans="1:10" x14ac:dyDescent="0.3">
      <c r="A53" s="6">
        <f t="shared" si="18"/>
        <v>4</v>
      </c>
      <c r="C53" t="s">
        <v>36</v>
      </c>
      <c r="D53" s="6" t="s">
        <v>48</v>
      </c>
      <c r="E53" s="1">
        <f>'Form 2.2'!F65</f>
        <v>262356.92153846158</v>
      </c>
      <c r="F53" s="4">
        <v>2.1500000000000002E-2</v>
      </c>
      <c r="G53" s="1">
        <f t="shared" ref="G53:G55" si="19">E53*F53</f>
        <v>5640.6738130769245</v>
      </c>
      <c r="H53" s="1">
        <f>'Link In'!G16</f>
        <v>211777.61000000002</v>
      </c>
      <c r="I53" s="1">
        <f t="shared" ref="I53:I55" si="20">F53*H53*0.5</f>
        <v>2276.6093075000003</v>
      </c>
      <c r="J53" s="1">
        <f t="shared" ref="J53:J55" si="21">H53+E53</f>
        <v>474134.53153846157</v>
      </c>
    </row>
    <row r="54" spans="1:10" x14ac:dyDescent="0.3">
      <c r="A54" s="6">
        <f t="shared" si="18"/>
        <v>5</v>
      </c>
      <c r="C54" t="s">
        <v>37</v>
      </c>
      <c r="D54" s="6" t="s">
        <v>49</v>
      </c>
      <c r="E54" s="1">
        <f>'Form 2.2'!F85</f>
        <v>432880.68153846153</v>
      </c>
      <c r="F54" s="4">
        <v>3.2399999999999998E-2</v>
      </c>
      <c r="G54" s="1">
        <f t="shared" si="19"/>
        <v>14025.334081846153</v>
      </c>
      <c r="H54" s="1">
        <f>'Link In'!G17</f>
        <v>332620.2</v>
      </c>
      <c r="I54" s="1">
        <f t="shared" si="20"/>
        <v>5388.4472399999995</v>
      </c>
      <c r="J54" s="1">
        <f t="shared" si="21"/>
        <v>765500.88153846154</v>
      </c>
    </row>
    <row r="55" spans="1:10" x14ac:dyDescent="0.3">
      <c r="A55" s="6">
        <f t="shared" si="18"/>
        <v>6</v>
      </c>
      <c r="C55" t="s">
        <v>38</v>
      </c>
      <c r="D55" s="6" t="s">
        <v>50</v>
      </c>
      <c r="E55" s="1">
        <f>'Form 2.2'!F105</f>
        <v>441923.66307692305</v>
      </c>
      <c r="F55" s="4">
        <v>3.5000000000000003E-2</v>
      </c>
      <c r="G55" s="1">
        <f t="shared" si="19"/>
        <v>15467.328207692308</v>
      </c>
      <c r="H55" s="1">
        <f>'Link In'!G18</f>
        <v>314200.15000000002</v>
      </c>
      <c r="I55" s="1">
        <f t="shared" si="20"/>
        <v>5498.502625000001</v>
      </c>
      <c r="J55" s="1">
        <f t="shared" si="21"/>
        <v>756123.81307692314</v>
      </c>
    </row>
    <row r="56" spans="1:10" x14ac:dyDescent="0.3">
      <c r="A56" s="6">
        <f t="shared" si="18"/>
        <v>7</v>
      </c>
      <c r="C56" t="s">
        <v>39</v>
      </c>
      <c r="E56" s="2">
        <f>SUM(E52:E55)</f>
        <v>3189362.1692307694</v>
      </c>
      <c r="G56" s="2">
        <f>SUM(G52:G55)</f>
        <v>66532.009919692311</v>
      </c>
      <c r="H56" s="2">
        <f>SUM(H52:H55)</f>
        <v>2754533.1</v>
      </c>
      <c r="I56" s="2">
        <f>SUM(I52:I55)</f>
        <v>27667.462993500005</v>
      </c>
      <c r="J56" s="2">
        <f>SUM(J52:J55)</f>
        <v>5943895.2692307699</v>
      </c>
    </row>
    <row r="57" spans="1:10" x14ac:dyDescent="0.3">
      <c r="A57" s="6">
        <f t="shared" si="18"/>
        <v>8</v>
      </c>
      <c r="E57" s="1"/>
      <c r="G57" s="1"/>
      <c r="H57" s="1"/>
      <c r="I57" s="1"/>
      <c r="J57" s="1"/>
    </row>
    <row r="58" spans="1:10" x14ac:dyDescent="0.3">
      <c r="A58" s="6">
        <f t="shared" si="18"/>
        <v>9</v>
      </c>
      <c r="B58" s="7" t="s">
        <v>40</v>
      </c>
      <c r="E58" s="1"/>
      <c r="G58" s="1"/>
      <c r="H58" s="1"/>
      <c r="I58" s="1"/>
      <c r="J58" s="1"/>
    </row>
    <row r="59" spans="1:10" x14ac:dyDescent="0.3">
      <c r="A59" s="6">
        <f t="shared" si="18"/>
        <v>10</v>
      </c>
      <c r="C59" t="s">
        <v>35</v>
      </c>
      <c r="D59" s="6" t="s">
        <v>47</v>
      </c>
      <c r="E59" s="41">
        <f>'Form 2.2'!I45</f>
        <v>-21146.987550126891</v>
      </c>
      <c r="F59" s="4">
        <v>1.5300000000000001E-2</v>
      </c>
      <c r="G59" s="1">
        <f t="shared" ref="G59:G62" si="22">E59*F59</f>
        <v>-323.54890951694148</v>
      </c>
      <c r="H59" s="41">
        <f>-H52*'Link In'!O34</f>
        <v>-13701.310425854699</v>
      </c>
      <c r="I59" s="1">
        <f>F59*H59*0.5</f>
        <v>-104.81502475778845</v>
      </c>
      <c r="J59" s="1">
        <f t="shared" ref="J59:J62" si="23">H59+E59</f>
        <v>-34848.297975981593</v>
      </c>
    </row>
    <row r="60" spans="1:10" x14ac:dyDescent="0.3">
      <c r="A60" s="6">
        <f t="shared" si="18"/>
        <v>11</v>
      </c>
      <c r="C60" t="s">
        <v>36</v>
      </c>
      <c r="D60" s="6" t="s">
        <v>48</v>
      </c>
      <c r="E60" s="41">
        <f>'Form 2.2'!I65</f>
        <v>-3369.3309299296739</v>
      </c>
      <c r="F60" s="4">
        <v>2.1500000000000002E-2</v>
      </c>
      <c r="G60" s="1">
        <f t="shared" si="22"/>
        <v>-72.440614993487998</v>
      </c>
      <c r="H60" s="41">
        <f>-H53*'Link In'!O35</f>
        <v>-2481.8966058354886</v>
      </c>
      <c r="I60" s="1">
        <f t="shared" ref="I60:I62" si="24">F60*H60*0.5</f>
        <v>-26.680388512731504</v>
      </c>
      <c r="J60" s="1">
        <f t="shared" si="23"/>
        <v>-5851.2275357651624</v>
      </c>
    </row>
    <row r="61" spans="1:10" x14ac:dyDescent="0.3">
      <c r="A61" s="6">
        <f t="shared" si="18"/>
        <v>12</v>
      </c>
      <c r="C61" t="s">
        <v>37</v>
      </c>
      <c r="D61" s="6" t="s">
        <v>49</v>
      </c>
      <c r="E61" s="41">
        <f>'Form 2.2'!I85</f>
        <v>-60383.081184657349</v>
      </c>
      <c r="F61" s="4">
        <v>3.2399999999999998E-2</v>
      </c>
      <c r="G61" s="1">
        <f t="shared" si="22"/>
        <v>-1956.411830382898</v>
      </c>
      <c r="H61" s="41">
        <f>-H54*'Link In'!O36</f>
        <v>-44756.575886038241</v>
      </c>
      <c r="I61" s="1">
        <f t="shared" si="24"/>
        <v>-725.05652935381943</v>
      </c>
      <c r="J61" s="1">
        <f t="shared" si="23"/>
        <v>-105139.6570706956</v>
      </c>
    </row>
    <row r="62" spans="1:10" x14ac:dyDescent="0.3">
      <c r="A62" s="6">
        <f t="shared" si="18"/>
        <v>13</v>
      </c>
      <c r="C62" t="s">
        <v>38</v>
      </c>
      <c r="D62" s="6" t="s">
        <v>50</v>
      </c>
      <c r="E62" s="41">
        <f>'Form 2.2'!I105</f>
        <v>-18891.917684578329</v>
      </c>
      <c r="F62" s="4">
        <v>3.5000000000000003E-2</v>
      </c>
      <c r="G62" s="1">
        <f t="shared" si="22"/>
        <v>-661.21711896024158</v>
      </c>
      <c r="H62" s="41">
        <f>-H55*'Link In'!O37</f>
        <v>-14013.340916554163</v>
      </c>
      <c r="I62" s="1">
        <f t="shared" si="24"/>
        <v>-245.23346603969787</v>
      </c>
      <c r="J62" s="1">
        <f t="shared" si="23"/>
        <v>-32905.258601132489</v>
      </c>
    </row>
    <row r="63" spans="1:10" x14ac:dyDescent="0.3">
      <c r="A63" s="6">
        <f t="shared" si="18"/>
        <v>14</v>
      </c>
      <c r="C63" t="s">
        <v>41</v>
      </c>
      <c r="E63" s="2">
        <f>SUM(E59:E62)</f>
        <v>-103791.31734929225</v>
      </c>
      <c r="F63" s="17"/>
      <c r="G63" s="2">
        <f>SUM(G59:G62)</f>
        <v>-3013.6184738535694</v>
      </c>
      <c r="H63" s="83">
        <f>SUM(H59:H62)</f>
        <v>-74953.123834282596</v>
      </c>
      <c r="I63" s="2">
        <f>SUM(I59:I62)</f>
        <v>-1101.7854086640373</v>
      </c>
      <c r="J63" s="2">
        <f>SUM(J59:J62)</f>
        <v>-178744.44118357485</v>
      </c>
    </row>
    <row r="64" spans="1:10" x14ac:dyDescent="0.3">
      <c r="A64" s="6">
        <f t="shared" si="18"/>
        <v>15</v>
      </c>
      <c r="E64" s="1"/>
      <c r="G64" s="1"/>
      <c r="H64" s="41"/>
      <c r="I64" s="1"/>
      <c r="J64" s="1"/>
    </row>
    <row r="65" spans="1:10" ht="15" thickBot="1" x14ac:dyDescent="0.35">
      <c r="A65" s="6">
        <f t="shared" si="18"/>
        <v>16</v>
      </c>
      <c r="B65" s="7" t="s">
        <v>257</v>
      </c>
      <c r="E65" s="84">
        <f>E56+E63</f>
        <v>3085570.8518814771</v>
      </c>
      <c r="G65" s="84">
        <f>G56+G63</f>
        <v>63518.391445838744</v>
      </c>
      <c r="H65" s="84">
        <f t="shared" ref="H65" si="25">H56+H63</f>
        <v>2679579.9761657175</v>
      </c>
      <c r="I65" s="84">
        <f>I56+I63</f>
        <v>26565.677584835968</v>
      </c>
      <c r="J65" s="84">
        <f>J56+J63</f>
        <v>5765150.8280471954</v>
      </c>
    </row>
    <row r="66" spans="1:10" ht="15" thickTop="1" x14ac:dyDescent="0.3">
      <c r="A66" s="6">
        <f t="shared" si="18"/>
        <v>17</v>
      </c>
      <c r="E66" s="1"/>
      <c r="G66" s="1"/>
      <c r="H66" s="41"/>
      <c r="I66" s="1"/>
      <c r="J66" s="1"/>
    </row>
    <row r="67" spans="1:10" x14ac:dyDescent="0.3">
      <c r="A67" s="6">
        <f t="shared" si="18"/>
        <v>18</v>
      </c>
      <c r="B67" s="7" t="s">
        <v>10</v>
      </c>
      <c r="E67" s="1"/>
      <c r="G67" s="1"/>
      <c r="H67" s="41"/>
      <c r="I67" s="1"/>
      <c r="J67" s="1"/>
    </row>
    <row r="68" spans="1:10" x14ac:dyDescent="0.3">
      <c r="A68" s="6">
        <f t="shared" si="18"/>
        <v>19</v>
      </c>
      <c r="C68" t="s">
        <v>35</v>
      </c>
      <c r="D68" s="6" t="s">
        <v>47</v>
      </c>
      <c r="E68" s="31">
        <f>'Form 2.2'!L45</f>
        <v>27174.924692446883</v>
      </c>
      <c r="F68" s="31"/>
      <c r="G68" s="31"/>
      <c r="H68" s="31">
        <f>-H59*'Link In'!O44</f>
        <v>17606.861408882072</v>
      </c>
      <c r="I68" s="31"/>
      <c r="J68" s="31">
        <f t="shared" ref="J68:J71" si="26">H68+E68</f>
        <v>44781.786101328951</v>
      </c>
    </row>
    <row r="69" spans="1:10" x14ac:dyDescent="0.3">
      <c r="A69" s="6">
        <f t="shared" si="18"/>
        <v>20</v>
      </c>
      <c r="C69" t="s">
        <v>36</v>
      </c>
      <c r="D69" s="6" t="s">
        <v>48</v>
      </c>
      <c r="E69" s="41">
        <f>'Form 2.2'!L65</f>
        <v>7657.6739376199139</v>
      </c>
      <c r="F69" s="29"/>
      <c r="G69" s="41"/>
      <c r="H69" s="41">
        <f>-H60*'Link In'!O45</f>
        <v>5640.7504485676754</v>
      </c>
      <c r="I69" s="1"/>
      <c r="J69" s="1">
        <f t="shared" si="26"/>
        <v>13298.424386187589</v>
      </c>
    </row>
    <row r="70" spans="1:10" x14ac:dyDescent="0.3">
      <c r="A70" s="6">
        <f t="shared" si="18"/>
        <v>21</v>
      </c>
      <c r="C70" t="s">
        <v>37</v>
      </c>
      <c r="D70" s="6" t="s">
        <v>49</v>
      </c>
      <c r="E70" s="41">
        <f>'Form 2.2'!L85</f>
        <v>21438.148053272373</v>
      </c>
      <c r="F70" s="30"/>
      <c r="G70" s="41"/>
      <c r="H70" s="41">
        <f>-H61*'Link In'!O46</f>
        <v>15890.181179528898</v>
      </c>
      <c r="I70" s="1"/>
      <c r="J70" s="1">
        <f t="shared" si="26"/>
        <v>37328.329232801269</v>
      </c>
    </row>
    <row r="71" spans="1:10" x14ac:dyDescent="0.3">
      <c r="A71" s="6">
        <f t="shared" si="18"/>
        <v>22</v>
      </c>
      <c r="C71" t="s">
        <v>38</v>
      </c>
      <c r="D71" s="6" t="s">
        <v>50</v>
      </c>
      <c r="E71" s="41">
        <f>'Form 2.2'!L105</f>
        <v>83700.301139067902</v>
      </c>
      <c r="F71" s="30"/>
      <c r="G71" s="41"/>
      <c r="H71" s="41">
        <f>-H62*'Link In'!O47</f>
        <v>62085.854610592192</v>
      </c>
      <c r="I71" s="1"/>
      <c r="J71" s="1">
        <f t="shared" si="26"/>
        <v>145786.1557496601</v>
      </c>
    </row>
    <row r="72" spans="1:10" x14ac:dyDescent="0.3">
      <c r="A72" s="6">
        <f t="shared" si="18"/>
        <v>23</v>
      </c>
      <c r="C72" t="s">
        <v>42</v>
      </c>
      <c r="E72" s="2">
        <f>SUM(E68:E71)</f>
        <v>139971.04782240707</v>
      </c>
      <c r="F72" s="28"/>
      <c r="G72" s="41"/>
      <c r="H72" s="83">
        <f t="shared" ref="H72" si="27">SUM(H68:H71)</f>
        <v>101223.64764757085</v>
      </c>
      <c r="I72" s="1"/>
      <c r="J72" s="2">
        <f>SUM(J68:J71)</f>
        <v>241194.69546997792</v>
      </c>
    </row>
    <row r="73" spans="1:10" x14ac:dyDescent="0.3">
      <c r="A73" s="6">
        <f t="shared" si="18"/>
        <v>24</v>
      </c>
      <c r="E73" s="82"/>
      <c r="F73" s="28"/>
      <c r="G73" s="41"/>
      <c r="H73" s="3"/>
      <c r="I73" s="1"/>
      <c r="J73" s="82"/>
    </row>
    <row r="74" spans="1:10" x14ac:dyDescent="0.3">
      <c r="A74" s="6">
        <f t="shared" si="18"/>
        <v>25</v>
      </c>
      <c r="B74" s="7" t="s">
        <v>214</v>
      </c>
      <c r="E74" s="1"/>
      <c r="G74" s="1"/>
      <c r="H74" s="41"/>
      <c r="I74" s="1"/>
      <c r="J74" s="1"/>
    </row>
    <row r="75" spans="1:10" x14ac:dyDescent="0.3">
      <c r="A75" s="6">
        <f t="shared" si="18"/>
        <v>26</v>
      </c>
      <c r="C75" t="s">
        <v>35</v>
      </c>
      <c r="D75" s="6" t="s">
        <v>47</v>
      </c>
      <c r="E75" s="41">
        <f>'Form 2.2'!P45</f>
        <v>-75704.244844668909</v>
      </c>
      <c r="F75" s="4">
        <v>1.5300000000000001E-2</v>
      </c>
      <c r="G75" s="41">
        <f>E75*F75</f>
        <v>-1158.2749461234343</v>
      </c>
      <c r="H75" s="41">
        <f>'Link In'!G71</f>
        <v>-44481.983154967624</v>
      </c>
      <c r="I75" s="1">
        <f>F75*H75*0.5</f>
        <v>-340.28717113550232</v>
      </c>
      <c r="J75" s="1">
        <f t="shared" ref="J75:J78" si="28">H75+E75</f>
        <v>-120186.22799963653</v>
      </c>
    </row>
    <row r="76" spans="1:10" x14ac:dyDescent="0.3">
      <c r="A76" s="6">
        <f t="shared" si="18"/>
        <v>27</v>
      </c>
      <c r="C76" t="s">
        <v>36</v>
      </c>
      <c r="D76" s="6" t="s">
        <v>48</v>
      </c>
      <c r="E76" s="41">
        <f>'Form 2.2'!P65</f>
        <v>-15726.840885644226</v>
      </c>
      <c r="F76" s="4">
        <v>2.1500000000000002E-2</v>
      </c>
      <c r="G76" s="1">
        <f t="shared" ref="G76:G78" si="29">E76*F76</f>
        <v>-338.1270790413509</v>
      </c>
      <c r="H76" s="41">
        <f>'Link In'!G72</f>
        <v>-10814.596866582497</v>
      </c>
      <c r="I76" s="1">
        <f t="shared" ref="I76:I78" si="30">F76*H76*0.5</f>
        <v>-116.25691631576184</v>
      </c>
      <c r="J76" s="1">
        <f t="shared" si="28"/>
        <v>-26541.437752226724</v>
      </c>
    </row>
    <row r="77" spans="1:10" x14ac:dyDescent="0.3">
      <c r="A77" s="6">
        <f t="shared" si="18"/>
        <v>28</v>
      </c>
      <c r="C77" t="s">
        <v>37</v>
      </c>
      <c r="D77" s="6" t="s">
        <v>49</v>
      </c>
      <c r="E77" s="41">
        <f>'Form 2.2'!P85</f>
        <v>-231572.44256837122</v>
      </c>
      <c r="F77" s="4">
        <v>3.2399999999999998E-2</v>
      </c>
      <c r="G77" s="1">
        <f t="shared" si="29"/>
        <v>-7502.9471392152273</v>
      </c>
      <c r="H77" s="41">
        <f>'Link In'!G73+'Link In'!G77</f>
        <v>-157728.04230731027</v>
      </c>
      <c r="I77" s="1">
        <f t="shared" si="30"/>
        <v>-2555.1942853784262</v>
      </c>
      <c r="J77" s="1">
        <f t="shared" si="28"/>
        <v>-389300.48487568146</v>
      </c>
    </row>
    <row r="78" spans="1:10" x14ac:dyDescent="0.3">
      <c r="A78" s="6">
        <f t="shared" si="18"/>
        <v>29</v>
      </c>
      <c r="C78" t="s">
        <v>38</v>
      </c>
      <c r="D78" s="6" t="s">
        <v>50</v>
      </c>
      <c r="E78" s="41">
        <f>'Form 2.2'!P105</f>
        <v>-36406.783299152754</v>
      </c>
      <c r="F78" s="4">
        <v>3.5000000000000003E-2</v>
      </c>
      <c r="G78" s="1">
        <f t="shared" si="29"/>
        <v>-1274.2374154703466</v>
      </c>
      <c r="H78" s="41">
        <f>'Link In'!G74</f>
        <v>-25055.074536614731</v>
      </c>
      <c r="I78" s="1">
        <f t="shared" si="30"/>
        <v>-438.46380439075784</v>
      </c>
      <c r="J78" s="1">
        <f t="shared" si="28"/>
        <v>-61461.857835767485</v>
      </c>
    </row>
    <row r="79" spans="1:10" x14ac:dyDescent="0.3">
      <c r="A79" s="6">
        <f t="shared" si="18"/>
        <v>30</v>
      </c>
      <c r="C79" t="s">
        <v>217</v>
      </c>
      <c r="E79" s="69">
        <f>SUM(E75:E78)</f>
        <v>-359410.31159783708</v>
      </c>
      <c r="F79" s="86"/>
      <c r="G79" s="69">
        <f>SUM(G75:G78)</f>
        <v>-10273.586579850358</v>
      </c>
      <c r="H79" s="69">
        <f t="shared" ref="H79" si="31">SUM(H75:H78)</f>
        <v>-238079.69686547513</v>
      </c>
      <c r="I79" s="69">
        <f>SUM(I75:I78)</f>
        <v>-3450.2021772204484</v>
      </c>
      <c r="J79" s="69">
        <f>SUM(J75:J78)</f>
        <v>-597490.00846331217</v>
      </c>
    </row>
    <row r="80" spans="1:10" x14ac:dyDescent="0.3">
      <c r="I80" s="17"/>
    </row>
    <row r="81" spans="1:9" x14ac:dyDescent="0.3">
      <c r="A81" t="s">
        <v>84</v>
      </c>
      <c r="I81" s="17"/>
    </row>
    <row r="82" spans="1:9" x14ac:dyDescent="0.3">
      <c r="A82" s="1">
        <v>-1</v>
      </c>
      <c r="B82" t="s">
        <v>104</v>
      </c>
    </row>
  </sheetData>
  <pageMargins left="0.7" right="0.7" top="0.75" bottom="0.75" header="0.3" footer="0.3"/>
  <pageSetup scale="83" fitToHeight="2" orientation="landscape" r:id="rId1"/>
  <rowBreaks count="1" manualBreakCount="1">
    <brk id="42" max="16383" man="1"/>
  </rowBreaks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="90" zoomScaleNormal="90" workbookViewId="0"/>
  </sheetViews>
  <sheetFormatPr defaultRowHeight="14.4" x14ac:dyDescent="0.3"/>
  <cols>
    <col min="1" max="1" width="5.33203125" customWidth="1"/>
    <col min="2" max="2" width="18.33203125" customWidth="1"/>
    <col min="3" max="3" width="12.33203125" bestFit="1" customWidth="1"/>
    <col min="4" max="4" width="11.5546875" bestFit="1" customWidth="1"/>
    <col min="5" max="5" width="12.33203125" bestFit="1" customWidth="1"/>
    <col min="6" max="6" width="10" bestFit="1" customWidth="1"/>
    <col min="7" max="7" width="19.6640625" bestFit="1" customWidth="1"/>
    <col min="8" max="8" width="7.5546875" bestFit="1" customWidth="1"/>
    <col min="9" max="9" width="11.88671875" bestFit="1" customWidth="1"/>
    <col min="10" max="10" width="11" bestFit="1" customWidth="1"/>
    <col min="11" max="11" width="9.88671875" bestFit="1" customWidth="1"/>
  </cols>
  <sheetData>
    <row r="1" spans="1:11" x14ac:dyDescent="0.3">
      <c r="A1" s="7" t="s">
        <v>86</v>
      </c>
    </row>
    <row r="2" spans="1:11" x14ac:dyDescent="0.3">
      <c r="A2" s="7" t="s">
        <v>96</v>
      </c>
    </row>
    <row r="3" spans="1:11" x14ac:dyDescent="0.3">
      <c r="A3" s="7" t="s">
        <v>194</v>
      </c>
    </row>
    <row r="4" spans="1:11" x14ac:dyDescent="0.3">
      <c r="A4" s="7"/>
      <c r="G4" s="6"/>
    </row>
    <row r="5" spans="1:11" x14ac:dyDescent="0.3">
      <c r="A5" s="7"/>
      <c r="B5" s="7"/>
      <c r="C5" s="7"/>
      <c r="D5" s="7"/>
      <c r="E5" s="7"/>
      <c r="F5" s="7"/>
      <c r="G5" s="13" t="s">
        <v>258</v>
      </c>
      <c r="H5" s="7"/>
      <c r="I5" s="7"/>
      <c r="J5" s="7"/>
      <c r="K5" s="13" t="s">
        <v>210</v>
      </c>
    </row>
    <row r="6" spans="1:11" x14ac:dyDescent="0.3">
      <c r="A6" s="13" t="s">
        <v>28</v>
      </c>
      <c r="B6" s="7"/>
      <c r="C6" s="13" t="s">
        <v>199</v>
      </c>
      <c r="D6" s="13" t="s">
        <v>199</v>
      </c>
      <c r="E6" s="13" t="s">
        <v>201</v>
      </c>
      <c r="F6" s="13" t="s">
        <v>201</v>
      </c>
      <c r="G6" s="13" t="s">
        <v>202</v>
      </c>
      <c r="H6" s="13" t="s">
        <v>204</v>
      </c>
      <c r="I6" s="13" t="s">
        <v>205</v>
      </c>
      <c r="J6" s="13" t="s">
        <v>207</v>
      </c>
      <c r="K6" s="13" t="s">
        <v>211</v>
      </c>
    </row>
    <row r="7" spans="1:11" x14ac:dyDescent="0.3">
      <c r="A7" s="15" t="s">
        <v>29</v>
      </c>
      <c r="B7" s="15" t="s">
        <v>200</v>
      </c>
      <c r="C7" s="15" t="s">
        <v>2</v>
      </c>
      <c r="D7" s="15" t="s">
        <v>161</v>
      </c>
      <c r="E7" s="15" t="s">
        <v>2</v>
      </c>
      <c r="F7" s="15" t="s">
        <v>161</v>
      </c>
      <c r="G7" s="15" t="s">
        <v>203</v>
      </c>
      <c r="H7" s="15" t="s">
        <v>54</v>
      </c>
      <c r="I7" s="15" t="s">
        <v>206</v>
      </c>
      <c r="J7" s="15" t="s">
        <v>208</v>
      </c>
      <c r="K7" s="15" t="s">
        <v>207</v>
      </c>
    </row>
    <row r="8" spans="1:11" x14ac:dyDescent="0.3">
      <c r="A8" s="18"/>
      <c r="B8" s="38">
        <v>-1</v>
      </c>
      <c r="C8" s="38">
        <v>-2</v>
      </c>
      <c r="D8" s="38">
        <v>-3</v>
      </c>
      <c r="E8" s="38">
        <v>-4</v>
      </c>
      <c r="F8" s="38">
        <v>-5</v>
      </c>
      <c r="G8" s="38">
        <v>-6</v>
      </c>
      <c r="H8" s="38">
        <v>-7</v>
      </c>
      <c r="I8" s="38">
        <v>-8</v>
      </c>
      <c r="J8" s="38">
        <v>-9</v>
      </c>
      <c r="K8" s="38">
        <v>-10</v>
      </c>
    </row>
    <row r="9" spans="1:11" x14ac:dyDescent="0.3">
      <c r="A9" s="6"/>
      <c r="B9" s="38"/>
      <c r="C9" s="38"/>
      <c r="D9" s="38"/>
      <c r="J9" s="51" t="s">
        <v>209</v>
      </c>
    </row>
    <row r="10" spans="1:11" x14ac:dyDescent="0.3">
      <c r="A10" s="6">
        <f>A9+1</f>
        <v>1</v>
      </c>
      <c r="B10" t="s">
        <v>196</v>
      </c>
      <c r="C10" s="73">
        <f>'Form 2.1A'!Q22</f>
        <v>-114024.95945462756</v>
      </c>
      <c r="D10" s="73">
        <f>'Form 2.1A'!R22</f>
        <v>121837.69011249386</v>
      </c>
      <c r="E10" s="73">
        <f>'Form 2.1B'!Q21</f>
        <v>-7746.608517831939</v>
      </c>
      <c r="F10" s="73">
        <f>'Form 2.1B'!R21</f>
        <v>8617.1699339941842</v>
      </c>
      <c r="G10" s="73">
        <f t="shared" ref="G10:G26" si="0">SUM(C10:F10)</f>
        <v>8683.2920740285426</v>
      </c>
      <c r="H10" s="31"/>
      <c r="I10" s="31"/>
      <c r="J10" s="31"/>
      <c r="K10" s="31">
        <f>G10</f>
        <v>8683.2920740285426</v>
      </c>
    </row>
    <row r="11" spans="1:11" x14ac:dyDescent="0.3">
      <c r="A11" s="6">
        <f t="shared" ref="A11:A26" si="1">A10+1</f>
        <v>2</v>
      </c>
      <c r="B11" t="s">
        <v>195</v>
      </c>
      <c r="C11" s="1">
        <f>C9+C10</f>
        <v>-114024.95945462756</v>
      </c>
      <c r="D11" s="1">
        <f>D9+D10</f>
        <v>121837.69011249386</v>
      </c>
      <c r="E11" s="1">
        <f>E9+E10</f>
        <v>-7746.608517831939</v>
      </c>
      <c r="F11" s="1">
        <f>F9+F10</f>
        <v>8617.1699339941842</v>
      </c>
      <c r="G11" s="71">
        <f t="shared" si="0"/>
        <v>8683.2920740285426</v>
      </c>
      <c r="H11" s="1"/>
      <c r="K11" s="1">
        <f>G11</f>
        <v>8683.2920740285426</v>
      </c>
    </row>
    <row r="12" spans="1:11" x14ac:dyDescent="0.3">
      <c r="A12" s="6">
        <f t="shared" si="1"/>
        <v>3</v>
      </c>
      <c r="B12" t="s">
        <v>197</v>
      </c>
      <c r="C12" s="72">
        <f>'Form 2.1A'!Q23</f>
        <v>-1256726.446241234</v>
      </c>
      <c r="D12" s="72">
        <f>'Form 2.1A'!R23</f>
        <v>1359032.8453822248</v>
      </c>
      <c r="E12" s="72">
        <f>'Form 2.1B'!Q22</f>
        <v>-83971.710640217279</v>
      </c>
      <c r="F12" s="72">
        <f>'Form 2.1B'!R22</f>
        <v>95371.566544499132</v>
      </c>
      <c r="G12" s="72">
        <f t="shared" si="0"/>
        <v>113706.25504527266</v>
      </c>
      <c r="H12" s="1"/>
      <c r="K12" s="2">
        <f>G12</f>
        <v>113706.25504527266</v>
      </c>
    </row>
    <row r="13" spans="1:11" x14ac:dyDescent="0.3">
      <c r="A13" s="6">
        <f t="shared" si="1"/>
        <v>4</v>
      </c>
      <c r="B13" t="s">
        <v>198</v>
      </c>
      <c r="C13" s="1">
        <f>C11+C12</f>
        <v>-1370751.4056958614</v>
      </c>
      <c r="D13" s="1">
        <f>D11+D12</f>
        <v>1480870.5354947187</v>
      </c>
      <c r="E13" s="1">
        <f>E11+E12</f>
        <v>-91718.319158049213</v>
      </c>
      <c r="F13" s="1">
        <f>F11+F12</f>
        <v>103988.73647849332</v>
      </c>
      <c r="G13" s="71">
        <f t="shared" si="0"/>
        <v>122389.54711930137</v>
      </c>
      <c r="H13" s="1"/>
      <c r="K13" s="1">
        <f>G13</f>
        <v>122389.54711930137</v>
      </c>
    </row>
    <row r="14" spans="1:11" x14ac:dyDescent="0.3">
      <c r="A14" s="6">
        <f t="shared" si="1"/>
        <v>5</v>
      </c>
      <c r="B14" s="52">
        <v>43101</v>
      </c>
      <c r="C14" s="72">
        <f>'Form 2.1A'!Q24/12</f>
        <v>-158420.75458184752</v>
      </c>
      <c r="D14" s="72">
        <f ca="1">'Form 2.1A'!R24/12</f>
        <v>128443.7186293985</v>
      </c>
      <c r="E14" s="72">
        <f>'Form 2.1B'!Q23/12</f>
        <v>-11776.146200644442</v>
      </c>
      <c r="F14" s="72">
        <f ca="1">'Form 2.1B'!R23/12</f>
        <v>8435.8479088001204</v>
      </c>
      <c r="G14" s="72">
        <f t="shared" ca="1" si="0"/>
        <v>-33317.334244293343</v>
      </c>
      <c r="H14" s="1">
        <v>31</v>
      </c>
      <c r="I14" s="1">
        <f t="shared" ref="I14:I24" si="2">I15+H15</f>
        <v>335</v>
      </c>
      <c r="J14" s="49">
        <f t="shared" ref="J14:J25" si="3">I14/$H$26</f>
        <v>0.9178082191780822</v>
      </c>
      <c r="K14" s="2">
        <f t="shared" ref="K14:K25" ca="1" si="4">G14*J14</f>
        <v>-30578.923210515808</v>
      </c>
    </row>
    <row r="15" spans="1:11" x14ac:dyDescent="0.3">
      <c r="A15" s="6">
        <f t="shared" si="1"/>
        <v>6</v>
      </c>
      <c r="B15" s="50">
        <v>43132</v>
      </c>
      <c r="C15" s="1">
        <f>+C14</f>
        <v>-158420.75458184752</v>
      </c>
      <c r="D15" s="1">
        <f ca="1">+D14</f>
        <v>128443.7186293985</v>
      </c>
      <c r="E15" s="1">
        <f>E14</f>
        <v>-11776.146200644442</v>
      </c>
      <c r="F15" s="1">
        <f ca="1">F14</f>
        <v>8435.8479088001204</v>
      </c>
      <c r="G15" s="71">
        <f t="shared" ca="1" si="0"/>
        <v>-33317.334244293343</v>
      </c>
      <c r="H15" s="1">
        <v>28</v>
      </c>
      <c r="I15" s="1">
        <f t="shared" si="2"/>
        <v>307</v>
      </c>
      <c r="J15" s="49">
        <f t="shared" si="3"/>
        <v>0.84109589041095889</v>
      </c>
      <c r="K15" s="1">
        <f t="shared" ca="1" si="4"/>
        <v>-28023.072912323441</v>
      </c>
    </row>
    <row r="16" spans="1:11" x14ac:dyDescent="0.3">
      <c r="A16" s="6">
        <f t="shared" si="1"/>
        <v>7</v>
      </c>
      <c r="B16" s="50">
        <v>43160</v>
      </c>
      <c r="C16" s="1">
        <f t="shared" ref="C16:D25" si="5">+C15</f>
        <v>-158420.75458184752</v>
      </c>
      <c r="D16" s="1">
        <f t="shared" ca="1" si="5"/>
        <v>128443.7186293985</v>
      </c>
      <c r="E16" s="1">
        <f t="shared" ref="E16:F25" si="6">E15</f>
        <v>-11776.146200644442</v>
      </c>
      <c r="F16" s="1">
        <f t="shared" ca="1" si="6"/>
        <v>8435.8479088001204</v>
      </c>
      <c r="G16" s="71">
        <f t="shared" ca="1" si="0"/>
        <v>-33317.334244293343</v>
      </c>
      <c r="H16" s="1">
        <v>31</v>
      </c>
      <c r="I16" s="1">
        <f t="shared" si="2"/>
        <v>276</v>
      </c>
      <c r="J16" s="49">
        <f t="shared" si="3"/>
        <v>0.75616438356164384</v>
      </c>
      <c r="K16" s="1">
        <f t="shared" ca="1" si="4"/>
        <v>-25193.381510753323</v>
      </c>
    </row>
    <row r="17" spans="1:11" x14ac:dyDescent="0.3">
      <c r="A17" s="6">
        <f t="shared" si="1"/>
        <v>8</v>
      </c>
      <c r="B17" s="50">
        <v>43191</v>
      </c>
      <c r="C17" s="1">
        <f t="shared" si="5"/>
        <v>-158420.75458184752</v>
      </c>
      <c r="D17" s="1">
        <f t="shared" ca="1" si="5"/>
        <v>128443.7186293985</v>
      </c>
      <c r="E17" s="1">
        <f t="shared" si="6"/>
        <v>-11776.146200644442</v>
      </c>
      <c r="F17" s="1">
        <f t="shared" ca="1" si="6"/>
        <v>8435.8479088001204</v>
      </c>
      <c r="G17" s="71">
        <f t="shared" ca="1" si="0"/>
        <v>-33317.334244293343</v>
      </c>
      <c r="H17" s="1">
        <v>30</v>
      </c>
      <c r="I17" s="1">
        <f t="shared" si="2"/>
        <v>246</v>
      </c>
      <c r="J17" s="49">
        <f t="shared" si="3"/>
        <v>0.67397260273972603</v>
      </c>
      <c r="K17" s="1">
        <f t="shared" ca="1" si="4"/>
        <v>-22454.970476975788</v>
      </c>
    </row>
    <row r="18" spans="1:11" x14ac:dyDescent="0.3">
      <c r="A18" s="6">
        <f t="shared" si="1"/>
        <v>9</v>
      </c>
      <c r="B18" s="50">
        <v>43221</v>
      </c>
      <c r="C18" s="1">
        <f t="shared" si="5"/>
        <v>-158420.75458184752</v>
      </c>
      <c r="D18" s="1">
        <f t="shared" ca="1" si="5"/>
        <v>128443.7186293985</v>
      </c>
      <c r="E18" s="1">
        <f t="shared" si="6"/>
        <v>-11776.146200644442</v>
      </c>
      <c r="F18" s="1">
        <f t="shared" ca="1" si="6"/>
        <v>8435.8479088001204</v>
      </c>
      <c r="G18" s="71">
        <f t="shared" ca="1" si="0"/>
        <v>-33317.334244293343</v>
      </c>
      <c r="H18" s="1">
        <v>31</v>
      </c>
      <c r="I18" s="1">
        <f t="shared" si="2"/>
        <v>215</v>
      </c>
      <c r="J18" s="49">
        <f t="shared" si="3"/>
        <v>0.58904109589041098</v>
      </c>
      <c r="K18" s="1">
        <f t="shared" ca="1" si="4"/>
        <v>-19625.27907540567</v>
      </c>
    </row>
    <row r="19" spans="1:11" x14ac:dyDescent="0.3">
      <c r="A19" s="6">
        <f t="shared" si="1"/>
        <v>10</v>
      </c>
      <c r="B19" s="50">
        <v>43252</v>
      </c>
      <c r="C19" s="1">
        <f t="shared" si="5"/>
        <v>-158420.75458184752</v>
      </c>
      <c r="D19" s="1">
        <f t="shared" ca="1" si="5"/>
        <v>128443.7186293985</v>
      </c>
      <c r="E19" s="1">
        <f t="shared" si="6"/>
        <v>-11776.146200644442</v>
      </c>
      <c r="F19" s="1">
        <f t="shared" ca="1" si="6"/>
        <v>8435.8479088001204</v>
      </c>
      <c r="G19" s="71">
        <f t="shared" ca="1" si="0"/>
        <v>-33317.334244293343</v>
      </c>
      <c r="H19" s="1">
        <v>30</v>
      </c>
      <c r="I19" s="1">
        <f t="shared" si="2"/>
        <v>185</v>
      </c>
      <c r="J19" s="49">
        <f t="shared" si="3"/>
        <v>0.50684931506849318</v>
      </c>
      <c r="K19" s="1">
        <f t="shared" ca="1" si="4"/>
        <v>-16886.868041628135</v>
      </c>
    </row>
    <row r="20" spans="1:11" x14ac:dyDescent="0.3">
      <c r="A20" s="6">
        <f t="shared" si="1"/>
        <v>11</v>
      </c>
      <c r="B20" s="50">
        <v>43282</v>
      </c>
      <c r="C20" s="1">
        <f t="shared" ref="C20" si="7">+C19</f>
        <v>-158420.75458184752</v>
      </c>
      <c r="D20" s="1">
        <f t="shared" ref="D20" ca="1" si="8">+D19</f>
        <v>128443.7186293985</v>
      </c>
      <c r="E20" s="1">
        <f t="shared" ref="E20" si="9">E19</f>
        <v>-11776.146200644442</v>
      </c>
      <c r="F20" s="1">
        <f t="shared" ref="F20" ca="1" si="10">F19</f>
        <v>8435.8479088001204</v>
      </c>
      <c r="G20" s="71">
        <f t="shared" ca="1" si="0"/>
        <v>-33317.334244293343</v>
      </c>
      <c r="H20" s="1">
        <v>31</v>
      </c>
      <c r="I20" s="1">
        <f t="shared" si="2"/>
        <v>154</v>
      </c>
      <c r="J20" s="49">
        <f t="shared" si="3"/>
        <v>0.42191780821917807</v>
      </c>
      <c r="K20" s="1">
        <f t="shared" ca="1" si="4"/>
        <v>-14057.176640058013</v>
      </c>
    </row>
    <row r="21" spans="1:11" x14ac:dyDescent="0.3">
      <c r="A21" s="6">
        <f t="shared" si="1"/>
        <v>12</v>
      </c>
      <c r="B21" s="50">
        <v>43313</v>
      </c>
      <c r="C21" s="1">
        <f>+C19</f>
        <v>-158420.75458184752</v>
      </c>
      <c r="D21" s="1">
        <f ca="1">+D19</f>
        <v>128443.7186293985</v>
      </c>
      <c r="E21" s="1">
        <f>E19</f>
        <v>-11776.146200644442</v>
      </c>
      <c r="F21" s="1">
        <f ca="1">F19</f>
        <v>8435.8479088001204</v>
      </c>
      <c r="G21" s="71">
        <f t="shared" ca="1" si="0"/>
        <v>-33317.334244293343</v>
      </c>
      <c r="H21" s="1">
        <v>31</v>
      </c>
      <c r="I21" s="1">
        <f t="shared" si="2"/>
        <v>123</v>
      </c>
      <c r="J21" s="49">
        <f t="shared" si="3"/>
        <v>0.33698630136986302</v>
      </c>
      <c r="K21" s="1">
        <f t="shared" ca="1" si="4"/>
        <v>-11227.485238487894</v>
      </c>
    </row>
    <row r="22" spans="1:11" x14ac:dyDescent="0.3">
      <c r="A22" s="6">
        <f t="shared" si="1"/>
        <v>13</v>
      </c>
      <c r="B22" s="50">
        <v>43344</v>
      </c>
      <c r="C22" s="1">
        <f t="shared" si="5"/>
        <v>-158420.75458184752</v>
      </c>
      <c r="D22" s="1">
        <f t="shared" ca="1" si="5"/>
        <v>128443.7186293985</v>
      </c>
      <c r="E22" s="1">
        <f t="shared" si="6"/>
        <v>-11776.146200644442</v>
      </c>
      <c r="F22" s="1">
        <f t="shared" ca="1" si="6"/>
        <v>8435.8479088001204</v>
      </c>
      <c r="G22" s="71">
        <f t="shared" ca="1" si="0"/>
        <v>-33317.334244293343</v>
      </c>
      <c r="H22" s="1">
        <v>30</v>
      </c>
      <c r="I22" s="1">
        <f t="shared" si="2"/>
        <v>93</v>
      </c>
      <c r="J22" s="49">
        <f t="shared" si="3"/>
        <v>0.25479452054794521</v>
      </c>
      <c r="K22" s="1">
        <f t="shared" ca="1" si="4"/>
        <v>-8489.0742047103595</v>
      </c>
    </row>
    <row r="23" spans="1:11" x14ac:dyDescent="0.3">
      <c r="A23" s="6">
        <f t="shared" si="1"/>
        <v>14</v>
      </c>
      <c r="B23" s="50">
        <v>43374</v>
      </c>
      <c r="C23" s="1">
        <f t="shared" si="5"/>
        <v>-158420.75458184752</v>
      </c>
      <c r="D23" s="1">
        <f t="shared" ca="1" si="5"/>
        <v>128443.7186293985</v>
      </c>
      <c r="E23" s="1">
        <f t="shared" si="6"/>
        <v>-11776.146200644442</v>
      </c>
      <c r="F23" s="1">
        <f t="shared" ca="1" si="6"/>
        <v>8435.8479088001204</v>
      </c>
      <c r="G23" s="71">
        <f t="shared" ca="1" si="0"/>
        <v>-33317.334244293343</v>
      </c>
      <c r="H23" s="1">
        <v>31</v>
      </c>
      <c r="I23" s="1">
        <f t="shared" si="2"/>
        <v>62</v>
      </c>
      <c r="J23" s="49">
        <f t="shared" si="3"/>
        <v>0.16986301369863013</v>
      </c>
      <c r="K23" s="1">
        <f t="shared" ca="1" si="4"/>
        <v>-5659.382803140239</v>
      </c>
    </row>
    <row r="24" spans="1:11" x14ac:dyDescent="0.3">
      <c r="A24" s="6">
        <f t="shared" si="1"/>
        <v>15</v>
      </c>
      <c r="B24" s="50">
        <v>43405</v>
      </c>
      <c r="C24" s="1">
        <f t="shared" si="5"/>
        <v>-158420.75458184752</v>
      </c>
      <c r="D24" s="1">
        <f t="shared" ca="1" si="5"/>
        <v>128443.7186293985</v>
      </c>
      <c r="E24" s="1">
        <f t="shared" si="6"/>
        <v>-11776.146200644442</v>
      </c>
      <c r="F24" s="1">
        <f t="shared" ca="1" si="6"/>
        <v>8435.8479088001204</v>
      </c>
      <c r="G24" s="71">
        <f t="shared" ca="1" si="0"/>
        <v>-33317.334244293343</v>
      </c>
      <c r="H24" s="1">
        <v>30</v>
      </c>
      <c r="I24" s="1">
        <f t="shared" si="2"/>
        <v>32</v>
      </c>
      <c r="J24" s="49">
        <f t="shared" si="3"/>
        <v>8.7671232876712329E-2</v>
      </c>
      <c r="K24" s="1">
        <f t="shared" ca="1" si="4"/>
        <v>-2920.971769362704</v>
      </c>
    </row>
    <row r="25" spans="1:11" x14ac:dyDescent="0.3">
      <c r="A25" s="6">
        <f t="shared" si="1"/>
        <v>16</v>
      </c>
      <c r="B25" s="50">
        <v>43435</v>
      </c>
      <c r="C25" s="1">
        <f t="shared" si="5"/>
        <v>-158420.75458184752</v>
      </c>
      <c r="D25" s="1">
        <f t="shared" ca="1" si="5"/>
        <v>128443.7186293985</v>
      </c>
      <c r="E25" s="1">
        <f t="shared" si="6"/>
        <v>-11776.146200644442</v>
      </c>
      <c r="F25" s="1">
        <f t="shared" ca="1" si="6"/>
        <v>8435.8479088001204</v>
      </c>
      <c r="G25" s="71">
        <f t="shared" ca="1" si="0"/>
        <v>-33317.334244293343</v>
      </c>
      <c r="H25" s="1">
        <v>31</v>
      </c>
      <c r="I25" s="1">
        <v>1</v>
      </c>
      <c r="J25" s="49">
        <f t="shared" si="3"/>
        <v>2.7397260273972603E-3</v>
      </c>
      <c r="K25" s="1">
        <f t="shared" ca="1" si="4"/>
        <v>-91.280367792584499</v>
      </c>
    </row>
    <row r="26" spans="1:11" x14ac:dyDescent="0.3">
      <c r="A26" s="6">
        <f t="shared" si="1"/>
        <v>17</v>
      </c>
      <c r="B26" t="s">
        <v>222</v>
      </c>
      <c r="C26" s="69">
        <f>SUM(C13:C25)</f>
        <v>-3271800.4606780326</v>
      </c>
      <c r="D26" s="69">
        <f ca="1">SUM(D13:D25)</f>
        <v>3022195.1590474993</v>
      </c>
      <c r="E26" s="69">
        <f>SUM(E13:E25)</f>
        <v>-233032.07356578243</v>
      </c>
      <c r="F26" s="69">
        <f ca="1">SUM(F13:F25)</f>
        <v>205218.91138409474</v>
      </c>
      <c r="G26" s="74">
        <f t="shared" ca="1" si="0"/>
        <v>-277418.46381222096</v>
      </c>
      <c r="H26" s="2">
        <f>SUM(H14:H25)</f>
        <v>365</v>
      </c>
      <c r="K26" s="74">
        <f ca="1">SUM(K13:K25)</f>
        <v>-62818.319131852593</v>
      </c>
    </row>
    <row r="27" spans="1:11" x14ac:dyDescent="0.3">
      <c r="A27" s="6"/>
    </row>
    <row r="28" spans="1:11" x14ac:dyDescent="0.3">
      <c r="C28" s="31"/>
      <c r="D28" s="31"/>
      <c r="E28" s="31"/>
      <c r="F28" s="31"/>
      <c r="G28" s="31"/>
      <c r="H28" s="31"/>
      <c r="I28" s="31"/>
      <c r="J28" s="31"/>
      <c r="K28" s="31"/>
    </row>
    <row r="29" spans="1:11" x14ac:dyDescent="0.3">
      <c r="C29" s="31"/>
      <c r="D29" s="31"/>
      <c r="E29" s="31"/>
      <c r="F29" s="31"/>
      <c r="G29" s="31"/>
      <c r="H29" s="31"/>
      <c r="I29" s="31"/>
      <c r="J29" s="31"/>
      <c r="K29" s="31"/>
    </row>
    <row r="30" spans="1:11" x14ac:dyDescent="0.3">
      <c r="C30" s="31"/>
      <c r="D30" s="31"/>
      <c r="E30" s="31"/>
      <c r="F30" s="31"/>
      <c r="G30" s="31"/>
      <c r="H30" s="31"/>
      <c r="I30" s="31"/>
      <c r="J30" s="31"/>
      <c r="K30" s="31"/>
    </row>
    <row r="31" spans="1:11" x14ac:dyDescent="0.3">
      <c r="C31" s="31"/>
      <c r="D31" s="31"/>
      <c r="E31" s="31"/>
      <c r="F31" s="31"/>
      <c r="G31" s="31"/>
      <c r="H31" s="31"/>
      <c r="I31" s="31"/>
      <c r="J31" s="31"/>
      <c r="K31" s="31"/>
    </row>
  </sheetData>
  <pageMargins left="0.7" right="0.7" top="0.75" bottom="0.75" header="0.3" footer="0.3"/>
  <pageSetup scale="94" orientation="landscape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80" zoomScaleNormal="80" workbookViewId="0"/>
  </sheetViews>
  <sheetFormatPr defaultRowHeight="14.4" x14ac:dyDescent="0.3"/>
  <cols>
    <col min="1" max="1" width="5.109375" customWidth="1"/>
    <col min="2" max="2" width="36.88671875" bestFit="1" customWidth="1"/>
    <col min="3" max="3" width="5.5546875" bestFit="1" customWidth="1"/>
    <col min="4" max="4" width="16.5546875" bestFit="1" customWidth="1"/>
    <col min="5" max="5" width="15.5546875" style="44" bestFit="1" customWidth="1"/>
    <col min="6" max="6" width="16.5546875" style="44" bestFit="1" customWidth="1"/>
    <col min="7" max="7" width="15.5546875" style="44" bestFit="1" customWidth="1"/>
    <col min="8" max="8" width="15.109375" style="44" bestFit="1" customWidth="1"/>
    <col min="9" max="9" width="12.44140625" bestFit="1" customWidth="1"/>
    <col min="10" max="10" width="10.33203125" bestFit="1" customWidth="1"/>
    <col min="11" max="11" width="18" bestFit="1" customWidth="1"/>
    <col min="12" max="12" width="8.6640625" bestFit="1" customWidth="1"/>
    <col min="13" max="13" width="10.6640625" bestFit="1" customWidth="1"/>
    <col min="14" max="14" width="12.109375" bestFit="1" customWidth="1"/>
    <col min="15" max="15" width="12.6640625" style="43" bestFit="1" customWidth="1"/>
    <col min="16" max="16" width="10.33203125" style="43" bestFit="1" customWidth="1"/>
    <col min="17" max="17" width="17.109375" bestFit="1" customWidth="1"/>
    <col min="18" max="18" width="12.6640625" bestFit="1" customWidth="1"/>
  </cols>
  <sheetData>
    <row r="1" spans="1:18" x14ac:dyDescent="0.3">
      <c r="A1" s="7" t="s">
        <v>86</v>
      </c>
    </row>
    <row r="2" spans="1:18" x14ac:dyDescent="0.3">
      <c r="A2" s="7" t="s">
        <v>96</v>
      </c>
    </row>
    <row r="3" spans="1:18" x14ac:dyDescent="0.3">
      <c r="A3" s="7" t="s">
        <v>193</v>
      </c>
      <c r="B3" s="7"/>
      <c r="C3" s="7"/>
      <c r="D3" s="7"/>
      <c r="E3" s="89"/>
      <c r="F3" s="89"/>
      <c r="G3" s="89"/>
      <c r="H3" s="89"/>
      <c r="I3" s="7"/>
      <c r="J3" s="7"/>
      <c r="K3" s="7"/>
      <c r="L3" s="13"/>
      <c r="M3" s="7"/>
      <c r="N3" s="7"/>
      <c r="O3" s="145"/>
      <c r="P3" s="145"/>
      <c r="Q3" s="13" t="s">
        <v>162</v>
      </c>
      <c r="R3" s="7"/>
    </row>
    <row r="4" spans="1:18" x14ac:dyDescent="0.3">
      <c r="A4" s="7"/>
      <c r="B4" s="7"/>
      <c r="C4" s="7"/>
      <c r="D4" s="7"/>
      <c r="E4" s="89"/>
      <c r="F4" s="89"/>
      <c r="G4" s="89"/>
      <c r="H4" s="89"/>
      <c r="I4" s="7"/>
      <c r="J4" s="7"/>
      <c r="K4" s="7"/>
      <c r="L4" s="13"/>
      <c r="M4" s="13" t="s">
        <v>144</v>
      </c>
      <c r="N4" s="7"/>
      <c r="O4" s="145"/>
      <c r="P4" s="145"/>
      <c r="Q4" s="13" t="s">
        <v>158</v>
      </c>
      <c r="R4" s="13" t="s">
        <v>158</v>
      </c>
    </row>
    <row r="5" spans="1:18" x14ac:dyDescent="0.3">
      <c r="A5" s="6"/>
      <c r="B5" s="13"/>
      <c r="C5" s="13"/>
      <c r="D5" s="7"/>
      <c r="E5" s="90"/>
      <c r="F5" s="90"/>
      <c r="G5" s="90"/>
      <c r="H5" s="90"/>
      <c r="I5" s="7"/>
      <c r="J5" s="13"/>
      <c r="K5" s="13"/>
      <c r="L5" s="13"/>
      <c r="M5" s="13" t="s">
        <v>146</v>
      </c>
      <c r="N5" s="7"/>
      <c r="O5" s="145"/>
      <c r="P5" s="145"/>
      <c r="Q5" s="13" t="s">
        <v>159</v>
      </c>
      <c r="R5" s="13" t="s">
        <v>159</v>
      </c>
    </row>
    <row r="6" spans="1:18" x14ac:dyDescent="0.3">
      <c r="A6" s="13" t="s">
        <v>28</v>
      </c>
      <c r="B6" s="7"/>
      <c r="C6" s="13"/>
      <c r="D6" s="13" t="s">
        <v>145</v>
      </c>
      <c r="E6" s="90" t="s">
        <v>149</v>
      </c>
      <c r="F6" s="90" t="s">
        <v>148</v>
      </c>
      <c r="G6" s="90" t="s">
        <v>149</v>
      </c>
      <c r="H6" s="90"/>
      <c r="I6" s="13" t="s">
        <v>145</v>
      </c>
      <c r="J6" s="13" t="s">
        <v>144</v>
      </c>
      <c r="K6" s="13" t="s">
        <v>144</v>
      </c>
      <c r="L6" s="13" t="s">
        <v>143</v>
      </c>
      <c r="M6" s="13" t="s">
        <v>142</v>
      </c>
      <c r="N6" s="13" t="s">
        <v>150</v>
      </c>
      <c r="O6" s="146" t="s">
        <v>302</v>
      </c>
      <c r="P6" s="146" t="s">
        <v>154</v>
      </c>
      <c r="Q6" s="13" t="s">
        <v>163</v>
      </c>
      <c r="R6" s="13" t="s">
        <v>160</v>
      </c>
    </row>
    <row r="7" spans="1:18" x14ac:dyDescent="0.3">
      <c r="A7" s="15" t="s">
        <v>29</v>
      </c>
      <c r="B7" s="15" t="s">
        <v>30</v>
      </c>
      <c r="C7" s="15" t="s">
        <v>141</v>
      </c>
      <c r="D7" s="15" t="s">
        <v>140</v>
      </c>
      <c r="E7" s="91" t="s">
        <v>147</v>
      </c>
      <c r="F7" s="91" t="s">
        <v>139</v>
      </c>
      <c r="G7" s="91" t="s">
        <v>139</v>
      </c>
      <c r="H7" s="91" t="s">
        <v>138</v>
      </c>
      <c r="I7" s="15" t="s">
        <v>137</v>
      </c>
      <c r="J7" s="15" t="s">
        <v>136</v>
      </c>
      <c r="K7" s="15" t="s">
        <v>128</v>
      </c>
      <c r="L7" s="15" t="s">
        <v>61</v>
      </c>
      <c r="M7" s="15" t="s">
        <v>21</v>
      </c>
      <c r="N7" s="15" t="s">
        <v>2</v>
      </c>
      <c r="O7" s="147" t="s">
        <v>292</v>
      </c>
      <c r="P7" s="147" t="s">
        <v>153</v>
      </c>
      <c r="Q7" s="92">
        <v>0.35</v>
      </c>
      <c r="R7" s="15" t="s">
        <v>161</v>
      </c>
    </row>
    <row r="8" spans="1:18" x14ac:dyDescent="0.3">
      <c r="A8" s="18"/>
      <c r="B8" s="38">
        <v>-1</v>
      </c>
      <c r="C8" s="38">
        <v>-2</v>
      </c>
      <c r="D8" s="38">
        <v>-3</v>
      </c>
      <c r="E8" s="38">
        <v>-4</v>
      </c>
      <c r="F8" s="38">
        <v>-5</v>
      </c>
      <c r="G8" s="38">
        <v>-6</v>
      </c>
      <c r="H8" s="38">
        <v>-7</v>
      </c>
      <c r="I8" s="38">
        <v>-8</v>
      </c>
      <c r="J8" s="38">
        <v>-9</v>
      </c>
      <c r="K8" s="38">
        <v>-10</v>
      </c>
      <c r="L8" s="38">
        <v>-11</v>
      </c>
      <c r="M8" s="38">
        <v>-12</v>
      </c>
      <c r="N8" s="38">
        <v>-13</v>
      </c>
      <c r="O8" s="67"/>
      <c r="P8" s="67">
        <v>-14</v>
      </c>
      <c r="Q8" s="38">
        <v>-15</v>
      </c>
      <c r="R8" s="38">
        <v>-16</v>
      </c>
    </row>
    <row r="9" spans="1:18" x14ac:dyDescent="0.3">
      <c r="A9" s="6"/>
    </row>
    <row r="10" spans="1:18" x14ac:dyDescent="0.3">
      <c r="A10" s="6">
        <v>1</v>
      </c>
      <c r="B10" t="s">
        <v>135</v>
      </c>
      <c r="E10" s="73">
        <f>SUM('Form 2.2'!F10:F13)</f>
        <v>480899.56538461539</v>
      </c>
      <c r="F10" s="73">
        <f>SUM('Form 2.2'!F14:F21)</f>
        <v>2708462.6038461542</v>
      </c>
      <c r="G10" s="73">
        <f>'Form 2.3'!C17</f>
        <v>2754533.1</v>
      </c>
      <c r="H10" s="73">
        <f>'Form 2.3'!C25</f>
        <v>8510535</v>
      </c>
    </row>
    <row r="11" spans="1:18" x14ac:dyDescent="0.3">
      <c r="A11" s="6">
        <f>+A10+1</f>
        <v>2</v>
      </c>
      <c r="B11" t="s">
        <v>223</v>
      </c>
      <c r="E11" s="71">
        <f>-SUM('Form 2.2'!P10:P13)</f>
        <v>37450.441349914232</v>
      </c>
      <c r="F11" s="71">
        <f>-SUM('Form 2.2'!P14:P21)</f>
        <v>321959.87024792284</v>
      </c>
      <c r="G11" s="71">
        <f>-'Link In'!G75</f>
        <v>214961.1658417086</v>
      </c>
      <c r="H11" s="71">
        <f>-'Link In'!O85</f>
        <v>475047.77983459207</v>
      </c>
    </row>
    <row r="12" spans="1:18" x14ac:dyDescent="0.3">
      <c r="A12" s="6">
        <f t="shared" ref="A12:A34" si="0">+A11+1</f>
        <v>3</v>
      </c>
      <c r="B12" t="s">
        <v>224</v>
      </c>
      <c r="E12" s="72">
        <f>+E10-E11</f>
        <v>443449.12403470115</v>
      </c>
      <c r="F12" s="72">
        <f>+F10-F11</f>
        <v>2386502.7335982313</v>
      </c>
      <c r="G12" s="72">
        <f>+G10-G11</f>
        <v>2539571.9341582917</v>
      </c>
      <c r="H12" s="72">
        <f>+H10-H11</f>
        <v>8035487.2201654082</v>
      </c>
    </row>
    <row r="13" spans="1:18" x14ac:dyDescent="0.3">
      <c r="A13" s="6">
        <f t="shared" si="0"/>
        <v>4</v>
      </c>
      <c r="B13" s="48" t="s">
        <v>134</v>
      </c>
      <c r="E13" s="71">
        <f>SUM('Form 2.2'!F93:F96)</f>
        <v>51597.869230769218</v>
      </c>
      <c r="F13" s="71">
        <f>SUM('Form 2.2'!F97:F104)</f>
        <v>390325.79384615389</v>
      </c>
      <c r="G13" s="71">
        <f>'Link In'!G18</f>
        <v>314200.15000000002</v>
      </c>
      <c r="H13" s="71">
        <f>'Link In'!O26</f>
        <v>1092235</v>
      </c>
    </row>
    <row r="14" spans="1:18" x14ac:dyDescent="0.3">
      <c r="A14" s="6">
        <f t="shared" si="0"/>
        <v>5</v>
      </c>
      <c r="B14" s="48" t="s">
        <v>133</v>
      </c>
      <c r="E14" s="72">
        <f>E12-E13</f>
        <v>391851.25480393192</v>
      </c>
      <c r="F14" s="72">
        <f>F12-F13</f>
        <v>1996176.9397520775</v>
      </c>
      <c r="G14" s="72">
        <f>G12-G13</f>
        <v>2225371.7841582918</v>
      </c>
      <c r="H14" s="72">
        <f>H12-H13</f>
        <v>6943252.2201654082</v>
      </c>
    </row>
    <row r="15" spans="1:18" x14ac:dyDescent="0.3">
      <c r="A15" s="6">
        <f t="shared" si="0"/>
        <v>6</v>
      </c>
      <c r="B15" t="s">
        <v>132</v>
      </c>
      <c r="E15" s="46">
        <v>0.46943812493875187</v>
      </c>
      <c r="F15" s="46">
        <v>0.46943812493875187</v>
      </c>
      <c r="G15" s="46">
        <v>0.46943812493875187</v>
      </c>
      <c r="H15" s="46">
        <v>0.46943812493875187</v>
      </c>
    </row>
    <row r="16" spans="1:18" x14ac:dyDescent="0.3">
      <c r="A16" s="6">
        <f t="shared" si="0"/>
        <v>7</v>
      </c>
      <c r="B16" t="s">
        <v>131</v>
      </c>
      <c r="E16" s="72">
        <f>E14*E15</f>
        <v>183949.9183100549</v>
      </c>
      <c r="F16" s="72">
        <f>F14*F15</f>
        <v>937081.55964319105</v>
      </c>
      <c r="G16" s="72">
        <f>G14*G15</f>
        <v>1044674.3576468733</v>
      </c>
      <c r="H16" s="72">
        <f>H14*H15</f>
        <v>3259427.303211275</v>
      </c>
      <c r="J16" s="47"/>
      <c r="K16" s="47"/>
    </row>
    <row r="17" spans="1:18" x14ac:dyDescent="0.3">
      <c r="A17" s="6">
        <f t="shared" si="0"/>
        <v>8</v>
      </c>
      <c r="B17" t="s">
        <v>130</v>
      </c>
      <c r="E17" s="71">
        <f>E12-E16</f>
        <v>259499.20572464625</v>
      </c>
      <c r="F17" s="71">
        <f>F12-F16</f>
        <v>1449421.1739550403</v>
      </c>
      <c r="G17" s="71">
        <f>G12-G16</f>
        <v>1494897.5765114184</v>
      </c>
      <c r="H17" s="71">
        <f>H12-H16</f>
        <v>4776059.9169541337</v>
      </c>
    </row>
    <row r="18" spans="1:18" x14ac:dyDescent="0.3">
      <c r="A18" s="6">
        <f t="shared" si="0"/>
        <v>9</v>
      </c>
      <c r="B18" t="s">
        <v>129</v>
      </c>
      <c r="E18" s="46">
        <v>0.5</v>
      </c>
      <c r="F18" s="46">
        <v>0.5</v>
      </c>
      <c r="G18" s="46">
        <v>0.5</v>
      </c>
      <c r="H18" s="46">
        <v>0.4</v>
      </c>
    </row>
    <row r="19" spans="1:18" x14ac:dyDescent="0.3">
      <c r="A19" s="6">
        <f t="shared" si="0"/>
        <v>10</v>
      </c>
      <c r="B19" t="s">
        <v>128</v>
      </c>
      <c r="E19" s="72">
        <f>E17*E18</f>
        <v>129749.60286232313</v>
      </c>
      <c r="F19" s="72">
        <f>F17*F18</f>
        <v>724710.58697752014</v>
      </c>
      <c r="G19" s="72">
        <f>G17*G18</f>
        <v>747448.78825570922</v>
      </c>
      <c r="H19" s="72">
        <f>H17*H18</f>
        <v>1910423.9667816535</v>
      </c>
      <c r="I19" s="1"/>
      <c r="J19" s="1"/>
      <c r="K19" s="1"/>
      <c r="L19" s="1"/>
      <c r="M19" s="1"/>
      <c r="N19" s="1"/>
      <c r="O19" s="41"/>
      <c r="P19" s="41"/>
      <c r="Q19" s="1"/>
      <c r="R19" s="1"/>
    </row>
    <row r="20" spans="1:18" x14ac:dyDescent="0.3">
      <c r="A20" s="6">
        <f t="shared" si="0"/>
        <v>11</v>
      </c>
      <c r="B20" t="s">
        <v>127</v>
      </c>
      <c r="E20" s="71">
        <f>E17-E19</f>
        <v>129749.60286232313</v>
      </c>
      <c r="F20" s="71">
        <f>F17-F19</f>
        <v>724710.58697752014</v>
      </c>
      <c r="G20" s="71">
        <f>G17-G19</f>
        <v>747448.78825570922</v>
      </c>
      <c r="H20" s="71">
        <f>H17-H19</f>
        <v>2865635.9501724802</v>
      </c>
      <c r="I20" s="1"/>
      <c r="J20" s="1"/>
      <c r="K20" s="1"/>
      <c r="L20" s="1"/>
      <c r="M20" s="1"/>
      <c r="N20" s="1"/>
      <c r="O20" s="41"/>
      <c r="P20" s="41"/>
      <c r="Q20" s="1"/>
      <c r="R20" s="1"/>
    </row>
    <row r="21" spans="1:18" x14ac:dyDescent="0.3">
      <c r="A21" s="6">
        <f t="shared" si="0"/>
        <v>12</v>
      </c>
      <c r="B21" t="s">
        <v>126</v>
      </c>
      <c r="E21" s="71"/>
      <c r="F21" s="71"/>
      <c r="G21" s="71"/>
      <c r="H21" s="71"/>
      <c r="I21" s="1"/>
      <c r="J21" s="1"/>
      <c r="K21" s="1"/>
      <c r="L21" s="1"/>
      <c r="M21" s="1"/>
      <c r="N21" s="1"/>
      <c r="O21" s="41"/>
      <c r="P21" s="41"/>
      <c r="Q21" s="1"/>
      <c r="R21" s="1"/>
    </row>
    <row r="22" spans="1:18" x14ac:dyDescent="0.3">
      <c r="A22" s="6">
        <f t="shared" si="0"/>
        <v>13</v>
      </c>
      <c r="B22" t="s">
        <v>155</v>
      </c>
      <c r="C22">
        <v>2016</v>
      </c>
      <c r="D22" s="45">
        <f>1/25/2</f>
        <v>0.02</v>
      </c>
      <c r="E22" s="71">
        <f>E20*D22</f>
        <v>2594.9920572464625</v>
      </c>
      <c r="F22" s="71"/>
      <c r="G22" s="71"/>
      <c r="H22" s="71"/>
      <c r="I22" s="1">
        <f>SUM(E22:H22)</f>
        <v>2594.9920572464625</v>
      </c>
      <c r="J22" s="1">
        <f>E16</f>
        <v>183949.9183100549</v>
      </c>
      <c r="K22" s="1">
        <f>E19</f>
        <v>129749.60286232313</v>
      </c>
      <c r="L22" s="1">
        <f>SUM('Form 2.2'!L10:L13)</f>
        <v>17552.172806072296</v>
      </c>
      <c r="M22" s="1">
        <f>SUM(I22:L22)</f>
        <v>333846.68603569677</v>
      </c>
      <c r="N22" s="1">
        <f>SUM('Form 2.2'!M10:M13)</f>
        <v>9150.8869192820148</v>
      </c>
      <c r="O22" s="41">
        <f>SUM('Form 2.2'!Q10:Q13)</f>
        <v>-1089.7993253783097</v>
      </c>
      <c r="P22" s="41">
        <f>M22-(N22+O22)</f>
        <v>325785.59844179306</v>
      </c>
      <c r="Q22" s="1">
        <f>P22*-$Q$7</f>
        <v>-114024.95945462756</v>
      </c>
      <c r="R22" s="71">
        <f>-'Form 2.1C'!C31</f>
        <v>121837.69011249386</v>
      </c>
    </row>
    <row r="23" spans="1:18" x14ac:dyDescent="0.3">
      <c r="A23" s="6">
        <f t="shared" si="0"/>
        <v>14</v>
      </c>
      <c r="B23" t="s">
        <v>156</v>
      </c>
      <c r="C23">
        <v>2017</v>
      </c>
      <c r="D23" s="45">
        <f>1/25</f>
        <v>0.04</v>
      </c>
      <c r="E23" s="71">
        <f>E20*D23</f>
        <v>5189.9841144929251</v>
      </c>
      <c r="F23" s="71">
        <f>D22*F20</f>
        <v>14494.211739550403</v>
      </c>
      <c r="G23" s="71">
        <f>D22*G20</f>
        <v>14948.975765114184</v>
      </c>
      <c r="H23" s="71"/>
      <c r="I23" s="1">
        <f>SUM(E23:H23)</f>
        <v>34633.171619157511</v>
      </c>
      <c r="J23" s="1">
        <f>SUM(F16:G16)</f>
        <v>1981755.9172900645</v>
      </c>
      <c r="K23" s="1">
        <f>F19+G19</f>
        <v>1472159.3752332292</v>
      </c>
      <c r="L23" s="1">
        <f>SUM('Form 2.2'!L14:L21)+'Form 2.3'!E19</f>
        <v>223642.52266390561</v>
      </c>
      <c r="M23" s="1">
        <f>SUM(I23:L23)</f>
        <v>3712190.9868063568</v>
      </c>
      <c r="N23" s="1">
        <f>SUM('Form 2.2'!M14:M21)-+'Form 2.3'!D20</f>
        <v>144451.57355723143</v>
      </c>
      <c r="O23" s="41">
        <f>-('Form 2.3'!G22+'Form 2.3'!G14)-O22</f>
        <v>-22907.576011542853</v>
      </c>
      <c r="P23" s="41">
        <f>M23-(N23+O23)</f>
        <v>3590646.9892606684</v>
      </c>
      <c r="Q23" s="1">
        <f>P23*-$Q$7</f>
        <v>-1256726.446241234</v>
      </c>
      <c r="R23" s="71">
        <f>-'Form 2.1C'!D36</f>
        <v>1359032.8453822248</v>
      </c>
    </row>
    <row r="24" spans="1:18" x14ac:dyDescent="0.3">
      <c r="A24" s="6">
        <f t="shared" si="0"/>
        <v>15</v>
      </c>
      <c r="B24" t="s">
        <v>157</v>
      </c>
      <c r="C24">
        <v>2018</v>
      </c>
      <c r="D24" s="45">
        <f>1/25</f>
        <v>0.04</v>
      </c>
      <c r="E24" s="71">
        <f>E20*D24</f>
        <v>5189.9841144929251</v>
      </c>
      <c r="F24" s="71">
        <f>F20*D23</f>
        <v>28988.423479100806</v>
      </c>
      <c r="G24" s="71">
        <f>G20*D23</f>
        <v>29897.951530228369</v>
      </c>
      <c r="H24" s="71">
        <f>H20*D22</f>
        <v>57312.719003449602</v>
      </c>
      <c r="I24" s="1">
        <f>SUM(E24:H24)</f>
        <v>121389.0781272717</v>
      </c>
      <c r="J24" s="1">
        <f>H16</f>
        <v>3259427.303211275</v>
      </c>
      <c r="K24" s="1">
        <f>H19</f>
        <v>1910423.9667816535</v>
      </c>
      <c r="L24" s="1">
        <f>'Form 2.3'!E27</f>
        <v>312018.92136144475</v>
      </c>
      <c r="M24" s="1">
        <f>SUM(I24:L24)</f>
        <v>5603259.269481644</v>
      </c>
      <c r="N24" s="1">
        <f>-'Form 2.3'!D28</f>
        <v>195861.63427556213</v>
      </c>
      <c r="O24" s="65">
        <f>-'Form 2.3'!G32-O23-O22</f>
        <v>-24171.093314404905</v>
      </c>
      <c r="P24" s="41">
        <f>M24-(N24+O24)</f>
        <v>5431568.7285204865</v>
      </c>
      <c r="Q24" s="1">
        <f>P24*-$Q$7</f>
        <v>-1901049.0549821702</v>
      </c>
      <c r="R24" s="71">
        <f ca="1">-'Form 2.1C'!E36</f>
        <v>1541324.623552782</v>
      </c>
    </row>
    <row r="25" spans="1:18" x14ac:dyDescent="0.3">
      <c r="A25" s="6">
        <f t="shared" si="0"/>
        <v>16</v>
      </c>
    </row>
    <row r="26" spans="1:18" x14ac:dyDescent="0.3">
      <c r="A26" s="6">
        <f t="shared" si="0"/>
        <v>17</v>
      </c>
      <c r="B26" t="s">
        <v>152</v>
      </c>
    </row>
    <row r="27" spans="1:18" x14ac:dyDescent="0.3">
      <c r="A27" s="6">
        <f t="shared" si="0"/>
        <v>18</v>
      </c>
      <c r="B27" t="s">
        <v>151</v>
      </c>
      <c r="D27" s="73">
        <f>SUM(E12:H12)</f>
        <v>13405011.011956632</v>
      </c>
    </row>
    <row r="28" spans="1:18" x14ac:dyDescent="0.3">
      <c r="A28" s="6">
        <f t="shared" si="0"/>
        <v>19</v>
      </c>
      <c r="B28" t="s">
        <v>226</v>
      </c>
      <c r="D28" s="71">
        <f>+'Link In'!G77+'Link In'!O87</f>
        <v>-60143.466600019616</v>
      </c>
    </row>
    <row r="29" spans="1:18" x14ac:dyDescent="0.3">
      <c r="A29" s="6">
        <f t="shared" si="0"/>
        <v>20</v>
      </c>
      <c r="B29" t="s">
        <v>10</v>
      </c>
      <c r="D29" s="71">
        <f>SUM(L22:L24)</f>
        <v>553213.61683142267</v>
      </c>
    </row>
    <row r="30" spans="1:18" x14ac:dyDescent="0.3">
      <c r="A30" s="6">
        <f t="shared" si="0"/>
        <v>21</v>
      </c>
      <c r="B30" t="s">
        <v>2</v>
      </c>
      <c r="D30" s="71">
        <f>-SUM(N22:N24)</f>
        <v>-349464.09475207562</v>
      </c>
    </row>
    <row r="31" spans="1:18" x14ac:dyDescent="0.3">
      <c r="A31" s="6">
        <f t="shared" si="0"/>
        <v>22</v>
      </c>
      <c r="B31" s="43" t="s">
        <v>303</v>
      </c>
      <c r="C31" s="43"/>
      <c r="D31" s="94">
        <f>-SUM(O22:O24)</f>
        <v>48168.468651326068</v>
      </c>
    </row>
    <row r="32" spans="1:18" x14ac:dyDescent="0.3">
      <c r="A32" s="6">
        <f t="shared" si="0"/>
        <v>23</v>
      </c>
      <c r="B32" s="43" t="s">
        <v>21</v>
      </c>
      <c r="C32" s="43"/>
      <c r="D32" s="94">
        <f>SUM(D27:D31)</f>
        <v>13596785.536087286</v>
      </c>
    </row>
    <row r="33" spans="1:4" x14ac:dyDescent="0.3">
      <c r="A33" s="6">
        <f t="shared" si="0"/>
        <v>24</v>
      </c>
      <c r="B33" s="43" t="s">
        <v>212</v>
      </c>
      <c r="C33" s="43"/>
      <c r="D33" s="148">
        <f>'Form 1.1'!C16</f>
        <v>13596785.536087286</v>
      </c>
    </row>
    <row r="34" spans="1:4" x14ac:dyDescent="0.3">
      <c r="A34" s="6">
        <f t="shared" si="0"/>
        <v>25</v>
      </c>
      <c r="B34" s="43" t="s">
        <v>153</v>
      </c>
      <c r="C34" s="43"/>
      <c r="D34" s="94">
        <f>D32-D33</f>
        <v>0</v>
      </c>
    </row>
  </sheetData>
  <pageMargins left="0.7" right="0.7" top="0.75" bottom="0.75" header="0.3" footer="0.3"/>
  <pageSetup scale="48" orientation="landscape" r:id="rId1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80" zoomScaleNormal="80" workbookViewId="0"/>
  </sheetViews>
  <sheetFormatPr defaultRowHeight="14.4" x14ac:dyDescent="0.3"/>
  <cols>
    <col min="1" max="1" width="4.88671875" customWidth="1"/>
    <col min="2" max="2" width="38" style="43" bestFit="1" customWidth="1"/>
    <col min="3" max="3" width="5" style="43" bestFit="1" customWidth="1"/>
    <col min="4" max="4" width="16.5546875" style="43" bestFit="1" customWidth="1"/>
    <col min="5" max="5" width="15.5546875" style="65" bestFit="1" customWidth="1"/>
    <col min="6" max="6" width="16.5546875" style="65" bestFit="1" customWidth="1"/>
    <col min="7" max="7" width="15.5546875" style="65" bestFit="1" customWidth="1"/>
    <col min="8" max="8" width="15.109375" style="65" bestFit="1" customWidth="1"/>
    <col min="9" max="9" width="12.44140625" style="43" bestFit="1" customWidth="1"/>
    <col min="10" max="10" width="10.33203125" style="43" bestFit="1" customWidth="1"/>
    <col min="11" max="11" width="12.109375" style="43" bestFit="1" customWidth="1"/>
    <col min="12" max="12" width="8.6640625" style="43" bestFit="1" customWidth="1"/>
    <col min="13" max="13" width="10.6640625" style="43" bestFit="1" customWidth="1"/>
    <col min="14" max="14" width="12.109375" style="43" bestFit="1" customWidth="1"/>
    <col min="15" max="15" width="12.109375" style="43" customWidth="1"/>
    <col min="16" max="16" width="10.33203125" style="43" bestFit="1" customWidth="1"/>
    <col min="17" max="17" width="17.33203125" bestFit="1" customWidth="1"/>
    <col min="18" max="18" width="12.6640625" bestFit="1" customWidth="1"/>
  </cols>
  <sheetData>
    <row r="1" spans="1:18" x14ac:dyDescent="0.3">
      <c r="A1" s="7" t="s">
        <v>86</v>
      </c>
      <c r="B1" s="149"/>
      <c r="C1" s="149"/>
      <c r="D1" s="149"/>
      <c r="E1" s="150"/>
      <c r="F1" s="150"/>
      <c r="G1" s="150"/>
      <c r="H1" s="150"/>
      <c r="I1" s="149"/>
      <c r="J1" s="149"/>
      <c r="K1" s="149"/>
      <c r="L1" s="149"/>
      <c r="M1" s="149"/>
      <c r="N1" s="149"/>
      <c r="O1" s="149"/>
      <c r="P1" s="149"/>
      <c r="Q1" s="93"/>
      <c r="R1" s="93"/>
    </row>
    <row r="2" spans="1:18" x14ac:dyDescent="0.3">
      <c r="A2" s="7" t="s">
        <v>96</v>
      </c>
      <c r="B2" s="149"/>
      <c r="C2" s="149"/>
      <c r="D2" s="149"/>
      <c r="E2" s="150"/>
      <c r="F2" s="150"/>
      <c r="G2" s="150"/>
      <c r="H2" s="150"/>
      <c r="I2" s="149"/>
      <c r="J2" s="149"/>
      <c r="K2" s="149"/>
      <c r="L2" s="149"/>
      <c r="M2" s="149"/>
      <c r="N2" s="149"/>
      <c r="O2" s="149"/>
      <c r="P2" s="149"/>
      <c r="Q2" s="18" t="s">
        <v>162</v>
      </c>
      <c r="R2" s="93"/>
    </row>
    <row r="3" spans="1:18" x14ac:dyDescent="0.3">
      <c r="A3" s="7" t="s">
        <v>192</v>
      </c>
      <c r="B3" s="149"/>
      <c r="C3" s="149"/>
      <c r="D3" s="149"/>
      <c r="E3" s="150"/>
      <c r="F3" s="150"/>
      <c r="G3" s="150"/>
      <c r="H3" s="150"/>
      <c r="I3" s="149"/>
      <c r="J3" s="149"/>
      <c r="K3" s="149"/>
      <c r="L3" s="151"/>
      <c r="M3" s="151" t="s">
        <v>144</v>
      </c>
      <c r="N3" s="149"/>
      <c r="O3" s="149"/>
      <c r="P3" s="149"/>
      <c r="Q3" s="18" t="s">
        <v>158</v>
      </c>
      <c r="R3" s="18" t="s">
        <v>158</v>
      </c>
    </row>
    <row r="4" spans="1:18" x14ac:dyDescent="0.3">
      <c r="A4" s="6"/>
      <c r="B4" s="151"/>
      <c r="C4" s="151"/>
      <c r="D4" s="149"/>
      <c r="E4" s="152"/>
      <c r="F4" s="152"/>
      <c r="G4" s="152"/>
      <c r="H4" s="152"/>
      <c r="I4" s="149"/>
      <c r="J4" s="151"/>
      <c r="K4" s="151" t="s">
        <v>144</v>
      </c>
      <c r="L4" s="151"/>
      <c r="M4" s="151" t="s">
        <v>146</v>
      </c>
      <c r="N4" s="149"/>
      <c r="O4" s="149"/>
      <c r="P4" s="149"/>
      <c r="Q4" s="18" t="s">
        <v>159</v>
      </c>
      <c r="R4" s="18" t="s">
        <v>159</v>
      </c>
    </row>
    <row r="5" spans="1:18" x14ac:dyDescent="0.3">
      <c r="A5" s="13" t="s">
        <v>28</v>
      </c>
      <c r="B5" s="149"/>
      <c r="C5" s="151"/>
      <c r="D5" s="151" t="s">
        <v>145</v>
      </c>
      <c r="E5" s="152" t="s">
        <v>149</v>
      </c>
      <c r="F5" s="152" t="s">
        <v>148</v>
      </c>
      <c r="G5" s="152" t="s">
        <v>149</v>
      </c>
      <c r="H5" s="152"/>
      <c r="I5" s="151" t="s">
        <v>145</v>
      </c>
      <c r="J5" s="151" t="s">
        <v>144</v>
      </c>
      <c r="K5" s="151" t="s">
        <v>259</v>
      </c>
      <c r="L5" s="151" t="s">
        <v>143</v>
      </c>
      <c r="M5" s="151" t="s">
        <v>142</v>
      </c>
      <c r="N5" s="151" t="s">
        <v>150</v>
      </c>
      <c r="O5" s="146" t="s">
        <v>302</v>
      </c>
      <c r="P5" s="151" t="s">
        <v>154</v>
      </c>
      <c r="Q5" s="18" t="s">
        <v>164</v>
      </c>
      <c r="R5" s="18" t="s">
        <v>160</v>
      </c>
    </row>
    <row r="6" spans="1:18" x14ac:dyDescent="0.3">
      <c r="A6" s="15" t="s">
        <v>29</v>
      </c>
      <c r="B6" s="147" t="s">
        <v>30</v>
      </c>
      <c r="C6" s="147" t="s">
        <v>141</v>
      </c>
      <c r="D6" s="147" t="s">
        <v>140</v>
      </c>
      <c r="E6" s="153" t="s">
        <v>147</v>
      </c>
      <c r="F6" s="153" t="s">
        <v>139</v>
      </c>
      <c r="G6" s="153" t="s">
        <v>139</v>
      </c>
      <c r="H6" s="153" t="s">
        <v>138</v>
      </c>
      <c r="I6" s="147" t="s">
        <v>137</v>
      </c>
      <c r="J6" s="147" t="s">
        <v>136</v>
      </c>
      <c r="K6" s="147" t="s">
        <v>2</v>
      </c>
      <c r="L6" s="147" t="s">
        <v>61</v>
      </c>
      <c r="M6" s="147" t="s">
        <v>21</v>
      </c>
      <c r="N6" s="147" t="s">
        <v>2</v>
      </c>
      <c r="O6" s="147" t="s">
        <v>292</v>
      </c>
      <c r="P6" s="147" t="s">
        <v>153</v>
      </c>
      <c r="Q6" s="161">
        <f>6%*0.65</f>
        <v>3.9E-2</v>
      </c>
      <c r="R6" s="15" t="s">
        <v>165</v>
      </c>
    </row>
    <row r="7" spans="1:18" x14ac:dyDescent="0.3">
      <c r="A7" s="18"/>
      <c r="B7" s="67">
        <v>-1</v>
      </c>
      <c r="C7" s="67">
        <v>-2</v>
      </c>
      <c r="D7" s="67">
        <v>-3</v>
      </c>
      <c r="E7" s="67">
        <v>-4</v>
      </c>
      <c r="F7" s="67">
        <v>-5</v>
      </c>
      <c r="G7" s="67">
        <v>-6</v>
      </c>
      <c r="H7" s="67">
        <v>-7</v>
      </c>
      <c r="I7" s="67">
        <v>-8</v>
      </c>
      <c r="J7" s="67">
        <v>-9</v>
      </c>
      <c r="K7" s="67">
        <v>-10</v>
      </c>
      <c r="L7" s="67">
        <v>-11</v>
      </c>
      <c r="M7" s="67">
        <v>-12</v>
      </c>
      <c r="N7" s="67">
        <v>-13</v>
      </c>
      <c r="O7" s="67"/>
      <c r="P7" s="67">
        <v>-14</v>
      </c>
      <c r="Q7" s="38">
        <v>-15</v>
      </c>
      <c r="R7" s="38">
        <v>-16</v>
      </c>
    </row>
    <row r="9" spans="1:18" x14ac:dyDescent="0.3">
      <c r="A9" s="6">
        <v>1</v>
      </c>
      <c r="B9" s="43" t="s">
        <v>135</v>
      </c>
      <c r="E9" s="154">
        <f>SUM('Form 2.2'!F10:F13)</f>
        <v>480899.56538461539</v>
      </c>
      <c r="F9" s="154">
        <f>SUM('Form 2.2'!F14:F21)</f>
        <v>2708462.6038461542</v>
      </c>
      <c r="G9" s="154">
        <f>'Form 2.3'!C17</f>
        <v>2754533.1</v>
      </c>
      <c r="H9" s="154">
        <f>'Form 2.3'!C25</f>
        <v>8510535</v>
      </c>
    </row>
    <row r="10" spans="1:18" x14ac:dyDescent="0.3">
      <c r="A10" s="6">
        <f>+A9+1</f>
        <v>2</v>
      </c>
      <c r="B10" s="43" t="s">
        <v>223</v>
      </c>
      <c r="E10" s="94">
        <f>-SUM('Form 2.2'!P10:P13)</f>
        <v>37450.441349914232</v>
      </c>
      <c r="F10" s="94">
        <f>-SUM('Form 2.2'!P14:P21)</f>
        <v>321959.87024792284</v>
      </c>
      <c r="G10" s="94">
        <f>-'Link In'!G75</f>
        <v>214961.1658417086</v>
      </c>
      <c r="H10" s="94">
        <f>-'Link In'!O85</f>
        <v>475047.77983459207</v>
      </c>
    </row>
    <row r="11" spans="1:18" x14ac:dyDescent="0.3">
      <c r="A11" s="6">
        <f t="shared" ref="A11:A33" si="0">+A10+1</f>
        <v>3</v>
      </c>
      <c r="B11" s="43" t="s">
        <v>224</v>
      </c>
      <c r="E11" s="155">
        <f>+E9-E10</f>
        <v>443449.12403470115</v>
      </c>
      <c r="F11" s="155">
        <f>+F9-F10</f>
        <v>2386502.7335982313</v>
      </c>
      <c r="G11" s="155">
        <f>+G9-G10</f>
        <v>2539571.9341582917</v>
      </c>
      <c r="H11" s="155">
        <f>+H9-H10</f>
        <v>8035487.2201654082</v>
      </c>
    </row>
    <row r="12" spans="1:18" x14ac:dyDescent="0.3">
      <c r="A12" s="6">
        <f t="shared" si="0"/>
        <v>4</v>
      </c>
      <c r="B12" s="156" t="s">
        <v>134</v>
      </c>
      <c r="E12" s="94">
        <f>SUM('Form 2.2'!F93:F96)</f>
        <v>51597.869230769218</v>
      </c>
      <c r="F12" s="94">
        <f>SUM('Form 2.2'!F97:F104)</f>
        <v>390325.79384615389</v>
      </c>
      <c r="G12" s="94">
        <f>'Link In'!G18</f>
        <v>314200.15000000002</v>
      </c>
      <c r="H12" s="94">
        <f>'Link In'!O26</f>
        <v>1092235</v>
      </c>
    </row>
    <row r="13" spans="1:18" x14ac:dyDescent="0.3">
      <c r="A13" s="6">
        <f t="shared" si="0"/>
        <v>5</v>
      </c>
      <c r="B13" s="156" t="s">
        <v>133</v>
      </c>
      <c r="E13" s="155">
        <f>E11-E12</f>
        <v>391851.25480393192</v>
      </c>
      <c r="F13" s="155">
        <f>F11-F12</f>
        <v>1996176.9397520775</v>
      </c>
      <c r="G13" s="155">
        <f>G11-G12</f>
        <v>2225371.7841582918</v>
      </c>
      <c r="H13" s="155">
        <f>H11-H12</f>
        <v>6943252.2201654082</v>
      </c>
    </row>
    <row r="14" spans="1:18" x14ac:dyDescent="0.3">
      <c r="A14" s="6">
        <f t="shared" si="0"/>
        <v>6</v>
      </c>
      <c r="B14" s="43" t="s">
        <v>132</v>
      </c>
      <c r="E14" s="157">
        <v>0.46943812493875187</v>
      </c>
      <c r="F14" s="157">
        <v>0.46943812493875187</v>
      </c>
      <c r="G14" s="157">
        <v>0.46943812493875187</v>
      </c>
      <c r="H14" s="157">
        <v>0.46943812493875187</v>
      </c>
    </row>
    <row r="15" spans="1:18" x14ac:dyDescent="0.3">
      <c r="A15" s="6">
        <f t="shared" si="0"/>
        <v>7</v>
      </c>
      <c r="B15" s="43" t="s">
        <v>131</v>
      </c>
      <c r="E15" s="155">
        <f>E13*E14</f>
        <v>183949.9183100549</v>
      </c>
      <c r="F15" s="155">
        <f>F13*F14</f>
        <v>937081.55964319105</v>
      </c>
      <c r="G15" s="155">
        <f>G13*G14</f>
        <v>1044674.3576468733</v>
      </c>
      <c r="H15" s="155">
        <f>H13*H14</f>
        <v>3259427.303211275</v>
      </c>
      <c r="J15" s="158"/>
      <c r="K15" s="158"/>
    </row>
    <row r="16" spans="1:18" x14ac:dyDescent="0.3">
      <c r="A16" s="6">
        <f t="shared" si="0"/>
        <v>8</v>
      </c>
      <c r="B16" s="43" t="s">
        <v>130</v>
      </c>
      <c r="E16" s="94">
        <f>E11-E15</f>
        <v>259499.20572464625</v>
      </c>
      <c r="F16" s="94">
        <f>F11-F15</f>
        <v>1449421.1739550403</v>
      </c>
      <c r="G16" s="94">
        <f>G11-G15</f>
        <v>1494897.5765114184</v>
      </c>
      <c r="H16" s="94">
        <f>H11-H15</f>
        <v>4776059.9169541337</v>
      </c>
    </row>
    <row r="17" spans="1:18" x14ac:dyDescent="0.3">
      <c r="A17" s="6">
        <f t="shared" si="0"/>
        <v>9</v>
      </c>
      <c r="B17" s="43" t="s">
        <v>129</v>
      </c>
      <c r="E17" s="157">
        <v>0</v>
      </c>
      <c r="F17" s="157">
        <v>0</v>
      </c>
      <c r="G17" s="157">
        <v>0</v>
      </c>
      <c r="H17" s="157">
        <v>0</v>
      </c>
    </row>
    <row r="18" spans="1:18" x14ac:dyDescent="0.3">
      <c r="A18" s="6">
        <f t="shared" si="0"/>
        <v>10</v>
      </c>
      <c r="B18" s="43" t="s">
        <v>128</v>
      </c>
      <c r="E18" s="159">
        <f>E16*E17</f>
        <v>0</v>
      </c>
      <c r="F18" s="159">
        <f>F16*F17</f>
        <v>0</v>
      </c>
      <c r="G18" s="159">
        <f>G16*G17</f>
        <v>0</v>
      </c>
      <c r="H18" s="159">
        <f>H16*H17</f>
        <v>0</v>
      </c>
    </row>
    <row r="19" spans="1:18" x14ac:dyDescent="0.3">
      <c r="A19" s="6">
        <f t="shared" si="0"/>
        <v>11</v>
      </c>
      <c r="B19" s="43" t="s">
        <v>127</v>
      </c>
      <c r="E19" s="94">
        <f>E16-E18</f>
        <v>259499.20572464625</v>
      </c>
      <c r="F19" s="94">
        <f>F16-F18</f>
        <v>1449421.1739550403</v>
      </c>
      <c r="G19" s="94">
        <f>G16-G18</f>
        <v>1494897.5765114184</v>
      </c>
      <c r="H19" s="94">
        <f>H16-H18</f>
        <v>4776059.9169541337</v>
      </c>
      <c r="I19" s="41"/>
      <c r="J19" s="41"/>
      <c r="K19" s="41"/>
      <c r="L19" s="41"/>
      <c r="M19" s="41"/>
      <c r="N19" s="41"/>
      <c r="O19" s="41"/>
      <c r="P19" s="41"/>
      <c r="Q19" s="1"/>
      <c r="R19" s="1"/>
    </row>
    <row r="20" spans="1:18" x14ac:dyDescent="0.3">
      <c r="A20" s="6">
        <f t="shared" si="0"/>
        <v>12</v>
      </c>
      <c r="B20" s="43" t="s">
        <v>126</v>
      </c>
      <c r="E20" s="94"/>
      <c r="F20" s="94"/>
      <c r="G20" s="94"/>
      <c r="H20" s="94"/>
      <c r="I20" s="41"/>
      <c r="J20" s="41"/>
      <c r="K20" s="41"/>
      <c r="L20" s="41"/>
      <c r="M20" s="41"/>
      <c r="N20" s="41"/>
      <c r="O20" s="41"/>
      <c r="P20" s="41"/>
      <c r="Q20" s="1"/>
      <c r="R20" s="1"/>
    </row>
    <row r="21" spans="1:18" x14ac:dyDescent="0.3">
      <c r="A21" s="6">
        <f t="shared" si="0"/>
        <v>13</v>
      </c>
      <c r="B21" s="43" t="s">
        <v>155</v>
      </c>
      <c r="C21" s="43">
        <v>2016</v>
      </c>
      <c r="D21" s="160">
        <f>1/25/2</f>
        <v>0.02</v>
      </c>
      <c r="E21" s="94">
        <f>E19*D21</f>
        <v>5189.9841144929251</v>
      </c>
      <c r="F21" s="94"/>
      <c r="G21" s="94"/>
      <c r="H21" s="94"/>
      <c r="I21" s="41">
        <f>SUM(E21:H21)</f>
        <v>5189.9841144929251</v>
      </c>
      <c r="J21" s="41">
        <f>E15</f>
        <v>183949.9183100549</v>
      </c>
      <c r="K21" s="41">
        <f>E18</f>
        <v>0</v>
      </c>
      <c r="L21" s="41">
        <f>SUM('Form 2.2'!L10:L13)</f>
        <v>17552.172806072296</v>
      </c>
      <c r="M21" s="41">
        <f>SUM(I21:L21)</f>
        <v>206692.0752306201</v>
      </c>
      <c r="N21" s="41">
        <f>SUM('Form 2.2'!M10:M13)</f>
        <v>9150.8869192820148</v>
      </c>
      <c r="O21" s="41">
        <f>'Form 2.1A'!O22</f>
        <v>-1089.7993253783097</v>
      </c>
      <c r="P21" s="41">
        <f>M21-(N21+O21)</f>
        <v>198630.9876367164</v>
      </c>
      <c r="Q21" s="1">
        <f>P21*-$Q$6</f>
        <v>-7746.608517831939</v>
      </c>
      <c r="R21" s="71">
        <f>-'Form 2.1C'!C34</f>
        <v>8617.1699339941842</v>
      </c>
    </row>
    <row r="22" spans="1:18" x14ac:dyDescent="0.3">
      <c r="A22" s="6">
        <f t="shared" si="0"/>
        <v>14</v>
      </c>
      <c r="B22" s="43" t="s">
        <v>156</v>
      </c>
      <c r="C22" s="43">
        <v>2017</v>
      </c>
      <c r="D22" s="160">
        <f>1/25</f>
        <v>0.04</v>
      </c>
      <c r="E22" s="94">
        <f>E19*D22</f>
        <v>10379.96822898585</v>
      </c>
      <c r="F22" s="94">
        <f>D21*F19</f>
        <v>28988.423479100806</v>
      </c>
      <c r="G22" s="94">
        <f>D21*G19</f>
        <v>29897.951530228369</v>
      </c>
      <c r="H22" s="94"/>
      <c r="I22" s="41">
        <f>SUM(E22:H22)</f>
        <v>69266.343238315021</v>
      </c>
      <c r="J22" s="41">
        <f>SUM(F15:G15)</f>
        <v>1981755.9172900645</v>
      </c>
      <c r="K22" s="41">
        <f>F18+G18</f>
        <v>0</v>
      </c>
      <c r="L22" s="41">
        <f>SUM('Form 2.2'!L14:L21)+'Form 2.3'!E19</f>
        <v>223642.52266390561</v>
      </c>
      <c r="M22" s="41">
        <f>SUM(I22:L22)</f>
        <v>2274664.7831922853</v>
      </c>
      <c r="N22" s="41">
        <f>SUM('Form 2.2'!M14:M21)-+'Form 2.3'!D20</f>
        <v>144451.57355723143</v>
      </c>
      <c r="O22" s="41">
        <f>'Form 2.1A'!O23</f>
        <v>-22907.576011542853</v>
      </c>
      <c r="P22" s="41">
        <f>M22-(N22+O22)</f>
        <v>2153120.7856465969</v>
      </c>
      <c r="Q22" s="1">
        <f>P22*-$Q$6</f>
        <v>-83971.710640217279</v>
      </c>
      <c r="R22" s="1">
        <f>-'Form 2.1C'!D34</f>
        <v>95371.566544499132</v>
      </c>
    </row>
    <row r="23" spans="1:18" x14ac:dyDescent="0.3">
      <c r="A23" s="6">
        <f t="shared" si="0"/>
        <v>15</v>
      </c>
      <c r="B23" s="43" t="s">
        <v>157</v>
      </c>
      <c r="C23" s="43">
        <v>2018</v>
      </c>
      <c r="D23" s="160">
        <f>1/25</f>
        <v>0.04</v>
      </c>
      <c r="E23" s="94">
        <f>E19*D23</f>
        <v>10379.96822898585</v>
      </c>
      <c r="F23" s="94">
        <f>F19*D22</f>
        <v>57976.846958201611</v>
      </c>
      <c r="G23" s="94">
        <f>G19*D22</f>
        <v>59795.903060456738</v>
      </c>
      <c r="H23" s="94">
        <f>H19*D21</f>
        <v>95521.198339082679</v>
      </c>
      <c r="I23" s="41">
        <f>SUM(E23:H23)</f>
        <v>223673.91658672687</v>
      </c>
      <c r="J23" s="41">
        <f>H15</f>
        <v>3259427.303211275</v>
      </c>
      <c r="K23" s="41">
        <f>H18</f>
        <v>0</v>
      </c>
      <c r="L23" s="41">
        <f>'Form 2.3'!E27</f>
        <v>312018.92136144475</v>
      </c>
      <c r="M23" s="41">
        <f>SUM(I23:L23)</f>
        <v>3795120.1411594469</v>
      </c>
      <c r="N23" s="41">
        <f>-'Form 2.3'!D28</f>
        <v>195861.63427556213</v>
      </c>
      <c r="O23" s="41">
        <f>'Form 2.1A'!O24</f>
        <v>-24171.093314404905</v>
      </c>
      <c r="P23" s="41">
        <f>M23-(N23+O23)</f>
        <v>3623429.6001982898</v>
      </c>
      <c r="Q23" s="1">
        <f>P23*-$Q$6</f>
        <v>-141313.7544077333</v>
      </c>
      <c r="R23" s="1">
        <f ca="1">-'Form 2.1C'!E34</f>
        <v>101230.17490560145</v>
      </c>
    </row>
    <row r="24" spans="1:18" x14ac:dyDescent="0.3">
      <c r="A24" s="6">
        <f t="shared" si="0"/>
        <v>16</v>
      </c>
    </row>
    <row r="25" spans="1:18" x14ac:dyDescent="0.3">
      <c r="A25" s="6">
        <f t="shared" si="0"/>
        <v>17</v>
      </c>
      <c r="B25" s="43" t="s">
        <v>152</v>
      </c>
    </row>
    <row r="26" spans="1:18" x14ac:dyDescent="0.3">
      <c r="A26" s="6">
        <f t="shared" si="0"/>
        <v>18</v>
      </c>
      <c r="B26" s="43" t="s">
        <v>151</v>
      </c>
      <c r="D26" s="154">
        <f>SUM(E11:H11)</f>
        <v>13405011.011956632</v>
      </c>
    </row>
    <row r="27" spans="1:18" x14ac:dyDescent="0.3">
      <c r="A27" s="6">
        <f t="shared" si="0"/>
        <v>19</v>
      </c>
      <c r="B27" s="43" t="s">
        <v>226</v>
      </c>
      <c r="D27" s="41">
        <f>+'Link In'!G77+'Link In'!O87</f>
        <v>-60143.466600019616</v>
      </c>
    </row>
    <row r="28" spans="1:18" x14ac:dyDescent="0.3">
      <c r="A28" s="6">
        <f t="shared" si="0"/>
        <v>20</v>
      </c>
      <c r="B28" s="43" t="s">
        <v>10</v>
      </c>
      <c r="D28" s="94">
        <f>SUM(L21:L23)</f>
        <v>553213.61683142267</v>
      </c>
    </row>
    <row r="29" spans="1:18" x14ac:dyDescent="0.3">
      <c r="A29" s="6">
        <f t="shared" si="0"/>
        <v>21</v>
      </c>
      <c r="B29" s="43" t="s">
        <v>2</v>
      </c>
      <c r="D29" s="94">
        <f>-SUM(N21:N23)</f>
        <v>-349464.09475207562</v>
      </c>
    </row>
    <row r="30" spans="1:18" x14ac:dyDescent="0.3">
      <c r="A30" s="6">
        <f t="shared" si="0"/>
        <v>22</v>
      </c>
      <c r="B30" s="43" t="s">
        <v>303</v>
      </c>
      <c r="D30" s="94">
        <f>-SUM(O21:O23)</f>
        <v>48168.468651326068</v>
      </c>
    </row>
    <row r="31" spans="1:18" x14ac:dyDescent="0.3">
      <c r="A31" s="6">
        <f t="shared" si="0"/>
        <v>23</v>
      </c>
      <c r="B31" s="43" t="s">
        <v>21</v>
      </c>
      <c r="D31" s="94">
        <f>SUM(D26:D30)</f>
        <v>13596785.536087286</v>
      </c>
    </row>
    <row r="32" spans="1:18" x14ac:dyDescent="0.3">
      <c r="A32" s="6">
        <f t="shared" si="0"/>
        <v>24</v>
      </c>
      <c r="B32" s="43" t="s">
        <v>212</v>
      </c>
      <c r="D32" s="148">
        <f>'Form 1.1'!C16</f>
        <v>13596785.536087286</v>
      </c>
    </row>
    <row r="33" spans="1:4" x14ac:dyDescent="0.3">
      <c r="A33" s="6">
        <f t="shared" si="0"/>
        <v>25</v>
      </c>
      <c r="B33" s="43" t="s">
        <v>153</v>
      </c>
      <c r="D33" s="94">
        <f>D31-D32</f>
        <v>0</v>
      </c>
    </row>
    <row r="34" spans="1:4" x14ac:dyDescent="0.3">
      <c r="A34" s="6"/>
    </row>
  </sheetData>
  <pageMargins left="0.7" right="0.7" top="0.75" bottom="0.75" header="0.3" footer="0.3"/>
  <pageSetup scale="49" orientation="landscape" verticalDpi="1200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9</vt:i4>
      </vt:variant>
    </vt:vector>
  </HeadingPairs>
  <TitlesOfParts>
    <vt:vector size="22" baseType="lpstr">
      <vt:lpstr>Workbook Info</vt:lpstr>
      <vt:lpstr>Link In</vt:lpstr>
      <vt:lpstr>Form 1.0</vt:lpstr>
      <vt:lpstr>Form 1.1</vt:lpstr>
      <vt:lpstr>Form 1.2</vt:lpstr>
      <vt:lpstr>Form 2.0</vt:lpstr>
      <vt:lpstr>Form 2.1</vt:lpstr>
      <vt:lpstr>Form 2.1A</vt:lpstr>
      <vt:lpstr>Form 2.1B</vt:lpstr>
      <vt:lpstr>Form 2.1C</vt:lpstr>
      <vt:lpstr>Form 2.2</vt:lpstr>
      <vt:lpstr>Form 2.3</vt:lpstr>
      <vt:lpstr>Form 3.0</vt:lpstr>
      <vt:lpstr>'Form 1.0'!Print_Area</vt:lpstr>
      <vt:lpstr>'Form 1.1'!Print_Area</vt:lpstr>
      <vt:lpstr>'Form 1.2'!Print_Area</vt:lpstr>
      <vt:lpstr>'Form 2.0'!Print_Area</vt:lpstr>
      <vt:lpstr>'Form 2.1A'!Print_Area</vt:lpstr>
      <vt:lpstr>'Form 2.1B'!Print_Area</vt:lpstr>
      <vt:lpstr>'Form 2.1C'!Print_Area</vt:lpstr>
      <vt:lpstr>'Form 2.2'!Print_Area</vt:lpstr>
      <vt:lpstr>'Form 2.2'!Print_Titles</vt:lpstr>
    </vt:vector>
  </TitlesOfParts>
  <Company>American Water 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OMALLELN</dc:creator>
  <cp:lastModifiedBy>OMALLELN</cp:lastModifiedBy>
  <cp:lastPrinted>2017-08-01T12:54:19Z</cp:lastPrinted>
  <dcterms:created xsi:type="dcterms:W3CDTF">2017-05-11T12:07:49Z</dcterms:created>
  <dcterms:modified xsi:type="dcterms:W3CDTF">2017-08-01T12:54:56Z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