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60" windowWidth="9720" windowHeight="11475"/>
  </bookViews>
  <sheets>
    <sheet name="Q7 - LGE ROR Feb17 (All Plans)" sheetId="3" r:id="rId1"/>
    <sheet name="Q7 - LGE ECC Feb17" sheetId="12" r:id="rId2"/>
    <sheet name="Tax Rate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[5]Data!#REF!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2A">[5]Input!$K$22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hidden="1">{#N/A,#N/A,TRUE,"Acq-Ass";#N/A,#N/A,TRUE,"Acq-IS";#N/A,#N/A,TRUE,"Acq-BS";#N/A,#N/A,TRUE,"Acq-CF"}</definedName>
    <definedName name="PopCache_GL_INTERFACE_REFERENCE7" hidden="1">[6]PopCache!$A$1:$A$2</definedName>
    <definedName name="_xlnm.Print_Area" localSheetId="0">'Q7 - LGE ROR Feb17 (All Plans)'!$A$1:$U$59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hidden="1">{#N/A,#N/A,FALSE,"Acq-Val";#N/A,#N/A,FALSE,"Acq-Mult Val"}</definedName>
    <definedName name="wrn.AcqVal._2" hidden="1">{#N/A,#N/A,FALSE,"Acq-Val";#N/A,#N/A,FALSE,"Acq-Mult Val"}</definedName>
    <definedName name="wrn.AcqVal._22" hidden="1">{#N/A,#N/A,FALSE,"Acq-Val";#N/A,#N/A,FALSE,"Acq-Mult Val"}</definedName>
    <definedName name="wrn.AcqVal.2" hidden="1">{#N/A,#N/A,FALSE,"Acq-Val";#N/A,#N/A,FALSE,"Acq-Mult Val"}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hidden="1">{#N/A,#N/A,FALSE,"Bal sht";"Qtrly Bal Sht",#N/A,FALSE,"Bal sht - QTR"}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hidden="1">{"BS",#N/A,FALSE;"RE",#N/A,FALSE;"IS",#N/A,FALSE;"CASH",#N/A,FALSE}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hidden="1">{#N/A,#N/A,FALSE,"Brad_DCFM";#N/A,#N/A,FALSE,"Nick_DCFM";#N/A,#N/A,FALSE,"Mobile_DCFM"}</definedName>
    <definedName name="wrn.Detail._.Income._.Statement." hidden="1">{"Facility Detail",#N/A,FALSE,"P&amp;L Detail"}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hidden="1">{"Income Statement",#N/A,FALSE,"P&amp;L - $";"Quarterly Income Statement",#N/A,FALSE,"P&amp;L Detail"}</definedName>
    <definedName name="wrn.LUXCOS." hidden="1">{"LUX_ASSET",#N/A,FALSE,"CII-Q494.XLS";"LUX_LIAB",#N/A,FALSE,"CII-Q494.XLS";"LUX_INC",#N/A,FALSE,"CII-Q494.XLS";"LUXje",#N/A,FALSE,"CII-Q494.XLS"}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hidden="1">{"Phase in summary",#N/A,FALSE,"P&amp;L Phased"}</definedName>
    <definedName name="wrn.PL._.Detail." hidden="1">{#N/A,#N/A,FALSE,"P&amp;L Detail";#N/A,#N/A,FALSE,"P&amp;L Detail";#N/A,#N/A,FALSE,"P&amp;L Detail"}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hidden="1">{"Quarterly Income Statement",#N/A,FALSE,"P&amp;L Detail"}</definedName>
    <definedName name="wrn.Report." hidden="1">{#N/A,#N/A,FALSE,"Cost Comparison";#N/A,#N/A,FALSE,"ICP Comparison "}</definedName>
    <definedName name="wrn.Report._.2." hidden="1">{#N/A,#N/A,TRUE,"Pivots-Employee";#N/A,"Scenerio2",TRUE,"Assumptions Summary"}</definedName>
    <definedName name="wrn.Report1." hidden="1">{#N/A,#N/A,TRUE,"Pivots-Employee";#N/A,"Scenario1",TRUE,"Assumptions Summary"}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hidden="1">{"review",#N/A,FALSE,"FACTSHT"}</definedName>
    <definedName name="wrn.review1." hidden="1">{"review",#N/A,FALSE,"FACTSHT"}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hidden="1">{"Std Poor",#N/A,FALSE,"S&amp;P";"Sum Stats",#N/A,FALSE,"Stats"}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hidden="1">{#N/A,#N/A,FALSE,"New-RegularBevel";#N/A,#N/A,FALSE,"Optiva-Optiva2";#N/A,#N/A,FALSE,"Cathlon-Monoblok";#N/A,#N/A,FALSE,"Stylets"}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52511" calcOnSave="0"/>
</workbook>
</file>

<file path=xl/calcChain.xml><?xml version="1.0" encoding="utf-8"?>
<calcChain xmlns="http://schemas.openxmlformats.org/spreadsheetml/2006/main">
  <c r="M45" i="14" l="1"/>
  <c r="M49" i="14" s="1"/>
  <c r="G45" i="14"/>
  <c r="G49" i="14" s="1"/>
  <c r="I43" i="14"/>
  <c r="I45" i="14" s="1"/>
  <c r="I49" i="14" s="1"/>
  <c r="S33" i="14"/>
  <c r="Q33" i="14"/>
  <c r="O33" i="14"/>
  <c r="M33" i="14"/>
  <c r="K33" i="14"/>
  <c r="E33" i="14"/>
  <c r="M18" i="14"/>
  <c r="S15" i="14"/>
  <c r="S20" i="14" s="1"/>
  <c r="Q15" i="14"/>
  <c r="Q20" i="14" s="1"/>
  <c r="O15" i="14"/>
  <c r="M15" i="14"/>
  <c r="K15" i="14"/>
  <c r="K20" i="14" s="1"/>
  <c r="E15" i="14"/>
  <c r="E20" i="14" s="1"/>
  <c r="E43" i="14" s="1"/>
  <c r="E45" i="14" s="1"/>
  <c r="E49" i="14" s="1"/>
  <c r="I12" i="14"/>
  <c r="I33" i="14" s="1"/>
  <c r="G12" i="14"/>
  <c r="G33" i="14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M20" i="14" l="1"/>
  <c r="G15" i="14"/>
  <c r="G20" i="14" s="1"/>
  <c r="I15" i="14"/>
  <c r="I22" i="14" s="1"/>
  <c r="I24" i="14" s="1"/>
  <c r="I27" i="14" s="1"/>
  <c r="I29" i="14" s="1"/>
  <c r="E22" i="14"/>
  <c r="E24" i="14" s="1"/>
  <c r="E27" i="14" s="1"/>
  <c r="E29" i="14" s="1"/>
  <c r="M22" i="14"/>
  <c r="M24" i="14" s="1"/>
  <c r="M27" i="14" s="1"/>
  <c r="M29" i="14" s="1"/>
  <c r="Q43" i="14"/>
  <c r="Q45" i="14" s="1"/>
  <c r="Q49" i="14" s="1"/>
  <c r="Q22" i="14"/>
  <c r="Q24" i="14" s="1"/>
  <c r="K43" i="14"/>
  <c r="K45" i="14" s="1"/>
  <c r="K49" i="14" s="1"/>
  <c r="K22" i="14"/>
  <c r="K24" i="14" s="1"/>
  <c r="S22" i="14"/>
  <c r="S24" i="14" s="1"/>
  <c r="S43" i="14"/>
  <c r="S45" i="14" s="1"/>
  <c r="S49" i="14" s="1"/>
  <c r="O20" i="14"/>
  <c r="O43" i="14" s="1"/>
  <c r="O45" i="14" s="1"/>
  <c r="O49" i="14" s="1"/>
  <c r="G22" i="14"/>
  <c r="G24" i="14" s="1"/>
  <c r="I32" i="14" l="1"/>
  <c r="I34" i="14" s="1"/>
  <c r="M32" i="14"/>
  <c r="M34" i="14" s="1"/>
  <c r="E32" i="14"/>
  <c r="E34" i="14" s="1"/>
  <c r="G27" i="14"/>
  <c r="G29" i="14" s="1"/>
  <c r="G32" i="14"/>
  <c r="G34" i="14" s="1"/>
  <c r="Q32" i="14"/>
  <c r="Q34" i="14" s="1"/>
  <c r="Q27" i="14"/>
  <c r="Q29" i="14" s="1"/>
  <c r="S27" i="14"/>
  <c r="S29" i="14" s="1"/>
  <c r="S32" i="14"/>
  <c r="S34" i="14" s="1"/>
  <c r="K27" i="14"/>
  <c r="K29" i="14" s="1"/>
  <c r="K32" i="14"/>
  <c r="K34" i="14" s="1"/>
  <c r="O22" i="14"/>
  <c r="O24" i="14" s="1"/>
  <c r="O32" i="14" l="1"/>
  <c r="O34" i="14" s="1"/>
  <c r="O27" i="14"/>
  <c r="O29" i="14" s="1"/>
  <c r="F56" i="3" l="1"/>
  <c r="H43" i="3" s="1"/>
  <c r="F48" i="3"/>
  <c r="H19" i="3"/>
  <c r="J19" i="3" s="1"/>
  <c r="C41" i="3" s="1"/>
  <c r="H17" i="3"/>
  <c r="J17" i="3" l="1"/>
  <c r="C39" i="3" s="1"/>
  <c r="R15" i="3" l="1"/>
  <c r="J15" i="3"/>
  <c r="J21" i="3" l="1"/>
  <c r="C37" i="3"/>
  <c r="R17" i="3" l="1"/>
  <c r="C43" i="3"/>
  <c r="F39" i="3" s="1"/>
  <c r="F37" i="3" l="1"/>
  <c r="H37" i="3" s="1"/>
  <c r="P39" i="3"/>
  <c r="L39" i="3"/>
  <c r="J39" i="3"/>
  <c r="N39" i="3"/>
  <c r="R39" i="3"/>
  <c r="H39" i="3"/>
  <c r="B47" i="3"/>
  <c r="R37" i="3" l="1"/>
  <c r="R41" i="3" s="1"/>
  <c r="N37" i="3"/>
  <c r="N41" i="3" s="1"/>
  <c r="L37" i="3"/>
  <c r="L41" i="3" s="1"/>
  <c r="F41" i="3"/>
  <c r="F43" i="3" s="1"/>
  <c r="J37" i="3"/>
  <c r="J41" i="3" s="1"/>
  <c r="P37" i="3"/>
  <c r="T39" i="3"/>
  <c r="H41" i="3"/>
  <c r="C47" i="3"/>
  <c r="T37" i="3" l="1"/>
  <c r="L15" i="3" s="1"/>
  <c r="P41" i="3"/>
  <c r="T41" i="3" s="1"/>
  <c r="C21" i="3"/>
  <c r="T43" i="3" l="1"/>
  <c r="F15" i="3"/>
  <c r="F17" i="3"/>
  <c r="F19" i="3" l="1"/>
  <c r="F21" i="3" s="1"/>
  <c r="L17" i="3"/>
  <c r="N17" i="3" s="1"/>
  <c r="N15" i="3" l="1"/>
  <c r="L19" i="3"/>
  <c r="N19" i="3" s="1"/>
  <c r="L21" i="3" l="1"/>
  <c r="N21" i="3"/>
  <c r="P17" i="3" s="1"/>
  <c r="T17" i="3" s="1"/>
  <c r="P15" i="3" l="1"/>
  <c r="T15" i="3" l="1"/>
  <c r="P19" i="3"/>
  <c r="T19" i="3" s="1"/>
  <c r="P21" i="3" l="1"/>
  <c r="T21" i="3"/>
  <c r="T24" i="3" s="1"/>
</calcChain>
</file>

<file path=xl/sharedStrings.xml><?xml version="1.0" encoding="utf-8"?>
<sst xmlns="http://schemas.openxmlformats.org/spreadsheetml/2006/main" count="268" uniqueCount="204">
  <si>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</si>
  <si>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</si>
  <si>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</si>
  <si>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</si>
  <si>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</si>
  <si>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</si>
  <si>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</si>
  <si>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</si>
  <si>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</si>
  <si>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</si>
  <si>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</si>
  <si>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</si>
  <si>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</si>
  <si>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</si>
  <si>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</si>
  <si>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</si>
  <si>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</si>
  <si>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</si>
  <si>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</si>
  <si>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</si>
  <si>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</si>
  <si>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</si>
  <si>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</si>
  <si>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</si>
  <si>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</si>
  <si>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</si>
  <si>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</si>
  <si>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</si>
  <si>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</si>
  <si>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</si>
  <si>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</si>
  <si>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</si>
  <si>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</si>
  <si>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</si>
  <si>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</si>
  <si>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</si>
  <si>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</si>
  <si>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</si>
  <si>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</si>
  <si>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</si>
  <si>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</si>
  <si>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</si>
  <si>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</si>
  <si>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</si>
  <si>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</si>
  <si>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</si>
  <si>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</si>
  <si>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</si>
  <si>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</si>
  <si>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</si>
  <si>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</si>
  <si>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</si>
  <si>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</si>
  <si>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</si>
  <si>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</si>
  <si>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</si>
  <si>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</si>
  <si>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</si>
  <si>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</si>
  <si>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</si>
  <si>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</si>
  <si>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</si>
  <si>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</si>
  <si>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</si>
  <si>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</si>
  <si>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ANALYSIS OF THE EMBEDDED COST OF CAPITAL AT</t>
  </si>
  <si>
    <t>Annualized Cost</t>
  </si>
  <si>
    <t>Amortized Debt</t>
  </si>
  <si>
    <t>Amortized Loss-</t>
  </si>
  <si>
    <t>Letter of Credit</t>
  </si>
  <si>
    <t>Embedded</t>
  </si>
  <si>
    <t>Due</t>
  </si>
  <si>
    <t>Principal</t>
  </si>
  <si>
    <t>Interest/(Income)</t>
  </si>
  <si>
    <t xml:space="preserve"> Issuance Exp/Discount</t>
  </si>
  <si>
    <t>Reacquired Debt</t>
  </si>
  <si>
    <t>and other fees</t>
  </si>
  <si>
    <t xml:space="preserve">  Cost  </t>
  </si>
  <si>
    <t xml:space="preserve">Pollution Control Bonds - </t>
  </si>
  <si>
    <t>Jefferson Co. 2001 Series A</t>
  </si>
  <si>
    <t>Trimble Co. 2001 Series A</t>
  </si>
  <si>
    <t>Jefferson Co. 2001 Series B</t>
  </si>
  <si>
    <t>Trimble Co. 2001 Series B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</si>
  <si>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</si>
  <si>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</si>
  <si>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</si>
  <si>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</si>
  <si>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</si>
  <si>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</si>
  <si>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>First Mortgage Bonds -</t>
  </si>
  <si>
    <t>**</t>
  </si>
  <si>
    <t xml:space="preserve">   Debt discount on FMB</t>
  </si>
  <si>
    <t>2010 due 2040</t>
  </si>
  <si>
    <t>2013 due 2043</t>
  </si>
  <si>
    <t xml:space="preserve">   Regulatory Liability - Swap Hedging FMB</t>
  </si>
  <si>
    <t>2015 due 2025</t>
  </si>
  <si>
    <t xml:space="preserve">   Regulatory Asset - Swap Hedging FMB</t>
  </si>
  <si>
    <t>2015 due 2045</t>
  </si>
  <si>
    <t>Revolving Credit Facility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</si>
  <si>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</si>
  <si>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</si>
  <si>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</si>
  <si>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</si>
  <si>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</si>
  <si>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</si>
  <si>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</si>
  <si>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</si>
  <si>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</si>
  <si>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</si>
  <si>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</si>
  <si>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</si>
  <si>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</si>
  <si>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</si>
  <si>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</si>
  <si>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</si>
  <si>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</si>
  <si>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</si>
  <si>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</si>
  <si>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</si>
  <si>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</si>
  <si>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</si>
  <si>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</si>
  <si>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</si>
  <si>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</si>
  <si>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</si>
  <si>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</si>
  <si>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b</t>
  </si>
  <si>
    <t>a</t>
  </si>
  <si>
    <t>c</t>
  </si>
  <si>
    <t>Trimble Co. 2016 Series A</t>
  </si>
  <si>
    <t>a - Remarketing fee = 10 basis points</t>
  </si>
  <si>
    <t>b - Remarketing fee = 25 basis points</t>
  </si>
  <si>
    <t>c - Revolving Credit Facility fee = 10 basis points</t>
  </si>
  <si>
    <t>As of February 28, 2017</t>
  </si>
  <si>
    <t>USING ENDING BALANCES AND INTEREST RATES</t>
  </si>
  <si>
    <t>Total External Debt</t>
  </si>
  <si>
    <t>ECR - Gross-up Revenue Factor &amp;</t>
  </si>
  <si>
    <t>Composite Income Tax Calculation</t>
  </si>
  <si>
    <t>Federal &amp; State</t>
  </si>
  <si>
    <t>Federal Production</t>
  </si>
  <si>
    <t>Production Credit</t>
  </si>
  <si>
    <t>Credit with 8.25%</t>
  </si>
  <si>
    <t>Production</t>
  </si>
  <si>
    <t>W/ 7% 2005 State</t>
  </si>
  <si>
    <t>State Tax Rate</t>
  </si>
  <si>
    <t>Credit</t>
  </si>
  <si>
    <t>W/ 7% 2006 State</t>
  </si>
  <si>
    <t>W/ 6% 2008 State</t>
  </si>
  <si>
    <t>W/ 6% 2009 State</t>
  </si>
  <si>
    <t>W/ 6% 200 State</t>
  </si>
  <si>
    <t>Tax Rate Included</t>
  </si>
  <si>
    <t>Included</t>
  </si>
  <si>
    <t>Excluded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</si>
  <si>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</si>
  <si>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</si>
  <si>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</si>
  <si>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</si>
  <si>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</si>
  <si>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</si>
  <si>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</si>
  <si>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</si>
  <si>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</si>
  <si>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</si>
  <si>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</si>
  <si>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</si>
  <si>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</si>
  <si>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</si>
  <si>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</si>
  <si>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</si>
  <si>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</si>
  <si>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</si>
  <si>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</si>
  <si>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</si>
  <si>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</si>
  <si>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</si>
  <si>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</si>
  <si>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</si>
  <si>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</si>
  <si>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</si>
  <si>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</si>
  <si>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</si>
  <si>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</si>
  <si>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</si>
  <si>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</si>
  <si>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02-28-17</t>
  </si>
  <si>
    <r>
      <t>LONG-TERM DEBT</t>
    </r>
    <r>
      <rPr>
        <b/>
        <sz val="12"/>
        <rFont val="Arial"/>
        <family val="2"/>
      </rPr>
      <t xml:space="preserve"> </t>
    </r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</si>
  <si>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</si>
  <si>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</si>
  <si>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</si>
  <si>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</si>
  <si>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</si>
  <si>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</si>
  <si>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</si>
  <si>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*  Composite rate at end of current month for Embedded Cost of Capital report and daily average rate for ECR filings.</t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</si>
  <si>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</si>
  <si>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</si>
  <si>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</si>
  <si>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</si>
  <si>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</si>
  <si>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</si>
  <si>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t>2017 State</t>
  </si>
  <si>
    <t>W/ 6% 2017 State</t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</si>
  <si>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Includes setup fees for Credit Facility amended January 27, 2017 with a term ending January 27, 2022.</t>
    </r>
  </si>
  <si>
    <t>Adjusted Electric Rate of Return on Common Equity - All ECR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</si>
</sst>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[$-409]dd\-mmm\-yy;@"/>
    <numFmt numFmtId="173" formatCode="_-&quot;£&quot;* #,##0.00_-;\-&quot;£&quot;* #,##0.00_-;_-&quot;£&quot;* &quot;-&quot;??_-;_-@_-"/>
    <numFmt numFmtId="174" formatCode="#,##0\ ;[Red]\(#,##0\)"/>
    <numFmt numFmtId="175" formatCode="[$-409]mmm\-yy;@"/>
    <numFmt numFmtId="176" formatCode="[$-409]mmmm\ d\,\ yyyy;@"/>
    <numFmt numFmtId="177" formatCode="mmmm\ d\,\ yyyy"/>
    <numFmt numFmtId="178" formatCode="#,##0.0000_);\(#,##0.0000\)"/>
    <numFmt numFmtId="179" formatCode="mm/dd/yy_)"/>
    <numFmt numFmtId="180" formatCode="0.00000%"/>
    <numFmt numFmtId="181" formatCode="0.000_)"/>
    <numFmt numFmtId="182" formatCode="0_);\(0\)"/>
    <numFmt numFmtId="183" formatCode="#,##0.000_);\(#,##0.000\)"/>
    <numFmt numFmtId="184" formatCode="_(&quot;$&quot;* #,##0.0000_);_(&quot;$&quot;* \(#,##0.0000\);_(&quot;$&quot;* &quot;-&quot;??_);_(@_)"/>
    <numFmt numFmtId="185" formatCode="_(* #,##0.0000_);_(* \(#,##0.0000\);_(* &quot;-&quot;??_);_(@_)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2" borderId="0" applyNumberFormat="0" applyBorder="0" applyAlignment="0" applyProtection="0"/>
    <xf numFmtId="172" fontId="4" fillId="22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3" borderId="0" applyNumberFormat="0" applyBorder="0" applyAlignment="0" applyProtection="0"/>
    <xf numFmtId="172" fontId="4" fillId="2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4" borderId="0" applyNumberFormat="0" applyBorder="0" applyAlignment="0" applyProtection="0"/>
    <xf numFmtId="172" fontId="4" fillId="24" borderId="0" applyNumberFormat="0" applyBorder="0" applyAlignment="0" applyProtection="0"/>
    <xf numFmtId="172" fontId="19" fillId="3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19" fillId="4" borderId="0" applyNumberFormat="0" applyBorder="0" applyAlignment="0" applyProtection="0"/>
    <xf numFmtId="172" fontId="4" fillId="25" borderId="0" applyNumberFormat="0" applyBorder="0" applyAlignment="0" applyProtection="0"/>
    <xf numFmtId="172" fontId="4" fillId="25" borderId="0" applyNumberFormat="0" applyBorder="0" applyAlignment="0" applyProtection="0"/>
    <xf numFmtId="172" fontId="19" fillId="4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6" borderId="0" applyNumberFormat="0" applyBorder="0" applyAlignment="0" applyProtection="0"/>
    <xf numFmtId="172" fontId="4" fillId="26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27" borderId="0" applyNumberFormat="0" applyBorder="0" applyAlignment="0" applyProtection="0"/>
    <xf numFmtId="172" fontId="4" fillId="27" borderId="0" applyNumberFormat="0" applyBorder="0" applyAlignment="0" applyProtection="0"/>
    <xf numFmtId="172" fontId="19" fillId="5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28" borderId="0" applyNumberFormat="0" applyBorder="0" applyAlignment="0" applyProtection="0"/>
    <xf numFmtId="172" fontId="4" fillId="28" borderId="0" applyNumberFormat="0" applyBorder="0" applyAlignment="0" applyProtection="0"/>
    <xf numFmtId="172" fontId="19" fillId="2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29" borderId="0" applyNumberFormat="0" applyBorder="0" applyAlignment="0" applyProtection="0"/>
    <xf numFmtId="172" fontId="4" fillId="29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19" fillId="3" borderId="0" applyNumberFormat="0" applyBorder="0" applyAlignment="0" applyProtection="0"/>
    <xf numFmtId="172" fontId="4" fillId="30" borderId="0" applyNumberFormat="0" applyBorder="0" applyAlignment="0" applyProtection="0"/>
    <xf numFmtId="172" fontId="4" fillId="30" borderId="0" applyNumberFormat="0" applyBorder="0" applyAlignment="0" applyProtection="0"/>
    <xf numFmtId="172" fontId="19" fillId="3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19" fillId="6" borderId="0" applyNumberFormat="0" applyBorder="0" applyAlignment="0" applyProtection="0"/>
    <xf numFmtId="172" fontId="4" fillId="31" borderId="0" applyNumberFormat="0" applyBorder="0" applyAlignment="0" applyProtection="0"/>
    <xf numFmtId="172" fontId="4" fillId="31" borderId="0" applyNumberFormat="0" applyBorder="0" applyAlignment="0" applyProtection="0"/>
    <xf numFmtId="172" fontId="19" fillId="6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19" fillId="2" borderId="0" applyNumberFormat="0" applyBorder="0" applyAlignment="0" applyProtection="0"/>
    <xf numFmtId="172" fontId="4" fillId="32" borderId="0" applyNumberFormat="0" applyBorder="0" applyAlignment="0" applyProtection="0"/>
    <xf numFmtId="172" fontId="4" fillId="32" borderId="0" applyNumberFormat="0" applyBorder="0" applyAlignment="0" applyProtection="0"/>
    <xf numFmtId="172" fontId="19" fillId="2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19" fillId="5" borderId="0" applyNumberFormat="0" applyBorder="0" applyAlignment="0" applyProtection="0"/>
    <xf numFmtId="172" fontId="4" fillId="33" borderId="0" applyNumberFormat="0" applyBorder="0" applyAlignment="0" applyProtection="0"/>
    <xf numFmtId="172" fontId="4" fillId="33" borderId="0" applyNumberFormat="0" applyBorder="0" applyAlignment="0" applyProtection="0"/>
    <xf numFmtId="172" fontId="19" fillId="5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4" borderId="0" applyNumberFormat="0" applyBorder="0" applyAlignment="0" applyProtection="0"/>
    <xf numFmtId="172" fontId="55" fillId="34" borderId="0" applyNumberFormat="0" applyBorder="0" applyAlignment="0" applyProtection="0"/>
    <xf numFmtId="172" fontId="14" fillId="2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172" fontId="55" fillId="35" borderId="0" applyNumberFormat="0" applyBorder="0" applyAlignment="0" applyProtection="0"/>
    <xf numFmtId="172" fontId="55" fillId="35" borderId="0" applyNumberFormat="0" applyBorder="0" applyAlignment="0" applyProtection="0"/>
    <xf numFmtId="172" fontId="14" fillId="7" borderId="0" applyNumberFormat="0" applyBorder="0" applyAlignment="0" applyProtection="0"/>
    <xf numFmtId="0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14" fillId="3" borderId="0" applyNumberFormat="0" applyBorder="0" applyAlignment="0" applyProtection="0"/>
    <xf numFmtId="172" fontId="55" fillId="36" borderId="0" applyNumberFormat="0" applyBorder="0" applyAlignment="0" applyProtection="0"/>
    <xf numFmtId="172" fontId="55" fillId="36" borderId="0" applyNumberFormat="0" applyBorder="0" applyAlignment="0" applyProtection="0"/>
    <xf numFmtId="172" fontId="14" fillId="3" borderId="0" applyNumberFormat="0" applyBorder="0" applyAlignment="0" applyProtection="0"/>
    <xf numFmtId="0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14" fillId="6" borderId="0" applyNumberFormat="0" applyBorder="0" applyAlignment="0" applyProtection="0"/>
    <xf numFmtId="172" fontId="55" fillId="37" borderId="0" applyNumberFormat="0" applyBorder="0" applyAlignment="0" applyProtection="0"/>
    <xf numFmtId="172" fontId="55" fillId="37" borderId="0" applyNumberFormat="0" applyBorder="0" applyAlignment="0" applyProtection="0"/>
    <xf numFmtId="172" fontId="14" fillId="6" borderId="0" applyNumberFormat="0" applyBorder="0" applyAlignment="0" applyProtection="0"/>
    <xf numFmtId="0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14" fillId="2" borderId="0" applyNumberFormat="0" applyBorder="0" applyAlignment="0" applyProtection="0"/>
    <xf numFmtId="172" fontId="55" fillId="38" borderId="0" applyNumberFormat="0" applyBorder="0" applyAlignment="0" applyProtection="0"/>
    <xf numFmtId="172" fontId="55" fillId="38" borderId="0" applyNumberFormat="0" applyBorder="0" applyAlignment="0" applyProtection="0"/>
    <xf numFmtId="172" fontId="14" fillId="2" borderId="0" applyNumberFormat="0" applyBorder="0" applyAlignment="0" applyProtection="0"/>
    <xf numFmtId="0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14" fillId="5" borderId="0" applyNumberFormat="0" applyBorder="0" applyAlignment="0" applyProtection="0"/>
    <xf numFmtId="172" fontId="55" fillId="39" borderId="0" applyNumberFormat="0" applyBorder="0" applyAlignment="0" applyProtection="0"/>
    <xf numFmtId="172" fontId="55" fillId="39" borderId="0" applyNumberFormat="0" applyBorder="0" applyAlignment="0" applyProtection="0"/>
    <xf numFmtId="172" fontId="14" fillId="5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0" borderId="0" applyNumberFormat="0" applyBorder="0" applyAlignment="0" applyProtection="0"/>
    <xf numFmtId="172" fontId="55" fillId="40" borderId="0" applyNumberFormat="0" applyBorder="0" applyAlignment="0" applyProtection="0"/>
    <xf numFmtId="172" fontId="14" fillId="8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172" fontId="55" fillId="41" borderId="0" applyNumberFormat="0" applyBorder="0" applyAlignment="0" applyProtection="0"/>
    <xf numFmtId="172" fontId="55" fillId="41" borderId="0" applyNumberFormat="0" applyBorder="0" applyAlignment="0" applyProtection="0"/>
    <xf numFmtId="172" fontId="14" fillId="9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172" fontId="55" fillId="42" borderId="0" applyNumberFormat="0" applyBorder="0" applyAlignment="0" applyProtection="0"/>
    <xf numFmtId="172" fontId="55" fillId="42" borderId="0" applyNumberFormat="0" applyBorder="0" applyAlignment="0" applyProtection="0"/>
    <xf numFmtId="172" fontId="14" fillId="10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172" fontId="55" fillId="43" borderId="0" applyNumberFormat="0" applyBorder="0" applyAlignment="0" applyProtection="0"/>
    <xf numFmtId="172" fontId="55" fillId="43" borderId="0" applyNumberFormat="0" applyBorder="0" applyAlignment="0" applyProtection="0"/>
    <xf numFmtId="172" fontId="14" fillId="11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172" fontId="55" fillId="44" borderId="0" applyNumberFormat="0" applyBorder="0" applyAlignment="0" applyProtection="0"/>
    <xf numFmtId="172" fontId="55" fillId="44" borderId="0" applyNumberFormat="0" applyBorder="0" applyAlignment="0" applyProtection="0"/>
    <xf numFmtId="172" fontId="14" fillId="8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172" fontId="55" fillId="45" borderId="0" applyNumberFormat="0" applyBorder="0" applyAlignment="0" applyProtection="0"/>
    <xf numFmtId="172" fontId="55" fillId="45" borderId="0" applyNumberFormat="0" applyBorder="0" applyAlignment="0" applyProtection="0"/>
    <xf numFmtId="172" fontId="14" fillId="12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21" fillId="13" borderId="0" applyNumberFormat="0" applyBorder="0" applyAlignment="0" applyProtection="0"/>
    <xf numFmtId="172" fontId="56" fillId="46" borderId="0" applyNumberFormat="0" applyBorder="0" applyAlignment="0" applyProtection="0"/>
    <xf numFmtId="172" fontId="56" fillId="46" borderId="0" applyNumberFormat="0" applyBorder="0" applyAlignment="0" applyProtection="0"/>
    <xf numFmtId="172" fontId="21" fillId="13" borderId="0" applyNumberFormat="0" applyBorder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57" fillId="47" borderId="16" applyNumberFormat="0" applyAlignment="0" applyProtection="0"/>
    <xf numFmtId="172" fontId="57" fillId="47" borderId="16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2" fillId="4" borderId="1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23" fillId="14" borderId="2" applyNumberFormat="0" applyAlignment="0" applyProtection="0"/>
    <xf numFmtId="172" fontId="58" fillId="48" borderId="17" applyNumberFormat="0" applyAlignment="0" applyProtection="0"/>
    <xf numFmtId="172" fontId="58" fillId="48" borderId="17" applyNumberFormat="0" applyAlignment="0" applyProtection="0"/>
    <xf numFmtId="172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25" fillId="17" borderId="0" applyNumberFormat="0" applyBorder="0" applyAlignment="0" applyProtection="0"/>
    <xf numFmtId="172" fontId="60" fillId="49" borderId="0" applyNumberFormat="0" applyBorder="0" applyAlignment="0" applyProtection="0"/>
    <xf numFmtId="172" fontId="60" fillId="49" borderId="0" applyNumberFormat="0" applyBorder="0" applyAlignment="0" applyProtection="0"/>
    <xf numFmtId="172" fontId="25" fillId="17" borderId="0" applyNumberFormat="0" applyBorder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26" fillId="0" borderId="3" applyNumberFormat="0" applyFill="0" applyAlignment="0" applyProtection="0"/>
    <xf numFmtId="172" fontId="61" fillId="0" borderId="18" applyNumberFormat="0" applyFill="0" applyAlignment="0" applyProtection="0"/>
    <xf numFmtId="172" fontId="61" fillId="0" borderId="18" applyNumberFormat="0" applyFill="0" applyAlignment="0" applyProtection="0"/>
    <xf numFmtId="172" fontId="26" fillId="0" borderId="3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27" fillId="0" borderId="4" applyNumberFormat="0" applyFill="0" applyAlignment="0" applyProtection="0"/>
    <xf numFmtId="172" fontId="62" fillId="0" borderId="19" applyNumberFormat="0" applyFill="0" applyAlignment="0" applyProtection="0"/>
    <xf numFmtId="172" fontId="62" fillId="0" borderId="19" applyNumberFormat="0" applyFill="0" applyAlignment="0" applyProtection="0"/>
    <xf numFmtId="172" fontId="27" fillId="0" borderId="4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63" fillId="0" borderId="20" applyNumberFormat="0" applyFill="0" applyAlignment="0" applyProtection="0"/>
    <xf numFmtId="172" fontId="63" fillId="0" borderId="20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5" applyNumberFormat="0" applyFill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2" fontId="28" fillId="0" borderId="0" applyNumberFormat="0" applyFill="0" applyBorder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64" fillId="50" borderId="16" applyNumberFormat="0" applyAlignment="0" applyProtection="0"/>
    <xf numFmtId="172" fontId="64" fillId="50" borderId="16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29" fillId="5" borderId="1" applyNumberFormat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30" fillId="0" borderId="6" applyNumberFormat="0" applyFill="0" applyAlignment="0" applyProtection="0"/>
    <xf numFmtId="172" fontId="65" fillId="0" borderId="21" applyNumberFormat="0" applyFill="0" applyAlignment="0" applyProtection="0"/>
    <xf numFmtId="172" fontId="65" fillId="0" borderId="21" applyNumberFormat="0" applyFill="0" applyAlignment="0" applyProtection="0"/>
    <xf numFmtId="172" fontId="30" fillId="0" borderId="6" applyNumberFormat="0" applyFill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66" fillId="51" borderId="0" applyNumberFormat="0" applyBorder="0" applyAlignment="0" applyProtection="0"/>
    <xf numFmtId="172" fontId="66" fillId="51" borderId="0" applyNumberFormat="0" applyBorder="0" applyAlignment="0" applyProtection="0"/>
    <xf numFmtId="172" fontId="31" fillId="18" borderId="0" applyNumberFormat="0" applyBorder="0" applyAlignment="0" applyProtection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0" fontId="11" fillId="0" borderId="0"/>
    <xf numFmtId="172" fontId="11" fillId="0" borderId="0"/>
    <xf numFmtId="0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67" fillId="0" borderId="0"/>
    <xf numFmtId="0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11" fillId="0" borderId="0"/>
    <xf numFmtId="172" fontId="11" fillId="0" borderId="0"/>
    <xf numFmtId="172" fontId="4" fillId="0" borderId="0"/>
    <xf numFmtId="172" fontId="4" fillId="0" borderId="0"/>
    <xf numFmtId="0" fontId="4" fillId="0" borderId="0"/>
    <xf numFmtId="0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4" fillId="52" borderId="22" applyNumberFormat="0" applyFont="0" applyAlignment="0" applyProtection="0"/>
    <xf numFmtId="172" fontId="4" fillId="52" borderId="22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11" fillId="19" borderId="7" applyNumberFormat="0" applyFon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68" fillId="47" borderId="23" applyNumberFormat="0" applyAlignment="0" applyProtection="0"/>
    <xf numFmtId="172" fontId="68" fillId="47" borderId="23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172" fontId="32" fillId="4" borderId="8" applyNumberFormat="0" applyAlignment="0" applyProtection="0"/>
    <xf numFmtId="40" fontId="69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0" fillId="20" borderId="0">
      <alignment horizontal="right"/>
    </xf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20" borderId="9"/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1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172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2" fontId="19" fillId="0" borderId="0">
      <alignment vertical="top"/>
    </xf>
    <xf numFmtId="174" fontId="11" fillId="21" borderId="24">
      <alignment horizontal="right"/>
    </xf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73" fillId="0" borderId="0" applyNumberFormat="0" applyFill="0" applyBorder="0" applyAlignment="0" applyProtection="0"/>
    <xf numFmtId="172" fontId="33" fillId="0" borderId="0" applyNumberFormat="0" applyFill="0" applyBorder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74" fillId="0" borderId="25" applyNumberFormat="0" applyFill="0" applyAlignment="0" applyProtection="0"/>
    <xf numFmtId="172" fontId="74" fillId="0" borderId="25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34" fillId="0" borderId="10" applyNumberFormat="0" applyFill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2" fontId="17" fillId="0" borderId="0" applyNumberFormat="0" applyFill="0" applyBorder="0" applyAlignment="0" applyProtection="0"/>
    <xf numFmtId="175" fontId="11" fillId="0" borderId="0"/>
    <xf numFmtId="175" fontId="11" fillId="0" borderId="0"/>
    <xf numFmtId="0" fontId="3" fillId="0" borderId="0"/>
    <xf numFmtId="0" fontId="23" fillId="15" borderId="0">
      <alignment horizontal="left"/>
    </xf>
    <xf numFmtId="176" fontId="23" fillId="15" borderId="0">
      <alignment horizontal="left"/>
    </xf>
    <xf numFmtId="0" fontId="35" fillId="15" borderId="0">
      <alignment horizontal="right"/>
    </xf>
    <xf numFmtId="176" fontId="35" fillId="15" borderId="0">
      <alignment horizontal="right"/>
    </xf>
    <xf numFmtId="0" fontId="36" fillId="16" borderId="0">
      <alignment horizontal="center"/>
    </xf>
    <xf numFmtId="176" fontId="36" fillId="16" borderId="0">
      <alignment horizontal="center"/>
    </xf>
    <xf numFmtId="0" fontId="35" fillId="15" borderId="0">
      <alignment horizontal="right"/>
    </xf>
    <xf numFmtId="176" fontId="35" fillId="15" borderId="0">
      <alignment horizontal="right"/>
    </xf>
    <xf numFmtId="0" fontId="37" fillId="16" borderId="0">
      <alignment horizontal="left"/>
    </xf>
    <xf numFmtId="176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Protection="0"/>
    <xf numFmtId="176" fontId="18" fillId="0" borderId="0" applyProtection="0"/>
    <xf numFmtId="0" fontId="38" fillId="0" borderId="0" applyProtection="0"/>
    <xf numFmtId="176" fontId="38" fillId="0" borderId="0" applyProtection="0"/>
    <xf numFmtId="0" fontId="39" fillId="0" borderId="0" applyProtection="0"/>
    <xf numFmtId="176" fontId="39" fillId="0" borderId="0" applyProtection="0"/>
    <xf numFmtId="0" fontId="12" fillId="0" borderId="0" applyProtection="0"/>
    <xf numFmtId="176" fontId="12" fillId="0" borderId="0" applyProtection="0"/>
    <xf numFmtId="176" fontId="12" fillId="0" borderId="0" applyProtection="0"/>
    <xf numFmtId="0" fontId="11" fillId="0" borderId="0" applyProtection="0"/>
    <xf numFmtId="176" fontId="11" fillId="0" borderId="0" applyProtection="0"/>
    <xf numFmtId="176" fontId="11" fillId="0" borderId="0" applyProtection="0"/>
    <xf numFmtId="0" fontId="18" fillId="0" borderId="0" applyProtection="0"/>
    <xf numFmtId="176" fontId="18" fillId="0" borderId="0" applyProtection="0"/>
    <xf numFmtId="0" fontId="40" fillId="0" borderId="0" applyProtection="0"/>
    <xf numFmtId="176" fontId="40" fillId="0" borderId="0" applyProtection="0"/>
    <xf numFmtId="0" fontId="23" fillId="15" borderId="0">
      <alignment horizontal="left"/>
    </xf>
    <xf numFmtId="176" fontId="23" fillId="15" borderId="0">
      <alignment horizontal="left"/>
    </xf>
    <xf numFmtId="0" fontId="34" fillId="16" borderId="0">
      <alignment horizontal="left"/>
    </xf>
    <xf numFmtId="176" fontId="34" fillId="16" borderId="0">
      <alignment horizontal="left"/>
    </xf>
    <xf numFmtId="176" fontId="11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3" fillId="0" borderId="0"/>
    <xf numFmtId="176" fontId="3" fillId="0" borderId="0"/>
    <xf numFmtId="0" fontId="3" fillId="0" borderId="0"/>
    <xf numFmtId="176" fontId="3" fillId="0" borderId="0"/>
    <xf numFmtId="176" fontId="8" fillId="0" borderId="0"/>
    <xf numFmtId="0" fontId="8" fillId="0" borderId="0"/>
    <xf numFmtId="176" fontId="8" fillId="0" borderId="0"/>
    <xf numFmtId="176" fontId="8" fillId="0" borderId="0"/>
    <xf numFmtId="176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6" fontId="34" fillId="18" borderId="0">
      <alignment horizontal="center"/>
    </xf>
    <xf numFmtId="0" fontId="35" fillId="15" borderId="0">
      <alignment horizontal="center"/>
    </xf>
    <xf numFmtId="176" fontId="35" fillId="15" borderId="0">
      <alignment horizontal="center"/>
    </xf>
    <xf numFmtId="0" fontId="35" fillId="15" borderId="0">
      <alignment horizontal="centerContinuous"/>
    </xf>
    <xf numFmtId="176" fontId="35" fillId="15" borderId="0">
      <alignment horizontal="centerContinuous"/>
    </xf>
    <xf numFmtId="0" fontId="45" fillId="16" borderId="0">
      <alignment horizontal="left"/>
    </xf>
    <xf numFmtId="176" fontId="45" fillId="16" borderId="0">
      <alignment horizontal="left"/>
    </xf>
    <xf numFmtId="0" fontId="23" fillId="15" borderId="0">
      <alignment horizontal="left"/>
    </xf>
    <xf numFmtId="176" fontId="23" fillId="15" borderId="0">
      <alignment horizontal="left"/>
    </xf>
    <xf numFmtId="0" fontId="23" fillId="15" borderId="0">
      <alignment horizontal="centerContinuous"/>
    </xf>
    <xf numFmtId="176" fontId="23" fillId="15" borderId="0">
      <alignment horizontal="centerContinuous"/>
    </xf>
    <xf numFmtId="0" fontId="23" fillId="15" borderId="0">
      <alignment horizontal="right"/>
    </xf>
    <xf numFmtId="176" fontId="23" fillId="15" borderId="0">
      <alignment horizontal="right"/>
    </xf>
    <xf numFmtId="0" fontId="35" fillId="15" borderId="0">
      <alignment horizontal="right"/>
    </xf>
    <xf numFmtId="176" fontId="35" fillId="15" borderId="0">
      <alignment horizontal="right"/>
    </xf>
    <xf numFmtId="0" fontId="45" fillId="5" borderId="0">
      <alignment horizontal="center"/>
    </xf>
    <xf numFmtId="176" fontId="45" fillId="5" borderId="0">
      <alignment horizontal="center"/>
    </xf>
    <xf numFmtId="0" fontId="15" fillId="5" borderId="0">
      <alignment horizontal="center"/>
    </xf>
    <xf numFmtId="176" fontId="15" fillId="5" borderId="0">
      <alignment horizontal="center"/>
    </xf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11" fillId="0" borderId="0"/>
    <xf numFmtId="176" fontId="11" fillId="0" borderId="0"/>
    <xf numFmtId="176" fontId="11" fillId="0" borderId="0"/>
    <xf numFmtId="0" fontId="46" fillId="16" borderId="0">
      <alignment horizontal="center"/>
    </xf>
    <xf numFmtId="176" fontId="46" fillId="16" borderId="0">
      <alignment horizontal="center"/>
    </xf>
    <xf numFmtId="0" fontId="2" fillId="0" borderId="0"/>
    <xf numFmtId="176" fontId="19" fillId="2" borderId="0" applyNumberFormat="0" applyBorder="0" applyAlignment="0" applyProtection="0"/>
    <xf numFmtId="175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4" borderId="0" applyNumberFormat="0" applyBorder="0" applyAlignment="0" applyProtection="0"/>
    <xf numFmtId="175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4" borderId="0" applyNumberFormat="0" applyBorder="0" applyAlignment="0" applyProtection="0"/>
    <xf numFmtId="176" fontId="19" fillId="2" borderId="0" applyNumberFormat="0" applyBorder="0" applyAlignment="0" applyProtection="0"/>
    <xf numFmtId="175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2" borderId="0" applyNumberFormat="0" applyBorder="0" applyAlignment="0" applyProtection="0"/>
    <xf numFmtId="175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3" borderId="0" applyNumberFormat="0" applyBorder="0" applyAlignment="0" applyProtection="0"/>
    <xf numFmtId="175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5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3" borderId="0" applyNumberFormat="0" applyBorder="0" applyAlignment="0" applyProtection="0"/>
    <xf numFmtId="176" fontId="19" fillId="6" borderId="0" applyNumberFormat="0" applyBorder="0" applyAlignment="0" applyProtection="0"/>
    <xf numFmtId="175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6" borderId="0" applyNumberFormat="0" applyBorder="0" applyAlignment="0" applyProtection="0"/>
    <xf numFmtId="176" fontId="19" fillId="2" borderId="0" applyNumberFormat="0" applyBorder="0" applyAlignment="0" applyProtection="0"/>
    <xf numFmtId="175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2" borderId="0" applyNumberFormat="0" applyBorder="0" applyAlignment="0" applyProtection="0"/>
    <xf numFmtId="176" fontId="19" fillId="5" borderId="0" applyNumberFormat="0" applyBorder="0" applyAlignment="0" applyProtection="0"/>
    <xf numFmtId="175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6" fontId="19" fillId="5" borderId="0" applyNumberFormat="0" applyBorder="0" applyAlignment="0" applyProtection="0"/>
    <xf numFmtId="176" fontId="19" fillId="5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7" borderId="0" applyNumberFormat="0" applyBorder="0" applyAlignment="0" applyProtection="0"/>
    <xf numFmtId="176" fontId="14" fillId="7" borderId="0" applyNumberFormat="0" applyBorder="0" applyAlignment="0" applyProtection="0"/>
    <xf numFmtId="176" fontId="14" fillId="7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3" borderId="0" applyNumberFormat="0" applyBorder="0" applyAlignment="0" applyProtection="0"/>
    <xf numFmtId="176" fontId="14" fillId="3" borderId="0" applyNumberFormat="0" applyBorder="0" applyAlignment="0" applyProtection="0"/>
    <xf numFmtId="176" fontId="14" fillId="3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6" borderId="0" applyNumberFormat="0" applyBorder="0" applyAlignment="0" applyProtection="0"/>
    <xf numFmtId="176" fontId="14" fillId="6" borderId="0" applyNumberFormat="0" applyBorder="0" applyAlignment="0" applyProtection="0"/>
    <xf numFmtId="176" fontId="14" fillId="6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2" borderId="0" applyNumberFormat="0" applyBorder="0" applyAlignment="0" applyProtection="0"/>
    <xf numFmtId="176" fontId="14" fillId="2" borderId="0" applyNumberFormat="0" applyBorder="0" applyAlignment="0" applyProtection="0"/>
    <xf numFmtId="176" fontId="14" fillId="2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5" borderId="0" applyNumberFormat="0" applyBorder="0" applyAlignment="0" applyProtection="0"/>
    <xf numFmtId="176" fontId="14" fillId="5" borderId="0" applyNumberFormat="0" applyBorder="0" applyAlignment="0" applyProtection="0"/>
    <xf numFmtId="176" fontId="14" fillId="5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14" fillId="9" borderId="0" applyNumberFormat="0" applyBorder="0" applyAlignment="0" applyProtection="0"/>
    <xf numFmtId="176" fontId="14" fillId="9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14" fillId="10" borderId="0" applyNumberFormat="0" applyBorder="0" applyAlignment="0" applyProtection="0"/>
    <xf numFmtId="176" fontId="14" fillId="10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11" borderId="0" applyNumberFormat="0" applyBorder="0" applyAlignment="0" applyProtection="0"/>
    <xf numFmtId="176" fontId="14" fillId="11" borderId="0" applyNumberFormat="0" applyBorder="0" applyAlignment="0" applyProtection="0"/>
    <xf numFmtId="176" fontId="14" fillId="11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8" borderId="0" applyNumberFormat="0" applyBorder="0" applyAlignment="0" applyProtection="0"/>
    <xf numFmtId="176" fontId="14" fillId="8" borderId="0" applyNumberFormat="0" applyBorder="0" applyAlignment="0" applyProtection="0"/>
    <xf numFmtId="176" fontId="14" fillId="8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14" fillId="12" borderId="0" applyNumberFormat="0" applyBorder="0" applyAlignment="0" applyProtection="0"/>
    <xf numFmtId="176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6" fontId="21" fillId="13" borderId="0" applyNumberFormat="0" applyBorder="0" applyAlignment="0" applyProtection="0"/>
    <xf numFmtId="176" fontId="21" fillId="13" borderId="0" applyNumberFormat="0" applyBorder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5" fontId="22" fillId="4" borderId="1" applyNumberFormat="0" applyAlignment="0" applyProtection="0"/>
    <xf numFmtId="176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6" fontId="23" fillId="14" borderId="2" applyNumberFormat="0" applyAlignment="0" applyProtection="0"/>
    <xf numFmtId="176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4" fillId="0" borderId="0" applyNumberFormat="0" applyFill="0" applyBorder="0" applyAlignment="0" applyProtection="0"/>
    <xf numFmtId="176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5" fillId="17" borderId="0" applyNumberFormat="0" applyBorder="0" applyAlignment="0" applyProtection="0"/>
    <xf numFmtId="176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6" fillId="0" borderId="3" applyNumberFormat="0" applyFill="0" applyAlignment="0" applyProtection="0"/>
    <xf numFmtId="176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7" fillId="0" borderId="4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0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5" applyNumberFormat="0" applyFill="0" applyAlignment="0" applyProtection="0"/>
    <xf numFmtId="17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6" fontId="28" fillId="0" borderId="0" applyNumberFormat="0" applyFill="0" applyBorder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5" fontId="29" fillId="5" borderId="1" applyNumberFormat="0" applyAlignment="0" applyProtection="0"/>
    <xf numFmtId="176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0" fillId="0" borderId="6" applyNumberFormat="0" applyFill="0" applyAlignment="0" applyProtection="0"/>
    <xf numFmtId="176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6" fontId="31" fillId="18" borderId="0" applyNumberFormat="0" applyBorder="0" applyAlignment="0" applyProtection="0"/>
    <xf numFmtId="176" fontId="31" fillId="18" borderId="0" applyNumberFormat="0" applyBorder="0" applyAlignment="0" applyProtection="0"/>
    <xf numFmtId="0" fontId="11" fillId="0" borderId="0"/>
    <xf numFmtId="176" fontId="11" fillId="0" borderId="0"/>
    <xf numFmtId="0" fontId="76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7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11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176" fontId="2" fillId="0" borderId="0"/>
    <xf numFmtId="175" fontId="2" fillId="0" borderId="0"/>
    <xf numFmtId="176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2" fillId="52" borderId="22" applyNumberFormat="0" applyFont="0" applyAlignment="0" applyProtection="0"/>
    <xf numFmtId="0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6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11" fillId="19" borderId="7" applyNumberFormat="0" applyFon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6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175" fontId="32" fillId="4" borderId="8" applyNumberFormat="0" applyAlignment="0" applyProtection="0"/>
    <xf numFmtId="0" fontId="42" fillId="20" borderId="0">
      <alignment horizontal="center" vertical="center"/>
    </xf>
    <xf numFmtId="176" fontId="42" fillId="20" borderId="0">
      <alignment horizontal="center" vertical="center"/>
    </xf>
    <xf numFmtId="0" fontId="34" fillId="20" borderId="9"/>
    <xf numFmtId="176" fontId="34" fillId="20" borderId="9"/>
    <xf numFmtId="0" fontId="42" fillId="20" borderId="0" applyBorder="0">
      <alignment horizontal="centerContinuous"/>
    </xf>
    <xf numFmtId="176" fontId="42" fillId="20" borderId="0" applyBorder="0">
      <alignment horizontal="centerContinuous"/>
    </xf>
    <xf numFmtId="0" fontId="43" fillId="20" borderId="0" applyBorder="0">
      <alignment horizontal="centerContinuous"/>
    </xf>
    <xf numFmtId="176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6" fontId="33" fillId="0" borderId="0" applyNumberFormat="0" applyFill="0" applyBorder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6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175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176" fontId="17" fillId="0" borderId="0" applyNumberFormat="0" applyFill="0" applyBorder="0" applyAlignment="0" applyProtection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43" fontId="80" fillId="0" borderId="0" xfId="33" applyFont="1" applyFill="1"/>
    <xf numFmtId="0" fontId="80" fillId="0" borderId="0" xfId="0" applyFont="1" applyFill="1"/>
    <xf numFmtId="0" fontId="79" fillId="0" borderId="0" xfId="0" applyFont="1" applyFill="1" applyAlignment="1"/>
    <xf numFmtId="0" fontId="79" fillId="0" borderId="0" xfId="0" applyFont="1" applyFill="1"/>
    <xf numFmtId="0" fontId="80" fillId="0" borderId="0" xfId="0" applyFont="1" applyFill="1" applyBorder="1" applyAlignment="1">
      <alignment horizontal="center"/>
    </xf>
    <xf numFmtId="0" fontId="80" fillId="0" borderId="0" xfId="0" applyFont="1" applyFill="1" applyBorder="1"/>
    <xf numFmtId="178" fontId="80" fillId="0" borderId="9" xfId="0" applyNumberFormat="1" applyFont="1" applyFill="1" applyBorder="1"/>
    <xf numFmtId="0" fontId="80" fillId="0" borderId="11" xfId="0" applyFont="1" applyFill="1" applyBorder="1" applyAlignment="1">
      <alignment horizontal="center" wrapText="1"/>
    </xf>
    <xf numFmtId="2" fontId="80" fillId="0" borderId="0" xfId="0" applyNumberFormat="1" applyFont="1" applyFill="1"/>
    <xf numFmtId="166" fontId="80" fillId="0" borderId="0" xfId="0" applyNumberFormat="1" applyFont="1" applyFill="1"/>
    <xf numFmtId="4" fontId="80" fillId="0" borderId="0" xfId="0" applyNumberFormat="1" applyFont="1" applyFill="1"/>
    <xf numFmtId="0" fontId="80" fillId="0" borderId="31" xfId="0" applyFont="1" applyFill="1" applyBorder="1"/>
    <xf numFmtId="181" fontId="80" fillId="0" borderId="11" xfId="0" applyNumberFormat="1" applyFont="1" applyFill="1" applyBorder="1"/>
    <xf numFmtId="37" fontId="80" fillId="0" borderId="11" xfId="0" applyNumberFormat="1" applyFont="1" applyFill="1" applyBorder="1"/>
    <xf numFmtId="0" fontId="80" fillId="0" borderId="11" xfId="0" applyFont="1" applyFill="1" applyBorder="1"/>
    <xf numFmtId="178" fontId="80" fillId="0" borderId="29" xfId="0" applyNumberFormat="1" applyFont="1" applyFill="1" applyBorder="1"/>
    <xf numFmtId="181" fontId="80" fillId="0" borderId="0" xfId="0" applyNumberFormat="1" applyFont="1" applyFill="1"/>
    <xf numFmtId="37" fontId="80" fillId="0" borderId="0" xfId="0" applyNumberFormat="1" applyFont="1" applyFill="1"/>
    <xf numFmtId="37" fontId="80" fillId="0" borderId="12" xfId="0" applyNumberFormat="1" applyFont="1" applyFill="1" applyBorder="1"/>
    <xf numFmtId="178" fontId="80" fillId="0" borderId="0" xfId="0" applyNumberFormat="1" applyFont="1" applyFill="1"/>
    <xf numFmtId="0" fontId="80" fillId="0" borderId="0" xfId="0" applyFont="1" applyFill="1" applyAlignment="1"/>
    <xf numFmtId="0" fontId="80" fillId="0" borderId="15" xfId="0" applyFont="1" applyFill="1" applyBorder="1"/>
    <xf numFmtId="0" fontId="80" fillId="0" borderId="0" xfId="0" applyFont="1" applyFill="1" applyAlignment="1">
      <alignment horizontal="left"/>
    </xf>
    <xf numFmtId="0" fontId="80" fillId="0" borderId="11" xfId="0" applyFont="1" applyFill="1" applyBorder="1" applyAlignment="1">
      <alignment horizontal="center"/>
    </xf>
    <xf numFmtId="0" fontId="80" fillId="0" borderId="0" xfId="0" applyFont="1" applyFill="1" applyAlignment="1">
      <alignment horizontal="center"/>
    </xf>
    <xf numFmtId="178" fontId="80" fillId="0" borderId="0" xfId="0" applyNumberFormat="1" applyFont="1" applyFill="1" applyBorder="1"/>
    <xf numFmtId="0" fontId="79" fillId="0" borderId="15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right"/>
    </xf>
    <xf numFmtId="43" fontId="80" fillId="0" borderId="15" xfId="33" applyFont="1" applyFill="1" applyBorder="1"/>
    <xf numFmtId="178" fontId="80" fillId="0" borderId="9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80" fillId="0" borderId="11" xfId="0" applyFont="1" applyFill="1" applyBorder="1" applyAlignment="1">
      <alignment horizontal="right" wrapText="1"/>
    </xf>
    <xf numFmtId="178" fontId="80" fillId="0" borderId="29" xfId="0" applyNumberFormat="1" applyFont="1" applyFill="1" applyBorder="1" applyAlignment="1">
      <alignment horizontal="center"/>
    </xf>
    <xf numFmtId="179" fontId="80" fillId="0" borderId="0" xfId="0" applyNumberFormat="1" applyFont="1" applyFill="1" applyBorder="1" applyAlignment="1">
      <alignment horizontal="center"/>
    </xf>
    <xf numFmtId="165" fontId="80" fillId="0" borderId="0" xfId="0" applyNumberFormat="1" applyFont="1" applyFill="1" applyBorder="1"/>
    <xf numFmtId="37" fontId="80" fillId="0" borderId="0" xfId="0" applyNumberFormat="1" applyFont="1" applyFill="1" applyBorder="1"/>
    <xf numFmtId="166" fontId="80" fillId="0" borderId="0" xfId="0" applyNumberFormat="1" applyFont="1" applyFill="1" applyBorder="1"/>
    <xf numFmtId="166" fontId="80" fillId="0" borderId="0" xfId="0" applyNumberFormat="1" applyFont="1" applyFill="1" applyBorder="1" applyAlignment="1">
      <alignment horizontal="right"/>
    </xf>
    <xf numFmtId="37" fontId="80" fillId="0" borderId="0" xfId="0" applyNumberFormat="1" applyFont="1" applyFill="1" applyBorder="1" applyAlignment="1">
      <alignment horizontal="right"/>
    </xf>
    <xf numFmtId="0" fontId="80" fillId="0" borderId="0" xfId="0" applyFont="1" applyFill="1" applyBorder="1" applyAlignment="1">
      <alignment horizontal="left"/>
    </xf>
    <xf numFmtId="41" fontId="80" fillId="0" borderId="0" xfId="0" applyNumberFormat="1" applyFont="1" applyFill="1" applyBorder="1"/>
    <xf numFmtId="0" fontId="79" fillId="0" borderId="0" xfId="0" applyFont="1" applyFill="1" applyBorder="1"/>
    <xf numFmtId="165" fontId="80" fillId="0" borderId="9" xfId="72" applyNumberFormat="1" applyFont="1" applyFill="1" applyBorder="1"/>
    <xf numFmtId="0" fontId="79" fillId="0" borderId="0" xfId="0" applyFont="1" applyFill="1" applyBorder="1" applyAlignment="1">
      <alignment horizontal="right"/>
    </xf>
    <xf numFmtId="41" fontId="80" fillId="0" borderId="0" xfId="0" applyNumberFormat="1" applyFont="1" applyFill="1" applyBorder="1" applyAlignment="1">
      <alignment horizontal="right"/>
    </xf>
    <xf numFmtId="41" fontId="80" fillId="0" borderId="0" xfId="0" applyNumberFormat="1" applyFont="1" applyFill="1" applyBorder="1" applyAlignment="1">
      <alignment horizontal="left"/>
    </xf>
    <xf numFmtId="0" fontId="80" fillId="0" borderId="0" xfId="0" applyFont="1" applyFill="1" applyAlignment="1">
      <alignment horizontal="right"/>
    </xf>
    <xf numFmtId="164" fontId="80" fillId="0" borderId="0" xfId="0" applyNumberFormat="1" applyFont="1" applyFill="1" applyBorder="1"/>
    <xf numFmtId="164" fontId="80" fillId="0" borderId="9" xfId="72" applyNumberFormat="1" applyFont="1" applyFill="1" applyBorder="1"/>
    <xf numFmtId="180" fontId="80" fillId="0" borderId="0" xfId="0" applyNumberFormat="1" applyFont="1" applyFill="1" applyBorder="1"/>
    <xf numFmtId="41" fontId="80" fillId="0" borderId="0" xfId="0" applyNumberFormat="1" applyFont="1" applyFill="1" applyBorder="1" applyAlignment="1">
      <alignment horizontal="center"/>
    </xf>
    <xf numFmtId="0" fontId="79" fillId="0" borderId="15" xfId="0" applyFont="1" applyFill="1" applyBorder="1"/>
    <xf numFmtId="43" fontId="80" fillId="0" borderId="0" xfId="33" applyFont="1" applyFill="1" applyBorder="1" applyAlignment="1">
      <alignment horizontal="center"/>
    </xf>
    <xf numFmtId="181" fontId="80" fillId="0" borderId="0" xfId="0" applyNumberFormat="1" applyFont="1" applyFill="1" applyBorder="1"/>
    <xf numFmtId="42" fontId="80" fillId="0" borderId="26" xfId="0" applyNumberFormat="1" applyFont="1" applyFill="1" applyBorder="1"/>
    <xf numFmtId="42" fontId="80" fillId="0" borderId="0" xfId="0" applyNumberFormat="1" applyFont="1" applyFill="1" applyBorder="1" applyAlignment="1">
      <alignment horizontal="right"/>
    </xf>
    <xf numFmtId="42" fontId="80" fillId="0" borderId="26" xfId="0" applyNumberFormat="1" applyFont="1" applyFill="1" applyBorder="1" applyAlignment="1">
      <alignment horizontal="right"/>
    </xf>
    <xf numFmtId="42" fontId="80" fillId="0" borderId="0" xfId="0" applyNumberFormat="1" applyFont="1" applyFill="1" applyBorder="1"/>
    <xf numFmtId="165" fontId="79" fillId="0" borderId="30" xfId="72" applyNumberFormat="1" applyFont="1" applyFill="1" applyBorder="1"/>
    <xf numFmtId="2" fontId="80" fillId="0" borderId="0" xfId="0" applyNumberFormat="1" applyFont="1" applyFill="1" applyBorder="1"/>
    <xf numFmtId="0" fontId="80" fillId="0" borderId="15" xfId="0" applyFont="1" applyFill="1" applyBorder="1" applyAlignment="1">
      <alignment wrapText="1"/>
    </xf>
    <xf numFmtId="39" fontId="80" fillId="0" borderId="0" xfId="0" applyNumberFormat="1" applyFont="1" applyFill="1" applyBorder="1"/>
    <xf numFmtId="43" fontId="80" fillId="0" borderId="0" xfId="0" applyNumberFormat="1" applyFont="1" applyFill="1" applyBorder="1" applyAlignment="1">
      <alignment horizontal="right"/>
    </xf>
    <xf numFmtId="42" fontId="80" fillId="0" borderId="13" xfId="0" applyNumberFormat="1" applyFont="1" applyFill="1" applyBorder="1"/>
    <xf numFmtId="42" fontId="80" fillId="0" borderId="13" xfId="0" applyNumberFormat="1" applyFont="1" applyFill="1" applyBorder="1" applyAlignment="1">
      <alignment horizontal="right"/>
    </xf>
    <xf numFmtId="0" fontId="80" fillId="0" borderId="11" xfId="0" applyFont="1" applyFill="1" applyBorder="1" applyAlignment="1">
      <alignment horizontal="right"/>
    </xf>
    <xf numFmtId="37" fontId="80" fillId="0" borderId="11" xfId="0" applyNumberFormat="1" applyFont="1" applyFill="1" applyBorder="1" applyAlignment="1">
      <alignment horizontal="right"/>
    </xf>
    <xf numFmtId="0" fontId="79" fillId="0" borderId="0" xfId="0" applyFont="1" applyFill="1" applyAlignment="1">
      <alignment horizontal="right"/>
    </xf>
    <xf numFmtId="37" fontId="80" fillId="0" borderId="0" xfId="0" applyNumberFormat="1" applyFont="1" applyFill="1" applyAlignment="1">
      <alignment horizontal="right"/>
    </xf>
    <xf numFmtId="0" fontId="82" fillId="0" borderId="0" xfId="0" applyFont="1" applyFill="1" applyBorder="1" applyAlignment="1">
      <alignment horizontal="right"/>
    </xf>
    <xf numFmtId="178" fontId="82" fillId="0" borderId="9" xfId="0" applyNumberFormat="1" applyFont="1" applyFill="1" applyBorder="1" applyAlignment="1">
      <alignment horizontal="center"/>
    </xf>
    <xf numFmtId="5" fontId="80" fillId="0" borderId="0" xfId="0" applyNumberFormat="1" applyFont="1" applyFill="1" applyBorder="1"/>
    <xf numFmtId="42" fontId="80" fillId="0" borderId="0" xfId="0" applyNumberFormat="1" applyFont="1" applyFill="1" applyBorder="1" applyAlignment="1">
      <alignment horizontal="center"/>
    </xf>
    <xf numFmtId="167" fontId="80" fillId="0" borderId="11" xfId="0" applyNumberFormat="1" applyFont="1" applyFill="1" applyBorder="1"/>
    <xf numFmtId="41" fontId="80" fillId="0" borderId="11" xfId="0" applyNumberFormat="1" applyFont="1" applyFill="1" applyBorder="1"/>
    <xf numFmtId="41" fontId="80" fillId="0" borderId="11" xfId="0" applyNumberFormat="1" applyFont="1" applyFill="1" applyBorder="1" applyAlignment="1">
      <alignment horizontal="center"/>
    </xf>
    <xf numFmtId="41" fontId="80" fillId="0" borderId="11" xfId="0" applyNumberFormat="1" applyFont="1" applyFill="1" applyBorder="1" applyAlignment="1">
      <alignment horizontal="right"/>
    </xf>
    <xf numFmtId="165" fontId="80" fillId="0" borderId="29" xfId="72" applyNumberFormat="1" applyFont="1" applyFill="1" applyBorder="1"/>
    <xf numFmtId="5" fontId="80" fillId="0" borderId="13" xfId="0" applyNumberFormat="1" applyFont="1" applyFill="1" applyBorder="1"/>
    <xf numFmtId="42" fontId="80" fillId="0" borderId="13" xfId="0" applyNumberFormat="1" applyFont="1" applyFill="1" applyBorder="1" applyAlignment="1">
      <alignment horizontal="center"/>
    </xf>
    <xf numFmtId="165" fontId="79" fillId="0" borderId="32" xfId="72" applyNumberFormat="1" applyFont="1" applyFill="1" applyBorder="1"/>
    <xf numFmtId="166" fontId="80" fillId="0" borderId="11" xfId="0" applyNumberFormat="1" applyFont="1" applyFill="1" applyBorder="1"/>
    <xf numFmtId="166" fontId="80" fillId="0" borderId="11" xfId="0" applyNumberFormat="1" applyFont="1" applyFill="1" applyBorder="1" applyAlignment="1">
      <alignment horizontal="right"/>
    </xf>
    <xf numFmtId="165" fontId="80" fillId="0" borderId="0" xfId="72" applyNumberFormat="1" applyFont="1" applyFill="1"/>
    <xf numFmtId="42" fontId="80" fillId="0" borderId="14" xfId="0" applyNumberFormat="1" applyFont="1" applyFill="1" applyBorder="1"/>
    <xf numFmtId="42" fontId="80" fillId="0" borderId="0" xfId="0" applyNumberFormat="1" applyFont="1" applyFill="1"/>
    <xf numFmtId="42" fontId="80" fillId="0" borderId="0" xfId="0" applyNumberFormat="1" applyFont="1" applyFill="1" applyAlignment="1">
      <alignment horizontal="right"/>
    </xf>
    <xf numFmtId="42" fontId="80" fillId="0" borderId="14" xfId="0" applyNumberFormat="1" applyFont="1" applyFill="1" applyBorder="1" applyAlignment="1">
      <alignment horizontal="right"/>
    </xf>
    <xf numFmtId="165" fontId="79" fillId="0" borderId="0" xfId="72" applyNumberFormat="1" applyFont="1" applyFill="1" applyAlignment="1">
      <alignment horizontal="center"/>
    </xf>
    <xf numFmtId="37" fontId="80" fillId="0" borderId="0" xfId="0" applyNumberFormat="1" applyFont="1" applyFill="1" applyAlignment="1">
      <alignment horizontal="center"/>
    </xf>
    <xf numFmtId="0" fontId="82" fillId="0" borderId="0" xfId="0" applyFont="1" applyFill="1" applyAlignment="1">
      <alignment horizontal="left"/>
    </xf>
    <xf numFmtId="0" fontId="82" fillId="0" borderId="0" xfId="0" applyFont="1" applyFill="1"/>
    <xf numFmtId="37" fontId="82" fillId="0" borderId="0" xfId="0" applyNumberFormat="1" applyFont="1" applyFill="1" applyAlignment="1">
      <alignment horizontal="center"/>
    </xf>
    <xf numFmtId="37" fontId="82" fillId="0" borderId="0" xfId="0" applyNumberFormat="1" applyFont="1" applyFill="1" applyAlignment="1">
      <alignment horizontal="right"/>
    </xf>
    <xf numFmtId="0" fontId="82" fillId="0" borderId="0" xfId="0" applyFont="1" applyFill="1" applyAlignment="1">
      <alignment horizontal="center"/>
    </xf>
    <xf numFmtId="179" fontId="80" fillId="0" borderId="0" xfId="0" applyNumberFormat="1" applyFont="1" applyFill="1" applyAlignment="1">
      <alignment horizontal="center"/>
    </xf>
    <xf numFmtId="179" fontId="80" fillId="0" borderId="0" xfId="0" applyNumberFormat="1" applyFont="1" applyFill="1" applyAlignment="1">
      <alignment horizontal="right"/>
    </xf>
    <xf numFmtId="164" fontId="80" fillId="0" borderId="0" xfId="0" applyNumberFormat="1" applyFont="1" applyFill="1" applyAlignment="1">
      <alignment horizontal="center"/>
    </xf>
    <xf numFmtId="164" fontId="80" fillId="0" borderId="0" xfId="0" applyNumberFormat="1" applyFont="1" applyFill="1" applyAlignment="1">
      <alignment horizontal="right"/>
    </xf>
    <xf numFmtId="37" fontId="80" fillId="0" borderId="14" xfId="0" applyNumberFormat="1" applyFont="1" applyFill="1" applyBorder="1"/>
    <xf numFmtId="164" fontId="80" fillId="0" borderId="0" xfId="0" applyNumberFormat="1" applyFont="1" applyFill="1"/>
    <xf numFmtId="0" fontId="80" fillId="0" borderId="0" xfId="0" applyFont="1" applyFill="1" applyAlignment="1">
      <alignment wrapText="1"/>
    </xf>
    <xf numFmtId="0" fontId="80" fillId="0" borderId="0" xfId="0" applyFont="1" applyAlignment="1">
      <alignment wrapText="1"/>
    </xf>
    <xf numFmtId="0" fontId="80" fillId="0" borderId="0" xfId="0" applyFont="1" applyAlignment="1">
      <alignment horizontal="right" wrapText="1"/>
    </xf>
    <xf numFmtId="37" fontId="81" fillId="0" borderId="0" xfId="57589" applyFont="1" applyAlignment="1">
      <alignment horizontal="centerContinuous"/>
    </xf>
    <xf numFmtId="37" fontId="80" fillId="0" borderId="0" xfId="57589" applyFont="1" applyAlignment="1">
      <alignment horizontal="centerContinuous"/>
    </xf>
    <xf numFmtId="183" fontId="80" fillId="0" borderId="0" xfId="57589" applyNumberFormat="1" applyFont="1"/>
    <xf numFmtId="37" fontId="80" fillId="0" borderId="0" xfId="57589" applyFont="1"/>
    <xf numFmtId="37" fontId="80" fillId="0" borderId="0" xfId="57589" applyFont="1" applyBorder="1" applyAlignment="1">
      <alignment horizontal="center"/>
    </xf>
    <xf numFmtId="10" fontId="80" fillId="0" borderId="0" xfId="57591" applyNumberFormat="1" applyFont="1"/>
    <xf numFmtId="10" fontId="80" fillId="0" borderId="0" xfId="57591" applyNumberFormat="1" applyFont="1" applyBorder="1"/>
    <xf numFmtId="49" fontId="80" fillId="0" borderId="0" xfId="57589" applyNumberFormat="1" applyFont="1" applyAlignment="1">
      <alignment horizontal="center"/>
    </xf>
    <xf numFmtId="37" fontId="80" fillId="0" borderId="0" xfId="57589" applyFont="1" applyBorder="1"/>
    <xf numFmtId="166" fontId="80" fillId="0" borderId="0" xfId="57592" applyNumberFormat="1" applyFont="1" applyBorder="1"/>
    <xf numFmtId="37" fontId="80" fillId="0" borderId="0" xfId="57589" applyFont="1" applyAlignment="1">
      <alignment horizontal="center"/>
    </xf>
    <xf numFmtId="166" fontId="80" fillId="0" borderId="0" xfId="57592" applyNumberFormat="1" applyFont="1" applyBorder="1" applyAlignment="1">
      <alignment horizontal="center"/>
    </xf>
    <xf numFmtId="183" fontId="80" fillId="0" borderId="0" xfId="57589" applyNumberFormat="1" applyFont="1" applyAlignment="1">
      <alignment horizontal="center"/>
    </xf>
    <xf numFmtId="183" fontId="80" fillId="0" borderId="0" xfId="57589" applyNumberFormat="1" applyFont="1" applyBorder="1" applyAlignment="1">
      <alignment horizontal="center"/>
    </xf>
    <xf numFmtId="37" fontId="80" fillId="0" borderId="0" xfId="57589" applyFont="1" applyAlignment="1">
      <alignment horizontal="left"/>
    </xf>
    <xf numFmtId="10" fontId="80" fillId="0" borderId="0" xfId="57591" applyNumberFormat="1" applyFont="1" applyAlignment="1">
      <alignment horizontal="center"/>
    </xf>
    <xf numFmtId="10" fontId="80" fillId="0" borderId="0" xfId="57591" applyNumberFormat="1" applyFont="1" applyBorder="1" applyAlignment="1">
      <alignment horizontal="center"/>
    </xf>
    <xf numFmtId="183" fontId="80" fillId="0" borderId="0" xfId="57589" quotePrefix="1" applyNumberFormat="1" applyFont="1" applyAlignment="1">
      <alignment horizontal="center"/>
    </xf>
    <xf numFmtId="183" fontId="82" fillId="0" borderId="0" xfId="57589" applyNumberFormat="1" applyFont="1" applyAlignment="1">
      <alignment horizontal="center"/>
    </xf>
    <xf numFmtId="183" fontId="82" fillId="0" borderId="0" xfId="57589" applyNumberFormat="1" applyFont="1" applyBorder="1" applyAlignment="1">
      <alignment horizontal="center"/>
    </xf>
    <xf numFmtId="167" fontId="80" fillId="0" borderId="0" xfId="57593" applyNumberFormat="1" applyFont="1" applyBorder="1"/>
    <xf numFmtId="184" fontId="80" fillId="0" borderId="0" xfId="57593" applyNumberFormat="1" applyFont="1"/>
    <xf numFmtId="184" fontId="80" fillId="0" borderId="0" xfId="57593" applyNumberFormat="1" applyFont="1" applyBorder="1"/>
    <xf numFmtId="37" fontId="80" fillId="0" borderId="0" xfId="57589" applyFont="1" applyBorder="1" applyAlignment="1">
      <alignment horizontal="left"/>
    </xf>
    <xf numFmtId="184" fontId="80" fillId="0" borderId="0" xfId="57589" applyNumberFormat="1" applyFont="1" applyProtection="1"/>
    <xf numFmtId="184" fontId="80" fillId="0" borderId="0" xfId="57589" applyNumberFormat="1" applyFont="1" applyBorder="1" applyProtection="1"/>
    <xf numFmtId="37" fontId="80" fillId="0" borderId="0" xfId="57589" applyFont="1" applyFill="1" applyBorder="1" applyAlignment="1">
      <alignment horizontal="left"/>
    </xf>
    <xf numFmtId="37" fontId="80" fillId="0" borderId="0" xfId="57589" applyFont="1" applyFill="1" applyBorder="1"/>
    <xf numFmtId="166" fontId="80" fillId="0" borderId="0" xfId="57592" applyNumberFormat="1" applyFont="1" applyFill="1" applyBorder="1"/>
    <xf numFmtId="185" fontId="80" fillId="0" borderId="11" xfId="57592" applyNumberFormat="1" applyFont="1" applyFill="1" applyBorder="1" applyProtection="1"/>
    <xf numFmtId="185" fontId="80" fillId="0" borderId="0" xfId="57592" applyNumberFormat="1" applyFont="1" applyFill="1" applyBorder="1" applyProtection="1"/>
    <xf numFmtId="185" fontId="80" fillId="0" borderId="11" xfId="57592" applyNumberFormat="1" applyFont="1" applyBorder="1" applyProtection="1"/>
    <xf numFmtId="185" fontId="80" fillId="0" borderId="0" xfId="57592" applyNumberFormat="1" applyFont="1" applyBorder="1" applyProtection="1"/>
    <xf numFmtId="185" fontId="80" fillId="0" borderId="0" xfId="57592" applyNumberFormat="1" applyFont="1" applyProtection="1"/>
    <xf numFmtId="167" fontId="80" fillId="0" borderId="0" xfId="57593" applyNumberFormat="1" applyFont="1" applyBorder="1" applyProtection="1"/>
    <xf numFmtId="37" fontId="80" fillId="0" borderId="0" xfId="57589" quotePrefix="1" applyFont="1" applyFill="1" applyAlignment="1">
      <alignment horizontal="left"/>
    </xf>
    <xf numFmtId="167" fontId="80" fillId="0" borderId="0" xfId="57593" applyNumberFormat="1" applyFont="1" applyFill="1" applyBorder="1" applyProtection="1"/>
    <xf numFmtId="9" fontId="80" fillId="0" borderId="0" xfId="57591" applyFont="1" applyFill="1" applyBorder="1" applyProtection="1"/>
    <xf numFmtId="9" fontId="80" fillId="0" borderId="0" xfId="57592" applyNumberFormat="1" applyFont="1" applyFill="1" applyBorder="1" applyProtection="1"/>
    <xf numFmtId="9" fontId="80" fillId="0" borderId="0" xfId="57591" applyFont="1" applyBorder="1" applyProtection="1"/>
    <xf numFmtId="9" fontId="80" fillId="0" borderId="0" xfId="57591" applyNumberFormat="1" applyFont="1" applyFill="1" applyBorder="1" applyProtection="1"/>
    <xf numFmtId="37" fontId="80" fillId="0" borderId="0" xfId="57589" quotePrefix="1" applyFont="1" applyFill="1" applyBorder="1" applyAlignment="1">
      <alignment horizontal="left"/>
    </xf>
    <xf numFmtId="10" fontId="80" fillId="0" borderId="0" xfId="57591" applyNumberFormat="1" applyFont="1" applyFill="1" applyBorder="1" applyProtection="1"/>
    <xf numFmtId="37" fontId="80" fillId="0" borderId="0" xfId="57589" quotePrefix="1" applyFont="1" applyBorder="1" applyAlignment="1">
      <alignment horizontal="left"/>
    </xf>
    <xf numFmtId="184" fontId="80" fillId="0" borderId="11" xfId="57589" applyNumberFormat="1" applyFont="1" applyBorder="1"/>
    <xf numFmtId="184" fontId="80" fillId="0" borderId="0" xfId="57589" applyNumberFormat="1" applyFont="1" applyBorder="1"/>
    <xf numFmtId="183" fontId="80" fillId="0" borderId="0" xfId="57589" applyNumberFormat="1" applyFont="1" applyProtection="1"/>
    <xf numFmtId="183" fontId="80" fillId="0" borderId="0" xfId="57589" applyNumberFormat="1" applyFont="1" applyBorder="1" applyProtection="1"/>
    <xf numFmtId="178" fontId="80" fillId="0" borderId="13" xfId="57589" applyNumberFormat="1" applyFont="1" applyBorder="1" applyProtection="1"/>
    <xf numFmtId="178" fontId="80" fillId="0" borderId="0" xfId="57592" applyNumberFormat="1" applyFont="1" applyBorder="1"/>
    <xf numFmtId="178" fontId="80" fillId="0" borderId="0" xfId="57589" applyNumberFormat="1" applyFont="1" applyBorder="1" applyProtection="1"/>
    <xf numFmtId="184" fontId="80" fillId="0" borderId="13" xfId="57589" applyNumberFormat="1" applyFont="1" applyBorder="1"/>
    <xf numFmtId="165" fontId="80" fillId="0" borderId="0" xfId="57591" applyNumberFormat="1" applyFont="1" applyBorder="1"/>
    <xf numFmtId="165" fontId="80" fillId="0" borderId="11" xfId="57591" applyNumberFormat="1" applyFont="1" applyBorder="1"/>
    <xf numFmtId="165" fontId="80" fillId="0" borderId="14" xfId="57591" applyNumberFormat="1" applyFont="1" applyBorder="1"/>
    <xf numFmtId="37" fontId="82" fillId="0" borderId="0" xfId="57589" applyFont="1"/>
    <xf numFmtId="43" fontId="80" fillId="0" borderId="11" xfId="57592" applyNumberFormat="1" applyFont="1" applyFill="1" applyBorder="1" applyProtection="1"/>
    <xf numFmtId="185" fontId="80" fillId="0" borderId="0" xfId="57592" applyNumberFormat="1" applyFont="1" applyFill="1" applyProtection="1"/>
    <xf numFmtId="165" fontId="80" fillId="0" borderId="11" xfId="57591" applyNumberFormat="1" applyFont="1" applyFill="1" applyBorder="1" applyProtection="1"/>
    <xf numFmtId="165" fontId="80" fillId="0" borderId="11" xfId="57591" applyNumberFormat="1" applyFont="1" applyBorder="1" applyProtection="1"/>
    <xf numFmtId="165" fontId="80" fillId="0" borderId="0" xfId="57591" applyNumberFormat="1" applyFont="1" applyBorder="1" applyProtection="1"/>
    <xf numFmtId="185" fontId="80" fillId="0" borderId="13" xfId="57592" applyNumberFormat="1" applyFont="1" applyFill="1" applyBorder="1" applyProtection="1"/>
    <xf numFmtId="185" fontId="80" fillId="0" borderId="13" xfId="57592" applyNumberFormat="1" applyFont="1" applyBorder="1" applyProtection="1"/>
    <xf numFmtId="0" fontId="83" fillId="0" borderId="0" xfId="57590" applyFont="1"/>
    <xf numFmtId="182" fontId="79" fillId="0" borderId="0" xfId="57589" applyNumberFormat="1" applyFont="1" applyAlignment="1">
      <alignment horizontal="center"/>
    </xf>
    <xf numFmtId="37" fontId="80" fillId="0" borderId="0" xfId="57589" applyFont="1" applyFill="1"/>
    <xf numFmtId="37" fontId="80" fillId="0" borderId="0" xfId="57589" quotePrefix="1" applyFont="1" applyAlignment="1">
      <alignment horizontal="center"/>
    </xf>
    <xf numFmtId="37" fontId="80" fillId="0" borderId="0" xfId="57589" quotePrefix="1" applyFont="1" applyFill="1" applyAlignment="1">
      <alignment horizontal="center"/>
    </xf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0" fillId="0" borderId="11" xfId="0" applyFont="1" applyFill="1" applyBorder="1" applyAlignment="1">
      <alignment horizontal="center"/>
    </xf>
    <xf numFmtId="0" fontId="81" fillId="0" borderId="27" xfId="0" applyFont="1" applyFill="1" applyBorder="1" applyAlignment="1">
      <alignment horizontal="center"/>
    </xf>
    <xf numFmtId="0" fontId="81" fillId="0" borderId="12" xfId="0" applyFont="1" applyFill="1" applyBorder="1" applyAlignment="1">
      <alignment horizontal="center"/>
    </xf>
    <xf numFmtId="0" fontId="81" fillId="0" borderId="28" xfId="0" applyFont="1" applyFill="1" applyBorder="1" applyAlignment="1">
      <alignment horizontal="center"/>
    </xf>
    <xf numFmtId="0" fontId="80" fillId="0" borderId="0" xfId="0" applyFont="1" applyFill="1" applyAlignment="1">
      <alignment horizontal="left" wrapText="1"/>
    </xf>
    <xf numFmtId="0" fontId="79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177" fontId="79" fillId="0" borderId="0" xfId="57588" applyNumberFormat="1" applyFont="1" applyFill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80" fillId="0" borderId="11" xfId="0" applyFont="1" applyBorder="1" applyAlignment="1"/>
    <xf numFmtId="0" fontId="79" fillId="0" borderId="12" xfId="0" applyFont="1" applyFill="1" applyBorder="1" applyAlignment="1">
      <alignment horizontal="center"/>
    </xf>
    <xf numFmtId="0" fontId="79" fillId="0" borderId="28" xfId="0" applyFont="1" applyFill="1" applyBorder="1" applyAlignment="1">
      <alignment horizontal="center"/>
    </xf>
    <xf numFmtId="37" fontId="79" fillId="0" borderId="0" xfId="57589" applyFont="1" applyAlignment="1"/>
    <xf numFmtId="182" fontId="79" fillId="0" borderId="0" xfId="57589" applyNumberFormat="1" applyFont="1" applyAlignment="1">
      <alignment horizontal="left"/>
    </xf>
  </cellXfs>
  <cellStyles count="57594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2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3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8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0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8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1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sites/RegFilings/2016%20Mechanism%20Filing%20Documents/Support%20for%20Q7.%20LGE%20Rate%20of%20Return%202017.02%20-%20ROE%20Chang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Input"/>
      <sheetName val="ECR Pre-2016"/>
      <sheetName val="ECR 2016"/>
      <sheetName val="LGE ECR"/>
      <sheetName val="DSM"/>
      <sheetName val="Data"/>
      <sheetName val="Error Checks"/>
      <sheetName val="Electronic Evidence"/>
      <sheetName val="VersionHist"/>
    </sheetNames>
    <sheetDataSet>
      <sheetData sheetId="0"/>
      <sheetData sheetId="1">
        <row r="22">
          <cell r="K22">
            <v>940539441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8"/>
  <sheetViews>
    <sheetView showGridLines="0" tabSelected="1" topLeftCell="A4" zoomScale="75" zoomScaleNormal="75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2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22" t="s">
        <v>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22" t="s">
        <v>203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5"/>
      <c r="X4" s="5"/>
      <c r="Y4" s="5"/>
      <c r="Z4" s="5"/>
      <c r="AA4" s="5"/>
    </row>
    <row r="5" spans="1:27" x14ac:dyDescent="0.25">
      <c r="A5" s="223" t="s">
        <v>133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1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184</v>
      </c>
      <c r="D11" s="7"/>
      <c r="E11" s="7"/>
      <c r="F11" s="8" t="s">
        <v>16</v>
      </c>
      <c r="G11" s="8"/>
      <c r="H11" s="7" t="s">
        <v>17</v>
      </c>
      <c r="I11" s="7"/>
      <c r="J11" s="43" t="s">
        <v>18</v>
      </c>
      <c r="K11" s="7"/>
      <c r="L11" s="10" t="s">
        <v>61</v>
      </c>
      <c r="M11" s="7"/>
      <c r="N11" s="43" t="s">
        <v>19</v>
      </c>
      <c r="P11" s="8" t="s">
        <v>16</v>
      </c>
      <c r="R11" s="7" t="s">
        <v>20</v>
      </c>
      <c r="S11" s="7"/>
      <c r="T11" s="43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7">
        <v>109984686</v>
      </c>
      <c r="D15" s="2"/>
      <c r="E15" s="2"/>
      <c r="F15" s="15">
        <f>ROUND(+C15/$C$21,4)</f>
        <v>2.9100000000000001E-2</v>
      </c>
      <c r="G15" s="15"/>
      <c r="H15" s="16">
        <v>0.82379999999999998</v>
      </c>
      <c r="I15" s="2"/>
      <c r="J15" s="47">
        <f>ROUND(+C15*H15,0)</f>
        <v>90605384</v>
      </c>
      <c r="K15" s="2"/>
      <c r="L15" s="47">
        <f>+T37</f>
        <v>-26764599</v>
      </c>
      <c r="M15" s="2"/>
      <c r="N15" s="17">
        <f>+J15+L15</f>
        <v>63840785</v>
      </c>
      <c r="P15" s="18">
        <f>ROUND(+N15/$N$21,4)</f>
        <v>2.9100000000000001E-2</v>
      </c>
      <c r="R15" s="19">
        <f>ROUND('Q7 - LGE ECC Feb17'!R66,4)</f>
        <v>9.5999999999999992E-3</v>
      </c>
      <c r="S15" s="20"/>
      <c r="T15" s="19">
        <f>ROUND(+$P$15*$R$15,4)</f>
        <v>2.9999999999999997E-4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48">
        <v>1629942595</v>
      </c>
      <c r="D17" s="2"/>
      <c r="E17" s="2"/>
      <c r="F17" s="15">
        <f>ROUND(+C17/$C$21,4)</f>
        <v>0.43130000000000002</v>
      </c>
      <c r="G17" s="15"/>
      <c r="H17" s="16">
        <f>+H15</f>
        <v>0.82379999999999998</v>
      </c>
      <c r="I17" s="2"/>
      <c r="J17" s="48">
        <f>ROUND(+C17*H17,0)</f>
        <v>1342746710</v>
      </c>
      <c r="K17" s="2"/>
      <c r="L17" s="2">
        <f>+T39</f>
        <v>-396686304</v>
      </c>
      <c r="M17" s="2"/>
      <c r="N17" s="4">
        <f>+J17+L17</f>
        <v>946060406</v>
      </c>
      <c r="P17" s="18">
        <f>ROUND(+N17/$N$21,4)</f>
        <v>0.43130000000000002</v>
      </c>
      <c r="R17" s="19">
        <f>ROUND('Q7 - LGE ECC Feb17'!R50,4)</f>
        <v>4.1300000000000003E-2</v>
      </c>
      <c r="S17" s="20"/>
      <c r="T17" s="19">
        <f>ROUND(+$P$17*$R$17,4)</f>
        <v>1.78E-2</v>
      </c>
    </row>
    <row r="18" spans="1:26" x14ac:dyDescent="0.25">
      <c r="A18" s="2"/>
      <c r="B18" s="2"/>
      <c r="C18" s="48"/>
      <c r="D18" s="2"/>
      <c r="E18" s="2"/>
      <c r="F18" s="15"/>
      <c r="G18" s="15"/>
      <c r="H18" s="16"/>
      <c r="I18" s="2"/>
      <c r="J18" s="48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48">
        <v>2039130855</v>
      </c>
      <c r="D19" s="2"/>
      <c r="E19" s="2"/>
      <c r="F19" s="18">
        <f>ROUND(1-F15-F17,4)</f>
        <v>0.53959999999999997</v>
      </c>
      <c r="G19" s="18"/>
      <c r="H19" s="16">
        <f>+H15</f>
        <v>0.82379999999999998</v>
      </c>
      <c r="I19" s="2"/>
      <c r="J19" s="48">
        <f>ROUND(+C19*H19,0)</f>
        <v>1679835998</v>
      </c>
      <c r="K19" s="2"/>
      <c r="L19" s="2">
        <f>+T41</f>
        <v>-496294759</v>
      </c>
      <c r="M19" s="2"/>
      <c r="N19" s="4">
        <f>+J19+L19</f>
        <v>1183541239</v>
      </c>
      <c r="P19" s="18">
        <f>ROUND(1-P15-P17,4)</f>
        <v>0.53959999999999997</v>
      </c>
      <c r="R19" s="19">
        <v>9.7000000000000003E-2</v>
      </c>
      <c r="S19" s="20"/>
      <c r="T19" s="19">
        <f>ROUND(+$P$19*$R$19,4)</f>
        <v>5.2299999999999999E-2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6">
        <f>SUM(C15:C19)</f>
        <v>3779058136</v>
      </c>
      <c r="D21" s="2"/>
      <c r="E21" s="2"/>
      <c r="F21" s="25">
        <f>SUM(F15:F19)</f>
        <v>1</v>
      </c>
      <c r="G21" s="2"/>
      <c r="H21" s="2"/>
      <c r="I21" s="2"/>
      <c r="J21" s="46">
        <f>SUM(J15:J19)</f>
        <v>3113188092</v>
      </c>
      <c r="K21" s="2"/>
      <c r="L21" s="46">
        <f>SUM(L15:L19)</f>
        <v>-919745662</v>
      </c>
      <c r="M21" s="2"/>
      <c r="N21" s="46">
        <f>SUM(N15:N19)</f>
        <v>2193442430</v>
      </c>
      <c r="P21" s="25">
        <f>SUM(P15:P19)</f>
        <v>1</v>
      </c>
      <c r="R21" s="26"/>
      <c r="S21" s="2"/>
      <c r="T21" s="44">
        <f>SUM(T15:T19)</f>
        <v>7.0400000000000004E-2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31</v>
      </c>
      <c r="B24" s="2" t="s">
        <v>32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5">
        <f>ROUND(T21+(T21-T17-T15)*(38.666%/(1-38.666%)),4)</f>
        <v>0.10340000000000001</v>
      </c>
      <c r="W24" s="29"/>
      <c r="X24" s="29"/>
      <c r="Y24" s="29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0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1"/>
      <c r="I30" s="7"/>
      <c r="J30" s="31"/>
      <c r="K30" s="7"/>
      <c r="L30" s="31"/>
      <c r="M30" s="7"/>
      <c r="N30" s="7" t="s">
        <v>0</v>
      </c>
      <c r="O30" s="7"/>
      <c r="P30" s="7"/>
      <c r="Q30" s="7"/>
      <c r="R30" s="7" t="s">
        <v>33</v>
      </c>
      <c r="T30" s="7" t="s">
        <v>4</v>
      </c>
    </row>
    <row r="31" spans="1:26" x14ac:dyDescent="0.25">
      <c r="A31" s="1"/>
      <c r="B31" s="1"/>
      <c r="C31" s="7" t="s">
        <v>9</v>
      </c>
      <c r="D31" s="7"/>
      <c r="E31" s="7"/>
      <c r="F31" s="7"/>
      <c r="G31" s="7"/>
      <c r="H31" s="7" t="s">
        <v>34</v>
      </c>
      <c r="I31" s="7"/>
      <c r="J31" s="7" t="s">
        <v>35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36</v>
      </c>
      <c r="T31" s="7" t="s">
        <v>2</v>
      </c>
    </row>
    <row r="32" spans="1:26" x14ac:dyDescent="0.25">
      <c r="A32" s="1"/>
      <c r="B32" s="2"/>
      <c r="C32" s="7" t="s">
        <v>14</v>
      </c>
      <c r="D32" s="7"/>
      <c r="E32" s="7"/>
      <c r="F32" s="8" t="s">
        <v>13</v>
      </c>
      <c r="G32" s="2"/>
      <c r="H32" s="7" t="s">
        <v>37</v>
      </c>
      <c r="I32" s="7"/>
      <c r="J32" s="7" t="s">
        <v>38</v>
      </c>
      <c r="K32" s="7"/>
      <c r="L32" s="7" t="s">
        <v>39</v>
      </c>
      <c r="M32" s="7"/>
      <c r="N32" s="7" t="s">
        <v>1</v>
      </c>
      <c r="O32" s="7"/>
      <c r="P32" s="7" t="s">
        <v>1</v>
      </c>
      <c r="Q32" s="7"/>
      <c r="R32" s="32" t="s">
        <v>40</v>
      </c>
      <c r="T32" s="7" t="s">
        <v>46</v>
      </c>
    </row>
    <row r="33" spans="1:24" x14ac:dyDescent="0.25">
      <c r="A33" s="2"/>
      <c r="B33" s="2"/>
      <c r="C33" s="43" t="s">
        <v>41</v>
      </c>
      <c r="D33" s="7"/>
      <c r="E33" s="7"/>
      <c r="F33" s="8" t="s">
        <v>16</v>
      </c>
      <c r="G33" s="15"/>
      <c r="H33" s="43" t="s">
        <v>42</v>
      </c>
      <c r="I33" s="7"/>
      <c r="J33" s="43" t="s">
        <v>43</v>
      </c>
      <c r="K33" s="7"/>
      <c r="L33" s="43" t="s">
        <v>44</v>
      </c>
      <c r="M33" s="7"/>
      <c r="N33" s="43" t="s">
        <v>45</v>
      </c>
      <c r="O33" s="7"/>
      <c r="P33" s="43" t="s">
        <v>64</v>
      </c>
      <c r="Q33" s="7"/>
      <c r="R33" s="43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22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23</v>
      </c>
      <c r="B37" s="2" t="s">
        <v>24</v>
      </c>
      <c r="C37" s="47">
        <f>+J15</f>
        <v>90605384</v>
      </c>
      <c r="D37" s="2"/>
      <c r="E37" s="2"/>
      <c r="F37" s="15">
        <f>ROUND(+C37/$C$43,4)</f>
        <v>2.9100000000000001E-2</v>
      </c>
      <c r="G37" s="18"/>
      <c r="H37" s="47">
        <f>ROUND(+F37*$H$43,0)</f>
        <v>-192419</v>
      </c>
      <c r="I37" s="2"/>
      <c r="J37" s="47">
        <f>ROUND(+F37*$J$43,0)</f>
        <v>-33809</v>
      </c>
      <c r="K37" s="2"/>
      <c r="L37" s="47">
        <f>ROUND(+F37*$L$43,0)</f>
        <v>360695</v>
      </c>
      <c r="M37" s="2"/>
      <c r="N37" s="47">
        <f>ROUND(+F37*$N$43,0)</f>
        <v>-27369698</v>
      </c>
      <c r="O37" s="2"/>
      <c r="P37" s="47">
        <f>ROUND(+F37*$P$43,0)</f>
        <v>-133500</v>
      </c>
      <c r="Q37" s="2"/>
      <c r="R37" s="47">
        <f>ROUND(+F37*$R$43,0)</f>
        <v>604132</v>
      </c>
      <c r="T37" s="47">
        <f>SUM(H37:R37)</f>
        <v>-26764599</v>
      </c>
    </row>
    <row r="38" spans="1:24" x14ac:dyDescent="0.25">
      <c r="A38" s="14"/>
      <c r="B38" s="2"/>
      <c r="C38" s="2"/>
      <c r="D38" s="2"/>
      <c r="E38" s="2"/>
      <c r="F38" s="16"/>
      <c r="G38" s="15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25</v>
      </c>
      <c r="B39" s="2" t="s">
        <v>26</v>
      </c>
      <c r="C39" s="2">
        <f>+J17</f>
        <v>1342746710</v>
      </c>
      <c r="D39" s="2"/>
      <c r="E39" s="2"/>
      <c r="F39" s="15">
        <f>ROUND(+C39/$C$43,4)</f>
        <v>0.43130000000000002</v>
      </c>
      <c r="G39" s="18"/>
      <c r="H39" s="48">
        <f>ROUND(+F39*$H$43,0)</f>
        <v>-2851906</v>
      </c>
      <c r="I39" s="2"/>
      <c r="J39" s="48">
        <f>ROUND(+F39*$J$43,0)</f>
        <v>-501094</v>
      </c>
      <c r="K39" s="2"/>
      <c r="L39" s="2">
        <f>ROUND(+F39*$L$43,0)</f>
        <v>5345972</v>
      </c>
      <c r="M39" s="2"/>
      <c r="N39" s="2">
        <f>ROUND(+F39*$N$43,0)</f>
        <v>-405654661</v>
      </c>
      <c r="O39" s="2"/>
      <c r="P39" s="48">
        <f>ROUND(+F39*$P$43,0)</f>
        <v>-1978645</v>
      </c>
      <c r="Q39" s="2"/>
      <c r="R39" s="48">
        <f>ROUND(+F39*$R$43,0)</f>
        <v>8954030</v>
      </c>
      <c r="T39" s="2">
        <f>SUM(H39:R39)</f>
        <v>-396686304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8"/>
      <c r="I40" s="2"/>
      <c r="J40" s="15"/>
      <c r="K40" s="2"/>
      <c r="L40" s="2"/>
      <c r="M40" s="2"/>
      <c r="N40" s="2"/>
      <c r="O40" s="2"/>
      <c r="P40" s="48"/>
      <c r="Q40" s="2"/>
      <c r="R40" s="48"/>
      <c r="T40" s="2"/>
    </row>
    <row r="41" spans="1:24" x14ac:dyDescent="0.25">
      <c r="A41" s="14" t="s">
        <v>27</v>
      </c>
      <c r="B41" s="2" t="s">
        <v>28</v>
      </c>
      <c r="C41" s="2">
        <f>+J19</f>
        <v>1679835998</v>
      </c>
      <c r="D41" s="2"/>
      <c r="E41" s="2"/>
      <c r="F41" s="18">
        <f>ROUND(1-F37-F39,4)</f>
        <v>0.53959999999999997</v>
      </c>
      <c r="H41" s="48">
        <f>+H43-H37-H39</f>
        <v>-3568023</v>
      </c>
      <c r="I41" s="2"/>
      <c r="J41" s="2">
        <f>+J43-J37-J39</f>
        <v>-626920</v>
      </c>
      <c r="K41" s="2"/>
      <c r="L41" s="2">
        <f>+L43-L37-L39</f>
        <v>6688353</v>
      </c>
      <c r="M41" s="2"/>
      <c r="N41" s="2">
        <f>+N43-N37-N39</f>
        <v>-507515082</v>
      </c>
      <c r="O41" s="2"/>
      <c r="P41" s="2">
        <f>+P43-P37-P39</f>
        <v>-2475486</v>
      </c>
      <c r="Q41" s="2"/>
      <c r="R41" s="2">
        <f>+R43-R37-R39</f>
        <v>11202399</v>
      </c>
      <c r="T41" s="2">
        <f>SUM(H41:R41)</f>
        <v>-496294759</v>
      </c>
    </row>
    <row r="42" spans="1:24" x14ac:dyDescent="0.25">
      <c r="A42" s="2"/>
      <c r="B42" s="2"/>
      <c r="C42" s="2"/>
      <c r="D42" s="2"/>
      <c r="E42" s="2"/>
      <c r="F42" s="16"/>
      <c r="G42" s="8"/>
      <c r="H42" s="48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29</v>
      </c>
      <c r="B43" s="2" t="s">
        <v>30</v>
      </c>
      <c r="C43" s="46">
        <f>SUM(C37:C41)</f>
        <v>3113188092</v>
      </c>
      <c r="D43" s="2"/>
      <c r="E43" s="2"/>
      <c r="F43" s="25">
        <f>SUM(F37:F41)</f>
        <v>1</v>
      </c>
      <c r="G43" s="15"/>
      <c r="H43" s="46">
        <f>-F56</f>
        <v>-6612348</v>
      </c>
      <c r="I43" s="2"/>
      <c r="J43" s="46">
        <v>-1161823</v>
      </c>
      <c r="K43" s="2"/>
      <c r="L43" s="46">
        <v>12395020</v>
      </c>
      <c r="M43" s="2"/>
      <c r="N43" s="46">
        <v>-940539441</v>
      </c>
      <c r="O43" s="2"/>
      <c r="P43" s="46">
        <v>-4587631</v>
      </c>
      <c r="Q43" s="2"/>
      <c r="R43" s="46">
        <v>20760561</v>
      </c>
      <c r="T43" s="46">
        <f>SUM(T37:T41)</f>
        <v>-919745662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3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4"/>
      <c r="T45" s="2"/>
      <c r="U45" s="2"/>
    </row>
    <row r="46" spans="1:24" x14ac:dyDescent="0.25">
      <c r="G46" s="18"/>
      <c r="H46" s="18"/>
    </row>
    <row r="47" spans="1:24" x14ac:dyDescent="0.25">
      <c r="A47" s="35" t="s">
        <v>47</v>
      </c>
      <c r="B47" s="36" t="str">
        <f>"Trimble County Inventories"</f>
        <v>Trimble County Inventories</v>
      </c>
      <c r="C47" s="4" t="str">
        <f>A5</f>
        <v>As of February 28, 2017</v>
      </c>
      <c r="F47" s="35"/>
      <c r="G47" s="17"/>
      <c r="H47" s="17"/>
      <c r="L47" s="37"/>
      <c r="T47" s="38"/>
      <c r="U47" s="38"/>
      <c r="V47" s="38"/>
      <c r="X47" s="38"/>
    </row>
    <row r="48" spans="1:24" x14ac:dyDescent="0.25">
      <c r="B48" s="4" t="s">
        <v>58</v>
      </c>
      <c r="F48" s="17">
        <f>F54-SUM(F49:F53)</f>
        <v>11576524</v>
      </c>
      <c r="T48" s="17"/>
      <c r="U48" s="39"/>
      <c r="V48" s="17"/>
      <c r="W48" s="17"/>
      <c r="X48" s="17"/>
    </row>
    <row r="49" spans="1:24" x14ac:dyDescent="0.25">
      <c r="B49" s="4" t="s">
        <v>48</v>
      </c>
      <c r="F49" s="39">
        <v>2317848</v>
      </c>
      <c r="T49" s="17"/>
      <c r="V49" s="17"/>
      <c r="W49" s="17"/>
      <c r="X49" s="17"/>
    </row>
    <row r="50" spans="1:24" x14ac:dyDescent="0.25">
      <c r="B50" s="4" t="s">
        <v>49</v>
      </c>
      <c r="F50" s="39">
        <v>12259051</v>
      </c>
    </row>
    <row r="51" spans="1:24" x14ac:dyDescent="0.25">
      <c r="B51" s="4" t="s">
        <v>50</v>
      </c>
      <c r="F51" s="39">
        <v>185406</v>
      </c>
    </row>
    <row r="52" spans="1:24" x14ac:dyDescent="0.25">
      <c r="B52" s="4" t="s">
        <v>51</v>
      </c>
      <c r="F52" s="39">
        <v>110530</v>
      </c>
      <c r="L52" s="40"/>
      <c r="M52" s="40"/>
      <c r="N52" s="40"/>
      <c r="O52" s="40"/>
      <c r="P52" s="40"/>
      <c r="Q52" s="40"/>
      <c r="R52" s="40"/>
      <c r="S52" s="40"/>
      <c r="T52" s="40"/>
    </row>
    <row r="53" spans="1:24" x14ac:dyDescent="0.25">
      <c r="B53" s="4" t="s">
        <v>52</v>
      </c>
      <c r="F53" s="39">
        <v>31</v>
      </c>
      <c r="L53" s="40"/>
      <c r="M53" s="40"/>
      <c r="N53" s="40"/>
      <c r="O53" s="40"/>
      <c r="P53" s="40"/>
      <c r="Q53" s="40"/>
      <c r="R53" s="40"/>
      <c r="S53" s="40"/>
      <c r="T53" s="40"/>
    </row>
    <row r="54" spans="1:24" x14ac:dyDescent="0.25">
      <c r="B54" s="4" t="s">
        <v>53</v>
      </c>
      <c r="F54" s="49">
        <v>26449390</v>
      </c>
      <c r="L54" s="40"/>
      <c r="M54" s="40"/>
      <c r="N54" s="40"/>
      <c r="O54" s="40"/>
      <c r="P54" s="40"/>
      <c r="Q54" s="40"/>
      <c r="R54" s="40"/>
      <c r="S54" s="40"/>
      <c r="T54" s="40"/>
    </row>
    <row r="55" spans="1:24" x14ac:dyDescent="0.25">
      <c r="B55" s="4" t="s">
        <v>54</v>
      </c>
      <c r="F55" s="18">
        <v>0.25</v>
      </c>
    </row>
    <row r="56" spans="1:24" ht="16.5" thickBot="1" x14ac:dyDescent="0.3">
      <c r="B56" s="4" t="s">
        <v>55</v>
      </c>
      <c r="F56" s="46">
        <f>ROUND(+F54*F55,0)</f>
        <v>6612348</v>
      </c>
    </row>
    <row r="57" spans="1:24" ht="16.5" thickTop="1" x14ac:dyDescent="0.25"/>
    <row r="58" spans="1:24" x14ac:dyDescent="0.25">
      <c r="A58" s="35" t="s">
        <v>56</v>
      </c>
      <c r="B58" s="36" t="s">
        <v>57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6" orientation="landscape" useFirstPageNumber="1" r:id="rId1"/>
  <headerFooter scaleWithDoc="0">
    <oddFooter xml:space="preserve">&amp;L
&amp;R&amp;"Times New Roman,Bold"&amp;12Attachment to Response to Question No. 7 (a-c)
Page 1 of 3
Metts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0"/>
  <sheetViews>
    <sheetView showGridLines="0" topLeftCell="L1" zoomScale="80" zoomScaleNormal="80" zoomScaleSheetLayoutView="80" workbookViewId="0">
      <selection activeCell="L48" sqref="L48"/>
    </sheetView>
  </sheetViews>
  <sheetFormatPr defaultColWidth="9.7109375" defaultRowHeight="15" x14ac:dyDescent="0.2"/>
  <cols>
    <col min="1" max="1" width="49.140625" style="51" customWidth="1"/>
    <col min="2" max="2" width="15.85546875" style="51" customWidth="1"/>
    <col min="3" max="3" width="4" style="51" customWidth="1"/>
    <col min="4" max="4" width="15.140625" style="51" bestFit="1" customWidth="1"/>
    <col min="5" max="5" width="4" style="51" customWidth="1"/>
    <col min="6" max="6" width="21" style="51" customWidth="1"/>
    <col min="7" max="7" width="4" style="51" customWidth="1"/>
    <col min="8" max="8" width="18.85546875" style="51" customWidth="1"/>
    <col min="9" max="9" width="4" style="51" customWidth="1"/>
    <col min="10" max="10" width="17.5703125" style="51" bestFit="1" customWidth="1"/>
    <col min="11" max="11" width="4" style="51" customWidth="1"/>
    <col min="12" max="12" width="16" style="51" customWidth="1"/>
    <col min="13" max="13" width="4" style="51" customWidth="1"/>
    <col min="14" max="14" width="13.85546875" style="51" customWidth="1"/>
    <col min="15" max="15" width="3.85546875" style="51" customWidth="1"/>
    <col min="16" max="16" width="17.42578125" style="51" customWidth="1"/>
    <col min="17" max="17" width="3.85546875" style="51" customWidth="1"/>
    <col min="18" max="18" width="13.5703125" style="51" bestFit="1" customWidth="1"/>
    <col min="19" max="19" width="18.28515625" style="51" bestFit="1" customWidth="1"/>
    <col min="20" max="16384" width="9.7109375" style="51"/>
  </cols>
  <sheetData>
    <row r="1" spans="1:18" s="52" customFormat="1" ht="15.75" x14ac:dyDescent="0.25">
      <c r="A1" s="229" t="s">
        <v>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s="52" customFormat="1" ht="15.75" x14ac:dyDescent="0.25">
      <c r="A2" s="229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</row>
    <row r="3" spans="1:18" s="52" customFormat="1" ht="15.75" x14ac:dyDescent="0.25">
      <c r="A3" s="231">
        <v>42794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8" s="53" customFormat="1" ht="15.75" x14ac:dyDescent="0.25">
      <c r="A4" s="232" t="s">
        <v>134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</row>
    <row r="5" spans="1:18" s="52" customFormat="1" ht="15.75" x14ac:dyDescent="0.25">
      <c r="A5" s="225" t="s">
        <v>185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5"/>
    </row>
    <row r="6" spans="1:18" ht="15.75" x14ac:dyDescent="0.25">
      <c r="A6" s="76"/>
      <c r="B6" s="54"/>
      <c r="C6" s="77"/>
      <c r="D6" s="55"/>
      <c r="E6" s="77"/>
      <c r="F6" s="55"/>
      <c r="G6" s="55"/>
      <c r="H6" s="55"/>
      <c r="I6" s="77"/>
      <c r="J6" s="55"/>
      <c r="K6" s="77"/>
      <c r="L6" s="55"/>
      <c r="M6" s="77"/>
      <c r="N6" s="55"/>
      <c r="O6" s="55"/>
      <c r="P6" s="55"/>
      <c r="Q6" s="55"/>
      <c r="R6" s="56"/>
    </row>
    <row r="7" spans="1:18" x14ac:dyDescent="0.2">
      <c r="A7" s="78"/>
      <c r="B7" s="54"/>
      <c r="C7" s="77"/>
      <c r="D7" s="55"/>
      <c r="E7" s="77"/>
      <c r="F7" s="55"/>
      <c r="G7" s="55"/>
      <c r="H7" s="224" t="s">
        <v>66</v>
      </c>
      <c r="I7" s="224"/>
      <c r="J7" s="224"/>
      <c r="K7" s="224"/>
      <c r="L7" s="224"/>
      <c r="M7" s="224"/>
      <c r="N7" s="224"/>
      <c r="O7" s="224"/>
      <c r="P7" s="224"/>
      <c r="Q7" s="54"/>
      <c r="R7" s="79"/>
    </row>
    <row r="8" spans="1:18" x14ac:dyDescent="0.2">
      <c r="A8" s="71"/>
      <c r="B8" s="54"/>
      <c r="C8" s="77"/>
      <c r="D8" s="55"/>
      <c r="E8" s="77"/>
      <c r="F8" s="55"/>
      <c r="G8" s="55"/>
      <c r="H8" s="55"/>
      <c r="I8" s="77"/>
      <c r="J8" s="54" t="s">
        <v>67</v>
      </c>
      <c r="K8" s="77"/>
      <c r="L8" s="54" t="s">
        <v>68</v>
      </c>
      <c r="M8" s="77"/>
      <c r="N8" s="54" t="s">
        <v>69</v>
      </c>
      <c r="O8" s="55"/>
      <c r="P8" s="54"/>
      <c r="Q8" s="54"/>
      <c r="R8" s="79" t="s">
        <v>70</v>
      </c>
    </row>
    <row r="9" spans="1:18" ht="30" x14ac:dyDescent="0.2">
      <c r="A9" s="71"/>
      <c r="B9" s="80" t="s">
        <v>71</v>
      </c>
      <c r="C9" s="77"/>
      <c r="D9" s="80" t="s">
        <v>20</v>
      </c>
      <c r="E9" s="77"/>
      <c r="F9" s="80" t="s">
        <v>72</v>
      </c>
      <c r="G9" s="55"/>
      <c r="H9" s="73" t="s">
        <v>73</v>
      </c>
      <c r="I9" s="77"/>
      <c r="J9" s="57" t="s">
        <v>74</v>
      </c>
      <c r="K9" s="77"/>
      <c r="L9" s="57" t="s">
        <v>75</v>
      </c>
      <c r="M9" s="81"/>
      <c r="N9" s="73" t="s">
        <v>76</v>
      </c>
      <c r="O9" s="55"/>
      <c r="P9" s="73" t="s">
        <v>4</v>
      </c>
      <c r="Q9" s="54"/>
      <c r="R9" s="82" t="s">
        <v>77</v>
      </c>
    </row>
    <row r="10" spans="1:18" x14ac:dyDescent="0.2">
      <c r="A10" s="71" t="s">
        <v>78</v>
      </c>
      <c r="B10" s="83"/>
      <c r="C10" s="77"/>
      <c r="D10" s="84"/>
      <c r="E10" s="77"/>
      <c r="F10" s="85"/>
      <c r="G10" s="77"/>
      <c r="H10" s="85"/>
      <c r="I10" s="77"/>
      <c r="J10" s="86"/>
      <c r="K10" s="87"/>
      <c r="L10" s="85"/>
      <c r="M10" s="88"/>
      <c r="N10" s="85"/>
      <c r="O10" s="85"/>
      <c r="P10" s="85"/>
      <c r="Q10" s="55"/>
      <c r="R10" s="56"/>
    </row>
    <row r="11" spans="1:18" ht="17.25" customHeight="1" x14ac:dyDescent="0.25">
      <c r="A11" s="71" t="s">
        <v>79</v>
      </c>
      <c r="B11" s="83">
        <v>46631</v>
      </c>
      <c r="C11" s="77"/>
      <c r="D11" s="84">
        <v>1.14E-2</v>
      </c>
      <c r="E11" s="89" t="s">
        <v>5</v>
      </c>
      <c r="F11" s="90">
        <v>10104000</v>
      </c>
      <c r="G11" s="77"/>
      <c r="H11" s="90">
        <v>115186</v>
      </c>
      <c r="I11" s="77"/>
      <c r="J11" s="90">
        <v>20013.080357142859</v>
      </c>
      <c r="K11" s="77"/>
      <c r="L11" s="90">
        <v>0</v>
      </c>
      <c r="M11" s="77"/>
      <c r="N11" s="90">
        <v>30402.94</v>
      </c>
      <c r="O11" s="91" t="s">
        <v>126</v>
      </c>
      <c r="P11" s="90">
        <v>165602.02035714287</v>
      </c>
      <c r="Q11" s="55"/>
      <c r="R11" s="92">
        <v>1.6389999999999998E-2</v>
      </c>
    </row>
    <row r="12" spans="1:18" ht="17.25" customHeight="1" x14ac:dyDescent="0.25">
      <c r="A12" s="71" t="s">
        <v>79</v>
      </c>
      <c r="B12" s="83">
        <v>46266</v>
      </c>
      <c r="C12" s="77"/>
      <c r="D12" s="84">
        <v>8.2000000000000007E-3</v>
      </c>
      <c r="E12" s="89" t="s">
        <v>5</v>
      </c>
      <c r="F12" s="90">
        <v>22500000</v>
      </c>
      <c r="G12" s="77"/>
      <c r="H12" s="90">
        <v>184500</v>
      </c>
      <c r="I12" s="77"/>
      <c r="J12" s="90">
        <v>9534.1910714283749</v>
      </c>
      <c r="K12" s="77"/>
      <c r="L12" s="90">
        <v>77400.596428570876</v>
      </c>
      <c r="M12" s="77"/>
      <c r="N12" s="90">
        <v>22500</v>
      </c>
      <c r="O12" s="91" t="s">
        <v>127</v>
      </c>
      <c r="P12" s="90">
        <v>293934.78749999928</v>
      </c>
      <c r="Q12" s="55"/>
      <c r="R12" s="92">
        <v>1.306E-2</v>
      </c>
    </row>
    <row r="13" spans="1:18" ht="17.25" customHeight="1" x14ac:dyDescent="0.2">
      <c r="A13" s="71" t="s">
        <v>80</v>
      </c>
      <c r="B13" s="83">
        <v>46266</v>
      </c>
      <c r="C13" s="77"/>
      <c r="D13" s="84">
        <v>1.0500000000000001E-2</v>
      </c>
      <c r="E13" s="89"/>
      <c r="F13" s="90">
        <v>27500000</v>
      </c>
      <c r="G13" s="77"/>
      <c r="H13" s="90">
        <v>288750</v>
      </c>
      <c r="I13" s="77"/>
      <c r="J13" s="90">
        <v>55936.25</v>
      </c>
      <c r="K13" s="77"/>
      <c r="L13" s="90">
        <v>76158.292857142456</v>
      </c>
      <c r="M13" s="77"/>
      <c r="N13" s="90">
        <v>0</v>
      </c>
      <c r="O13" s="55"/>
      <c r="P13" s="90">
        <v>420844.54285714246</v>
      </c>
      <c r="Q13" s="55"/>
      <c r="R13" s="92">
        <v>1.5299999999999999E-2</v>
      </c>
    </row>
    <row r="14" spans="1:18" ht="17.25" customHeight="1" x14ac:dyDescent="0.2">
      <c r="A14" s="71" t="s">
        <v>81</v>
      </c>
      <c r="B14" s="83">
        <v>46692</v>
      </c>
      <c r="C14" s="77"/>
      <c r="D14" s="84">
        <v>1.35E-2</v>
      </c>
      <c r="E14" s="89"/>
      <c r="F14" s="90">
        <v>35000000</v>
      </c>
      <c r="G14" s="77"/>
      <c r="H14" s="90">
        <v>472500</v>
      </c>
      <c r="I14" s="77"/>
      <c r="J14" s="90">
        <v>60233.082142857078</v>
      </c>
      <c r="K14" s="77"/>
      <c r="L14" s="90">
        <v>60025.292857142013</v>
      </c>
      <c r="M14" s="77"/>
      <c r="N14" s="90">
        <v>0</v>
      </c>
      <c r="O14" s="55"/>
      <c r="P14" s="90">
        <v>592758.37499999919</v>
      </c>
      <c r="Q14" s="55"/>
      <c r="R14" s="92">
        <v>1.694E-2</v>
      </c>
    </row>
    <row r="15" spans="1:18" ht="17.25" customHeight="1" x14ac:dyDescent="0.2">
      <c r="A15" s="71" t="s">
        <v>82</v>
      </c>
      <c r="B15" s="83">
        <v>46692</v>
      </c>
      <c r="C15" s="77"/>
      <c r="D15" s="84">
        <v>1.35E-2</v>
      </c>
      <c r="E15" s="89"/>
      <c r="F15" s="90">
        <v>35000000</v>
      </c>
      <c r="G15" s="77"/>
      <c r="H15" s="90">
        <v>472500</v>
      </c>
      <c r="I15" s="77"/>
      <c r="J15" s="90">
        <v>60073.264285714104</v>
      </c>
      <c r="K15" s="77"/>
      <c r="L15" s="90">
        <v>59843.314285714114</v>
      </c>
      <c r="M15" s="77"/>
      <c r="N15" s="90">
        <v>0</v>
      </c>
      <c r="O15" s="55"/>
      <c r="P15" s="90">
        <v>592416.5785714282</v>
      </c>
      <c r="Q15" s="55"/>
      <c r="R15" s="92">
        <v>1.6930000000000001E-2</v>
      </c>
    </row>
    <row r="16" spans="1:18" ht="17.25" customHeight="1" x14ac:dyDescent="0.25">
      <c r="A16" s="71" t="s">
        <v>83</v>
      </c>
      <c r="B16" s="83">
        <v>12328</v>
      </c>
      <c r="C16" s="77"/>
      <c r="D16" s="84">
        <v>1.6500000000000001E-2</v>
      </c>
      <c r="E16" s="89"/>
      <c r="F16" s="90">
        <v>128000000</v>
      </c>
      <c r="G16" s="93"/>
      <c r="H16" s="90">
        <v>2112000</v>
      </c>
      <c r="I16" s="77"/>
      <c r="J16" s="90">
        <v>156321.67857142841</v>
      </c>
      <c r="K16" s="77"/>
      <c r="L16" s="90">
        <v>313571.76071428659</v>
      </c>
      <c r="M16" s="94"/>
      <c r="N16" s="90">
        <v>0</v>
      </c>
      <c r="O16" s="55"/>
      <c r="P16" s="90">
        <v>2581893.4392857146</v>
      </c>
      <c r="Q16" s="55"/>
      <c r="R16" s="92">
        <v>2.017E-2</v>
      </c>
    </row>
    <row r="17" spans="1:18" ht="17.25" customHeight="1" x14ac:dyDescent="0.2">
      <c r="A17" s="71" t="s">
        <v>84</v>
      </c>
      <c r="B17" s="83">
        <v>12816</v>
      </c>
      <c r="C17" s="77"/>
      <c r="D17" s="84">
        <v>2.1999999999999999E-2</v>
      </c>
      <c r="E17" s="89"/>
      <c r="F17" s="90">
        <v>40000000</v>
      </c>
      <c r="G17" s="77"/>
      <c r="H17" s="90">
        <v>880000</v>
      </c>
      <c r="I17" s="77"/>
      <c r="J17" s="90">
        <v>71438.71250000014</v>
      </c>
      <c r="K17" s="77"/>
      <c r="L17" s="90">
        <v>84561.896428572218</v>
      </c>
      <c r="M17" s="94"/>
      <c r="N17" s="90">
        <v>0</v>
      </c>
      <c r="O17" s="55"/>
      <c r="P17" s="90">
        <v>1036000.6089285724</v>
      </c>
      <c r="Q17" s="55"/>
      <c r="R17" s="92">
        <v>2.5899999999999999E-2</v>
      </c>
    </row>
    <row r="18" spans="1:18" ht="17.25" customHeight="1" x14ac:dyDescent="0.2">
      <c r="A18" s="71" t="s">
        <v>85</v>
      </c>
      <c r="B18" s="83">
        <v>48731</v>
      </c>
      <c r="C18" s="77"/>
      <c r="D18" s="84">
        <v>4.5999999999999999E-2</v>
      </c>
      <c r="E18" s="89"/>
      <c r="F18" s="90">
        <v>60000000</v>
      </c>
      <c r="G18" s="77"/>
      <c r="H18" s="90">
        <v>2760000</v>
      </c>
      <c r="I18" s="77"/>
      <c r="J18" s="90">
        <v>47501.491071427969</v>
      </c>
      <c r="K18" s="77"/>
      <c r="L18" s="90">
        <v>47589.612500001036</v>
      </c>
      <c r="M18" s="94"/>
      <c r="N18" s="90">
        <v>0</v>
      </c>
      <c r="O18" s="55"/>
      <c r="P18" s="90">
        <v>2855091.1035714294</v>
      </c>
      <c r="Q18" s="55"/>
      <c r="R18" s="92">
        <v>4.7579999999999997E-2</v>
      </c>
    </row>
    <row r="19" spans="1:18" ht="17.25" customHeight="1" x14ac:dyDescent="0.25">
      <c r="A19" s="71" t="s">
        <v>86</v>
      </c>
      <c r="B19" s="83">
        <v>48731</v>
      </c>
      <c r="C19" s="77"/>
      <c r="D19" s="84">
        <v>1.15E-2</v>
      </c>
      <c r="E19" s="89"/>
      <c r="F19" s="90">
        <v>31000000</v>
      </c>
      <c r="G19" s="93"/>
      <c r="H19" s="90">
        <v>356500</v>
      </c>
      <c r="I19" s="77"/>
      <c r="J19" s="90">
        <v>66592.424999999901</v>
      </c>
      <c r="K19" s="77"/>
      <c r="L19" s="95">
        <v>35349.076785713798</v>
      </c>
      <c r="M19" s="94"/>
      <c r="N19" s="90">
        <v>0</v>
      </c>
      <c r="O19" s="55"/>
      <c r="P19" s="90">
        <v>458441.50178571371</v>
      </c>
      <c r="Q19" s="55"/>
      <c r="R19" s="92">
        <v>1.4789999999999999E-2</v>
      </c>
    </row>
    <row r="20" spans="1:18" ht="17.25" customHeight="1" x14ac:dyDescent="0.25">
      <c r="A20" s="71" t="s">
        <v>87</v>
      </c>
      <c r="B20" s="83">
        <v>48731</v>
      </c>
      <c r="C20" s="77"/>
      <c r="D20" s="84">
        <v>1.6E-2</v>
      </c>
      <c r="E20" s="89"/>
      <c r="F20" s="90">
        <v>35200000</v>
      </c>
      <c r="G20" s="93"/>
      <c r="H20" s="90">
        <v>563200</v>
      </c>
      <c r="I20" s="77"/>
      <c r="J20" s="90">
        <v>55737.064285714303</v>
      </c>
      <c r="K20" s="77"/>
      <c r="L20" s="90">
        <v>32821.842857143383</v>
      </c>
      <c r="M20" s="94"/>
      <c r="N20" s="90">
        <v>0</v>
      </c>
      <c r="O20" s="55"/>
      <c r="P20" s="90">
        <v>651758.90714285767</v>
      </c>
      <c r="Q20" s="55"/>
      <c r="R20" s="92">
        <v>1.8519999999999998E-2</v>
      </c>
    </row>
    <row r="21" spans="1:18" ht="17.25" customHeight="1" x14ac:dyDescent="0.25">
      <c r="A21" s="71" t="s">
        <v>129</v>
      </c>
      <c r="B21" s="83">
        <v>52841</v>
      </c>
      <c r="C21" s="77"/>
      <c r="D21" s="84">
        <v>7.0000000000000001E-3</v>
      </c>
      <c r="E21" s="89" t="s">
        <v>5</v>
      </c>
      <c r="F21" s="90">
        <v>125000000</v>
      </c>
      <c r="G21" s="93"/>
      <c r="H21" s="90">
        <v>934165</v>
      </c>
      <c r="I21" s="77"/>
      <c r="J21" s="90">
        <v>26487.189642856763</v>
      </c>
      <c r="K21" s="77"/>
      <c r="L21" s="90">
        <v>143959.12857143086</v>
      </c>
      <c r="M21" s="77"/>
      <c r="N21" s="90">
        <v>125000</v>
      </c>
      <c r="O21" s="91" t="s">
        <v>127</v>
      </c>
      <c r="P21" s="90">
        <v>1229611.3182142875</v>
      </c>
      <c r="Q21" s="55"/>
      <c r="R21" s="92">
        <v>9.8399999999999998E-3</v>
      </c>
    </row>
    <row r="22" spans="1:18" ht="17.25" customHeight="1" x14ac:dyDescent="0.2">
      <c r="A22" s="71" t="s">
        <v>88</v>
      </c>
      <c r="B22" s="83"/>
      <c r="C22" s="77"/>
      <c r="D22" s="84"/>
      <c r="E22" s="77"/>
      <c r="F22" s="90">
        <v>0</v>
      </c>
      <c r="G22" s="77"/>
      <c r="H22" s="90">
        <v>0</v>
      </c>
      <c r="I22" s="77"/>
      <c r="J22" s="90">
        <v>0</v>
      </c>
      <c r="K22" s="77"/>
      <c r="L22" s="90">
        <v>0</v>
      </c>
      <c r="M22" s="94"/>
      <c r="N22" s="90"/>
      <c r="O22" s="55"/>
      <c r="P22" s="90">
        <v>0</v>
      </c>
      <c r="Q22" s="55"/>
      <c r="R22" s="92"/>
    </row>
    <row r="23" spans="1:18" ht="17.25" customHeight="1" x14ac:dyDescent="0.2">
      <c r="A23" s="71" t="s">
        <v>89</v>
      </c>
      <c r="B23" s="83"/>
      <c r="C23" s="77"/>
      <c r="D23" s="84"/>
      <c r="E23" s="77"/>
      <c r="F23" s="90"/>
      <c r="G23" s="77"/>
      <c r="H23" s="90"/>
      <c r="I23" s="77"/>
      <c r="J23" s="90"/>
      <c r="K23" s="87"/>
      <c r="L23" s="90"/>
      <c r="M23" s="94"/>
      <c r="N23" s="90"/>
      <c r="O23" s="55"/>
      <c r="P23" s="90"/>
      <c r="Q23" s="55"/>
      <c r="R23" s="92"/>
    </row>
    <row r="24" spans="1:18" ht="17.25" customHeight="1" x14ac:dyDescent="0.2">
      <c r="A24" s="71" t="s">
        <v>92</v>
      </c>
      <c r="B24" s="83">
        <v>51455</v>
      </c>
      <c r="C24" s="77"/>
      <c r="D24" s="84">
        <v>5.1249999999999997E-2</v>
      </c>
      <c r="E24" s="77"/>
      <c r="F24" s="90">
        <v>285000000</v>
      </c>
      <c r="G24" s="96"/>
      <c r="H24" s="90">
        <v>14606250</v>
      </c>
      <c r="I24" s="77"/>
      <c r="J24" s="90">
        <v>119144.21250000098</v>
      </c>
      <c r="K24" s="87" t="s">
        <v>90</v>
      </c>
      <c r="L24" s="90">
        <v>0</v>
      </c>
      <c r="M24" s="94"/>
      <c r="N24" s="90">
        <v>0</v>
      </c>
      <c r="O24" s="55"/>
      <c r="P24" s="90">
        <v>14725394.2125</v>
      </c>
      <c r="Q24" s="55"/>
      <c r="R24" s="92">
        <v>5.1670000000000001E-2</v>
      </c>
    </row>
    <row r="25" spans="1:18" ht="30" customHeight="1" x14ac:dyDescent="0.2">
      <c r="A25" s="71" t="s">
        <v>91</v>
      </c>
      <c r="B25" s="83">
        <v>51455</v>
      </c>
      <c r="C25" s="77"/>
      <c r="D25" s="84">
        <v>5.1249999999999997E-2</v>
      </c>
      <c r="E25" s="77"/>
      <c r="F25" s="90">
        <v>-2450755.5</v>
      </c>
      <c r="G25" s="96"/>
      <c r="H25" s="90"/>
      <c r="I25" s="77"/>
      <c r="J25" s="90">
        <v>103293.95714285715</v>
      </c>
      <c r="K25" s="87" t="s">
        <v>90</v>
      </c>
      <c r="L25" s="90"/>
      <c r="M25" s="94"/>
      <c r="N25" s="90"/>
      <c r="O25" s="55"/>
      <c r="P25" s="90">
        <v>103293.95714285715</v>
      </c>
      <c r="Q25" s="55"/>
      <c r="R25" s="92">
        <v>-4.215E-2</v>
      </c>
    </row>
    <row r="26" spans="1:18" ht="17.25" customHeight="1" x14ac:dyDescent="0.2">
      <c r="A26" s="71" t="s">
        <v>93</v>
      </c>
      <c r="B26" s="83">
        <v>16025</v>
      </c>
      <c r="C26" s="77"/>
      <c r="D26" s="84">
        <v>4.65E-2</v>
      </c>
      <c r="E26" s="77"/>
      <c r="F26" s="90">
        <v>250000000</v>
      </c>
      <c r="G26" s="96"/>
      <c r="H26" s="90">
        <v>11625000</v>
      </c>
      <c r="I26" s="77"/>
      <c r="J26" s="90">
        <v>91178.825000000492</v>
      </c>
      <c r="K26" s="87" t="s">
        <v>90</v>
      </c>
      <c r="L26" s="90"/>
      <c r="M26" s="94"/>
      <c r="N26" s="90"/>
      <c r="O26" s="55"/>
      <c r="P26" s="90">
        <v>11716178.825000001</v>
      </c>
      <c r="Q26" s="55"/>
      <c r="R26" s="92">
        <v>4.6859999999999999E-2</v>
      </c>
    </row>
    <row r="27" spans="1:18" ht="17.25" customHeight="1" x14ac:dyDescent="0.2">
      <c r="A27" s="71" t="s">
        <v>91</v>
      </c>
      <c r="B27" s="83">
        <v>52550</v>
      </c>
      <c r="C27" s="77"/>
      <c r="D27" s="84">
        <v>4.65E-2</v>
      </c>
      <c r="E27" s="77"/>
      <c r="F27" s="90">
        <v>-1602390.95</v>
      </c>
      <c r="G27" s="96"/>
      <c r="H27" s="90"/>
      <c r="I27" s="77"/>
      <c r="J27" s="90">
        <v>59956.203571428567</v>
      </c>
      <c r="K27" s="87" t="s">
        <v>90</v>
      </c>
      <c r="L27" s="90"/>
      <c r="M27" s="94"/>
      <c r="N27" s="90"/>
      <c r="O27" s="55"/>
      <c r="P27" s="90">
        <v>59956.203571428567</v>
      </c>
      <c r="Q27" s="55"/>
      <c r="R27" s="92">
        <v>-3.7420000000000002E-2</v>
      </c>
    </row>
    <row r="28" spans="1:18" ht="17.25" customHeight="1" x14ac:dyDescent="0.2">
      <c r="A28" s="71" t="s">
        <v>94</v>
      </c>
      <c r="B28" s="83">
        <v>52550</v>
      </c>
      <c r="C28" s="77"/>
      <c r="D28" s="84"/>
      <c r="E28" s="77"/>
      <c r="F28" s="90"/>
      <c r="G28" s="77"/>
      <c r="H28" s="90">
        <v>-1433373.25</v>
      </c>
      <c r="I28" s="77"/>
      <c r="J28" s="90"/>
      <c r="K28" s="87"/>
      <c r="L28" s="90"/>
      <c r="M28" s="94"/>
      <c r="N28" s="90"/>
      <c r="O28" s="55"/>
      <c r="P28" s="90">
        <v>-1433373.25</v>
      </c>
      <c r="Q28" s="55"/>
      <c r="R28" s="92">
        <v>-3.3309999999999999E-2</v>
      </c>
    </row>
    <row r="29" spans="1:18" ht="17.25" customHeight="1" x14ac:dyDescent="0.2">
      <c r="A29" s="71" t="s">
        <v>95</v>
      </c>
      <c r="B29" s="83">
        <v>45931</v>
      </c>
      <c r="C29" s="77"/>
      <c r="D29" s="84">
        <v>3.3000000000000002E-2</v>
      </c>
      <c r="E29" s="77"/>
      <c r="F29" s="90">
        <v>300000000</v>
      </c>
      <c r="G29" s="77"/>
      <c r="H29" s="90">
        <v>9900000</v>
      </c>
      <c r="I29" s="77"/>
      <c r="J29" s="90">
        <v>237370.31964285689</v>
      </c>
      <c r="K29" s="87"/>
      <c r="L29" s="90"/>
      <c r="M29" s="94"/>
      <c r="N29" s="90"/>
      <c r="O29" s="55"/>
      <c r="P29" s="90">
        <v>10137370.319642857</v>
      </c>
      <c r="Q29" s="55"/>
      <c r="R29" s="92">
        <v>3.3790000000000001E-2</v>
      </c>
    </row>
    <row r="30" spans="1:18" ht="17.25" customHeight="1" x14ac:dyDescent="0.2">
      <c r="A30" s="71" t="s">
        <v>91</v>
      </c>
      <c r="B30" s="83">
        <v>45931</v>
      </c>
      <c r="C30" s="77"/>
      <c r="D30" s="84">
        <v>3.3000000000000002E-2</v>
      </c>
      <c r="E30" s="77"/>
      <c r="F30" s="90">
        <v>-110652.08</v>
      </c>
      <c r="G30" s="77"/>
      <c r="H30" s="90"/>
      <c r="I30" s="77"/>
      <c r="J30" s="90">
        <v>12878.764285714286</v>
      </c>
      <c r="K30" s="87"/>
      <c r="L30" s="90"/>
      <c r="M30" s="94"/>
      <c r="N30" s="90"/>
      <c r="O30" s="55"/>
      <c r="P30" s="90">
        <v>12878.764285714286</v>
      </c>
      <c r="Q30" s="55"/>
      <c r="R30" s="92">
        <v>-0.11638999999999999</v>
      </c>
    </row>
    <row r="31" spans="1:18" ht="17.25" customHeight="1" x14ac:dyDescent="0.2">
      <c r="A31" s="71" t="s">
        <v>96</v>
      </c>
      <c r="B31" s="83">
        <v>45931</v>
      </c>
      <c r="C31" s="77"/>
      <c r="D31" s="84"/>
      <c r="E31" s="77"/>
      <c r="F31" s="90"/>
      <c r="G31" s="77"/>
      <c r="H31" s="90">
        <v>1405381.4000000001</v>
      </c>
      <c r="I31" s="77"/>
      <c r="J31" s="90"/>
      <c r="K31" s="87"/>
      <c r="L31" s="90"/>
      <c r="M31" s="94"/>
      <c r="N31" s="90"/>
      <c r="O31" s="55"/>
      <c r="P31" s="90">
        <v>1405381.4000000001</v>
      </c>
      <c r="Q31" s="55"/>
      <c r="R31" s="92">
        <v>9.9839999999999998E-2</v>
      </c>
    </row>
    <row r="32" spans="1:18" ht="17.25" customHeight="1" x14ac:dyDescent="0.2">
      <c r="A32" s="71" t="s">
        <v>97</v>
      </c>
      <c r="B32" s="83">
        <v>53236</v>
      </c>
      <c r="C32" s="77"/>
      <c r="D32" s="84">
        <v>4.3749999999999997E-2</v>
      </c>
      <c r="E32" s="77"/>
      <c r="F32" s="90">
        <v>250000000</v>
      </c>
      <c r="G32" s="77"/>
      <c r="H32" s="90">
        <v>10937500</v>
      </c>
      <c r="I32" s="77"/>
      <c r="J32" s="90">
        <v>85609.967857140917</v>
      </c>
      <c r="K32" s="87"/>
      <c r="L32" s="90"/>
      <c r="M32" s="94"/>
      <c r="N32" s="90"/>
      <c r="O32" s="55"/>
      <c r="P32" s="90">
        <v>11023109.967857141</v>
      </c>
      <c r="Q32" s="55"/>
      <c r="R32" s="92">
        <v>4.4089999999999997E-2</v>
      </c>
    </row>
    <row r="33" spans="1:21" ht="17.25" customHeight="1" x14ac:dyDescent="0.2">
      <c r="A33" s="71" t="s">
        <v>91</v>
      </c>
      <c r="B33" s="83">
        <v>53236</v>
      </c>
      <c r="C33" s="77"/>
      <c r="D33" s="84">
        <v>4.3749999999999997E-2</v>
      </c>
      <c r="E33" s="77"/>
      <c r="F33" s="90">
        <v>-197656.01</v>
      </c>
      <c r="G33" s="77"/>
      <c r="H33" s="90"/>
      <c r="I33" s="77"/>
      <c r="J33" s="90">
        <v>6909.7107142857139</v>
      </c>
      <c r="K33" s="87"/>
      <c r="L33" s="90"/>
      <c r="M33" s="94"/>
      <c r="N33" s="90"/>
      <c r="O33" s="55"/>
      <c r="P33" s="90">
        <v>6909.7107142857139</v>
      </c>
      <c r="Q33" s="55"/>
      <c r="R33" s="92">
        <v>-3.4959999999999998E-2</v>
      </c>
    </row>
    <row r="34" spans="1:21" ht="17.25" customHeight="1" x14ac:dyDescent="0.2">
      <c r="A34" s="71" t="s">
        <v>96</v>
      </c>
      <c r="B34" s="83">
        <v>53236</v>
      </c>
      <c r="C34" s="77"/>
      <c r="D34" s="97"/>
      <c r="E34" s="77"/>
      <c r="F34" s="90"/>
      <c r="G34" s="77"/>
      <c r="H34" s="90">
        <v>986054.8</v>
      </c>
      <c r="I34" s="77"/>
      <c r="J34" s="90"/>
      <c r="K34" s="87"/>
      <c r="L34" s="90"/>
      <c r="M34" s="94"/>
      <c r="N34" s="90"/>
      <c r="O34" s="55"/>
      <c r="P34" s="90">
        <v>986054.8</v>
      </c>
      <c r="Q34" s="55"/>
      <c r="R34" s="92">
        <v>3.3300000000000003E-2</v>
      </c>
    </row>
    <row r="35" spans="1:21" ht="17.25" customHeight="1" x14ac:dyDescent="0.2">
      <c r="A35" s="71"/>
      <c r="B35" s="83"/>
      <c r="C35" s="77"/>
      <c r="D35" s="97"/>
      <c r="E35" s="77"/>
      <c r="F35" s="90"/>
      <c r="G35" s="77"/>
      <c r="H35" s="90"/>
      <c r="I35" s="77"/>
      <c r="J35" s="90"/>
      <c r="K35" s="87"/>
      <c r="L35" s="90"/>
      <c r="M35" s="94"/>
      <c r="N35" s="90"/>
      <c r="O35" s="55"/>
      <c r="P35" s="90"/>
      <c r="Q35" s="55"/>
      <c r="R35" s="98"/>
    </row>
    <row r="36" spans="1:21" ht="17.25" customHeight="1" x14ac:dyDescent="0.25">
      <c r="A36" s="71" t="s">
        <v>98</v>
      </c>
      <c r="B36" s="83">
        <v>44196</v>
      </c>
      <c r="C36" s="77"/>
      <c r="D36" s="99"/>
      <c r="E36" s="77"/>
      <c r="F36" s="90"/>
      <c r="G36" s="77"/>
      <c r="H36" s="90"/>
      <c r="I36" s="77"/>
      <c r="J36" s="100">
        <v>493306.10357143352</v>
      </c>
      <c r="K36" s="93">
        <v>2</v>
      </c>
      <c r="L36" s="90">
        <v>40545.373214285544</v>
      </c>
      <c r="M36" s="77"/>
      <c r="N36" s="90">
        <v>506944.44444444444</v>
      </c>
      <c r="O36" s="91" t="s">
        <v>128</v>
      </c>
      <c r="P36" s="90">
        <v>1040795.9212301634</v>
      </c>
      <c r="Q36" s="55"/>
      <c r="R36" s="98"/>
    </row>
    <row r="37" spans="1:21" ht="17.25" customHeight="1" thickBot="1" x14ac:dyDescent="0.25">
      <c r="A37" s="71"/>
      <c r="B37" s="83"/>
      <c r="C37" s="77"/>
      <c r="D37" s="97"/>
      <c r="E37" s="77"/>
      <c r="F37" s="90"/>
      <c r="G37" s="77"/>
      <c r="H37" s="90"/>
      <c r="I37" s="77"/>
      <c r="J37" s="90"/>
      <c r="K37" s="87"/>
      <c r="L37" s="90"/>
      <c r="M37" s="94"/>
      <c r="N37" s="90"/>
      <c r="O37" s="55"/>
      <c r="P37" s="90"/>
      <c r="Q37" s="55"/>
      <c r="R37" s="98"/>
    </row>
    <row r="38" spans="1:21" ht="17.25" customHeight="1" thickBot="1" x14ac:dyDescent="0.3">
      <c r="A38" s="101" t="s">
        <v>135</v>
      </c>
      <c r="B38" s="102"/>
      <c r="C38" s="77"/>
      <c r="D38" s="103"/>
      <c r="E38" s="77"/>
      <c r="F38" s="104">
        <v>1629942545.46</v>
      </c>
      <c r="G38" s="105"/>
      <c r="H38" s="104">
        <v>57166113.949999996</v>
      </c>
      <c r="I38" s="105"/>
      <c r="J38" s="104">
        <v>1839516.4932142885</v>
      </c>
      <c r="K38" s="105"/>
      <c r="L38" s="104">
        <v>971826.18750000279</v>
      </c>
      <c r="M38" s="106"/>
      <c r="N38" s="104">
        <v>684847.38444444444</v>
      </c>
      <c r="O38" s="107"/>
      <c r="P38" s="104">
        <v>60662304.015158728</v>
      </c>
      <c r="Q38" s="55"/>
      <c r="R38" s="108">
        <v>3.7220000000000003E-2</v>
      </c>
    </row>
    <row r="39" spans="1:21" ht="17.25" customHeight="1" x14ac:dyDescent="0.2">
      <c r="A39" s="71"/>
      <c r="B39" s="102"/>
      <c r="C39" s="77"/>
      <c r="D39" s="103"/>
      <c r="E39" s="77"/>
      <c r="F39" s="86"/>
      <c r="G39" s="87"/>
      <c r="H39" s="86"/>
      <c r="I39" s="77"/>
      <c r="J39" s="86"/>
      <c r="K39" s="87"/>
      <c r="L39" s="85"/>
      <c r="M39" s="88"/>
      <c r="N39" s="85"/>
      <c r="O39" s="55"/>
      <c r="P39" s="85"/>
      <c r="Q39" s="55"/>
      <c r="R39" s="92"/>
    </row>
    <row r="40" spans="1:21" x14ac:dyDescent="0.2">
      <c r="A40" s="71" t="s">
        <v>99</v>
      </c>
      <c r="B40" s="54"/>
      <c r="C40" s="77"/>
      <c r="D40" s="55"/>
      <c r="E40" s="77"/>
      <c r="F40" s="85"/>
      <c r="G40" s="77"/>
      <c r="H40" s="85"/>
      <c r="I40" s="77"/>
      <c r="J40" s="109"/>
      <c r="K40" s="87"/>
      <c r="L40" s="86"/>
      <c r="M40" s="87"/>
      <c r="N40" s="86"/>
      <c r="O40" s="55"/>
      <c r="P40" s="85"/>
      <c r="Q40" s="55"/>
      <c r="R40" s="92"/>
      <c r="U40" s="58"/>
    </row>
    <row r="41" spans="1:21" ht="30.75" x14ac:dyDescent="0.25">
      <c r="A41" s="110" t="s">
        <v>100</v>
      </c>
      <c r="B41" s="83">
        <v>44136</v>
      </c>
      <c r="C41" s="93">
        <v>1</v>
      </c>
      <c r="E41" s="77"/>
      <c r="F41" s="85"/>
      <c r="G41" s="77"/>
      <c r="H41" s="107">
        <v>4434306.0035714284</v>
      </c>
      <c r="I41" s="105"/>
      <c r="J41" s="107">
        <v>0</v>
      </c>
      <c r="K41" s="105"/>
      <c r="L41" s="107">
        <v>0</v>
      </c>
      <c r="M41" s="105"/>
      <c r="N41" s="107">
        <v>0</v>
      </c>
      <c r="O41" s="107"/>
      <c r="P41" s="90">
        <v>4434306.0035714284</v>
      </c>
      <c r="Q41" s="55"/>
      <c r="R41" s="92"/>
      <c r="S41" s="50"/>
      <c r="T41" s="59"/>
    </row>
    <row r="42" spans="1:21" ht="30.75" x14ac:dyDescent="0.25">
      <c r="A42" s="110" t="s">
        <v>101</v>
      </c>
      <c r="B42" s="83">
        <v>48853</v>
      </c>
      <c r="C42" s="93">
        <v>1</v>
      </c>
      <c r="E42" s="77"/>
      <c r="F42" s="85"/>
      <c r="G42" s="77"/>
      <c r="H42" s="90">
        <v>1099157.4803571426</v>
      </c>
      <c r="I42" s="77"/>
      <c r="J42" s="90">
        <v>0</v>
      </c>
      <c r="K42" s="87"/>
      <c r="L42" s="90">
        <v>0</v>
      </c>
      <c r="M42" s="94"/>
      <c r="N42" s="90">
        <v>0</v>
      </c>
      <c r="O42" s="55"/>
      <c r="P42" s="90">
        <v>1099157.4803571426</v>
      </c>
      <c r="Q42" s="55"/>
      <c r="R42" s="92"/>
      <c r="S42" s="50"/>
    </row>
    <row r="43" spans="1:21" ht="31.5" thickBot="1" x14ac:dyDescent="0.3">
      <c r="A43" s="110" t="s">
        <v>102</v>
      </c>
      <c r="B43" s="83">
        <v>48853</v>
      </c>
      <c r="C43" s="93">
        <v>1</v>
      </c>
      <c r="E43" s="77"/>
      <c r="F43" s="85"/>
      <c r="G43" s="77"/>
      <c r="H43" s="90">
        <v>1094986.0517857142</v>
      </c>
      <c r="I43" s="77"/>
      <c r="J43" s="90">
        <v>0</v>
      </c>
      <c r="K43" s="87"/>
      <c r="L43" s="90">
        <v>0</v>
      </c>
      <c r="M43" s="94"/>
      <c r="N43" s="90">
        <v>0</v>
      </c>
      <c r="O43" s="55"/>
      <c r="P43" s="90">
        <v>1094986.0517857142</v>
      </c>
      <c r="Q43" s="55"/>
      <c r="R43" s="92"/>
    </row>
    <row r="44" spans="1:21" ht="16.5" thickBot="1" x14ac:dyDescent="0.3">
      <c r="A44" s="101" t="s">
        <v>103</v>
      </c>
      <c r="B44" s="83"/>
      <c r="C44" s="77"/>
      <c r="D44" s="55"/>
      <c r="E44" s="77"/>
      <c r="F44" s="85"/>
      <c r="G44" s="77"/>
      <c r="H44" s="104">
        <v>6628449.5357142845</v>
      </c>
      <c r="I44" s="105"/>
      <c r="J44" s="104">
        <v>0</v>
      </c>
      <c r="K44" s="105"/>
      <c r="L44" s="104">
        <v>0</v>
      </c>
      <c r="M44" s="106"/>
      <c r="N44" s="104">
        <v>0</v>
      </c>
      <c r="O44" s="107"/>
      <c r="P44" s="104">
        <v>6628449.5357142845</v>
      </c>
      <c r="Q44" s="55"/>
      <c r="R44" s="108">
        <v>4.0699999999999998E-3</v>
      </c>
      <c r="S44" s="50"/>
    </row>
    <row r="45" spans="1:21" x14ac:dyDescent="0.2">
      <c r="A45" s="71"/>
      <c r="B45" s="83"/>
      <c r="C45" s="77"/>
      <c r="D45" s="55"/>
      <c r="E45" s="77"/>
      <c r="F45" s="111"/>
      <c r="G45" s="77"/>
      <c r="H45" s="85"/>
      <c r="I45" s="77"/>
      <c r="J45" s="86"/>
      <c r="K45" s="87"/>
      <c r="L45" s="86"/>
      <c r="M45" s="87"/>
      <c r="N45" s="86"/>
      <c r="O45" s="55"/>
      <c r="P45" s="85"/>
      <c r="Q45" s="55"/>
      <c r="R45" s="92"/>
    </row>
    <row r="46" spans="1:21" ht="15.75" x14ac:dyDescent="0.25">
      <c r="A46" s="71" t="s">
        <v>104</v>
      </c>
      <c r="B46" s="83"/>
      <c r="C46" s="93"/>
      <c r="D46" s="97"/>
      <c r="E46" s="77"/>
      <c r="F46" s="107">
        <v>0</v>
      </c>
      <c r="G46" s="105"/>
      <c r="H46" s="107">
        <v>0</v>
      </c>
      <c r="I46" s="105"/>
      <c r="J46" s="107">
        <v>0</v>
      </c>
      <c r="K46" s="105"/>
      <c r="L46" s="107">
        <v>0</v>
      </c>
      <c r="M46" s="105"/>
      <c r="N46" s="107">
        <v>0</v>
      </c>
      <c r="O46" s="107"/>
      <c r="P46" s="107">
        <v>0</v>
      </c>
      <c r="Q46" s="55"/>
      <c r="R46" s="92"/>
      <c r="S46" s="50"/>
    </row>
    <row r="47" spans="1:21" ht="15.75" thickBot="1" x14ac:dyDescent="0.25">
      <c r="A47" s="71"/>
      <c r="B47" s="83"/>
      <c r="C47" s="77"/>
      <c r="D47" s="97"/>
      <c r="E47" s="77"/>
      <c r="F47" s="90"/>
      <c r="G47" s="77"/>
      <c r="H47" s="85"/>
      <c r="I47" s="77"/>
      <c r="J47" s="90">
        <v>0</v>
      </c>
      <c r="K47" s="112"/>
      <c r="L47" s="90">
        <v>0</v>
      </c>
      <c r="M47" s="94"/>
      <c r="N47" s="90">
        <v>0</v>
      </c>
      <c r="O47" s="55"/>
      <c r="P47" s="90">
        <v>0</v>
      </c>
      <c r="Q47" s="55"/>
      <c r="R47" s="92"/>
    </row>
    <row r="48" spans="1:21" ht="16.5" thickBot="1" x14ac:dyDescent="0.3">
      <c r="A48" s="101" t="s">
        <v>105</v>
      </c>
      <c r="B48" s="83"/>
      <c r="C48" s="77"/>
      <c r="D48" s="84"/>
      <c r="E48" s="77"/>
      <c r="F48" s="104">
        <v>0</v>
      </c>
      <c r="G48" s="105"/>
      <c r="H48" s="104">
        <v>0</v>
      </c>
      <c r="I48" s="105"/>
      <c r="J48" s="104">
        <v>0</v>
      </c>
      <c r="K48" s="105"/>
      <c r="L48" s="104">
        <v>0</v>
      </c>
      <c r="M48" s="106"/>
      <c r="N48" s="104">
        <v>0</v>
      </c>
      <c r="O48" s="107"/>
      <c r="P48" s="104">
        <v>0</v>
      </c>
      <c r="Q48" s="55"/>
      <c r="R48" s="108">
        <v>0</v>
      </c>
      <c r="S48" s="50"/>
    </row>
    <row r="49" spans="1:20" ht="15.75" thickBot="1" x14ac:dyDescent="0.25">
      <c r="A49" s="71"/>
      <c r="B49" s="54"/>
      <c r="C49" s="77"/>
      <c r="D49" s="103"/>
      <c r="E49" s="77"/>
      <c r="F49" s="85"/>
      <c r="G49" s="77"/>
      <c r="H49" s="85"/>
      <c r="I49" s="77"/>
      <c r="J49" s="86"/>
      <c r="K49" s="87"/>
      <c r="L49" s="85"/>
      <c r="M49" s="88"/>
      <c r="N49" s="85"/>
      <c r="O49" s="85"/>
      <c r="P49" s="85"/>
      <c r="Q49" s="55"/>
      <c r="R49" s="92"/>
    </row>
    <row r="50" spans="1:20" ht="16.5" thickBot="1" x14ac:dyDescent="0.3">
      <c r="A50" s="71"/>
      <c r="B50" s="54"/>
      <c r="C50" s="77"/>
      <c r="D50" s="103" t="s">
        <v>4</v>
      </c>
      <c r="E50" s="77"/>
      <c r="F50" s="113">
        <v>1629942545.46</v>
      </c>
      <c r="G50" s="107"/>
      <c r="H50" s="113">
        <v>63794563.485714279</v>
      </c>
      <c r="I50" s="105"/>
      <c r="J50" s="113">
        <v>1839516.4932142885</v>
      </c>
      <c r="K50" s="105"/>
      <c r="L50" s="113">
        <v>971826.18750000279</v>
      </c>
      <c r="M50" s="114"/>
      <c r="N50" s="113">
        <v>684847.38444444444</v>
      </c>
      <c r="O50" s="107"/>
      <c r="P50" s="113">
        <v>67290753.550873011</v>
      </c>
      <c r="Q50" s="55"/>
      <c r="R50" s="108">
        <v>4.1279999999999997E-2</v>
      </c>
    </row>
    <row r="51" spans="1:20" ht="15.75" thickTop="1" x14ac:dyDescent="0.2">
      <c r="A51" s="61"/>
      <c r="B51" s="73"/>
      <c r="C51" s="115"/>
      <c r="D51" s="62"/>
      <c r="E51" s="115"/>
      <c r="F51" s="63"/>
      <c r="G51" s="64"/>
      <c r="H51" s="63"/>
      <c r="I51" s="115"/>
      <c r="J51" s="63"/>
      <c r="K51" s="116"/>
      <c r="L51" s="54"/>
      <c r="M51" s="77"/>
      <c r="N51" s="63"/>
      <c r="O51" s="63"/>
      <c r="P51" s="63"/>
      <c r="Q51" s="64"/>
      <c r="R51" s="65"/>
    </row>
    <row r="52" spans="1:20" ht="15.75" x14ac:dyDescent="0.25">
      <c r="B52" s="74"/>
      <c r="C52" s="96"/>
      <c r="D52" s="66"/>
      <c r="E52" s="96"/>
      <c r="F52" s="67"/>
      <c r="H52" s="67"/>
      <c r="I52" s="117"/>
      <c r="J52" s="67"/>
      <c r="K52" s="77"/>
      <c r="L52" s="68"/>
      <c r="M52" s="88"/>
      <c r="N52" s="67"/>
      <c r="O52" s="67"/>
      <c r="P52" s="67"/>
      <c r="R52" s="69"/>
    </row>
    <row r="53" spans="1:20" ht="15.75" x14ac:dyDescent="0.25">
      <c r="B53" s="74"/>
      <c r="C53" s="96"/>
      <c r="D53" s="66"/>
      <c r="E53" s="96"/>
      <c r="F53" s="67"/>
      <c r="H53" s="67"/>
      <c r="I53" s="117"/>
      <c r="J53" s="67"/>
      <c r="K53" s="77"/>
      <c r="L53" s="67"/>
      <c r="M53" s="118"/>
      <c r="N53" s="67"/>
      <c r="O53" s="67"/>
      <c r="P53" s="67"/>
      <c r="R53" s="69"/>
      <c r="T53" s="60"/>
    </row>
    <row r="54" spans="1:20" ht="15.75" x14ac:dyDescent="0.25">
      <c r="A54" s="60"/>
      <c r="B54" s="74"/>
      <c r="C54" s="96"/>
      <c r="D54" s="66"/>
      <c r="E54" s="96"/>
      <c r="F54" s="67"/>
      <c r="H54" s="67"/>
      <c r="I54" s="117"/>
      <c r="J54" s="67"/>
      <c r="K54" s="118"/>
      <c r="L54" s="67"/>
      <c r="M54" s="118"/>
      <c r="N54" s="67"/>
      <c r="O54" s="67"/>
      <c r="P54" s="67"/>
      <c r="R54" s="69"/>
    </row>
    <row r="55" spans="1:20" x14ac:dyDescent="0.2">
      <c r="B55" s="74"/>
      <c r="C55" s="96"/>
      <c r="D55" s="66"/>
      <c r="E55" s="96"/>
      <c r="F55" s="67"/>
      <c r="H55" s="67"/>
      <c r="I55" s="96"/>
      <c r="J55" s="67"/>
      <c r="K55" s="118"/>
      <c r="L55" s="67"/>
      <c r="M55" s="118"/>
      <c r="N55" s="67"/>
      <c r="O55" s="67"/>
      <c r="P55" s="67"/>
      <c r="R55" s="69"/>
    </row>
    <row r="56" spans="1:20" ht="15.75" x14ac:dyDescent="0.25">
      <c r="A56" s="225" t="s">
        <v>106</v>
      </c>
      <c r="B56" s="226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7"/>
    </row>
    <row r="57" spans="1:20" x14ac:dyDescent="0.2">
      <c r="A57" s="71"/>
      <c r="B57" s="54"/>
      <c r="C57" s="77"/>
      <c r="D57" s="55"/>
      <c r="E57" s="77"/>
      <c r="F57" s="55"/>
      <c r="G57" s="55"/>
      <c r="H57" s="55"/>
      <c r="I57" s="77"/>
      <c r="J57" s="55"/>
      <c r="K57" s="77"/>
      <c r="L57" s="55"/>
      <c r="M57" s="77"/>
      <c r="N57" s="55"/>
      <c r="O57" s="55"/>
      <c r="P57" s="55"/>
      <c r="Q57" s="55"/>
      <c r="R57" s="56"/>
    </row>
    <row r="58" spans="1:20" s="70" customFormat="1" x14ac:dyDescent="0.2">
      <c r="A58" s="71"/>
      <c r="B58" s="54"/>
      <c r="C58" s="77"/>
      <c r="D58" s="55"/>
      <c r="E58" s="77"/>
      <c r="F58" s="55"/>
      <c r="G58" s="55"/>
      <c r="H58" s="224" t="s">
        <v>66</v>
      </c>
      <c r="I58" s="224"/>
      <c r="J58" s="224"/>
      <c r="K58" s="224"/>
      <c r="L58" s="224"/>
      <c r="M58" s="224"/>
      <c r="N58" s="224"/>
      <c r="O58" s="224"/>
      <c r="P58" s="224"/>
      <c r="Q58" s="55"/>
      <c r="R58" s="56"/>
    </row>
    <row r="59" spans="1:20" x14ac:dyDescent="0.2">
      <c r="A59" s="71"/>
      <c r="B59" s="54"/>
      <c r="C59" s="77"/>
      <c r="D59" s="55"/>
      <c r="E59" s="77"/>
      <c r="F59" s="55"/>
      <c r="G59" s="55"/>
      <c r="H59" s="55"/>
      <c r="I59" s="77"/>
      <c r="J59" s="55"/>
      <c r="K59" s="77"/>
      <c r="L59" s="55"/>
      <c r="M59" s="77"/>
      <c r="N59" s="55"/>
      <c r="O59" s="55"/>
      <c r="P59" s="55"/>
      <c r="Q59" s="55"/>
      <c r="R59" s="79" t="s">
        <v>70</v>
      </c>
    </row>
    <row r="60" spans="1:20" x14ac:dyDescent="0.2">
      <c r="A60" s="71"/>
      <c r="B60" s="54" t="s">
        <v>107</v>
      </c>
      <c r="C60" s="77"/>
      <c r="D60" s="80" t="s">
        <v>186</v>
      </c>
      <c r="E60" s="77"/>
      <c r="F60" s="80" t="s">
        <v>187</v>
      </c>
      <c r="G60" s="55"/>
      <c r="H60" s="80" t="s">
        <v>188</v>
      </c>
      <c r="I60" s="77"/>
      <c r="J60" s="80" t="s">
        <v>189</v>
      </c>
      <c r="K60" s="77"/>
      <c r="L60" s="80" t="s">
        <v>190</v>
      </c>
      <c r="M60" s="119"/>
      <c r="N60" s="80" t="s">
        <v>108</v>
      </c>
      <c r="O60" s="54"/>
      <c r="P60" s="80" t="s">
        <v>191</v>
      </c>
      <c r="Q60" s="55"/>
      <c r="R60" s="120" t="s">
        <v>192</v>
      </c>
    </row>
    <row r="61" spans="1:20" x14ac:dyDescent="0.2">
      <c r="A61" s="71"/>
      <c r="B61" s="54"/>
      <c r="C61" s="77"/>
      <c r="D61" s="55"/>
      <c r="E61" s="77"/>
      <c r="F61" s="55"/>
      <c r="G61" s="55"/>
      <c r="H61" s="55"/>
      <c r="I61" s="77"/>
      <c r="J61" s="55"/>
      <c r="K61" s="77"/>
      <c r="L61" s="55"/>
      <c r="M61" s="77"/>
      <c r="N61" s="55"/>
      <c r="O61" s="55"/>
      <c r="P61" s="55"/>
      <c r="Q61" s="55"/>
      <c r="R61" s="56"/>
    </row>
    <row r="62" spans="1:20" x14ac:dyDescent="0.2">
      <c r="A62" s="71" t="s">
        <v>109</v>
      </c>
      <c r="B62" s="54" t="s">
        <v>110</v>
      </c>
      <c r="C62" s="77"/>
      <c r="D62" s="84">
        <v>1.0800000000000001E-2</v>
      </c>
      <c r="E62" s="89" t="s">
        <v>5</v>
      </c>
      <c r="F62" s="121">
        <v>0</v>
      </c>
      <c r="G62" s="107"/>
      <c r="H62" s="107">
        <v>0</v>
      </c>
      <c r="I62" s="105"/>
      <c r="J62" s="122">
        <v>0</v>
      </c>
      <c r="K62" s="105"/>
      <c r="L62" s="122">
        <v>0</v>
      </c>
      <c r="M62" s="105"/>
      <c r="N62" s="122">
        <v>0</v>
      </c>
      <c r="O62" s="107"/>
      <c r="P62" s="107">
        <v>0</v>
      </c>
      <c r="Q62" s="55"/>
      <c r="R62" s="92">
        <v>0</v>
      </c>
    </row>
    <row r="63" spans="1:20" x14ac:dyDescent="0.2">
      <c r="A63" s="71" t="s">
        <v>111</v>
      </c>
      <c r="B63" s="54"/>
      <c r="C63" s="77"/>
      <c r="D63" s="84"/>
      <c r="E63" s="77"/>
      <c r="F63" s="90">
        <v>0</v>
      </c>
      <c r="G63" s="107"/>
      <c r="H63" s="90">
        <v>0</v>
      </c>
      <c r="I63" s="105"/>
      <c r="J63" s="100">
        <v>0</v>
      </c>
      <c r="K63" s="105"/>
      <c r="L63" s="100">
        <v>0</v>
      </c>
      <c r="M63" s="94"/>
      <c r="N63" s="100">
        <v>0</v>
      </c>
      <c r="O63" s="107"/>
      <c r="P63" s="90">
        <v>0</v>
      </c>
      <c r="Q63" s="55"/>
      <c r="R63" s="92">
        <v>0</v>
      </c>
    </row>
    <row r="64" spans="1:20" x14ac:dyDescent="0.2">
      <c r="A64" s="71" t="s">
        <v>112</v>
      </c>
      <c r="B64" s="54" t="s">
        <v>113</v>
      </c>
      <c r="C64" s="77"/>
      <c r="D64" s="84">
        <v>9.6299999999999997E-3</v>
      </c>
      <c r="E64" s="77"/>
      <c r="F64" s="123">
        <v>110000000</v>
      </c>
      <c r="G64" s="55"/>
      <c r="H64" s="124">
        <v>1059300</v>
      </c>
      <c r="I64" s="77"/>
      <c r="J64" s="125">
        <v>0</v>
      </c>
      <c r="K64" s="77"/>
      <c r="L64" s="125">
        <v>0</v>
      </c>
      <c r="M64" s="126"/>
      <c r="N64" s="125">
        <v>0</v>
      </c>
      <c r="O64" s="55"/>
      <c r="P64" s="124">
        <v>1059300</v>
      </c>
      <c r="Q64" s="55"/>
      <c r="R64" s="127">
        <v>9.6299999999999997E-3</v>
      </c>
    </row>
    <row r="65" spans="1:18" ht="15.75" thickBot="1" x14ac:dyDescent="0.25">
      <c r="A65" s="71"/>
      <c r="B65" s="54"/>
      <c r="C65" s="77"/>
      <c r="D65" s="55"/>
      <c r="E65" s="77"/>
      <c r="F65" s="86"/>
      <c r="G65" s="55"/>
      <c r="H65" s="86"/>
      <c r="I65" s="77"/>
      <c r="J65" s="55"/>
      <c r="K65" s="77"/>
      <c r="L65" s="86"/>
      <c r="M65" s="87"/>
      <c r="N65" s="86"/>
      <c r="O65" s="55"/>
      <c r="P65" s="86"/>
      <c r="Q65" s="55"/>
      <c r="R65" s="92"/>
    </row>
    <row r="66" spans="1:18" ht="16.5" thickBot="1" x14ac:dyDescent="0.3">
      <c r="A66" s="71"/>
      <c r="B66" s="54"/>
      <c r="C66" s="77"/>
      <c r="D66" s="55" t="s">
        <v>4</v>
      </c>
      <c r="E66" s="77"/>
      <c r="F66" s="128">
        <v>110000000</v>
      </c>
      <c r="G66" s="107"/>
      <c r="H66" s="113">
        <v>1059300</v>
      </c>
      <c r="I66" s="105"/>
      <c r="J66" s="129">
        <v>0</v>
      </c>
      <c r="K66" s="105"/>
      <c r="L66" s="129">
        <v>0</v>
      </c>
      <c r="M66" s="114"/>
      <c r="N66" s="129">
        <v>0</v>
      </c>
      <c r="O66" s="107"/>
      <c r="P66" s="113">
        <v>1059300</v>
      </c>
      <c r="Q66" s="55"/>
      <c r="R66" s="130">
        <v>9.6299999999999997E-3</v>
      </c>
    </row>
    <row r="67" spans="1:18" ht="15.75" thickTop="1" x14ac:dyDescent="0.2">
      <c r="A67" s="61"/>
      <c r="B67" s="73"/>
      <c r="C67" s="115"/>
      <c r="D67" s="64"/>
      <c r="E67" s="115"/>
      <c r="F67" s="64"/>
      <c r="G67" s="64"/>
      <c r="H67" s="131"/>
      <c r="I67" s="115"/>
      <c r="J67" s="64"/>
      <c r="K67" s="115"/>
      <c r="L67" s="131"/>
      <c r="M67" s="132"/>
      <c r="N67" s="131"/>
      <c r="O67" s="64"/>
      <c r="P67" s="64"/>
      <c r="Q67" s="64"/>
      <c r="R67" s="127"/>
    </row>
    <row r="68" spans="1:18" ht="15.75" thickBot="1" x14ac:dyDescent="0.25">
      <c r="B68" s="74"/>
      <c r="C68" s="96"/>
      <c r="D68" s="66"/>
      <c r="E68" s="96"/>
      <c r="F68" s="67"/>
      <c r="H68" s="67"/>
      <c r="I68" s="96"/>
      <c r="K68" s="96"/>
      <c r="M68" s="96"/>
      <c r="P68" s="67"/>
      <c r="R68" s="133"/>
    </row>
    <row r="69" spans="1:18" ht="16.5" thickBot="1" x14ac:dyDescent="0.3">
      <c r="A69" s="51" t="s">
        <v>114</v>
      </c>
      <c r="B69" s="74"/>
      <c r="C69" s="96"/>
      <c r="D69" s="66"/>
      <c r="E69" s="96"/>
      <c r="F69" s="134">
        <v>1739942545.46</v>
      </c>
      <c r="G69" s="135"/>
      <c r="H69" s="134">
        <v>64853863.485714279</v>
      </c>
      <c r="I69" s="136"/>
      <c r="J69" s="134">
        <v>1839516.4932142885</v>
      </c>
      <c r="K69" s="136"/>
      <c r="L69" s="134">
        <v>971826.18750000279</v>
      </c>
      <c r="M69" s="137"/>
      <c r="N69" s="134">
        <v>684847.38444444444</v>
      </c>
      <c r="O69" s="135"/>
      <c r="P69" s="134">
        <v>68350053.550873011</v>
      </c>
      <c r="R69" s="130">
        <v>3.9280000000000002E-2</v>
      </c>
    </row>
    <row r="70" spans="1:18" ht="16.5" thickTop="1" x14ac:dyDescent="0.25">
      <c r="B70" s="74"/>
      <c r="C70" s="96"/>
      <c r="D70" s="66"/>
      <c r="E70" s="96"/>
      <c r="F70" s="67"/>
      <c r="H70" s="67"/>
      <c r="I70" s="96"/>
      <c r="K70" s="96"/>
      <c r="M70" s="96"/>
      <c r="P70" s="67"/>
      <c r="R70" s="138"/>
    </row>
    <row r="71" spans="1:18" x14ac:dyDescent="0.2">
      <c r="A71" s="51" t="s">
        <v>193</v>
      </c>
      <c r="B71" s="74"/>
      <c r="C71" s="96"/>
      <c r="D71" s="66"/>
      <c r="E71" s="96"/>
      <c r="F71" s="67"/>
      <c r="H71" s="67"/>
      <c r="I71" s="96"/>
      <c r="K71" s="96"/>
      <c r="M71" s="96"/>
      <c r="P71" s="139"/>
      <c r="R71" s="133"/>
    </row>
    <row r="72" spans="1:18" x14ac:dyDescent="0.2">
      <c r="A72" s="51" t="s">
        <v>115</v>
      </c>
      <c r="B72" s="74"/>
      <c r="C72" s="96"/>
      <c r="E72" s="96"/>
      <c r="I72" s="96"/>
      <c r="K72" s="96"/>
      <c r="M72" s="96"/>
      <c r="R72" s="133"/>
    </row>
    <row r="73" spans="1:18" x14ac:dyDescent="0.2">
      <c r="B73" s="74"/>
      <c r="C73" s="96"/>
      <c r="E73" s="96"/>
      <c r="I73" s="96"/>
      <c r="K73" s="96"/>
      <c r="M73" s="96"/>
      <c r="R73" s="69"/>
    </row>
    <row r="74" spans="1:18" ht="15.75" x14ac:dyDescent="0.25">
      <c r="A74" s="51" t="s">
        <v>194</v>
      </c>
      <c r="B74" s="74"/>
      <c r="C74" s="96"/>
      <c r="E74" s="96"/>
      <c r="F74" s="67"/>
      <c r="H74" s="67"/>
      <c r="I74" s="96"/>
      <c r="J74" s="74" t="s">
        <v>116</v>
      </c>
      <c r="K74" s="96"/>
      <c r="L74" s="139" t="s">
        <v>117</v>
      </c>
      <c r="M74" s="118"/>
      <c r="N74" s="139" t="s">
        <v>117</v>
      </c>
      <c r="P74" s="74" t="s">
        <v>118</v>
      </c>
      <c r="R74" s="69"/>
    </row>
    <row r="75" spans="1:18" x14ac:dyDescent="0.2">
      <c r="B75" s="74"/>
      <c r="C75" s="96"/>
      <c r="E75" s="96"/>
      <c r="F75" s="67"/>
      <c r="H75" s="67"/>
      <c r="I75" s="96"/>
      <c r="J75" s="74" t="s">
        <v>119</v>
      </c>
      <c r="K75" s="96"/>
      <c r="L75" s="139" t="s">
        <v>120</v>
      </c>
      <c r="M75" s="118"/>
      <c r="N75" s="139" t="s">
        <v>120</v>
      </c>
      <c r="P75" s="74" t="s">
        <v>121</v>
      </c>
      <c r="R75" s="69"/>
    </row>
    <row r="76" spans="1:18" x14ac:dyDescent="0.2">
      <c r="A76" s="70"/>
      <c r="B76" s="140" t="s">
        <v>195</v>
      </c>
      <c r="C76" s="96"/>
      <c r="D76" s="70"/>
      <c r="E76" s="96"/>
      <c r="H76" s="141" t="s">
        <v>196</v>
      </c>
      <c r="I76" s="96"/>
      <c r="J76" s="142" t="s">
        <v>197</v>
      </c>
      <c r="K76" s="96"/>
      <c r="L76" s="142" t="s">
        <v>198</v>
      </c>
      <c r="M76" s="143"/>
      <c r="N76" s="142" t="s">
        <v>198</v>
      </c>
      <c r="P76" s="144" t="s">
        <v>199</v>
      </c>
      <c r="R76" s="69"/>
    </row>
    <row r="77" spans="1:18" x14ac:dyDescent="0.2">
      <c r="B77" s="72" t="s">
        <v>122</v>
      </c>
      <c r="C77" s="96"/>
      <c r="E77" s="96"/>
      <c r="F77" s="67"/>
      <c r="H77" s="67">
        <v>83335000</v>
      </c>
      <c r="I77" s="96"/>
      <c r="J77" s="145">
        <v>44136</v>
      </c>
      <c r="K77" s="146"/>
      <c r="L77" s="147">
        <v>5.4949999999999999E-2</v>
      </c>
      <c r="M77" s="148"/>
      <c r="N77" s="147">
        <v>5.4949999999999999E-2</v>
      </c>
      <c r="P77" s="51" t="s">
        <v>123</v>
      </c>
      <c r="R77" s="69"/>
    </row>
    <row r="78" spans="1:18" x14ac:dyDescent="0.2">
      <c r="B78" s="72" t="s">
        <v>124</v>
      </c>
      <c r="C78" s="96"/>
      <c r="E78" s="96"/>
      <c r="F78" s="67"/>
      <c r="H78" s="67">
        <v>32000000</v>
      </c>
      <c r="I78" s="96"/>
      <c r="J78" s="145">
        <v>48853</v>
      </c>
      <c r="K78" s="146"/>
      <c r="L78" s="147">
        <v>3.6569999999999998E-2</v>
      </c>
      <c r="M78" s="148"/>
      <c r="N78" s="147">
        <v>3.6569999999999998E-2</v>
      </c>
      <c r="P78" s="72" t="s">
        <v>125</v>
      </c>
      <c r="R78" s="69"/>
    </row>
    <row r="79" spans="1:18" x14ac:dyDescent="0.2">
      <c r="B79" s="72" t="s">
        <v>124</v>
      </c>
      <c r="C79" s="96"/>
      <c r="E79" s="96"/>
      <c r="F79" s="67"/>
      <c r="H79" s="67">
        <v>32000000</v>
      </c>
      <c r="I79" s="96"/>
      <c r="J79" s="145">
        <v>48853</v>
      </c>
      <c r="K79" s="146"/>
      <c r="L79" s="147">
        <v>3.6450000000000003E-2</v>
      </c>
      <c r="M79" s="148"/>
      <c r="N79" s="147">
        <v>3.6450000000000003E-2</v>
      </c>
      <c r="P79" s="72" t="s">
        <v>125</v>
      </c>
      <c r="R79" s="69"/>
    </row>
    <row r="80" spans="1:18" ht="15.75" thickBot="1" x14ac:dyDescent="0.25">
      <c r="B80" s="74"/>
      <c r="C80" s="96"/>
      <c r="E80" s="96"/>
      <c r="F80" s="67"/>
      <c r="H80" s="149">
        <v>147335000</v>
      </c>
      <c r="I80" s="96"/>
      <c r="K80" s="96"/>
      <c r="L80" s="150"/>
      <c r="M80" s="148"/>
      <c r="N80" s="150"/>
      <c r="R80" s="69"/>
    </row>
    <row r="81" spans="1:18" ht="15.75" thickTop="1" x14ac:dyDescent="0.2">
      <c r="A81" s="228" t="s">
        <v>202</v>
      </c>
      <c r="B81" s="228"/>
      <c r="C81" s="228"/>
      <c r="D81" s="228"/>
      <c r="E81" s="228"/>
      <c r="F81" s="228"/>
      <c r="G81" s="228"/>
      <c r="H81" s="228"/>
      <c r="I81" s="96"/>
      <c r="K81" s="96"/>
      <c r="L81" s="67"/>
      <c r="M81" s="118"/>
      <c r="N81" s="67"/>
      <c r="O81" s="67"/>
      <c r="R81" s="69"/>
    </row>
    <row r="82" spans="1:18" x14ac:dyDescent="0.2">
      <c r="A82" s="151"/>
      <c r="B82" s="152"/>
      <c r="C82" s="153"/>
      <c r="D82" s="152"/>
      <c r="E82" s="153"/>
      <c r="F82" s="152"/>
      <c r="I82" s="96"/>
      <c r="K82" s="96"/>
      <c r="L82" s="67"/>
      <c r="M82" s="118"/>
      <c r="N82" s="67"/>
      <c r="O82" s="67"/>
      <c r="R82" s="69"/>
    </row>
    <row r="83" spans="1:18" x14ac:dyDescent="0.2">
      <c r="A83" s="51" t="s">
        <v>130</v>
      </c>
      <c r="B83" s="74"/>
      <c r="C83" s="96"/>
      <c r="E83" s="96"/>
      <c r="I83" s="96"/>
      <c r="K83" s="96"/>
      <c r="M83" s="96"/>
      <c r="R83" s="69"/>
    </row>
    <row r="84" spans="1:18" x14ac:dyDescent="0.2">
      <c r="A84" s="51" t="s">
        <v>131</v>
      </c>
      <c r="B84" s="74"/>
      <c r="C84" s="96"/>
      <c r="E84" s="96"/>
      <c r="I84" s="96"/>
      <c r="K84" s="96"/>
      <c r="M84" s="96"/>
      <c r="R84" s="69"/>
    </row>
    <row r="85" spans="1:18" x14ac:dyDescent="0.2">
      <c r="A85" s="51" t="s">
        <v>132</v>
      </c>
      <c r="B85" s="74"/>
      <c r="C85" s="96"/>
      <c r="E85" s="96"/>
      <c r="I85" s="96"/>
      <c r="K85" s="96"/>
      <c r="M85" s="96"/>
      <c r="R85" s="69"/>
    </row>
    <row r="86" spans="1:18" x14ac:dyDescent="0.2">
      <c r="A86" s="55"/>
      <c r="B86" s="54"/>
      <c r="C86" s="77"/>
      <c r="D86" s="55"/>
      <c r="E86" s="77"/>
      <c r="F86" s="55"/>
      <c r="G86" s="55"/>
      <c r="H86" s="55"/>
      <c r="I86" s="77"/>
      <c r="J86" s="55"/>
      <c r="K86" s="77"/>
      <c r="L86" s="55"/>
      <c r="M86" s="77"/>
      <c r="N86" s="55"/>
      <c r="O86" s="55"/>
      <c r="P86" s="55"/>
      <c r="Q86" s="55"/>
      <c r="R86" s="75"/>
    </row>
    <row r="87" spans="1:18" x14ac:dyDescent="0.2">
      <c r="A87" s="55"/>
      <c r="B87" s="54"/>
      <c r="C87" s="77"/>
      <c r="D87" s="55"/>
      <c r="E87" s="77"/>
      <c r="F87" s="55"/>
      <c r="G87" s="55"/>
      <c r="H87" s="55"/>
      <c r="I87" s="77"/>
      <c r="J87" s="55"/>
      <c r="K87" s="77"/>
      <c r="L87" s="55"/>
      <c r="M87" s="77"/>
      <c r="N87" s="55"/>
      <c r="O87" s="55"/>
      <c r="P87" s="55"/>
      <c r="Q87" s="55"/>
      <c r="R87" s="75"/>
    </row>
    <row r="88" spans="1:18" x14ac:dyDescent="0.2">
      <c r="A88" s="55"/>
      <c r="B88" s="54"/>
      <c r="C88" s="77"/>
      <c r="D88" s="55"/>
      <c r="E88" s="77"/>
      <c r="F88" s="55"/>
      <c r="G88" s="55"/>
      <c r="H88" s="55"/>
      <c r="I88" s="77"/>
      <c r="J88" s="55"/>
      <c r="K88" s="77"/>
      <c r="L88" s="55"/>
      <c r="M88" s="77"/>
      <c r="N88" s="55"/>
      <c r="O88" s="55"/>
      <c r="P88" s="55"/>
      <c r="Q88" s="55"/>
      <c r="R88" s="75"/>
    </row>
    <row r="89" spans="1:18" x14ac:dyDescent="0.2">
      <c r="A89" s="55"/>
      <c r="B89" s="54"/>
      <c r="C89" s="77"/>
      <c r="D89" s="55"/>
      <c r="E89" s="77"/>
      <c r="F89" s="55"/>
      <c r="G89" s="55"/>
      <c r="H89" s="55"/>
      <c r="I89" s="77"/>
      <c r="J89" s="55"/>
      <c r="K89" s="77"/>
      <c r="L89" s="55"/>
      <c r="M89" s="77"/>
      <c r="N89" s="55"/>
      <c r="O89" s="55"/>
      <c r="P89" s="55"/>
      <c r="Q89" s="55"/>
      <c r="R89" s="75"/>
    </row>
    <row r="90" spans="1:18" x14ac:dyDescent="0.2">
      <c r="A90" s="55"/>
      <c r="B90" s="54"/>
      <c r="C90" s="77"/>
      <c r="D90" s="55"/>
      <c r="E90" s="77"/>
      <c r="F90" s="55"/>
      <c r="G90" s="55"/>
      <c r="H90" s="55"/>
      <c r="I90" s="77"/>
      <c r="J90" s="55"/>
      <c r="K90" s="77"/>
      <c r="L90" s="55"/>
      <c r="M90" s="77"/>
      <c r="N90" s="55"/>
      <c r="O90" s="55"/>
      <c r="P90" s="55"/>
      <c r="Q90" s="55"/>
      <c r="R90" s="75"/>
    </row>
    <row r="91" spans="1:18" x14ac:dyDescent="0.2">
      <c r="A91" s="55"/>
      <c r="B91" s="54"/>
      <c r="C91" s="77"/>
      <c r="D91" s="55"/>
      <c r="E91" s="77"/>
      <c r="F91" s="55"/>
      <c r="G91" s="55"/>
      <c r="H91" s="55"/>
      <c r="I91" s="77"/>
      <c r="J91" s="55"/>
      <c r="K91" s="77"/>
      <c r="L91" s="55"/>
      <c r="M91" s="77"/>
      <c r="N91" s="55"/>
      <c r="O91" s="55"/>
      <c r="P91" s="55"/>
      <c r="Q91" s="55"/>
      <c r="R91" s="75"/>
    </row>
    <row r="92" spans="1:18" x14ac:dyDescent="0.2">
      <c r="A92" s="55"/>
      <c r="B92" s="54"/>
      <c r="C92" s="77"/>
      <c r="D92" s="55"/>
      <c r="E92" s="77"/>
      <c r="F92" s="55"/>
      <c r="G92" s="55"/>
      <c r="H92" s="55"/>
      <c r="I92" s="77"/>
      <c r="J92" s="55"/>
      <c r="K92" s="77"/>
      <c r="L92" s="55"/>
      <c r="M92" s="77"/>
      <c r="N92" s="55"/>
      <c r="O92" s="55"/>
      <c r="P92" s="55"/>
      <c r="Q92" s="55"/>
      <c r="R92" s="75"/>
    </row>
    <row r="93" spans="1:18" x14ac:dyDescent="0.2">
      <c r="A93" s="55"/>
      <c r="B93" s="54"/>
      <c r="C93" s="77"/>
      <c r="D93" s="55"/>
      <c r="E93" s="77"/>
      <c r="F93" s="55"/>
      <c r="G93" s="55"/>
      <c r="H93" s="55"/>
      <c r="I93" s="77"/>
      <c r="J93" s="55"/>
      <c r="K93" s="77"/>
      <c r="L93" s="55"/>
      <c r="M93" s="77"/>
      <c r="N93" s="55"/>
      <c r="O93" s="55"/>
      <c r="P93" s="55"/>
      <c r="Q93" s="55"/>
      <c r="R93" s="75"/>
    </row>
    <row r="94" spans="1:18" x14ac:dyDescent="0.2">
      <c r="A94" s="55"/>
      <c r="B94" s="54"/>
      <c r="C94" s="77"/>
      <c r="D94" s="55"/>
      <c r="E94" s="77"/>
      <c r="F94" s="55"/>
      <c r="G94" s="55"/>
      <c r="H94" s="55"/>
      <c r="I94" s="77"/>
      <c r="J94" s="55"/>
      <c r="K94" s="77"/>
      <c r="L94" s="55"/>
      <c r="M94" s="77"/>
      <c r="N94" s="55"/>
      <c r="O94" s="55"/>
      <c r="P94" s="55"/>
      <c r="Q94" s="55"/>
      <c r="R94" s="75"/>
    </row>
    <row r="95" spans="1:18" x14ac:dyDescent="0.2">
      <c r="A95" s="55"/>
      <c r="B95" s="54"/>
      <c r="C95" s="77"/>
      <c r="D95" s="55"/>
      <c r="E95" s="77"/>
      <c r="F95" s="55"/>
      <c r="G95" s="55"/>
      <c r="H95" s="55"/>
      <c r="I95" s="77"/>
      <c r="J95" s="55"/>
      <c r="K95" s="77"/>
      <c r="L95" s="55"/>
      <c r="M95" s="77"/>
      <c r="N95" s="55"/>
      <c r="O95" s="55"/>
      <c r="P95" s="55"/>
      <c r="Q95" s="55"/>
      <c r="R95" s="75"/>
    </row>
    <row r="96" spans="1:18" x14ac:dyDescent="0.2">
      <c r="A96" s="55"/>
      <c r="B96" s="54"/>
      <c r="C96" s="77"/>
      <c r="D96" s="55"/>
      <c r="E96" s="77"/>
      <c r="F96" s="55"/>
      <c r="G96" s="55"/>
      <c r="H96" s="55"/>
      <c r="I96" s="77"/>
      <c r="J96" s="55"/>
      <c r="K96" s="77"/>
      <c r="L96" s="55"/>
      <c r="M96" s="77"/>
      <c r="N96" s="55"/>
      <c r="O96" s="55"/>
      <c r="P96" s="55"/>
      <c r="Q96" s="55"/>
      <c r="R96" s="75"/>
    </row>
    <row r="97" spans="1:18" x14ac:dyDescent="0.2">
      <c r="A97" s="55"/>
      <c r="B97" s="54"/>
      <c r="C97" s="77"/>
      <c r="D97" s="55"/>
      <c r="E97" s="77"/>
      <c r="F97" s="55"/>
      <c r="G97" s="55"/>
      <c r="H97" s="55"/>
      <c r="I97" s="77"/>
      <c r="J97" s="55"/>
      <c r="K97" s="77"/>
      <c r="L97" s="55"/>
      <c r="M97" s="77"/>
      <c r="N97" s="55"/>
      <c r="O97" s="55"/>
      <c r="P97" s="55"/>
      <c r="Q97" s="55"/>
      <c r="R97" s="75"/>
    </row>
    <row r="98" spans="1:18" x14ac:dyDescent="0.2">
      <c r="A98" s="55"/>
      <c r="B98" s="54"/>
      <c r="C98" s="77"/>
      <c r="D98" s="55"/>
      <c r="E98" s="77"/>
      <c r="F98" s="55"/>
      <c r="G98" s="55"/>
      <c r="H98" s="55"/>
      <c r="I98" s="77"/>
      <c r="J98" s="55"/>
      <c r="K98" s="77"/>
      <c r="L98" s="55"/>
      <c r="M98" s="77"/>
      <c r="N98" s="55"/>
      <c r="O98" s="55"/>
      <c r="P98" s="55"/>
      <c r="Q98" s="55"/>
      <c r="R98" s="75"/>
    </row>
    <row r="99" spans="1:18" x14ac:dyDescent="0.2">
      <c r="A99" s="55"/>
      <c r="B99" s="54"/>
      <c r="C99" s="77"/>
      <c r="D99" s="55"/>
      <c r="E99" s="77"/>
      <c r="F99" s="55"/>
      <c r="G99" s="55"/>
      <c r="H99" s="55"/>
      <c r="I99" s="77"/>
      <c r="J99" s="55"/>
      <c r="K99" s="77"/>
      <c r="L99" s="55"/>
      <c r="M99" s="77"/>
      <c r="N99" s="55"/>
      <c r="O99" s="55"/>
      <c r="P99" s="55"/>
      <c r="Q99" s="55"/>
      <c r="R99" s="75"/>
    </row>
    <row r="100" spans="1:18" x14ac:dyDescent="0.2">
      <c r="A100" s="55"/>
      <c r="B100" s="54"/>
      <c r="C100" s="77"/>
      <c r="D100" s="55"/>
      <c r="E100" s="77"/>
      <c r="F100" s="55"/>
      <c r="G100" s="55"/>
      <c r="H100" s="55"/>
      <c r="I100" s="77"/>
      <c r="J100" s="55"/>
      <c r="K100" s="77"/>
      <c r="L100" s="55"/>
      <c r="M100" s="77"/>
      <c r="N100" s="55"/>
      <c r="O100" s="55"/>
      <c r="P100" s="55"/>
      <c r="Q100" s="55"/>
      <c r="R100" s="75"/>
    </row>
    <row r="101" spans="1:18" x14ac:dyDescent="0.2">
      <c r="A101" s="55"/>
      <c r="B101" s="54"/>
      <c r="C101" s="77"/>
      <c r="D101" s="55"/>
      <c r="E101" s="77"/>
      <c r="F101" s="55"/>
      <c r="G101" s="55"/>
      <c r="H101" s="55"/>
      <c r="I101" s="77"/>
      <c r="J101" s="55"/>
      <c r="K101" s="77"/>
      <c r="L101" s="55"/>
      <c r="M101" s="77"/>
      <c r="N101" s="55"/>
      <c r="O101" s="55"/>
      <c r="P101" s="55"/>
      <c r="Q101" s="55"/>
      <c r="R101" s="75"/>
    </row>
    <row r="102" spans="1:18" x14ac:dyDescent="0.2">
      <c r="A102" s="55"/>
      <c r="B102" s="54"/>
      <c r="C102" s="77"/>
      <c r="D102" s="55"/>
      <c r="E102" s="77"/>
      <c r="F102" s="55"/>
      <c r="G102" s="55"/>
      <c r="H102" s="55"/>
      <c r="I102" s="77"/>
      <c r="J102" s="55"/>
      <c r="K102" s="77"/>
      <c r="L102" s="55"/>
      <c r="M102" s="77"/>
      <c r="N102" s="55"/>
      <c r="O102" s="55"/>
      <c r="P102" s="55"/>
      <c r="Q102" s="55"/>
      <c r="R102" s="75"/>
    </row>
    <row r="103" spans="1:18" x14ac:dyDescent="0.2">
      <c r="A103" s="55"/>
      <c r="B103" s="54"/>
      <c r="C103" s="77"/>
      <c r="D103" s="55"/>
      <c r="E103" s="77"/>
      <c r="F103" s="55"/>
      <c r="G103" s="55"/>
      <c r="H103" s="55"/>
      <c r="I103" s="77"/>
      <c r="J103" s="55"/>
      <c r="K103" s="77"/>
      <c r="L103" s="55"/>
      <c r="M103" s="77"/>
      <c r="N103" s="55"/>
      <c r="O103" s="55"/>
      <c r="P103" s="55"/>
      <c r="Q103" s="55"/>
      <c r="R103" s="75"/>
    </row>
    <row r="104" spans="1:18" x14ac:dyDescent="0.2">
      <c r="A104" s="55"/>
      <c r="B104" s="54"/>
      <c r="C104" s="77"/>
      <c r="D104" s="55"/>
      <c r="E104" s="77"/>
      <c r="F104" s="55"/>
      <c r="G104" s="55"/>
      <c r="H104" s="55"/>
      <c r="I104" s="77"/>
      <c r="J104" s="55"/>
      <c r="K104" s="77"/>
      <c r="L104" s="55"/>
      <c r="M104" s="77"/>
      <c r="N104" s="55"/>
      <c r="O104" s="55"/>
      <c r="P104" s="55"/>
      <c r="Q104" s="55"/>
      <c r="R104" s="75"/>
    </row>
    <row r="105" spans="1:18" x14ac:dyDescent="0.2">
      <c r="A105" s="55"/>
      <c r="B105" s="54"/>
      <c r="C105" s="77"/>
      <c r="D105" s="55"/>
      <c r="E105" s="77"/>
      <c r="F105" s="55"/>
      <c r="G105" s="55"/>
      <c r="H105" s="55"/>
      <c r="I105" s="77"/>
      <c r="J105" s="55"/>
      <c r="K105" s="77"/>
      <c r="L105" s="55"/>
      <c r="M105" s="77"/>
      <c r="N105" s="55"/>
      <c r="O105" s="55"/>
      <c r="P105" s="55"/>
      <c r="Q105" s="55"/>
      <c r="R105" s="75"/>
    </row>
    <row r="106" spans="1:18" x14ac:dyDescent="0.2">
      <c r="A106" s="55"/>
      <c r="B106" s="54"/>
      <c r="C106" s="77"/>
      <c r="D106" s="55"/>
      <c r="E106" s="77"/>
      <c r="F106" s="55"/>
      <c r="G106" s="55"/>
      <c r="H106" s="55"/>
      <c r="I106" s="77"/>
      <c r="J106" s="55"/>
      <c r="K106" s="77"/>
      <c r="L106" s="55"/>
      <c r="M106" s="77"/>
      <c r="N106" s="55"/>
      <c r="O106" s="55"/>
      <c r="P106" s="55"/>
      <c r="Q106" s="55"/>
      <c r="R106" s="75"/>
    </row>
    <row r="107" spans="1:18" x14ac:dyDescent="0.2">
      <c r="A107" s="55"/>
      <c r="B107" s="54"/>
      <c r="C107" s="77"/>
      <c r="D107" s="55"/>
      <c r="E107" s="77"/>
      <c r="F107" s="55"/>
      <c r="G107" s="55"/>
      <c r="H107" s="55"/>
      <c r="I107" s="77"/>
      <c r="J107" s="55"/>
      <c r="K107" s="77"/>
      <c r="L107" s="55"/>
      <c r="M107" s="77"/>
      <c r="N107" s="55"/>
      <c r="O107" s="55"/>
      <c r="P107" s="55"/>
      <c r="Q107" s="55"/>
      <c r="R107" s="75"/>
    </row>
    <row r="108" spans="1:18" x14ac:dyDescent="0.2">
      <c r="A108" s="55"/>
      <c r="B108" s="54"/>
      <c r="C108" s="77"/>
      <c r="D108" s="55"/>
      <c r="E108" s="77"/>
      <c r="F108" s="55"/>
      <c r="G108" s="55"/>
      <c r="H108" s="55"/>
      <c r="I108" s="77"/>
      <c r="J108" s="55"/>
      <c r="K108" s="77"/>
      <c r="L108" s="55"/>
      <c r="M108" s="77"/>
      <c r="N108" s="55"/>
      <c r="O108" s="55"/>
      <c r="P108" s="55"/>
      <c r="Q108" s="55"/>
      <c r="R108" s="75"/>
    </row>
    <row r="109" spans="1:18" x14ac:dyDescent="0.2">
      <c r="A109" s="55"/>
      <c r="B109" s="54"/>
      <c r="C109" s="77"/>
      <c r="D109" s="55"/>
      <c r="E109" s="77"/>
      <c r="F109" s="55"/>
      <c r="G109" s="55"/>
      <c r="H109" s="55"/>
      <c r="I109" s="77"/>
      <c r="J109" s="55"/>
      <c r="K109" s="77"/>
      <c r="L109" s="55"/>
      <c r="M109" s="77"/>
      <c r="N109" s="55"/>
      <c r="O109" s="55"/>
      <c r="P109" s="55"/>
      <c r="Q109" s="55"/>
      <c r="R109" s="75"/>
    </row>
    <row r="110" spans="1:18" x14ac:dyDescent="0.2">
      <c r="A110" s="55"/>
      <c r="B110" s="54"/>
      <c r="C110" s="77"/>
      <c r="D110" s="55"/>
      <c r="E110" s="77"/>
      <c r="F110" s="55"/>
      <c r="G110" s="55"/>
      <c r="H110" s="55"/>
      <c r="I110" s="77"/>
      <c r="J110" s="55"/>
      <c r="K110" s="77"/>
      <c r="L110" s="55"/>
      <c r="M110" s="77"/>
      <c r="N110" s="55"/>
      <c r="O110" s="55"/>
      <c r="P110" s="55"/>
      <c r="Q110" s="55"/>
      <c r="R110" s="75"/>
    </row>
    <row r="111" spans="1:18" x14ac:dyDescent="0.2">
      <c r="A111" s="55"/>
      <c r="B111" s="54"/>
      <c r="C111" s="77"/>
      <c r="D111" s="55"/>
      <c r="E111" s="77"/>
      <c r="F111" s="55"/>
      <c r="G111" s="55"/>
      <c r="H111" s="55"/>
      <c r="I111" s="77"/>
      <c r="J111" s="55"/>
      <c r="K111" s="77"/>
      <c r="L111" s="55"/>
      <c r="M111" s="77"/>
      <c r="N111" s="55"/>
      <c r="O111" s="55"/>
      <c r="P111" s="55"/>
      <c r="Q111" s="55"/>
      <c r="R111" s="75"/>
    </row>
    <row r="112" spans="1:18" x14ac:dyDescent="0.2">
      <c r="A112" s="55"/>
      <c r="B112" s="54"/>
      <c r="C112" s="77"/>
      <c r="D112" s="55"/>
      <c r="E112" s="77"/>
      <c r="F112" s="55"/>
      <c r="G112" s="55"/>
      <c r="H112" s="55"/>
      <c r="I112" s="77"/>
      <c r="J112" s="55"/>
      <c r="K112" s="77"/>
      <c r="L112" s="55"/>
      <c r="M112" s="77"/>
      <c r="N112" s="55"/>
      <c r="O112" s="55"/>
      <c r="P112" s="55"/>
      <c r="Q112" s="55"/>
      <c r="R112" s="75"/>
    </row>
    <row r="113" spans="1:18" x14ac:dyDescent="0.2">
      <c r="A113" s="55"/>
      <c r="B113" s="54"/>
      <c r="C113" s="77"/>
      <c r="D113" s="55"/>
      <c r="E113" s="77"/>
      <c r="F113" s="55"/>
      <c r="G113" s="55"/>
      <c r="H113" s="55"/>
      <c r="I113" s="77"/>
      <c r="J113" s="55"/>
      <c r="K113" s="77"/>
      <c r="L113" s="55"/>
      <c r="M113" s="77"/>
      <c r="N113" s="55"/>
      <c r="O113" s="55"/>
      <c r="P113" s="55"/>
      <c r="Q113" s="55"/>
      <c r="R113" s="75"/>
    </row>
    <row r="114" spans="1:18" x14ac:dyDescent="0.2">
      <c r="A114" s="55"/>
      <c r="B114" s="54"/>
      <c r="C114" s="77"/>
      <c r="D114" s="55"/>
      <c r="E114" s="77"/>
      <c r="F114" s="55"/>
      <c r="G114" s="55"/>
      <c r="H114" s="55"/>
      <c r="I114" s="77"/>
      <c r="J114" s="55"/>
      <c r="K114" s="77"/>
      <c r="L114" s="55"/>
      <c r="M114" s="77"/>
      <c r="N114" s="55"/>
      <c r="O114" s="55"/>
      <c r="P114" s="55"/>
      <c r="Q114" s="55"/>
      <c r="R114" s="75"/>
    </row>
    <row r="115" spans="1:18" x14ac:dyDescent="0.2">
      <c r="A115" s="55"/>
      <c r="B115" s="54"/>
      <c r="C115" s="77"/>
      <c r="D115" s="55"/>
      <c r="E115" s="77"/>
      <c r="F115" s="55"/>
      <c r="G115" s="55"/>
      <c r="H115" s="55"/>
      <c r="I115" s="77"/>
      <c r="J115" s="55"/>
      <c r="K115" s="77"/>
      <c r="L115" s="55"/>
      <c r="M115" s="77"/>
      <c r="N115" s="55"/>
      <c r="O115" s="55"/>
      <c r="P115" s="55"/>
      <c r="Q115" s="55"/>
      <c r="R115" s="75"/>
    </row>
    <row r="116" spans="1:18" x14ac:dyDescent="0.2">
      <c r="A116" s="55"/>
      <c r="B116" s="54"/>
      <c r="C116" s="77"/>
      <c r="D116" s="55"/>
      <c r="E116" s="77"/>
      <c r="F116" s="55"/>
      <c r="G116" s="55"/>
      <c r="H116" s="55"/>
      <c r="I116" s="77"/>
      <c r="J116" s="55"/>
      <c r="K116" s="77"/>
      <c r="L116" s="55"/>
      <c r="M116" s="77"/>
      <c r="N116" s="55"/>
      <c r="O116" s="55"/>
      <c r="P116" s="55"/>
      <c r="Q116" s="55"/>
      <c r="R116" s="75"/>
    </row>
    <row r="117" spans="1:18" x14ac:dyDescent="0.2">
      <c r="A117" s="55"/>
      <c r="B117" s="54"/>
      <c r="C117" s="77"/>
      <c r="D117" s="55"/>
      <c r="E117" s="77"/>
      <c r="F117" s="55"/>
      <c r="G117" s="55"/>
      <c r="H117" s="55"/>
      <c r="I117" s="77"/>
      <c r="J117" s="55"/>
      <c r="K117" s="77"/>
      <c r="L117" s="55"/>
      <c r="M117" s="77"/>
      <c r="N117" s="55"/>
      <c r="O117" s="55"/>
      <c r="P117" s="55"/>
      <c r="Q117" s="55"/>
      <c r="R117" s="75"/>
    </row>
    <row r="118" spans="1:18" x14ac:dyDescent="0.2">
      <c r="A118" s="55"/>
      <c r="B118" s="54"/>
      <c r="C118" s="77"/>
      <c r="D118" s="55"/>
      <c r="E118" s="77"/>
      <c r="F118" s="55"/>
      <c r="G118" s="55"/>
      <c r="H118" s="55"/>
      <c r="I118" s="77"/>
      <c r="J118" s="55"/>
      <c r="K118" s="77"/>
      <c r="L118" s="55"/>
      <c r="M118" s="77"/>
      <c r="N118" s="55"/>
      <c r="O118" s="55"/>
      <c r="P118" s="55"/>
      <c r="Q118" s="55"/>
      <c r="R118" s="75"/>
    </row>
    <row r="119" spans="1:18" x14ac:dyDescent="0.2">
      <c r="A119" s="55"/>
      <c r="B119" s="54"/>
      <c r="C119" s="77"/>
      <c r="D119" s="55"/>
      <c r="E119" s="77"/>
      <c r="F119" s="55"/>
      <c r="G119" s="55"/>
      <c r="H119" s="55"/>
      <c r="I119" s="77"/>
      <c r="J119" s="55"/>
      <c r="K119" s="77"/>
      <c r="L119" s="55"/>
      <c r="M119" s="77"/>
      <c r="N119" s="55"/>
      <c r="O119" s="55"/>
      <c r="P119" s="55"/>
      <c r="Q119" s="55"/>
      <c r="R119" s="75"/>
    </row>
    <row r="120" spans="1:18" x14ac:dyDescent="0.2">
      <c r="A120" s="55"/>
      <c r="B120" s="54"/>
      <c r="C120" s="77"/>
      <c r="D120" s="55"/>
      <c r="E120" s="77"/>
      <c r="F120" s="55"/>
      <c r="G120" s="55"/>
      <c r="H120" s="55"/>
      <c r="I120" s="77"/>
      <c r="J120" s="55"/>
      <c r="K120" s="77"/>
      <c r="L120" s="55"/>
      <c r="M120" s="77"/>
      <c r="N120" s="55"/>
      <c r="O120" s="55"/>
      <c r="P120" s="55"/>
      <c r="Q120" s="55"/>
      <c r="R120" s="75"/>
    </row>
    <row r="121" spans="1:18" x14ac:dyDescent="0.2">
      <c r="A121" s="55"/>
      <c r="B121" s="54"/>
      <c r="C121" s="77"/>
      <c r="D121" s="55"/>
      <c r="E121" s="77"/>
      <c r="F121" s="55"/>
      <c r="G121" s="55"/>
      <c r="H121" s="55"/>
      <c r="I121" s="77"/>
      <c r="J121" s="55"/>
      <c r="K121" s="77"/>
      <c r="L121" s="55"/>
      <c r="M121" s="77"/>
      <c r="N121" s="55"/>
      <c r="O121" s="55"/>
      <c r="P121" s="55"/>
      <c r="Q121" s="55"/>
      <c r="R121" s="75"/>
    </row>
    <row r="122" spans="1:18" x14ac:dyDescent="0.2">
      <c r="A122" s="55"/>
      <c r="B122" s="54"/>
      <c r="C122" s="77"/>
      <c r="D122" s="55"/>
      <c r="E122" s="77"/>
      <c r="F122" s="55"/>
      <c r="G122" s="55"/>
      <c r="H122" s="55"/>
      <c r="I122" s="77"/>
      <c r="J122" s="55"/>
      <c r="K122" s="77"/>
      <c r="L122" s="55"/>
      <c r="M122" s="77"/>
      <c r="N122" s="55"/>
      <c r="O122" s="55"/>
      <c r="P122" s="55"/>
      <c r="Q122" s="55"/>
      <c r="R122" s="75"/>
    </row>
    <row r="123" spans="1:18" x14ac:dyDescent="0.2">
      <c r="A123" s="55"/>
      <c r="B123" s="54"/>
      <c r="C123" s="77"/>
      <c r="D123" s="55"/>
      <c r="E123" s="77"/>
      <c r="F123" s="55"/>
      <c r="G123" s="55"/>
      <c r="H123" s="55"/>
      <c r="I123" s="77"/>
      <c r="J123" s="55"/>
      <c r="K123" s="77"/>
      <c r="L123" s="55"/>
      <c r="M123" s="77"/>
      <c r="N123" s="55"/>
      <c r="O123" s="55"/>
      <c r="P123" s="55"/>
      <c r="Q123" s="55"/>
      <c r="R123" s="75"/>
    </row>
    <row r="124" spans="1:18" x14ac:dyDescent="0.2">
      <c r="A124" s="55"/>
      <c r="B124" s="54"/>
      <c r="C124" s="77"/>
      <c r="D124" s="55"/>
      <c r="E124" s="77"/>
      <c r="F124" s="55"/>
      <c r="G124" s="55"/>
      <c r="H124" s="55"/>
      <c r="I124" s="77"/>
      <c r="J124" s="55"/>
      <c r="K124" s="77"/>
      <c r="L124" s="55"/>
      <c r="M124" s="77"/>
      <c r="N124" s="55"/>
      <c r="O124" s="55"/>
      <c r="P124" s="55"/>
      <c r="Q124" s="55"/>
      <c r="R124" s="75"/>
    </row>
    <row r="125" spans="1:18" x14ac:dyDescent="0.2">
      <c r="A125" s="55"/>
      <c r="B125" s="54"/>
      <c r="C125" s="77"/>
      <c r="D125" s="55"/>
      <c r="E125" s="77"/>
      <c r="F125" s="55"/>
      <c r="G125" s="55"/>
      <c r="H125" s="55"/>
      <c r="I125" s="77"/>
      <c r="J125" s="55"/>
      <c r="K125" s="77"/>
      <c r="L125" s="55"/>
      <c r="M125" s="77"/>
      <c r="N125" s="55"/>
      <c r="O125" s="55"/>
      <c r="P125" s="55"/>
      <c r="Q125" s="55"/>
      <c r="R125" s="75"/>
    </row>
    <row r="126" spans="1:18" x14ac:dyDescent="0.2">
      <c r="A126" s="55"/>
      <c r="B126" s="54"/>
      <c r="C126" s="77"/>
      <c r="D126" s="55"/>
      <c r="E126" s="77"/>
      <c r="F126" s="55"/>
      <c r="G126" s="55"/>
      <c r="H126" s="55"/>
      <c r="I126" s="77"/>
      <c r="J126" s="55"/>
      <c r="K126" s="77"/>
      <c r="L126" s="55"/>
      <c r="M126" s="77"/>
      <c r="N126" s="55"/>
      <c r="O126" s="55"/>
      <c r="P126" s="55"/>
      <c r="Q126" s="55"/>
      <c r="R126" s="75"/>
    </row>
    <row r="127" spans="1:18" x14ac:dyDescent="0.2">
      <c r="B127" s="74"/>
      <c r="C127" s="96"/>
      <c r="E127" s="96"/>
      <c r="I127" s="96"/>
      <c r="K127" s="96"/>
      <c r="M127" s="96"/>
      <c r="R127" s="69"/>
    </row>
    <row r="128" spans="1:18" x14ac:dyDescent="0.2">
      <c r="B128" s="74"/>
      <c r="C128" s="96"/>
      <c r="E128" s="96"/>
      <c r="I128" s="96"/>
      <c r="K128" s="96"/>
      <c r="M128" s="96"/>
      <c r="R128" s="69"/>
    </row>
    <row r="129" spans="2:18" x14ac:dyDescent="0.2">
      <c r="B129" s="74"/>
      <c r="C129" s="96"/>
      <c r="E129" s="96"/>
      <c r="I129" s="96"/>
      <c r="K129" s="96"/>
      <c r="M129" s="96"/>
      <c r="R129" s="69"/>
    </row>
    <row r="130" spans="2:18" x14ac:dyDescent="0.2">
      <c r="B130" s="74"/>
      <c r="C130" s="96"/>
      <c r="E130" s="96"/>
      <c r="I130" s="96"/>
      <c r="K130" s="96"/>
      <c r="M130" s="96"/>
      <c r="R130" s="69"/>
    </row>
  </sheetData>
  <mergeCells count="9">
    <mergeCell ref="H7:P7"/>
    <mergeCell ref="A56:R56"/>
    <mergeCell ref="H58:P58"/>
    <mergeCell ref="A81:H81"/>
    <mergeCell ref="A1:R1"/>
    <mergeCell ref="A2:R2"/>
    <mergeCell ref="A3:R3"/>
    <mergeCell ref="A4:R4"/>
    <mergeCell ref="A5:R5"/>
  </mergeCells>
  <pageMargins left="0.5" right="0" top="1" bottom="0.5" header="0.5" footer="0.25"/>
  <pageSetup scale="44" orientation="portrait" r:id="rId1"/>
  <headerFooter scaleWithDoc="0">
    <oddHeader>&amp;R&amp;"Times New Roman,Bold"&amp;12Attachment to Response to Question No. 7 (a-c)
Page 2 of 3
Metts</oddHeader>
  </headerFooter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Normal="100" workbookViewId="0">
      <selection activeCell="L48" sqref="L48"/>
    </sheetView>
  </sheetViews>
  <sheetFormatPr defaultRowHeight="15" x14ac:dyDescent="0.2"/>
  <cols>
    <col min="1" max="2" width="9.140625" style="217"/>
    <col min="3" max="3" width="29.5703125" style="217" customWidth="1"/>
    <col min="4" max="4" width="2.140625" style="217" customWidth="1"/>
    <col min="5" max="10" width="0" style="217" hidden="1" customWidth="1"/>
    <col min="11" max="11" width="0.5703125" style="217" hidden="1" customWidth="1"/>
    <col min="12" max="12" width="5" style="217" customWidth="1"/>
    <col min="13" max="13" width="17.7109375" style="217" bestFit="1" customWidth="1"/>
    <col min="14" max="14" width="2.85546875" style="217" customWidth="1"/>
    <col min="15" max="19" width="0" style="217" hidden="1" customWidth="1"/>
    <col min="20" max="20" width="4.7109375" style="217" customWidth="1"/>
    <col min="21" max="21" width="11.7109375" style="217" customWidth="1"/>
    <col min="22" max="16384" width="9.140625" style="217"/>
  </cols>
  <sheetData>
    <row r="1" spans="1:21" ht="15.75" x14ac:dyDescent="0.25">
      <c r="A1" s="164"/>
      <c r="B1" s="236" t="s">
        <v>136</v>
      </c>
      <c r="C1" s="236"/>
      <c r="D1" s="236"/>
      <c r="E1" s="236"/>
      <c r="F1" s="236"/>
      <c r="G1" s="236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64"/>
    </row>
    <row r="2" spans="1:21" ht="15.75" x14ac:dyDescent="0.25">
      <c r="A2" s="164"/>
      <c r="B2" s="236" t="s">
        <v>137</v>
      </c>
      <c r="C2" s="236"/>
      <c r="D2" s="236"/>
      <c r="E2" s="236"/>
      <c r="F2" s="236"/>
      <c r="G2" s="236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64"/>
    </row>
    <row r="3" spans="1:21" ht="15.75" x14ac:dyDescent="0.25">
      <c r="A3" s="164"/>
      <c r="B3" s="237">
        <v>2017</v>
      </c>
      <c r="C3" s="237"/>
      <c r="D3" s="236"/>
      <c r="E3" s="236"/>
      <c r="F3" s="236"/>
      <c r="G3" s="236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64"/>
    </row>
    <row r="4" spans="1:21" ht="15.75" x14ac:dyDescent="0.25">
      <c r="A4" s="164"/>
      <c r="B4" s="154"/>
      <c r="C4" s="154"/>
      <c r="D4" s="155"/>
      <c r="E4" s="155"/>
      <c r="F4" s="155"/>
      <c r="G4" s="156"/>
      <c r="H4" s="157"/>
      <c r="I4" s="157"/>
      <c r="J4" s="157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64"/>
    </row>
    <row r="5" spans="1:21" ht="15.75" x14ac:dyDescent="0.25">
      <c r="A5" s="164"/>
      <c r="B5" s="157"/>
      <c r="C5" s="157"/>
      <c r="D5" s="158"/>
      <c r="E5" s="157"/>
      <c r="F5" s="158"/>
      <c r="G5" s="159"/>
      <c r="H5" s="160"/>
      <c r="I5" s="160"/>
      <c r="J5" s="157"/>
      <c r="K5" s="218">
        <v>2006</v>
      </c>
      <c r="L5" s="218"/>
      <c r="M5" s="161"/>
      <c r="N5" s="218"/>
      <c r="O5" s="218">
        <v>2008</v>
      </c>
      <c r="P5" s="218"/>
      <c r="Q5" s="218">
        <v>2009</v>
      </c>
      <c r="R5" s="218"/>
      <c r="S5" s="218">
        <v>2010</v>
      </c>
      <c r="T5" s="218"/>
      <c r="U5" s="164"/>
    </row>
    <row r="6" spans="1:21" x14ac:dyDescent="0.2">
      <c r="A6" s="164"/>
      <c r="B6" s="162"/>
      <c r="C6" s="162"/>
      <c r="D6" s="163"/>
      <c r="E6" s="164" t="s">
        <v>138</v>
      </c>
      <c r="F6" s="165"/>
      <c r="G6" s="166" t="s">
        <v>139</v>
      </c>
      <c r="H6" s="167"/>
      <c r="I6" s="164"/>
      <c r="J6" s="157"/>
      <c r="K6" s="164" t="s">
        <v>138</v>
      </c>
      <c r="L6" s="164"/>
      <c r="M6" s="164" t="s">
        <v>200</v>
      </c>
      <c r="N6" s="164"/>
      <c r="O6" s="164" t="s">
        <v>138</v>
      </c>
      <c r="P6" s="164"/>
      <c r="Q6" s="164" t="s">
        <v>138</v>
      </c>
      <c r="R6" s="164"/>
      <c r="S6" s="164" t="s">
        <v>138</v>
      </c>
      <c r="T6" s="164"/>
      <c r="U6" s="164"/>
    </row>
    <row r="7" spans="1:21" x14ac:dyDescent="0.2">
      <c r="A7" s="164"/>
      <c r="B7" s="168"/>
      <c r="C7" s="168"/>
      <c r="D7" s="157"/>
      <c r="E7" s="169" t="s">
        <v>140</v>
      </c>
      <c r="F7" s="164"/>
      <c r="G7" s="169" t="s">
        <v>141</v>
      </c>
      <c r="H7" s="170"/>
      <c r="I7" s="169" t="s">
        <v>142</v>
      </c>
      <c r="J7" s="157"/>
      <c r="K7" s="169" t="s">
        <v>140</v>
      </c>
      <c r="L7" s="169"/>
      <c r="M7" s="169" t="s">
        <v>140</v>
      </c>
      <c r="N7" s="169"/>
      <c r="O7" s="169" t="s">
        <v>140</v>
      </c>
      <c r="P7" s="169"/>
      <c r="Q7" s="169" t="s">
        <v>140</v>
      </c>
      <c r="R7" s="169"/>
      <c r="S7" s="169" t="s">
        <v>140</v>
      </c>
      <c r="T7" s="169"/>
      <c r="U7" s="164"/>
    </row>
    <row r="8" spans="1:21" x14ac:dyDescent="0.2">
      <c r="A8" s="164"/>
      <c r="B8" s="157"/>
      <c r="C8" s="157"/>
      <c r="D8" s="158"/>
      <c r="E8" s="166" t="s">
        <v>143</v>
      </c>
      <c r="F8" s="158"/>
      <c r="G8" s="166" t="s">
        <v>144</v>
      </c>
      <c r="H8" s="167"/>
      <c r="I8" s="166" t="s">
        <v>145</v>
      </c>
      <c r="J8" s="157"/>
      <c r="K8" s="171" t="s">
        <v>146</v>
      </c>
      <c r="L8" s="171"/>
      <c r="M8" s="171" t="s">
        <v>201</v>
      </c>
      <c r="N8" s="171"/>
      <c r="O8" s="171" t="s">
        <v>147</v>
      </c>
      <c r="P8" s="171"/>
      <c r="Q8" s="171" t="s">
        <v>148</v>
      </c>
      <c r="R8" s="171"/>
      <c r="S8" s="171" t="s">
        <v>149</v>
      </c>
      <c r="T8" s="171"/>
      <c r="U8" s="164"/>
    </row>
    <row r="9" spans="1:21" x14ac:dyDescent="0.2">
      <c r="A9" s="164"/>
      <c r="B9" s="162"/>
      <c r="C9" s="162"/>
      <c r="D9" s="163"/>
      <c r="E9" s="172" t="s">
        <v>150</v>
      </c>
      <c r="F9" s="165"/>
      <c r="G9" s="172" t="s">
        <v>151</v>
      </c>
      <c r="H9" s="173"/>
      <c r="I9" s="172" t="s">
        <v>152</v>
      </c>
      <c r="J9" s="157"/>
      <c r="K9" s="172" t="s">
        <v>150</v>
      </c>
      <c r="L9" s="172"/>
      <c r="M9" s="172" t="s">
        <v>150</v>
      </c>
      <c r="N9" s="172"/>
      <c r="O9" s="172" t="s">
        <v>150</v>
      </c>
      <c r="P9" s="172"/>
      <c r="Q9" s="172" t="s">
        <v>150</v>
      </c>
      <c r="R9" s="172"/>
      <c r="S9" s="172" t="s">
        <v>150</v>
      </c>
      <c r="T9" s="172"/>
      <c r="U9" s="164"/>
    </row>
    <row r="10" spans="1:21" x14ac:dyDescent="0.2">
      <c r="A10" s="164">
        <v>-1</v>
      </c>
      <c r="B10" s="162" t="s">
        <v>153</v>
      </c>
      <c r="C10" s="162"/>
      <c r="D10" s="174"/>
      <c r="E10" s="175">
        <v>100</v>
      </c>
      <c r="F10" s="174"/>
      <c r="G10" s="175">
        <v>100</v>
      </c>
      <c r="H10" s="176"/>
      <c r="I10" s="175">
        <v>100</v>
      </c>
      <c r="J10" s="157"/>
      <c r="K10" s="175">
        <v>100</v>
      </c>
      <c r="L10" s="175"/>
      <c r="M10" s="175">
        <v>100</v>
      </c>
      <c r="N10" s="175"/>
      <c r="O10" s="175">
        <v>100</v>
      </c>
      <c r="P10" s="175"/>
      <c r="Q10" s="175">
        <v>100</v>
      </c>
      <c r="R10" s="175"/>
      <c r="S10" s="175">
        <v>100</v>
      </c>
      <c r="T10" s="175"/>
      <c r="U10" s="164"/>
    </row>
    <row r="11" spans="1:21" x14ac:dyDescent="0.2">
      <c r="A11" s="164">
        <f>+A10-1</f>
        <v>-2</v>
      </c>
      <c r="B11" s="177"/>
      <c r="C11" s="162"/>
      <c r="D11" s="163"/>
      <c r="E11" s="178"/>
      <c r="F11" s="163"/>
      <c r="G11" s="178"/>
      <c r="H11" s="179"/>
      <c r="I11" s="178"/>
      <c r="J11" s="157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64"/>
    </row>
    <row r="12" spans="1:21" x14ac:dyDescent="0.2">
      <c r="A12" s="164">
        <f>+A11-1</f>
        <v>-3</v>
      </c>
      <c r="B12" s="180" t="s">
        <v>154</v>
      </c>
      <c r="C12" s="181"/>
      <c r="D12" s="182"/>
      <c r="E12" s="183">
        <v>6.6077525607551726</v>
      </c>
      <c r="F12" s="182"/>
      <c r="G12" s="183">
        <f>+G10*0.0825</f>
        <v>8.25</v>
      </c>
      <c r="H12" s="184"/>
      <c r="I12" s="183">
        <f>+I10*0.0825</f>
        <v>8.25</v>
      </c>
      <c r="J12" s="219"/>
      <c r="K12" s="183">
        <v>6.8042890069145212</v>
      </c>
      <c r="L12" s="183"/>
      <c r="M12" s="183">
        <v>5.64</v>
      </c>
      <c r="N12" s="185"/>
      <c r="O12" s="185">
        <v>5.6603773584905657</v>
      </c>
      <c r="P12" s="185"/>
      <c r="Q12" s="185">
        <v>5.6603773584905657</v>
      </c>
      <c r="R12" s="185"/>
      <c r="S12" s="185">
        <v>5.4896440780213149</v>
      </c>
      <c r="T12" s="186"/>
      <c r="U12" s="164">
        <v>-40</v>
      </c>
    </row>
    <row r="13" spans="1:21" x14ac:dyDescent="0.2">
      <c r="A13" s="164">
        <f t="shared" ref="A13:A49" si="0">+A12-1</f>
        <v>-4</v>
      </c>
      <c r="B13" s="177"/>
      <c r="C13" s="162"/>
      <c r="D13" s="163"/>
      <c r="E13" s="187"/>
      <c r="F13" s="163"/>
      <c r="G13" s="187"/>
      <c r="H13" s="186"/>
      <c r="I13" s="187"/>
      <c r="J13" s="15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64"/>
    </row>
    <row r="14" spans="1:21" x14ac:dyDescent="0.2">
      <c r="A14" s="164">
        <f t="shared" si="0"/>
        <v>-5</v>
      </c>
      <c r="B14" s="162" t="s">
        <v>155</v>
      </c>
      <c r="C14" s="162"/>
      <c r="D14" s="163"/>
      <c r="E14" s="187"/>
      <c r="F14" s="163"/>
      <c r="G14" s="187"/>
      <c r="H14" s="186"/>
      <c r="I14" s="187"/>
      <c r="J14" s="15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64"/>
    </row>
    <row r="15" spans="1:21" x14ac:dyDescent="0.2">
      <c r="A15" s="164">
        <f t="shared" si="0"/>
        <v>-6</v>
      </c>
      <c r="B15" s="157" t="s">
        <v>156</v>
      </c>
      <c r="C15" s="162"/>
      <c r="D15" s="188"/>
      <c r="E15" s="186">
        <f>+E10-E12</f>
        <v>93.392247439244827</v>
      </c>
      <c r="F15" s="188"/>
      <c r="G15" s="186">
        <f>+G10-G12</f>
        <v>91.75</v>
      </c>
      <c r="H15" s="186"/>
      <c r="I15" s="186">
        <f>+I10-I12</f>
        <v>91.75</v>
      </c>
      <c r="J15" s="157"/>
      <c r="K15" s="186">
        <f>+K10-K12</f>
        <v>93.195710993085484</v>
      </c>
      <c r="L15" s="186"/>
      <c r="M15" s="186">
        <f>+M10-M12</f>
        <v>94.36</v>
      </c>
      <c r="N15" s="186"/>
      <c r="O15" s="186">
        <f>+O10-O12</f>
        <v>94.339622641509436</v>
      </c>
      <c r="P15" s="186"/>
      <c r="Q15" s="186">
        <f>+Q10-Q12</f>
        <v>94.339622641509436</v>
      </c>
      <c r="R15" s="186"/>
      <c r="S15" s="186">
        <f>+S10-S12</f>
        <v>94.510355921978686</v>
      </c>
      <c r="T15" s="186"/>
      <c r="U15" s="220" t="s">
        <v>157</v>
      </c>
    </row>
    <row r="16" spans="1:21" x14ac:dyDescent="0.2">
      <c r="A16" s="164">
        <f t="shared" si="0"/>
        <v>-7</v>
      </c>
      <c r="B16" s="189" t="s">
        <v>158</v>
      </c>
      <c r="C16" s="181"/>
      <c r="D16" s="190"/>
      <c r="E16" s="184"/>
      <c r="F16" s="190"/>
      <c r="G16" s="184"/>
      <c r="H16" s="184"/>
      <c r="I16" s="184"/>
      <c r="J16" s="219"/>
      <c r="K16" s="191">
        <v>0.03</v>
      </c>
      <c r="L16" s="191"/>
      <c r="M16" s="192">
        <v>0</v>
      </c>
      <c r="N16" s="193"/>
      <c r="O16" s="193">
        <v>0.06</v>
      </c>
      <c r="P16" s="193"/>
      <c r="Q16" s="193">
        <v>0.06</v>
      </c>
      <c r="R16" s="193"/>
      <c r="S16" s="193">
        <v>0.09</v>
      </c>
      <c r="T16" s="193"/>
      <c r="U16" s="164"/>
    </row>
    <row r="17" spans="1:21" x14ac:dyDescent="0.2">
      <c r="A17" s="164">
        <f t="shared" si="0"/>
        <v>-8</v>
      </c>
      <c r="B17" s="189" t="s">
        <v>159</v>
      </c>
      <c r="C17" s="181"/>
      <c r="D17" s="190"/>
      <c r="E17" s="184"/>
      <c r="F17" s="190"/>
      <c r="G17" s="184"/>
      <c r="H17" s="184"/>
      <c r="I17" s="184"/>
      <c r="J17" s="219"/>
      <c r="K17" s="191"/>
      <c r="L17" s="191"/>
      <c r="M17" s="194">
        <v>1</v>
      </c>
      <c r="N17" s="193"/>
      <c r="O17" s="193"/>
      <c r="P17" s="193"/>
      <c r="Q17" s="193"/>
      <c r="R17" s="193"/>
      <c r="S17" s="193"/>
      <c r="T17" s="193"/>
      <c r="U17" s="164"/>
    </row>
    <row r="18" spans="1:21" x14ac:dyDescent="0.2">
      <c r="A18" s="164">
        <f t="shared" si="0"/>
        <v>-9</v>
      </c>
      <c r="B18" s="195" t="s">
        <v>160</v>
      </c>
      <c r="C18" s="181"/>
      <c r="D18" s="190"/>
      <c r="E18" s="184"/>
      <c r="F18" s="190"/>
      <c r="G18" s="184"/>
      <c r="H18" s="184"/>
      <c r="I18" s="184"/>
      <c r="J18" s="219"/>
      <c r="K18" s="191"/>
      <c r="L18" s="191"/>
      <c r="M18" s="196">
        <f>ROUND(M16*M17,4)</f>
        <v>0</v>
      </c>
      <c r="N18" s="193"/>
      <c r="O18" s="193"/>
      <c r="P18" s="193"/>
      <c r="Q18" s="193"/>
      <c r="R18" s="193"/>
      <c r="S18" s="193"/>
      <c r="T18" s="193"/>
      <c r="U18" s="164"/>
    </row>
    <row r="19" spans="1:21" x14ac:dyDescent="0.2">
      <c r="A19" s="164">
        <f t="shared" si="0"/>
        <v>-10</v>
      </c>
      <c r="B19" s="181"/>
      <c r="C19" s="181"/>
      <c r="D19" s="190"/>
      <c r="E19" s="184"/>
      <c r="F19" s="190"/>
      <c r="G19" s="184"/>
      <c r="H19" s="184"/>
      <c r="I19" s="184"/>
      <c r="J19" s="219"/>
      <c r="K19" s="191"/>
      <c r="L19" s="191"/>
      <c r="M19" s="191"/>
      <c r="N19" s="193"/>
      <c r="O19" s="193"/>
      <c r="P19" s="193"/>
      <c r="Q19" s="193"/>
      <c r="R19" s="193"/>
      <c r="S19" s="193"/>
      <c r="T19" s="193"/>
      <c r="U19" s="164"/>
    </row>
    <row r="20" spans="1:21" x14ac:dyDescent="0.2">
      <c r="A20" s="164">
        <f t="shared" si="0"/>
        <v>-11</v>
      </c>
      <c r="B20" s="181" t="s">
        <v>161</v>
      </c>
      <c r="C20" s="181"/>
      <c r="D20" s="190"/>
      <c r="E20" s="183">
        <f>E15*0.06</f>
        <v>5.6035348463546892</v>
      </c>
      <c r="F20" s="190"/>
      <c r="G20" s="183">
        <f>G15*0.03</f>
        <v>2.7524999999999999</v>
      </c>
      <c r="H20" s="184"/>
      <c r="I20" s="183">
        <v>0</v>
      </c>
      <c r="J20" s="219"/>
      <c r="K20" s="183">
        <f>K15*K16</f>
        <v>2.7958713297925644</v>
      </c>
      <c r="L20" s="183"/>
      <c r="M20" s="183">
        <f>M15*M18</f>
        <v>0</v>
      </c>
      <c r="N20" s="185"/>
      <c r="O20" s="185">
        <f>O15*O16</f>
        <v>5.6603773584905657</v>
      </c>
      <c r="P20" s="185"/>
      <c r="Q20" s="185">
        <f>Q15*Q16</f>
        <v>5.6603773584905657</v>
      </c>
      <c r="R20" s="185"/>
      <c r="S20" s="185">
        <f>S15*S16</f>
        <v>8.5059320329780821</v>
      </c>
      <c r="T20" s="186"/>
      <c r="U20" s="221" t="s">
        <v>162</v>
      </c>
    </row>
    <row r="21" spans="1:21" x14ac:dyDescent="0.2">
      <c r="A21" s="164">
        <f t="shared" si="0"/>
        <v>-12</v>
      </c>
      <c r="B21" s="197"/>
      <c r="C21" s="162"/>
      <c r="D21" s="163"/>
      <c r="E21" s="187"/>
      <c r="F21" s="163"/>
      <c r="G21" s="187"/>
      <c r="H21" s="186"/>
      <c r="I21" s="187"/>
      <c r="J21" s="15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64"/>
    </row>
    <row r="22" spans="1:21" x14ac:dyDescent="0.2">
      <c r="A22" s="164">
        <f t="shared" si="0"/>
        <v>-13</v>
      </c>
      <c r="B22" s="177" t="s">
        <v>163</v>
      </c>
      <c r="C22" s="162"/>
      <c r="D22" s="163"/>
      <c r="E22" s="187">
        <f>E15-E20</f>
        <v>87.788712592890136</v>
      </c>
      <c r="F22" s="163"/>
      <c r="G22" s="187">
        <f>G15-G20</f>
        <v>88.997500000000002</v>
      </c>
      <c r="H22" s="186"/>
      <c r="I22" s="187">
        <f>I15-I20</f>
        <v>91.75</v>
      </c>
      <c r="J22" s="157"/>
      <c r="K22" s="187">
        <f>K15-K20</f>
        <v>90.399839663292923</v>
      </c>
      <c r="L22" s="187"/>
      <c r="M22" s="187">
        <f>M15-M20</f>
        <v>94.36</v>
      </c>
      <c r="N22" s="187"/>
      <c r="O22" s="187">
        <f>O15-O20</f>
        <v>88.679245283018872</v>
      </c>
      <c r="P22" s="187"/>
      <c r="Q22" s="187">
        <f>Q15-Q20</f>
        <v>88.679245283018872</v>
      </c>
      <c r="R22" s="187"/>
      <c r="S22" s="187">
        <f>S15-S20</f>
        <v>86.004423889000606</v>
      </c>
      <c r="T22" s="187"/>
      <c r="U22" s="220" t="s">
        <v>164</v>
      </c>
    </row>
    <row r="23" spans="1:21" x14ac:dyDescent="0.2">
      <c r="A23" s="164">
        <f t="shared" si="0"/>
        <v>-14</v>
      </c>
      <c r="B23" s="197"/>
      <c r="C23" s="162"/>
      <c r="D23" s="163"/>
      <c r="E23" s="187"/>
      <c r="F23" s="163"/>
      <c r="G23" s="187"/>
      <c r="H23" s="186"/>
      <c r="I23" s="187"/>
      <c r="J23" s="15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64"/>
    </row>
    <row r="24" spans="1:21" x14ac:dyDescent="0.2">
      <c r="A24" s="164">
        <f t="shared" si="0"/>
        <v>-15</v>
      </c>
      <c r="B24" s="177" t="s">
        <v>165</v>
      </c>
      <c r="C24" s="162"/>
      <c r="D24" s="163"/>
      <c r="E24" s="185">
        <f>+E22*0.35</f>
        <v>30.726049407511546</v>
      </c>
      <c r="F24" s="163"/>
      <c r="G24" s="185">
        <f>+G22*0.35</f>
        <v>31.149124999999998</v>
      </c>
      <c r="H24" s="186"/>
      <c r="I24" s="185">
        <f>+I22*0.35</f>
        <v>32.112499999999997</v>
      </c>
      <c r="J24" s="157"/>
      <c r="K24" s="185">
        <f>+K22*0.35</f>
        <v>31.639943882152522</v>
      </c>
      <c r="L24" s="185"/>
      <c r="M24" s="198">
        <f>+M22*0.35</f>
        <v>33.025999999999996</v>
      </c>
      <c r="N24" s="185"/>
      <c r="O24" s="185">
        <f>+O22*0.35</f>
        <v>31.037735849056602</v>
      </c>
      <c r="P24" s="185"/>
      <c r="Q24" s="185">
        <f>+Q22*0.35</f>
        <v>31.037735849056602</v>
      </c>
      <c r="R24" s="185"/>
      <c r="S24" s="185">
        <f>+S22*0.35</f>
        <v>30.101548361150211</v>
      </c>
      <c r="T24" s="186"/>
      <c r="U24" s="220" t="s">
        <v>166</v>
      </c>
    </row>
    <row r="25" spans="1:21" x14ac:dyDescent="0.2">
      <c r="A25" s="164">
        <f t="shared" si="0"/>
        <v>-16</v>
      </c>
      <c r="B25" s="197"/>
      <c r="C25" s="162"/>
      <c r="D25" s="163"/>
      <c r="E25" s="178"/>
      <c r="F25" s="163"/>
      <c r="G25" s="178"/>
      <c r="H25" s="179"/>
      <c r="I25" s="178"/>
      <c r="J25" s="157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64"/>
    </row>
    <row r="26" spans="1:21" x14ac:dyDescent="0.2">
      <c r="A26" s="164">
        <f t="shared" si="0"/>
        <v>-17</v>
      </c>
      <c r="B26" s="177"/>
      <c r="C26" s="162"/>
      <c r="D26" s="163"/>
      <c r="E26" s="178"/>
      <c r="F26" s="163"/>
      <c r="G26" s="178"/>
      <c r="H26" s="179"/>
      <c r="I26" s="178"/>
      <c r="J26" s="157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64"/>
    </row>
    <row r="27" spans="1:21" x14ac:dyDescent="0.2">
      <c r="A27" s="164">
        <f t="shared" si="0"/>
        <v>-18</v>
      </c>
      <c r="B27" s="177" t="s">
        <v>167</v>
      </c>
      <c r="C27" s="162"/>
      <c r="D27" s="163"/>
      <c r="E27" s="198">
        <f>+E12+E24</f>
        <v>37.333801968266719</v>
      </c>
      <c r="F27" s="163"/>
      <c r="G27" s="198">
        <f>+G12+G24</f>
        <v>39.399124999999998</v>
      </c>
      <c r="H27" s="199"/>
      <c r="I27" s="198">
        <f>+I12+I24</f>
        <v>40.362499999999997</v>
      </c>
      <c r="J27" s="157"/>
      <c r="K27" s="198">
        <f>+K12+K24</f>
        <v>38.444232889067045</v>
      </c>
      <c r="L27" s="198"/>
      <c r="M27" s="198">
        <f>+M12+M24</f>
        <v>38.665999999999997</v>
      </c>
      <c r="N27" s="198"/>
      <c r="O27" s="198">
        <f>+O12+O24</f>
        <v>36.698113207547166</v>
      </c>
      <c r="P27" s="198"/>
      <c r="Q27" s="198">
        <f>+Q12+Q24</f>
        <v>36.698113207547166</v>
      </c>
      <c r="R27" s="198"/>
      <c r="S27" s="198">
        <f>+S12+S24</f>
        <v>35.591192439171529</v>
      </c>
      <c r="T27" s="199"/>
      <c r="U27" s="220" t="s">
        <v>168</v>
      </c>
    </row>
    <row r="28" spans="1:21" x14ac:dyDescent="0.2">
      <c r="A28" s="164">
        <f t="shared" si="0"/>
        <v>-19</v>
      </c>
      <c r="B28" s="157"/>
      <c r="C28" s="162"/>
      <c r="D28" s="163"/>
      <c r="E28" s="200"/>
      <c r="F28" s="163"/>
      <c r="G28" s="200"/>
      <c r="H28" s="201"/>
      <c r="I28" s="200"/>
      <c r="J28" s="157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164"/>
    </row>
    <row r="29" spans="1:21" ht="15.75" thickBot="1" x14ac:dyDescent="0.25">
      <c r="A29" s="164">
        <f t="shared" si="0"/>
        <v>-20</v>
      </c>
      <c r="B29" s="162" t="s">
        <v>169</v>
      </c>
      <c r="C29" s="162"/>
      <c r="D29" s="163"/>
      <c r="E29" s="202">
        <f>100-E27</f>
        <v>62.666198031733281</v>
      </c>
      <c r="F29" s="203"/>
      <c r="G29" s="202">
        <f>100-G27</f>
        <v>60.600875000000002</v>
      </c>
      <c r="H29" s="204"/>
      <c r="I29" s="202">
        <f>100-I27</f>
        <v>59.637500000000003</v>
      </c>
      <c r="J29" s="157"/>
      <c r="K29" s="202">
        <f>100-K27</f>
        <v>61.555767110932955</v>
      </c>
      <c r="L29" s="202"/>
      <c r="M29" s="205">
        <f>100-M27</f>
        <v>61.334000000000003</v>
      </c>
      <c r="N29" s="202"/>
      <c r="O29" s="202">
        <f>100-O27</f>
        <v>63.301886792452834</v>
      </c>
      <c r="P29" s="202"/>
      <c r="Q29" s="202">
        <f>100-Q27</f>
        <v>63.301886792452834</v>
      </c>
      <c r="R29" s="202"/>
      <c r="S29" s="202">
        <f>100-S27</f>
        <v>64.408807560828478</v>
      </c>
      <c r="T29" s="204"/>
      <c r="U29" s="220" t="s">
        <v>170</v>
      </c>
    </row>
    <row r="30" spans="1:21" ht="15.75" thickTop="1" x14ac:dyDescent="0.2">
      <c r="A30" s="164">
        <f t="shared" si="0"/>
        <v>-21</v>
      </c>
      <c r="B30" s="162"/>
      <c r="C30" s="162"/>
      <c r="D30" s="163"/>
      <c r="E30" s="200"/>
      <c r="F30" s="163"/>
      <c r="G30" s="200"/>
      <c r="H30" s="201"/>
      <c r="I30" s="162"/>
      <c r="J30" s="157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164"/>
    </row>
    <row r="31" spans="1:21" x14ac:dyDescent="0.2">
      <c r="A31" s="164">
        <f t="shared" si="0"/>
        <v>-22</v>
      </c>
      <c r="B31" s="177" t="s">
        <v>171</v>
      </c>
      <c r="C31" s="162"/>
      <c r="D31" s="163"/>
      <c r="E31" s="200"/>
      <c r="F31" s="163"/>
      <c r="G31" s="200"/>
      <c r="H31" s="201"/>
      <c r="I31" s="157"/>
      <c r="J31" s="157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164"/>
    </row>
    <row r="32" spans="1:21" x14ac:dyDescent="0.2">
      <c r="A32" s="164">
        <f t="shared" si="0"/>
        <v>-23</v>
      </c>
      <c r="B32" s="162" t="s">
        <v>172</v>
      </c>
      <c r="C32" s="162"/>
      <c r="D32" s="163"/>
      <c r="E32" s="206">
        <f>+E24/100</f>
        <v>0.30726049407511546</v>
      </c>
      <c r="F32" s="163"/>
      <c r="G32" s="206">
        <f>+G24/100</f>
        <v>0.31149125</v>
      </c>
      <c r="H32" s="206"/>
      <c r="I32" s="206">
        <f>+I24/100</f>
        <v>0.32112499999999999</v>
      </c>
      <c r="J32" s="157"/>
      <c r="K32" s="206">
        <f>+K24/100</f>
        <v>0.31639943882152521</v>
      </c>
      <c r="L32" s="206"/>
      <c r="M32" s="206">
        <f>+M24/100</f>
        <v>0.33025999999999994</v>
      </c>
      <c r="N32" s="206"/>
      <c r="O32" s="206">
        <f>+O24/100</f>
        <v>0.31037735849056602</v>
      </c>
      <c r="P32" s="206"/>
      <c r="Q32" s="206">
        <f>+Q24/100</f>
        <v>0.31037735849056602</v>
      </c>
      <c r="R32" s="206"/>
      <c r="S32" s="206">
        <f>+S24/100</f>
        <v>0.3010154836115021</v>
      </c>
      <c r="T32" s="206"/>
      <c r="U32" s="220" t="s">
        <v>173</v>
      </c>
    </row>
    <row r="33" spans="1:21" x14ac:dyDescent="0.2">
      <c r="A33" s="164">
        <f t="shared" si="0"/>
        <v>-24</v>
      </c>
      <c r="B33" s="162" t="s">
        <v>174</v>
      </c>
      <c r="C33" s="162"/>
      <c r="D33" s="163"/>
      <c r="E33" s="207">
        <f>+E12/100</f>
        <v>6.6077525607551729E-2</v>
      </c>
      <c r="F33" s="163"/>
      <c r="G33" s="207">
        <f>+G12/100</f>
        <v>8.2500000000000004E-2</v>
      </c>
      <c r="H33" s="206"/>
      <c r="I33" s="207">
        <f>+I12/100</f>
        <v>8.2500000000000004E-2</v>
      </c>
      <c r="J33" s="157"/>
      <c r="K33" s="207">
        <f>+K12/100</f>
        <v>6.8042890069145212E-2</v>
      </c>
      <c r="L33" s="207"/>
      <c r="M33" s="207">
        <f>+M12/100</f>
        <v>5.6399999999999999E-2</v>
      </c>
      <c r="N33" s="207"/>
      <c r="O33" s="207">
        <f>+O12/100</f>
        <v>5.6603773584905655E-2</v>
      </c>
      <c r="P33" s="207"/>
      <c r="Q33" s="207">
        <f>+Q12/100</f>
        <v>5.6603773584905655E-2</v>
      </c>
      <c r="R33" s="207"/>
      <c r="S33" s="207">
        <f>+S12/100</f>
        <v>5.4896440780213149E-2</v>
      </c>
      <c r="T33" s="206"/>
      <c r="U33" s="220" t="s">
        <v>175</v>
      </c>
    </row>
    <row r="34" spans="1:21" ht="15.75" thickBot="1" x14ac:dyDescent="0.25">
      <c r="A34" s="164">
        <f t="shared" si="0"/>
        <v>-25</v>
      </c>
      <c r="B34" s="162" t="s">
        <v>176</v>
      </c>
      <c r="C34" s="162"/>
      <c r="D34" s="163"/>
      <c r="E34" s="208">
        <f>SUM(E32:E33)</f>
        <v>0.37333801968266722</v>
      </c>
      <c r="F34" s="163"/>
      <c r="G34" s="208">
        <f>SUM(G32:G33)</f>
        <v>0.39399125000000002</v>
      </c>
      <c r="H34" s="206"/>
      <c r="I34" s="208">
        <f>SUM(I32:I33)</f>
        <v>0.40362500000000001</v>
      </c>
      <c r="J34" s="157"/>
      <c r="K34" s="208">
        <f>SUM(K32:K33)</f>
        <v>0.38444232889067043</v>
      </c>
      <c r="L34" s="208"/>
      <c r="M34" s="208">
        <f>SUM(M32:M33)</f>
        <v>0.38665999999999995</v>
      </c>
      <c r="N34" s="208"/>
      <c r="O34" s="208">
        <f>SUM(O32:O33)</f>
        <v>0.36698113207547167</v>
      </c>
      <c r="P34" s="208"/>
      <c r="Q34" s="208">
        <f>SUM(Q32:Q33)</f>
        <v>0.36698113207547167</v>
      </c>
      <c r="R34" s="208"/>
      <c r="S34" s="208">
        <f>SUM(S32:S33)</f>
        <v>0.35591192439171526</v>
      </c>
      <c r="T34" s="206"/>
      <c r="U34" s="220" t="s">
        <v>177</v>
      </c>
    </row>
    <row r="35" spans="1:21" ht="15.75" thickTop="1" x14ac:dyDescent="0.2">
      <c r="A35" s="164">
        <f t="shared" si="0"/>
        <v>-26</v>
      </c>
      <c r="B35" s="157"/>
      <c r="C35" s="157"/>
      <c r="D35" s="157"/>
      <c r="E35" s="156"/>
      <c r="F35" s="157"/>
      <c r="G35" s="156"/>
      <c r="H35" s="157"/>
      <c r="I35" s="157"/>
      <c r="J35" s="157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64"/>
    </row>
    <row r="36" spans="1:21" x14ac:dyDescent="0.2">
      <c r="A36" s="164">
        <f t="shared" si="0"/>
        <v>-27</v>
      </c>
      <c r="B36" s="157"/>
      <c r="C36" s="157"/>
      <c r="D36" s="157"/>
      <c r="E36" s="156"/>
      <c r="F36" s="157"/>
      <c r="G36" s="156"/>
      <c r="H36" s="157"/>
      <c r="I36" s="157"/>
      <c r="J36" s="157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64"/>
    </row>
    <row r="37" spans="1:21" x14ac:dyDescent="0.2">
      <c r="A37" s="164">
        <f t="shared" si="0"/>
        <v>-28</v>
      </c>
      <c r="B37" s="157"/>
      <c r="C37" s="157"/>
      <c r="D37" s="157"/>
      <c r="E37" s="156"/>
      <c r="F37" s="157"/>
      <c r="G37" s="156"/>
      <c r="H37" s="157"/>
      <c r="I37" s="157"/>
      <c r="J37" s="157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64"/>
    </row>
    <row r="38" spans="1:21" x14ac:dyDescent="0.2">
      <c r="A38" s="164">
        <f t="shared" si="0"/>
        <v>-29</v>
      </c>
      <c r="B38" s="157"/>
      <c r="C38" s="157"/>
      <c r="D38" s="157"/>
      <c r="E38" s="156"/>
      <c r="F38" s="157"/>
      <c r="G38" s="156"/>
      <c r="H38" s="157"/>
      <c r="I38" s="157"/>
      <c r="J38" s="157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64"/>
    </row>
    <row r="39" spans="1:21" x14ac:dyDescent="0.2">
      <c r="A39" s="164">
        <f t="shared" si="0"/>
        <v>-30</v>
      </c>
      <c r="B39" s="157"/>
      <c r="C39" s="157"/>
      <c r="D39" s="157"/>
      <c r="E39" s="156"/>
      <c r="F39" s="157"/>
      <c r="G39" s="156"/>
      <c r="H39" s="157"/>
      <c r="I39" s="157"/>
      <c r="J39" s="157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64"/>
    </row>
    <row r="40" spans="1:21" x14ac:dyDescent="0.2">
      <c r="A40" s="164">
        <f t="shared" si="0"/>
        <v>-31</v>
      </c>
      <c r="B40" s="209" t="s">
        <v>178</v>
      </c>
      <c r="C40" s="157"/>
      <c r="D40" s="157"/>
      <c r="E40" s="156"/>
      <c r="F40" s="157"/>
      <c r="G40" s="156"/>
      <c r="H40" s="157"/>
      <c r="I40" s="157"/>
      <c r="J40" s="157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64"/>
    </row>
    <row r="41" spans="1:21" x14ac:dyDescent="0.2">
      <c r="A41" s="164">
        <f t="shared" si="0"/>
        <v>-32</v>
      </c>
      <c r="B41" s="162" t="s">
        <v>153</v>
      </c>
      <c r="C41" s="157"/>
      <c r="D41" s="157"/>
      <c r="E41" s="175">
        <v>100</v>
      </c>
      <c r="F41" s="157"/>
      <c r="G41" s="175">
        <v>100</v>
      </c>
      <c r="H41" s="157"/>
      <c r="I41" s="175">
        <v>100</v>
      </c>
      <c r="J41" s="157"/>
      <c r="K41" s="175">
        <v>100</v>
      </c>
      <c r="L41" s="175"/>
      <c r="M41" s="175">
        <v>100</v>
      </c>
      <c r="N41" s="175"/>
      <c r="O41" s="175">
        <v>100</v>
      </c>
      <c r="P41" s="175"/>
      <c r="Q41" s="175">
        <v>100</v>
      </c>
      <c r="R41" s="175"/>
      <c r="S41" s="175">
        <v>100</v>
      </c>
      <c r="T41" s="175"/>
      <c r="U41" s="164"/>
    </row>
    <row r="42" spans="1:21" x14ac:dyDescent="0.2">
      <c r="A42" s="164">
        <f t="shared" si="0"/>
        <v>-33</v>
      </c>
      <c r="B42" s="177"/>
      <c r="C42" s="157"/>
      <c r="D42" s="157"/>
      <c r="E42" s="178"/>
      <c r="F42" s="157"/>
      <c r="G42" s="178"/>
      <c r="H42" s="157"/>
      <c r="I42" s="178"/>
      <c r="J42" s="157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64"/>
    </row>
    <row r="43" spans="1:21" x14ac:dyDescent="0.2">
      <c r="A43" s="164">
        <f t="shared" si="0"/>
        <v>-34</v>
      </c>
      <c r="B43" s="180" t="s">
        <v>179</v>
      </c>
      <c r="C43" s="219"/>
      <c r="D43" s="219"/>
      <c r="E43" s="183">
        <f>+E20</f>
        <v>5.6035348463546892</v>
      </c>
      <c r="F43" s="219"/>
      <c r="G43" s="210">
        <v>0</v>
      </c>
      <c r="H43" s="219"/>
      <c r="I43" s="210">
        <f>+I20</f>
        <v>0</v>
      </c>
      <c r="J43" s="219"/>
      <c r="K43" s="183">
        <f>+K20</f>
        <v>2.7958713297925644</v>
      </c>
      <c r="L43" s="183"/>
      <c r="M43" s="183">
        <v>6</v>
      </c>
      <c r="N43" s="185"/>
      <c r="O43" s="185">
        <f>+O20</f>
        <v>5.6603773584905657</v>
      </c>
      <c r="P43" s="185"/>
      <c r="Q43" s="185">
        <f>+Q20</f>
        <v>5.6603773584905657</v>
      </c>
      <c r="R43" s="185"/>
      <c r="S43" s="185">
        <f>+S20</f>
        <v>8.5059320329780821</v>
      </c>
      <c r="T43" s="186"/>
      <c r="U43" s="164"/>
    </row>
    <row r="44" spans="1:21" x14ac:dyDescent="0.2">
      <c r="A44" s="164">
        <f t="shared" si="0"/>
        <v>-35</v>
      </c>
      <c r="B44" s="180"/>
      <c r="C44" s="219"/>
      <c r="D44" s="219"/>
      <c r="E44" s="211"/>
      <c r="F44" s="219"/>
      <c r="G44" s="211"/>
      <c r="H44" s="219"/>
      <c r="I44" s="211"/>
      <c r="J44" s="219"/>
      <c r="K44" s="211"/>
      <c r="L44" s="211"/>
      <c r="M44" s="211"/>
      <c r="N44" s="187"/>
      <c r="O44" s="187"/>
      <c r="P44" s="187"/>
      <c r="Q44" s="187"/>
      <c r="R44" s="187"/>
      <c r="S44" s="187"/>
      <c r="T44" s="187"/>
      <c r="U44" s="164"/>
    </row>
    <row r="45" spans="1:21" x14ac:dyDescent="0.2">
      <c r="A45" s="164">
        <f t="shared" si="0"/>
        <v>-36</v>
      </c>
      <c r="B45" s="181" t="s">
        <v>180</v>
      </c>
      <c r="C45" s="219"/>
      <c r="D45" s="219"/>
      <c r="E45" s="184">
        <f>+E41-E43</f>
        <v>94.396465153645309</v>
      </c>
      <c r="F45" s="219"/>
      <c r="G45" s="184">
        <f>+G41-G43</f>
        <v>100</v>
      </c>
      <c r="H45" s="219"/>
      <c r="I45" s="184">
        <f>+I41-I43</f>
        <v>100</v>
      </c>
      <c r="J45" s="219"/>
      <c r="K45" s="184">
        <f>+K41-K43</f>
        <v>97.204128670207439</v>
      </c>
      <c r="L45" s="184"/>
      <c r="M45" s="184">
        <f>+M41-M43</f>
        <v>94</v>
      </c>
      <c r="N45" s="186"/>
      <c r="O45" s="186">
        <f>+O41-O43</f>
        <v>94.339622641509436</v>
      </c>
      <c r="P45" s="186"/>
      <c r="Q45" s="186">
        <f>+Q41-Q43</f>
        <v>94.339622641509436</v>
      </c>
      <c r="R45" s="186"/>
      <c r="S45" s="186">
        <f>+S41-S43</f>
        <v>91.49406796702192</v>
      </c>
      <c r="T45" s="186"/>
      <c r="U45" s="220" t="s">
        <v>181</v>
      </c>
    </row>
    <row r="46" spans="1:21" x14ac:dyDescent="0.2">
      <c r="A46" s="164">
        <f t="shared" si="0"/>
        <v>-37</v>
      </c>
      <c r="B46" s="181"/>
      <c r="C46" s="219"/>
      <c r="D46" s="219"/>
      <c r="E46" s="184"/>
      <c r="F46" s="219"/>
      <c r="G46" s="184"/>
      <c r="H46" s="219"/>
      <c r="I46" s="184"/>
      <c r="J46" s="219"/>
      <c r="K46" s="184"/>
      <c r="L46" s="184"/>
      <c r="M46" s="184"/>
      <c r="N46" s="186"/>
      <c r="O46" s="186"/>
      <c r="P46" s="186"/>
      <c r="Q46" s="186"/>
      <c r="R46" s="186"/>
      <c r="S46" s="186"/>
      <c r="T46" s="186"/>
      <c r="U46" s="164"/>
    </row>
    <row r="47" spans="1:21" x14ac:dyDescent="0.2">
      <c r="A47" s="164">
        <f t="shared" si="0"/>
        <v>-38</v>
      </c>
      <c r="B47" s="181" t="s">
        <v>144</v>
      </c>
      <c r="C47" s="219"/>
      <c r="D47" s="219"/>
      <c r="E47" s="212">
        <v>7.0000000000000007E-2</v>
      </c>
      <c r="F47" s="219"/>
      <c r="G47" s="212">
        <v>8.2500000000000004E-2</v>
      </c>
      <c r="H47" s="219"/>
      <c r="I47" s="212">
        <v>8.2500000000000004E-2</v>
      </c>
      <c r="J47" s="219"/>
      <c r="K47" s="212">
        <v>7.0000000000000007E-2</v>
      </c>
      <c r="L47" s="212"/>
      <c r="M47" s="212">
        <v>0.06</v>
      </c>
      <c r="N47" s="213"/>
      <c r="O47" s="213">
        <v>0.06</v>
      </c>
      <c r="P47" s="213"/>
      <c r="Q47" s="213">
        <v>0.06</v>
      </c>
      <c r="R47" s="213"/>
      <c r="S47" s="213">
        <v>0.06</v>
      </c>
      <c r="T47" s="214"/>
      <c r="U47" s="164"/>
    </row>
    <row r="48" spans="1:21" x14ac:dyDescent="0.2">
      <c r="A48" s="164">
        <f t="shared" si="0"/>
        <v>-39</v>
      </c>
      <c r="B48" s="195"/>
      <c r="C48" s="219"/>
      <c r="D48" s="219"/>
      <c r="E48" s="211"/>
      <c r="F48" s="219"/>
      <c r="G48" s="211"/>
      <c r="H48" s="219"/>
      <c r="I48" s="211"/>
      <c r="J48" s="219"/>
      <c r="K48" s="211"/>
      <c r="L48" s="211"/>
      <c r="M48" s="211"/>
      <c r="N48" s="187"/>
      <c r="O48" s="187"/>
      <c r="P48" s="187"/>
      <c r="Q48" s="187"/>
      <c r="R48" s="187"/>
      <c r="S48" s="187"/>
      <c r="T48" s="187"/>
      <c r="U48" s="164"/>
    </row>
    <row r="49" spans="1:21" ht="15.75" thickBot="1" x14ac:dyDescent="0.25">
      <c r="A49" s="164">
        <f t="shared" si="0"/>
        <v>-40</v>
      </c>
      <c r="B49" s="180" t="s">
        <v>182</v>
      </c>
      <c r="C49" s="219"/>
      <c r="D49" s="219"/>
      <c r="E49" s="215">
        <f>+E45*E47</f>
        <v>6.6077525607551726</v>
      </c>
      <c r="F49" s="219"/>
      <c r="G49" s="215">
        <f>+G45*G47</f>
        <v>8.25</v>
      </c>
      <c r="H49" s="219"/>
      <c r="I49" s="215">
        <f>+I45*I47</f>
        <v>8.25</v>
      </c>
      <c r="J49" s="219"/>
      <c r="K49" s="215">
        <f>+K45*K47</f>
        <v>6.8042890069145212</v>
      </c>
      <c r="L49" s="215"/>
      <c r="M49" s="205">
        <f>+M45*M47</f>
        <v>5.64</v>
      </c>
      <c r="N49" s="216"/>
      <c r="O49" s="216">
        <f>+O45*O47</f>
        <v>5.6603773584905657</v>
      </c>
      <c r="P49" s="216"/>
      <c r="Q49" s="216">
        <f>+Q45*Q47</f>
        <v>5.6603773584905657</v>
      </c>
      <c r="R49" s="216"/>
      <c r="S49" s="216">
        <f>+S45*S47</f>
        <v>5.4896440780213149</v>
      </c>
      <c r="T49" s="186"/>
      <c r="U49" s="220" t="s">
        <v>183</v>
      </c>
    </row>
    <row r="50" spans="1:21" ht="15.75" thickTop="1" x14ac:dyDescent="0.2">
      <c r="A50" s="164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64"/>
    </row>
  </sheetData>
  <mergeCells count="6">
    <mergeCell ref="B1:C1"/>
    <mergeCell ref="D1:G1"/>
    <mergeCell ref="B2:C2"/>
    <mergeCell ref="D2:G2"/>
    <mergeCell ref="B3:C3"/>
    <mergeCell ref="D3:G3"/>
  </mergeCells>
  <pageMargins left="0.7" right="0.7" top="0.75" bottom="1" header="0.3" footer="0.3"/>
  <pageSetup scale="92" orientation="portrait" r:id="rId1"/>
  <headerFooter scaleWithDoc="0">
    <oddHeader>&amp;R&amp;"Times New Roman,Bold"&amp;12Attachment to Response to Question No. 7 (a-c)
Page 3 of 3
Metts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Review_x0020_Case_x0020_Expense_x0020_Period xmlns="65bfb563-8fe2-4d34-a09f-38a217d8feea">Mar-Feb (ECR)</Review_x0020_Case_x0020_Expense_x0020_Period>
    <Construction_x0020_Monitoring xmlns="65bfb563-8fe2-4d34-a09f-38a217d8feea" xsi:nil="true"/>
    <Year xmlns="65bfb563-8fe2-4d34-a09f-38a217d8feea">2017</Year>
    <Filing_x0020_Type xmlns="65bfb563-8fe2-4d34-a09f-38a217d8feea">
      <Value>Review Cases (ECR/FAC/OST)</Value>
    </Filing_x0020_Type>
    <Review_x0020_Case_x0020_Doc_x0020_Types xmlns="65bfb563-8fe2-4d34-a09f-38a217d8feea">01.2 – 1st Data Request Attachments</Review_x0020_Case_x0020_Doc_x0020_Types>
    <Status xmlns="65bfb563-8fe2-4d34-a09f-38a217d8feea"/>
    <Document_x0020_Type xmlns="65bfb563-8fe2-4d34-a09f-38a217d8feea">
      <Value>ECR</Value>
    </Document_x0020_Type>
    <Filings xmlns="65bfb563-8fe2-4d34-a09f-38a217d8feea" xsi:nil="true"/>
    <Filing_x0020_Case_x0020__x0023_ xmlns="65bfb563-8fe2-4d34-a09f-38a217d8feea" xsi:nil="true"/>
    <Filing_x0020_Witness xmlns="65bfb563-8fe2-4d34-a09f-38a217d8feea" xsi:nil="true"/>
    <Case_x0020__x0023_ xmlns="65bfb563-8fe2-4d34-a09f-38a217d8feea">2017-00267</Case_x0020__x0023_>
    <Company xmlns="65bfb563-8fe2-4d34-a09f-38a217d8feea">
      <Value>LGE</Value>
    </Company>
    <Filing_x0020_Doc_x0020_Types xmlns="65bfb563-8fe2-4d34-a09f-38a217d8feea" xsi:nil="true"/>
    <Construction_x0020_Monitoring_x0020_Description xmlns="65bfb563-8fe2-4d34-a09f-38a217d8fee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28" ma:contentTypeDescription="Create a new document." ma:contentTypeScope="" ma:versionID="20fc385a25ace3125cc1daef47bb7ee2">
  <xsd:schema xmlns:xsd="http://www.w3.org/2001/XMLSchema" xmlns:xs="http://www.w3.org/2001/XMLSchema" xmlns:p="http://schemas.microsoft.com/office/2006/metadata/properties" xmlns:ns2="65bfb563-8fe2-4d34-a09f-38a217d8feea" targetNamespace="http://schemas.microsoft.com/office/2006/metadata/properties" ma:root="true" ma:fieldsID="3ee5c1ea3907e0176d1c092d4662d47d" ns2:_="">
    <xsd:import namespace="65bfb563-8fe2-4d34-a09f-38a217d8fee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15"/>
          <xsd:enumeration value="2016"/>
          <xsd:enumeration value="2017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Quarterly Filings (GSC)"/>
                    <xsd:enumeration value="Annual Filing (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"/>
          <xsd:enumeration value="01 – 1st Data Request and Testimony"/>
          <xsd:enumeration value="02 – 2nd Data Request and Testimony"/>
          <xsd:enumeration value="03 – 3rd Data Request and Testimony"/>
          <xsd:enumeration value="04 – Post Hearing Data Request, Testimony, or Briefs"/>
          <xsd:enumeration value="05 – Technical Conference or Hearings"/>
          <xsd:enumeration value="06 – Support"/>
          <xsd:enumeration value="07 – Application"/>
          <xsd:enumeration value="08 – Tariffs"/>
          <xsd:enumeration value="10 – eFiled/Filed Documen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Garrett, Chris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10 – Application"/>
          <xsd:enumeration value="10.1 – Application - As Filed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Dotson, Mike"/>
          <xsd:enumeration value="Garrett, Christopher"/>
          <xsd:enumeration value="Metts, Heather"/>
          <xsd:enumeration value="Multiple"/>
          <xsd:enumeration value="N/A"/>
          <xsd:enumeration value="Rahn, Derek"/>
          <xsd:enumeration value="Saunders, Eileen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0E6EC-EAD5-4A1D-90F4-39F850791A77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65bfb563-8fe2-4d34-a09f-38a217d8fe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F63837-0DC4-45DB-BE5D-628ECAF6EF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C3AB66-6DAA-482F-AC8D-167264C5F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Q7 - LGE ROR Feb17 (All Plans)</vt:lpstr>
      <vt:lpstr>Q7 - LGE ECC Feb17</vt:lpstr>
      <vt:lpstr>Tax Rate</vt:lpstr>
      <vt:lpstr>'Q7 - LGE ROR Feb17 (All Plans)'!Print_Area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2017-08-17T21:48:33Z</dcterms:created>
  <dcterms:modified xsi:type="dcterms:W3CDTF">2017-08-18T19:59:58Z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1.20</vt:lpwstr>
  </property>
  <property fmtid="{D5CDD505-2E9C-101B-9397-08002B2CF9AE}" pid="3" name="Type">
    <vt:lpwstr>Financial</vt:lpwstr>
  </property>
  <property fmtid="{D5CDD505-2E9C-101B-9397-08002B2CF9AE}" pid="4" name="ContentTypeId">
    <vt:lpwstr>0x010100FF510F20E04BCF41BE361D2F61EE6FFA</vt:lpwstr>
  </property>
  <property fmtid="{D5CDD505-2E9C-101B-9397-08002B2CF9AE}" pid="5" name="Complexity">
    <vt:lpwstr>High</vt:lpwstr>
  </property>
</Properties>
</file>