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4740" yWindow="75" windowWidth="15405" windowHeight="10080" tabRatio="613"/>
  </bookViews>
  <sheets>
    <sheet name="Roll In Req Req" sheetId="2" r:id="rId1"/>
    <sheet name="SuppSch" sheetId="5" r:id="rId2"/>
  </sheets>
  <definedNames>
    <definedName name="_xlnm.Print_Area" localSheetId="0">'Roll In Req Req'!$A$1:$I$62</definedName>
    <definedName name="_xlnm.Print_Area" localSheetId="1">SuppSch!$A$1:$L$85</definedName>
  </definedNames>
  <calcPr calcId="152511"/>
</workbook>
</file>

<file path=xl/calcChain.xml><?xml version="1.0" encoding="utf-8"?>
<calcChain xmlns="http://schemas.openxmlformats.org/spreadsheetml/2006/main">
  <c r="G50" i="2" l="1"/>
  <c r="G13" i="2"/>
  <c r="G14" i="2" l="1"/>
  <c r="H14" i="2"/>
  <c r="I13" i="2"/>
  <c r="I14" i="2" s="1"/>
  <c r="H44" i="2" l="1"/>
  <c r="G42" i="5"/>
  <c r="H31" i="2" s="1"/>
  <c r="G21" i="5"/>
  <c r="G31" i="2" s="1"/>
  <c r="K30" i="5" l="1"/>
  <c r="J42" i="5" l="1"/>
  <c r="H34" i="2" s="1"/>
  <c r="H42" i="5"/>
  <c r="H32" i="2" s="1"/>
  <c r="F42" i="5"/>
  <c r="D42" i="5"/>
  <c r="C42" i="5"/>
  <c r="H29" i="2" s="1"/>
  <c r="B42" i="5"/>
  <c r="H28" i="2" s="1"/>
  <c r="I42" i="5"/>
  <c r="H33" i="2" s="1"/>
  <c r="E42" i="5"/>
  <c r="K40" i="5"/>
  <c r="K39" i="5"/>
  <c r="K38" i="5"/>
  <c r="K37" i="5"/>
  <c r="K36" i="5"/>
  <c r="K35" i="5"/>
  <c r="K34" i="5"/>
  <c r="K33" i="5"/>
  <c r="K32" i="5"/>
  <c r="K31" i="5"/>
  <c r="A30" i="5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K29" i="5"/>
  <c r="H21" i="2"/>
  <c r="H25" i="2" s="1"/>
  <c r="H42" i="2" s="1"/>
  <c r="H19" i="2"/>
  <c r="H8" i="2"/>
  <c r="H30" i="2" l="1"/>
  <c r="H36" i="2" s="1"/>
  <c r="H43" i="2" s="1"/>
  <c r="H46" i="2" s="1"/>
  <c r="K42" i="5"/>
  <c r="K41" i="5"/>
  <c r="K20" i="5" l="1"/>
  <c r="J21" i="5" l="1"/>
  <c r="G34" i="2" s="1"/>
  <c r="I21" i="5"/>
  <c r="G33" i="2" s="1"/>
  <c r="H21" i="5"/>
  <c r="G32" i="2" s="1"/>
  <c r="K18" i="5"/>
  <c r="K11" i="5"/>
  <c r="K10" i="5"/>
  <c r="K8" i="5"/>
  <c r="K19" i="5" l="1"/>
  <c r="K14" i="5"/>
  <c r="K15" i="5"/>
  <c r="K17" i="5"/>
  <c r="K16" i="5"/>
  <c r="K13" i="5"/>
  <c r="K12" i="5"/>
  <c r="K9" i="5"/>
  <c r="B64" i="5" l="1"/>
  <c r="G38" i="2" s="1"/>
  <c r="D21" i="5"/>
  <c r="B85" i="5"/>
  <c r="C85" i="5"/>
  <c r="A9" i="5"/>
  <c r="A10" i="5" s="1"/>
  <c r="G8" i="2"/>
  <c r="G19" i="2"/>
  <c r="A51" i="5"/>
  <c r="A72" i="5" s="1"/>
  <c r="D72" i="5"/>
  <c r="D73" i="5"/>
  <c r="D74" i="5"/>
  <c r="D75" i="5"/>
  <c r="D76" i="5"/>
  <c r="D77" i="5"/>
  <c r="D78" i="5"/>
  <c r="D79" i="5"/>
  <c r="D80" i="5"/>
  <c r="D81" i="5"/>
  <c r="D82" i="5"/>
  <c r="D83" i="5"/>
  <c r="D85" i="5" l="1"/>
  <c r="G48" i="2" s="1"/>
  <c r="C21" i="5"/>
  <c r="G29" i="2" s="1"/>
  <c r="B21" i="5"/>
  <c r="G28" i="2" s="1"/>
  <c r="G44" i="2"/>
  <c r="E21" i="5"/>
  <c r="F21" i="5"/>
  <c r="G21" i="2"/>
  <c r="G25" i="2" s="1"/>
  <c r="A52" i="5"/>
  <c r="A73" i="5" s="1"/>
  <c r="A11" i="5"/>
  <c r="A53" i="5"/>
  <c r="A74" i="5" s="1"/>
  <c r="G42" i="2" l="1"/>
  <c r="I25" i="2"/>
  <c r="I38" i="2"/>
  <c r="I29" i="2"/>
  <c r="I31" i="2"/>
  <c r="I28" i="2"/>
  <c r="I32" i="2"/>
  <c r="I33" i="2"/>
  <c r="I34" i="2"/>
  <c r="I7" i="2"/>
  <c r="I18" i="2"/>
  <c r="I12" i="2"/>
  <c r="I6" i="2"/>
  <c r="I17" i="2"/>
  <c r="I11" i="2"/>
  <c r="K21" i="5"/>
  <c r="G30" i="2"/>
  <c r="G36" i="2" s="1"/>
  <c r="G43" i="2" s="1"/>
  <c r="G46" i="2" s="1"/>
  <c r="G54" i="2" s="1"/>
  <c r="G56" i="2"/>
  <c r="I44" i="2"/>
  <c r="A12" i="5"/>
  <c r="A54" i="5"/>
  <c r="A75" i="5" s="1"/>
  <c r="I30" i="2" l="1"/>
  <c r="I36" i="2" s="1"/>
  <c r="I43" i="2" s="1"/>
  <c r="G58" i="2"/>
  <c r="G60" i="2" s="1"/>
  <c r="I19" i="2"/>
  <c r="I8" i="2"/>
  <c r="A55" i="5"/>
  <c r="A76" i="5" s="1"/>
  <c r="A13" i="5"/>
  <c r="I21" i="2" l="1"/>
  <c r="I42" i="2" s="1"/>
  <c r="I46" i="2" s="1"/>
  <c r="A56" i="5"/>
  <c r="A77" i="5" s="1"/>
  <c r="A14" i="5"/>
  <c r="A15" i="5" l="1"/>
  <c r="A57" i="5"/>
  <c r="A78" i="5" s="1"/>
  <c r="A16" i="5" l="1"/>
  <c r="A58" i="5"/>
  <c r="A79" i="5" s="1"/>
  <c r="A59" i="5" l="1"/>
  <c r="A80" i="5" s="1"/>
  <c r="A17" i="5"/>
  <c r="A60" i="5" l="1"/>
  <c r="A81" i="5" s="1"/>
  <c r="A18" i="5"/>
  <c r="A19" i="5" l="1"/>
  <c r="A62" i="5" s="1"/>
  <c r="A83" i="5" s="1"/>
  <c r="A61" i="5"/>
  <c r="A82" i="5" s="1"/>
</calcChain>
</file>

<file path=xl/sharedStrings.xml><?xml version="1.0" encoding="utf-8"?>
<sst xmlns="http://schemas.openxmlformats.org/spreadsheetml/2006/main" count="116" uniqueCount="75">
  <si>
    <t>Support Schedule A</t>
  </si>
  <si>
    <t>Depreciation &amp; Amortization</t>
  </si>
  <si>
    <t>Taxes Other than Income Taxes</t>
  </si>
  <si>
    <t>Totals</t>
  </si>
  <si>
    <t>Support Schedule B</t>
  </si>
  <si>
    <t>Total Proceeds from Allowance Sales</t>
  </si>
  <si>
    <t>Support Schedule C</t>
  </si>
  <si>
    <t xml:space="preserve">  12 Month Balances for Jurisdictional Revenues and Allocation Ratio</t>
  </si>
  <si>
    <t>KY Retail Revenues, Excl. Envir. Surch. Revenues</t>
  </si>
  <si>
    <t>Total Company Revenues, Excluding Envir. Surch. Revenues</t>
  </si>
  <si>
    <t>KY Retail Allocation Ratio</t>
  </si>
  <si>
    <t>KY Retail/ Total Company</t>
  </si>
  <si>
    <t>Calculation of Revenue Requirement for Roll-In:</t>
  </si>
  <si>
    <t>Environmental Compliance Rate Base</t>
  </si>
  <si>
    <t>Pollution Control Plant in Service</t>
  </si>
  <si>
    <t>Pollution Control CWIP Excluding AFUDC</t>
  </si>
  <si>
    <t>Subtotal</t>
  </si>
  <si>
    <t>Deductions:</t>
  </si>
  <si>
    <t>Accumulated Depreciation on Pollution Control Plant</t>
  </si>
  <si>
    <t>Pollution Control Deferred Income Taxes</t>
  </si>
  <si>
    <t>Rate of Return -- Environmental Compliance Rate Base</t>
  </si>
  <si>
    <t>Return on Environmental Compliance Rate Base</t>
  </si>
  <si>
    <t>Pollution Control Operating Expenses</t>
  </si>
  <si>
    <t>12 Month Depreciation and Amortization Expense</t>
  </si>
  <si>
    <t>See Support Schedule A</t>
  </si>
  <si>
    <t>12 Month Taxes Other than Income Taxes</t>
  </si>
  <si>
    <t>Total Pollution Control Operating Expenses</t>
  </si>
  <si>
    <t>See Support Schedule B</t>
  </si>
  <si>
    <t>Total Company Environmental Surcharge Gross Revenue Requirement -- Roll In Amount</t>
  </si>
  <si>
    <t>Roll In Amount</t>
  </si>
  <si>
    <t>Jurisdictional Allocation Ratio -- Roll In</t>
  </si>
  <si>
    <t>See Support Schedule C</t>
  </si>
  <si>
    <t>Jurisdictional Revenues for 12 Months for Roll In</t>
  </si>
  <si>
    <t>Roll In Jurisdictional Environmental Surcharge Factor:</t>
  </si>
  <si>
    <t>Operating and Maintenance Expense</t>
  </si>
  <si>
    <t>Additions:</t>
  </si>
  <si>
    <t>Jurisdictional Environmental Surcharge Gross Revenue Requirement -- Gross Roll In Amount</t>
  </si>
  <si>
    <t>Jurisdictional Environmental Surcharge Gross Revenue Requirement -- Net Roll In Amount</t>
  </si>
  <si>
    <t>FERC 506</t>
  </si>
  <si>
    <t>FERC 512</t>
  </si>
  <si>
    <t>Steam Plant</t>
  </si>
  <si>
    <t>less Base Rate amount</t>
  </si>
  <si>
    <t>Cash Working Capital Allowance</t>
  </si>
  <si>
    <t>FERC 502</t>
  </si>
  <si>
    <t>Total</t>
  </si>
  <si>
    <t>ES Form 2.00</t>
  </si>
  <si>
    <t>Jurisdictional</t>
  </si>
  <si>
    <t>Basis</t>
  </si>
  <si>
    <t>Environmental Compliance Plans</t>
  </si>
  <si>
    <t xml:space="preserve"> </t>
  </si>
  <si>
    <t>Emission Allowance Expense</t>
  </si>
  <si>
    <t>FERC 509</t>
  </si>
  <si>
    <t>FERC 501</t>
  </si>
  <si>
    <t>Beneficial Reuse Expense</t>
  </si>
  <si>
    <t>KPSC Consultant Expense</t>
  </si>
  <si>
    <t>12 Month Emission Allowance Expense</t>
  </si>
  <si>
    <t>12 Month Beneficial Reuse Expense, net of amounts in base rates</t>
  </si>
  <si>
    <t>12 Month KPSC Consultant Expense</t>
  </si>
  <si>
    <t>ES Form 3.10</t>
  </si>
  <si>
    <t>Gross Proceeds from Allowance Sales</t>
  </si>
  <si>
    <t>Less Gross Proceeds from Allowance Sales</t>
  </si>
  <si>
    <t xml:space="preserve">  12 Month Balances for Allowance Sales</t>
  </si>
  <si>
    <t>Emission Allowances</t>
  </si>
  <si>
    <t>Less Jurisdictional Environmental Revenue Previously Rolled In</t>
  </si>
  <si>
    <t xml:space="preserve">  12 Month Balances for Selected Operating Expense Accounts</t>
  </si>
  <si>
    <t>12 Month Operating and Maintenance Expense, net of amt in base rates</t>
  </si>
  <si>
    <t>ES Form 2.00, February 2017</t>
  </si>
  <si>
    <t>ES Form 1.10, February 2017</t>
  </si>
  <si>
    <t>at Feb. 28, 2017</t>
  </si>
  <si>
    <t>Pre-2016</t>
  </si>
  <si>
    <t>Pre-2016 Plans</t>
  </si>
  <si>
    <t>2016 Plans</t>
  </si>
  <si>
    <t>12 Month CCR Amortization</t>
  </si>
  <si>
    <t xml:space="preserve">  Amortization of Monthly Closure Costs</t>
  </si>
  <si>
    <t>Net Unamortized Closure Cost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</si>
</sst>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_(&quot;$&quot;* #,##0_);_(&quot;$&quot;* \(#,##0\);_(&quot;$&quot;* &quot;-&quot;??_);_(@_)"/>
    <numFmt numFmtId="167" formatCode="[$-409]mmm\-yy;@"/>
    <numFmt numFmtId="168" formatCode="_(&quot;$&quot;* #,##0.00_);_(&quot;$&quot;* \(#,##0.00\);_(&quot;$&quot;* &quot;-&quot;_);_(@_)"/>
    <numFmt numFmtId="169" formatCode="_(&quot;$&quot;* #,##0.000000_);_(&quot;$&quot;* \(#,##0.000000\);_(&quot;$&quot;* &quot;-&quot;_);_(@_)"/>
  </numFmts>
  <fonts count="8" x14ac:knownFonts="1">
    <font>
      <sz val="8"/>
      <name val="Arial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17" fontId="3" fillId="0" borderId="0" xfId="0" applyNumberFormat="1" applyFont="1"/>
    <xf numFmtId="17" fontId="4" fillId="0" borderId="0" xfId="0" applyNumberFormat="1" applyFont="1"/>
    <xf numFmtId="0" fontId="3" fillId="0" borderId="0" xfId="0" quotePrefix="1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" xfId="3" quotePrefix="1" applyFont="1" applyBorder="1" applyAlignment="1" applyProtection="1">
      <alignment horizontal="center"/>
    </xf>
    <xf numFmtId="164" fontId="3" fillId="0" borderId="0" xfId="1" quotePrefix="1" applyNumberFormat="1" applyFont="1" applyAlignment="1">
      <alignment horizontal="left"/>
    </xf>
    <xf numFmtId="41" fontId="3" fillId="0" borderId="0" xfId="1" applyNumberFormat="1" applyFont="1" applyFill="1" applyBorder="1"/>
    <xf numFmtId="164" fontId="3" fillId="0" borderId="0" xfId="1" applyNumberFormat="1" applyFont="1"/>
    <xf numFmtId="14" fontId="3" fillId="0" borderId="0" xfId="0" applyNumberFormat="1" applyFont="1"/>
    <xf numFmtId="17" fontId="3" fillId="0" borderId="0" xfId="0" quotePrefix="1" applyNumberFormat="1" applyFont="1" applyAlignment="1">
      <alignment horizontal="left"/>
    </xf>
    <xf numFmtId="41" fontId="3" fillId="0" borderId="1" xfId="1" applyNumberFormat="1" applyFont="1" applyFill="1" applyBorder="1"/>
    <xf numFmtId="164" fontId="3" fillId="0" borderId="1" xfId="1" applyNumberFormat="1" applyFont="1" applyBorder="1"/>
    <xf numFmtId="164" fontId="3" fillId="0" borderId="0" xfId="1" applyNumberFormat="1" applyFont="1" applyFill="1" applyBorder="1"/>
    <xf numFmtId="164" fontId="3" fillId="0" borderId="0" xfId="1" applyNumberFormat="1" applyFont="1" applyBorder="1"/>
    <xf numFmtId="0" fontId="3" fillId="0" borderId="0" xfId="0" applyFont="1" applyFill="1"/>
    <xf numFmtId="17" fontId="3" fillId="0" borderId="0" xfId="0" quotePrefix="1" applyNumberFormat="1" applyFont="1" applyAlignment="1">
      <alignment horizontal="left" indent="1"/>
    </xf>
    <xf numFmtId="164" fontId="3" fillId="0" borderId="0" xfId="1" applyNumberFormat="1" applyFont="1" applyFill="1"/>
    <xf numFmtId="166" fontId="3" fillId="0" borderId="1" xfId="2" applyNumberFormat="1" applyFont="1" applyFill="1" applyBorder="1"/>
    <xf numFmtId="166" fontId="3" fillId="0" borderId="1" xfId="2" applyNumberFormat="1" applyFont="1" applyBorder="1"/>
    <xf numFmtId="10" fontId="3" fillId="0" borderId="0" xfId="4" applyNumberFormat="1" applyFont="1" applyFill="1"/>
    <xf numFmtId="0" fontId="5" fillId="0" borderId="0" xfId="0" applyFont="1"/>
    <xf numFmtId="164" fontId="3" fillId="0" borderId="0" xfId="0" applyNumberFormat="1" applyFont="1"/>
    <xf numFmtId="0" fontId="3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5" fontId="3" fillId="0" borderId="2" xfId="4" applyNumberFormat="1" applyFont="1" applyBorder="1"/>
    <xf numFmtId="166" fontId="3" fillId="0" borderId="0" xfId="2" applyNumberFormat="1" applyFont="1"/>
    <xf numFmtId="165" fontId="3" fillId="0" borderId="1" xfId="4" applyNumberFormat="1" applyFont="1" applyBorder="1"/>
    <xf numFmtId="166" fontId="3" fillId="0" borderId="0" xfId="2" applyNumberFormat="1" applyFont="1" applyBorder="1"/>
    <xf numFmtId="164" fontId="3" fillId="0" borderId="1" xfId="1" applyNumberFormat="1" applyFont="1" applyFill="1" applyBorder="1"/>
    <xf numFmtId="166" fontId="5" fillId="0" borderId="5" xfId="2" applyNumberFormat="1" applyFont="1" applyBorder="1"/>
    <xf numFmtId="165" fontId="5" fillId="0" borderId="0" xfId="4" applyNumberFormat="1" applyFont="1" applyFill="1" applyBorder="1"/>
    <xf numFmtId="0" fontId="6" fillId="0" borderId="0" xfId="0" quotePrefix="1" applyFont="1" applyFill="1" applyAlignment="1">
      <alignment horizontal="left"/>
    </xf>
    <xf numFmtId="0" fontId="3" fillId="0" borderId="0" xfId="0" applyFont="1" applyAlignment="1">
      <alignment horizontal="right"/>
    </xf>
    <xf numFmtId="166" fontId="3" fillId="0" borderId="0" xfId="2" applyNumberFormat="1" applyFont="1" applyFill="1"/>
    <xf numFmtId="0" fontId="3" fillId="0" borderId="0" xfId="0" quotePrefix="1" applyFont="1" applyFill="1" applyAlignment="1">
      <alignment horizontal="left"/>
    </xf>
    <xf numFmtId="165" fontId="3" fillId="0" borderId="0" xfId="4" applyNumberFormat="1" applyFont="1"/>
    <xf numFmtId="165" fontId="3" fillId="0" borderId="0" xfId="4" applyNumberFormat="1" applyFont="1" applyBorder="1"/>
    <xf numFmtId="10" fontId="3" fillId="0" borderId="0" xfId="4" applyNumberFormat="1" applyFont="1"/>
    <xf numFmtId="0" fontId="4" fillId="0" borderId="0" xfId="0" applyFont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quotePrefix="1" applyFont="1" applyFill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7" fontId="3" fillId="0" borderId="0" xfId="0" applyNumberFormat="1" applyFont="1" applyFill="1" applyBorder="1" applyAlignment="1">
      <alignment horizontal="center"/>
    </xf>
    <xf numFmtId="42" fontId="3" fillId="0" borderId="4" xfId="2" applyNumberFormat="1" applyFont="1" applyFill="1" applyBorder="1"/>
    <xf numFmtId="17" fontId="3" fillId="0" borderId="0" xfId="0" applyNumberFormat="1" applyFont="1" applyFill="1"/>
    <xf numFmtId="17" fontId="3" fillId="0" borderId="0" xfId="0" quotePrefix="1" applyNumberFormat="1" applyFont="1" applyFill="1" applyAlignment="1">
      <alignment horizontal="right"/>
    </xf>
    <xf numFmtId="164" fontId="3" fillId="0" borderId="2" xfId="1" applyNumberFormat="1" applyFont="1" applyFill="1" applyBorder="1"/>
    <xf numFmtId="0" fontId="3" fillId="0" borderId="0" xfId="0" applyFont="1" applyBorder="1"/>
    <xf numFmtId="17" fontId="3" fillId="0" borderId="0" xfId="0" quotePrefix="1" applyNumberFormat="1" applyFont="1" applyAlignment="1">
      <alignment horizontal="right"/>
    </xf>
    <xf numFmtId="164" fontId="3" fillId="0" borderId="3" xfId="1" applyNumberFormat="1" applyFont="1" applyBorder="1"/>
    <xf numFmtId="0" fontId="3" fillId="0" borderId="0" xfId="0" quotePrefix="1" applyNumberFormat="1" applyFont="1" applyFill="1" applyAlignment="1">
      <alignment horizontal="left"/>
    </xf>
    <xf numFmtId="0" fontId="4" fillId="0" borderId="0" xfId="0" quotePrefix="1" applyFont="1" applyAlignment="1">
      <alignment horizontal="left"/>
    </xf>
    <xf numFmtId="0" fontId="3" fillId="0" borderId="0" xfId="0" quotePrefix="1" applyFont="1" applyBorder="1" applyAlignment="1">
      <alignment horizontal="left"/>
    </xf>
    <xf numFmtId="164" fontId="3" fillId="0" borderId="0" xfId="1" quotePrefix="1" applyNumberFormat="1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164" fontId="3" fillId="0" borderId="0" xfId="1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164" fontId="3" fillId="0" borderId="0" xfId="4" applyNumberFormat="1" applyFont="1" applyBorder="1"/>
    <xf numFmtId="10" fontId="3" fillId="0" borderId="0" xfId="4" applyNumberFormat="1" applyFont="1" applyBorder="1"/>
    <xf numFmtId="17" fontId="3" fillId="0" borderId="0" xfId="0" applyNumberFormat="1" applyFont="1" applyFill="1" applyAlignment="1">
      <alignment horizontal="center"/>
    </xf>
    <xf numFmtId="0" fontId="3" fillId="0" borderId="0" xfId="0" applyFont="1" applyFill="1" applyBorder="1"/>
    <xf numFmtId="0" fontId="4" fillId="0" borderId="0" xfId="0" applyFont="1" applyBorder="1"/>
    <xf numFmtId="164" fontId="3" fillId="0" borderId="0" xfId="1" quotePrefix="1" applyNumberFormat="1" applyFont="1" applyBorder="1" applyAlignment="1">
      <alignment horizontal="center" wrapText="1"/>
    </xf>
    <xf numFmtId="0" fontId="3" fillId="0" borderId="0" xfId="0" quotePrefix="1" applyFont="1" applyFill="1" applyBorder="1" applyAlignment="1">
      <alignment horizontal="center"/>
    </xf>
    <xf numFmtId="165" fontId="3" fillId="0" borderId="0" xfId="4" applyNumberFormat="1" applyFont="1" applyFill="1" applyBorder="1"/>
    <xf numFmtId="17" fontId="3" fillId="0" borderId="0" xfId="0" applyNumberFormat="1" applyFont="1" applyBorder="1" applyAlignment="1">
      <alignment horizontal="left"/>
    </xf>
    <xf numFmtId="165" fontId="3" fillId="0" borderId="1" xfId="4" applyNumberFormat="1" applyFont="1" applyFill="1" applyBorder="1"/>
    <xf numFmtId="17" fontId="3" fillId="0" borderId="0" xfId="0" applyNumberFormat="1" applyFont="1" applyAlignment="1">
      <alignment horizontal="left"/>
    </xf>
    <xf numFmtId="166" fontId="3" fillId="0" borderId="2" xfId="2" applyNumberFormat="1" applyFont="1" applyFill="1" applyBorder="1"/>
    <xf numFmtId="165" fontId="3" fillId="0" borderId="2" xfId="4" applyNumberFormat="1" applyFont="1" applyFill="1" applyBorder="1"/>
    <xf numFmtId="166" fontId="3" fillId="0" borderId="0" xfId="0" applyNumberFormat="1" applyFont="1" applyBorder="1"/>
    <xf numFmtId="42" fontId="3" fillId="0" borderId="0" xfId="1" applyNumberFormat="1" applyFont="1" applyFill="1" applyBorder="1"/>
    <xf numFmtId="42" fontId="3" fillId="0" borderId="0" xfId="1" applyNumberFormat="1" applyFont="1"/>
    <xf numFmtId="42" fontId="3" fillId="0" borderId="0" xfId="0" applyNumberFormat="1" applyFont="1" applyFill="1" applyAlignment="1">
      <alignment horizontal="center" wrapText="1"/>
    </xf>
    <xf numFmtId="42" fontId="3" fillId="0" borderId="0" xfId="0" quotePrefix="1" applyNumberFormat="1" applyFont="1" applyFill="1" applyAlignment="1">
      <alignment horizontal="center" wrapText="1"/>
    </xf>
    <xf numFmtId="42" fontId="3" fillId="0" borderId="2" xfId="1" applyNumberFormat="1" applyFont="1" applyBorder="1"/>
    <xf numFmtId="42" fontId="3" fillId="0" borderId="0" xfId="0" applyNumberFormat="1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2" fontId="3" fillId="0" borderId="0" xfId="1" applyNumberFormat="1" applyFont="1" applyBorder="1"/>
    <xf numFmtId="166" fontId="5" fillId="0" borderId="0" xfId="2" applyNumberFormat="1" applyFont="1" applyBorder="1"/>
    <xf numFmtId="42" fontId="3" fillId="0" borderId="1" xfId="1" applyNumberFormat="1" applyFont="1" applyBorder="1"/>
    <xf numFmtId="0" fontId="7" fillId="0" borderId="0" xfId="0" quotePrefix="1" applyFont="1" applyAlignment="1">
      <alignment horizontal="left"/>
    </xf>
    <xf numFmtId="0" fontId="7" fillId="0" borderId="0" xfId="0" quotePrefix="1" applyNumberFormat="1" applyFont="1" applyFill="1" applyAlignment="1">
      <alignment horizontal="left"/>
    </xf>
    <xf numFmtId="168" fontId="3" fillId="0" borderId="4" xfId="2" applyNumberFormat="1" applyFont="1" applyFill="1" applyBorder="1"/>
    <xf numFmtId="168" fontId="3" fillId="0" borderId="0" xfId="1" applyNumberFormat="1" applyFont="1" applyFill="1" applyBorder="1"/>
    <xf numFmtId="43" fontId="3" fillId="0" borderId="2" xfId="1" applyNumberFormat="1" applyFont="1" applyFill="1" applyBorder="1"/>
    <xf numFmtId="169" fontId="3" fillId="0" borderId="0" xfId="1" applyNumberFormat="1" applyFont="1" applyFill="1" applyBorder="1"/>
    <xf numFmtId="169" fontId="3" fillId="0" borderId="1" xfId="1" applyNumberFormat="1" applyFont="1" applyFill="1" applyBorder="1"/>
    <xf numFmtId="0" fontId="3" fillId="0" borderId="0" xfId="0" applyFont="1" applyAlignment="1">
      <alignment horizontal="center" wrapText="1"/>
    </xf>
  </cellXfs>
  <cellStyles count="5">
    <cellStyle name="Comma" xfId="1" builtinId="3"/>
    <cellStyle name="Currency" xfId="2" builtinId="4"/>
    <cellStyle name="Hyperlink" xfId="3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67"/>
  <sheetViews>
    <sheetView tabSelected="1" zoomScaleNormal="100" zoomScaleSheetLayoutView="90" workbookViewId="0"/>
  </sheetViews>
  <sheetFormatPr defaultRowHeight="11.25" x14ac:dyDescent="0.2"/>
  <cols>
    <col min="1" max="1" width="3.1640625" style="1" customWidth="1"/>
    <col min="2" max="2" width="4" style="1" customWidth="1"/>
    <col min="3" max="3" width="11.83203125" style="1" customWidth="1"/>
    <col min="4" max="4" width="32.5" style="1" customWidth="1"/>
    <col min="5" max="5" width="9.6640625" style="1" customWidth="1"/>
    <col min="6" max="6" width="27.1640625" style="1" bestFit="1" customWidth="1"/>
    <col min="7" max="8" width="16.83203125" style="1" customWidth="1"/>
    <col min="9" max="9" width="15.1640625" style="1" bestFit="1" customWidth="1"/>
    <col min="10" max="16384" width="9.33203125" style="1"/>
  </cols>
  <sheetData>
    <row r="1" spans="1:9" x14ac:dyDescent="0.2">
      <c r="D1" s="2"/>
    </row>
    <row r="2" spans="1:9" x14ac:dyDescent="0.2">
      <c r="D2" s="2"/>
      <c r="G2" s="5" t="s">
        <v>69</v>
      </c>
      <c r="H2" s="5">
        <v>2016</v>
      </c>
    </row>
    <row r="3" spans="1:9" ht="22.5" x14ac:dyDescent="0.2">
      <c r="A3" s="3" t="s">
        <v>12</v>
      </c>
      <c r="B3" s="2"/>
      <c r="G3" s="4" t="s">
        <v>48</v>
      </c>
      <c r="H3" s="4" t="s">
        <v>48</v>
      </c>
      <c r="I3" s="5" t="s">
        <v>46</v>
      </c>
    </row>
    <row r="4" spans="1:9" x14ac:dyDescent="0.2">
      <c r="A4" s="2"/>
      <c r="B4" s="2"/>
      <c r="G4" s="6" t="s">
        <v>68</v>
      </c>
      <c r="H4" s="6" t="s">
        <v>68</v>
      </c>
      <c r="I4" s="60" t="s">
        <v>47</v>
      </c>
    </row>
    <row r="5" spans="1:9" x14ac:dyDescent="0.2">
      <c r="A5" s="2" t="s">
        <v>13</v>
      </c>
      <c r="B5" s="2"/>
    </row>
    <row r="6" spans="1:9" x14ac:dyDescent="0.2">
      <c r="B6" s="2" t="s">
        <v>14</v>
      </c>
      <c r="C6" s="2"/>
      <c r="F6" s="7" t="s">
        <v>66</v>
      </c>
      <c r="G6" s="77">
        <v>1126199820</v>
      </c>
      <c r="H6" s="77">
        <v>1552010</v>
      </c>
      <c r="I6" s="78">
        <f>(G6+H6)*$G$48</f>
        <v>1089183845.1658301</v>
      </c>
    </row>
    <row r="7" spans="1:9" x14ac:dyDescent="0.2">
      <c r="A7" s="10"/>
      <c r="B7" s="11" t="s">
        <v>15</v>
      </c>
      <c r="C7" s="11"/>
      <c r="F7" s="7" t="s">
        <v>66</v>
      </c>
      <c r="G7" s="12">
        <v>59184779</v>
      </c>
      <c r="H7" s="12">
        <v>13214516</v>
      </c>
      <c r="I7" s="87">
        <f>(G7+H7)*$G$48</f>
        <v>69923311.510295004</v>
      </c>
    </row>
    <row r="8" spans="1:9" x14ac:dyDescent="0.2">
      <c r="B8" s="2"/>
      <c r="C8" s="2"/>
      <c r="E8" s="1" t="s">
        <v>16</v>
      </c>
      <c r="G8" s="77">
        <f>SUM(G6:G7)</f>
        <v>1185384599</v>
      </c>
      <c r="H8" s="77">
        <f>SUM(H6:H7)</f>
        <v>14766526</v>
      </c>
      <c r="I8" s="78">
        <f>SUM(I6:I7)</f>
        <v>1159107156.676125</v>
      </c>
    </row>
    <row r="9" spans="1:9" x14ac:dyDescent="0.2">
      <c r="B9" s="2"/>
      <c r="C9" s="2"/>
      <c r="G9" s="16"/>
      <c r="H9" s="16"/>
    </row>
    <row r="10" spans="1:9" x14ac:dyDescent="0.2">
      <c r="B10" s="2" t="s">
        <v>35</v>
      </c>
      <c r="C10" s="2"/>
      <c r="G10" s="16"/>
      <c r="H10" s="16"/>
    </row>
    <row r="11" spans="1:9" x14ac:dyDescent="0.2">
      <c r="C11" s="17" t="s">
        <v>62</v>
      </c>
      <c r="F11" s="7" t="s">
        <v>66</v>
      </c>
      <c r="G11" s="77">
        <v>145</v>
      </c>
      <c r="H11" s="77">
        <v>0</v>
      </c>
      <c r="I11" s="78">
        <f>(G11+H11)*$G$48</f>
        <v>140.041145</v>
      </c>
    </row>
    <row r="12" spans="1:9" x14ac:dyDescent="0.2">
      <c r="C12" s="17" t="s">
        <v>42</v>
      </c>
      <c r="F12" s="7" t="s">
        <v>66</v>
      </c>
      <c r="G12" s="8">
        <v>947631</v>
      </c>
      <c r="H12" s="8">
        <v>182138</v>
      </c>
      <c r="I12" s="14">
        <f>(G12+H12)*$G$48</f>
        <v>1091132.029969</v>
      </c>
    </row>
    <row r="13" spans="1:9" x14ac:dyDescent="0.2">
      <c r="C13" s="17" t="s">
        <v>74</v>
      </c>
      <c r="F13" s="7" t="s">
        <v>66</v>
      </c>
      <c r="G13" s="12">
        <f>SuppSch!G21</f>
        <v>0</v>
      </c>
      <c r="H13" s="12">
        <v>2753736.2064405889</v>
      </c>
      <c r="I13" s="30">
        <f>(G13+H13)*$G$48</f>
        <v>2659561.1819165275</v>
      </c>
    </row>
    <row r="14" spans="1:9" x14ac:dyDescent="0.2">
      <c r="D14" s="2"/>
      <c r="E14" s="1" t="s">
        <v>16</v>
      </c>
      <c r="G14" s="77">
        <f>SUM(G11:G13)</f>
        <v>947776</v>
      </c>
      <c r="H14" s="77">
        <f t="shared" ref="H14" si="0">SUM(H11:H13)</f>
        <v>2935874.2064405889</v>
      </c>
      <c r="I14" s="77">
        <f>SUM(I11:I13)</f>
        <v>3750833.2530305274</v>
      </c>
    </row>
    <row r="15" spans="1:9" x14ac:dyDescent="0.2">
      <c r="G15" s="18"/>
      <c r="H15" s="18"/>
      <c r="I15" s="9"/>
    </row>
    <row r="16" spans="1:9" x14ac:dyDescent="0.2">
      <c r="B16" s="2" t="s">
        <v>17</v>
      </c>
      <c r="C16" s="2"/>
      <c r="G16" s="16"/>
      <c r="H16" s="16"/>
    </row>
    <row r="17" spans="1:9" x14ac:dyDescent="0.2">
      <c r="C17" s="2" t="s">
        <v>18</v>
      </c>
      <c r="F17" s="7" t="s">
        <v>66</v>
      </c>
      <c r="G17" s="77">
        <v>37144213</v>
      </c>
      <c r="H17" s="77">
        <v>10710</v>
      </c>
      <c r="I17" s="78">
        <f>(G17+H17)*$G$48</f>
        <v>35884261.788323</v>
      </c>
    </row>
    <row r="18" spans="1:9" x14ac:dyDescent="0.2">
      <c r="C18" s="2" t="s">
        <v>19</v>
      </c>
      <c r="F18" s="7" t="s">
        <v>66</v>
      </c>
      <c r="G18" s="12">
        <v>226114008</v>
      </c>
      <c r="H18" s="12">
        <v>226403</v>
      </c>
      <c r="I18" s="13">
        <f>(G18+H18)*$G$48</f>
        <v>218599795.28421101</v>
      </c>
    </row>
    <row r="19" spans="1:9" x14ac:dyDescent="0.2">
      <c r="D19" s="2"/>
      <c r="E19" s="1" t="s">
        <v>16</v>
      </c>
      <c r="G19" s="77">
        <f>SUM(G17:G18)</f>
        <v>263258221</v>
      </c>
      <c r="H19" s="77">
        <f>SUM(H17:H18)</f>
        <v>237113</v>
      </c>
      <c r="I19" s="78">
        <f>SUM(I17:I18)</f>
        <v>254484057.07253402</v>
      </c>
    </row>
    <row r="20" spans="1:9" x14ac:dyDescent="0.2">
      <c r="G20" s="18"/>
      <c r="H20" s="18"/>
    </row>
    <row r="21" spans="1:9" x14ac:dyDescent="0.2">
      <c r="D21" s="1" t="s">
        <v>13</v>
      </c>
      <c r="G21" s="19">
        <f>G8+G14-G19</f>
        <v>923074154</v>
      </c>
      <c r="H21" s="19">
        <f>H8+H14-H19</f>
        <v>17465287.20644059</v>
      </c>
      <c r="I21" s="20">
        <f>I8+I14-I19</f>
        <v>908373932.8566215</v>
      </c>
    </row>
    <row r="22" spans="1:9" x14ac:dyDescent="0.2">
      <c r="G22" s="18"/>
      <c r="H22" s="18"/>
    </row>
    <row r="23" spans="1:9" x14ac:dyDescent="0.2">
      <c r="B23" s="1" t="s">
        <v>20</v>
      </c>
      <c r="F23" s="1" t="s">
        <v>67</v>
      </c>
      <c r="G23" s="21">
        <v>0.1038</v>
      </c>
      <c r="H23" s="21">
        <v>0.10199999999999999</v>
      </c>
      <c r="I23" s="21"/>
    </row>
    <row r="25" spans="1:9" x14ac:dyDescent="0.2">
      <c r="A25" s="22" t="s">
        <v>21</v>
      </c>
      <c r="G25" s="20">
        <f>G21*G23</f>
        <v>95815097.185200006</v>
      </c>
      <c r="H25" s="20">
        <f>H21*H23</f>
        <v>1781459.2950569401</v>
      </c>
      <c r="I25" s="20">
        <f>G25+H25</f>
        <v>97596556.480256945</v>
      </c>
    </row>
    <row r="26" spans="1:9" x14ac:dyDescent="0.2">
      <c r="I26" s="23"/>
    </row>
    <row r="27" spans="1:9" x14ac:dyDescent="0.2">
      <c r="A27" s="1" t="s">
        <v>22</v>
      </c>
      <c r="G27" s="5"/>
      <c r="H27" s="5"/>
    </row>
    <row r="28" spans="1:9" x14ac:dyDescent="0.2">
      <c r="B28" s="1" t="s">
        <v>23</v>
      </c>
      <c r="F28" s="1" t="s">
        <v>24</v>
      </c>
      <c r="G28" s="77">
        <f>SuppSch!B21</f>
        <v>22863634.360218048</v>
      </c>
      <c r="H28" s="77">
        <f>SuppSch!B42</f>
        <v>10709.71656975</v>
      </c>
      <c r="I28" s="78">
        <f>(G28+H28)*$G$48</f>
        <v>22092064.383705735</v>
      </c>
    </row>
    <row r="29" spans="1:9" x14ac:dyDescent="0.2">
      <c r="B29" s="1" t="s">
        <v>25</v>
      </c>
      <c r="F29" s="1" t="s">
        <v>24</v>
      </c>
      <c r="G29" s="9">
        <f>SuppSch!C21</f>
        <v>1360789.6046033332</v>
      </c>
      <c r="H29" s="9">
        <f>SuppSch!C42</f>
        <v>2811.91975</v>
      </c>
      <c r="I29" s="78">
        <f t="shared" ref="I29:I34" si="1">(G29+H29)*$G$48</f>
        <v>1316967.7158219735</v>
      </c>
    </row>
    <row r="30" spans="1:9" x14ac:dyDescent="0.2">
      <c r="B30" s="24" t="s">
        <v>65</v>
      </c>
      <c r="F30" s="1" t="s">
        <v>24</v>
      </c>
      <c r="G30" s="9">
        <f>SUM(SuppSch!D21:F21)</f>
        <v>6803087.6799999997</v>
      </c>
      <c r="H30" s="9">
        <f>SUM(SuppSch!D42:F42)</f>
        <v>1457100.7799999998</v>
      </c>
      <c r="I30" s="78">
        <f t="shared" si="1"/>
        <v>7977698.2748564593</v>
      </c>
    </row>
    <row r="31" spans="1:9" x14ac:dyDescent="0.2">
      <c r="B31" s="24" t="s">
        <v>72</v>
      </c>
      <c r="F31" s="1" t="s">
        <v>24</v>
      </c>
      <c r="G31" s="9">
        <f>SuppSch!G21</f>
        <v>0</v>
      </c>
      <c r="H31" s="9">
        <f>SuppSch!G42</f>
        <v>139977.78444122468</v>
      </c>
      <c r="I31" s="78">
        <f t="shared" si="1"/>
        <v>135190.68419111925</v>
      </c>
    </row>
    <row r="32" spans="1:9" x14ac:dyDescent="0.2">
      <c r="B32" s="24" t="s">
        <v>55</v>
      </c>
      <c r="C32" s="16"/>
      <c r="D32" s="16"/>
      <c r="F32" s="1" t="s">
        <v>24</v>
      </c>
      <c r="G32" s="9">
        <f>+SuppSch!H21</f>
        <v>1.46</v>
      </c>
      <c r="H32" s="9">
        <f>SuppSch!H42</f>
        <v>0</v>
      </c>
      <c r="I32" s="78">
        <f t="shared" si="1"/>
        <v>1.4100694599999999</v>
      </c>
    </row>
    <row r="33" spans="1:9" x14ac:dyDescent="0.2">
      <c r="B33" s="24" t="s">
        <v>56</v>
      </c>
      <c r="C33" s="16"/>
      <c r="D33" s="16"/>
      <c r="F33" s="1" t="s">
        <v>24</v>
      </c>
      <c r="G33" s="9">
        <f>+SuppSch!I21</f>
        <v>777956.85999999987</v>
      </c>
      <c r="H33" s="9">
        <f>SuppSch!I42</f>
        <v>0</v>
      </c>
      <c r="I33" s="78">
        <f t="shared" si="1"/>
        <v>751351.51334485994</v>
      </c>
    </row>
    <row r="34" spans="1:9" x14ac:dyDescent="0.2">
      <c r="B34" s="24" t="s">
        <v>57</v>
      </c>
      <c r="C34" s="16"/>
      <c r="D34" s="16"/>
      <c r="F34" s="1" t="s">
        <v>24</v>
      </c>
      <c r="G34" s="13">
        <f>+SuppSch!J21</f>
        <v>24941.800000000003</v>
      </c>
      <c r="H34" s="13">
        <f>SuppSch!J42</f>
        <v>0</v>
      </c>
      <c r="I34" s="87">
        <f t="shared" si="1"/>
        <v>24088.815381800003</v>
      </c>
    </row>
    <row r="35" spans="1:9" x14ac:dyDescent="0.2">
      <c r="G35" s="9"/>
      <c r="H35" s="9"/>
    </row>
    <row r="36" spans="1:9" x14ac:dyDescent="0.2">
      <c r="A36" s="22" t="s">
        <v>26</v>
      </c>
      <c r="G36" s="20">
        <f>SUM(G28:G35)</f>
        <v>31830411.76482138</v>
      </c>
      <c r="H36" s="20">
        <f>SUM(H28:H35)</f>
        <v>1610600.2007609745</v>
      </c>
      <c r="I36" s="20">
        <f>SUM(I28:I35)</f>
        <v>32297362.797371406</v>
      </c>
    </row>
    <row r="38" spans="1:9" x14ac:dyDescent="0.2">
      <c r="A38" s="25" t="s">
        <v>59</v>
      </c>
      <c r="F38" s="1" t="s">
        <v>27</v>
      </c>
      <c r="G38" s="77">
        <f>SuppSch!B64</f>
        <v>68.436134838892826</v>
      </c>
      <c r="H38" s="77">
        <v>0</v>
      </c>
      <c r="I38" s="78">
        <f>(G38+H38)*$G$48</f>
        <v>66.09568746353753</v>
      </c>
    </row>
    <row r="40" spans="1:9" x14ac:dyDescent="0.2">
      <c r="A40" s="22" t="s">
        <v>28</v>
      </c>
    </row>
    <row r="42" spans="1:9" x14ac:dyDescent="0.2">
      <c r="B42" s="1" t="s">
        <v>21</v>
      </c>
      <c r="G42" s="77">
        <f>G25</f>
        <v>95815097.185200006</v>
      </c>
      <c r="H42" s="77">
        <f>H25</f>
        <v>1781459.2950569401</v>
      </c>
      <c r="I42" s="78">
        <f>I25</f>
        <v>97596556.480256945</v>
      </c>
    </row>
    <row r="43" spans="1:9" x14ac:dyDescent="0.2">
      <c r="B43" s="1" t="s">
        <v>22</v>
      </c>
      <c r="G43" s="9">
        <f>G36</f>
        <v>31830411.76482138</v>
      </c>
      <c r="H43" s="9">
        <f>H36</f>
        <v>1610600.2007609745</v>
      </c>
      <c r="I43" s="9">
        <f>I36</f>
        <v>32297362.797371406</v>
      </c>
    </row>
    <row r="44" spans="1:9" x14ac:dyDescent="0.2">
      <c r="B44" s="24" t="s">
        <v>60</v>
      </c>
      <c r="G44" s="13">
        <f>G38</f>
        <v>68.436134838892826</v>
      </c>
      <c r="H44" s="13">
        <f>H38</f>
        <v>0</v>
      </c>
      <c r="I44" s="13">
        <f>I38</f>
        <v>66.09568746353753</v>
      </c>
    </row>
    <row r="45" spans="1:9" x14ac:dyDescent="0.2">
      <c r="G45" s="9"/>
      <c r="H45" s="9"/>
    </row>
    <row r="46" spans="1:9" x14ac:dyDescent="0.2">
      <c r="A46" s="1" t="s">
        <v>29</v>
      </c>
      <c r="G46" s="20">
        <f>SUM(G42:G43)-G44</f>
        <v>127645440.51388654</v>
      </c>
      <c r="H46" s="20">
        <f>SUM(H42:H43)-H44</f>
        <v>3392059.4958179146</v>
      </c>
      <c r="I46" s="20">
        <f>SUM(I42:I43)-I44</f>
        <v>129893853.18194088</v>
      </c>
    </row>
    <row r="48" spans="1:9" ht="12" thickBot="1" x14ac:dyDescent="0.25">
      <c r="A48" s="25" t="s">
        <v>30</v>
      </c>
      <c r="F48" s="1" t="s">
        <v>31</v>
      </c>
      <c r="G48" s="26">
        <f>SuppSch!$D$85</f>
        <v>0.96580100000000002</v>
      </c>
      <c r="H48" s="38"/>
    </row>
    <row r="49" spans="1:8" ht="12" thickTop="1" x14ac:dyDescent="0.2"/>
    <row r="50" spans="1:8" ht="12" thickBot="1" x14ac:dyDescent="0.25">
      <c r="A50" s="22" t="s">
        <v>32</v>
      </c>
      <c r="F50" s="1" t="s">
        <v>31</v>
      </c>
      <c r="G50" s="81">
        <f>SuppSch!$B$85</f>
        <v>1030849959.8800001</v>
      </c>
      <c r="H50" s="85"/>
    </row>
    <row r="51" spans="1:8" ht="12" thickTop="1" x14ac:dyDescent="0.2"/>
    <row r="52" spans="1:8" x14ac:dyDescent="0.2">
      <c r="A52" s="22" t="s">
        <v>33</v>
      </c>
      <c r="G52" s="9"/>
      <c r="H52" s="9"/>
    </row>
    <row r="54" spans="1:8" x14ac:dyDescent="0.2">
      <c r="A54" s="1" t="s">
        <v>28</v>
      </c>
      <c r="G54" s="27">
        <f>G46+H46</f>
        <v>131037500.00970446</v>
      </c>
      <c r="H54" s="27"/>
    </row>
    <row r="55" spans="1:8" x14ac:dyDescent="0.2">
      <c r="G55" s="9"/>
      <c r="H55" s="9"/>
    </row>
    <row r="56" spans="1:8" x14ac:dyDescent="0.2">
      <c r="A56" s="1" t="s">
        <v>30</v>
      </c>
      <c r="G56" s="28">
        <f>G48</f>
        <v>0.96580100000000002</v>
      </c>
      <c r="H56" s="38"/>
    </row>
    <row r="57" spans="1:8" x14ac:dyDescent="0.2">
      <c r="G57" s="9"/>
      <c r="H57" s="9"/>
    </row>
    <row r="58" spans="1:8" x14ac:dyDescent="0.2">
      <c r="A58" s="24" t="s">
        <v>36</v>
      </c>
      <c r="G58" s="29">
        <f>G54*G56</f>
        <v>126556148.54687257</v>
      </c>
      <c r="H58" s="29"/>
    </row>
    <row r="59" spans="1:8" x14ac:dyDescent="0.2">
      <c r="B59" s="24" t="s">
        <v>63</v>
      </c>
      <c r="G59" s="30">
        <v>73663008.364908472</v>
      </c>
      <c r="H59" s="14"/>
    </row>
    <row r="60" spans="1:8" x14ac:dyDescent="0.2">
      <c r="A60" s="24" t="s">
        <v>37</v>
      </c>
      <c r="G60" s="31">
        <f>G58-G59</f>
        <v>52893140.181964099</v>
      </c>
      <c r="H60" s="86"/>
    </row>
    <row r="61" spans="1:8" x14ac:dyDescent="0.2">
      <c r="A61" s="24"/>
      <c r="G61" s="14"/>
      <c r="H61" s="14"/>
    </row>
    <row r="62" spans="1:8" x14ac:dyDescent="0.2">
      <c r="D62" s="24"/>
      <c r="E62" s="24"/>
      <c r="G62" s="32"/>
      <c r="H62" s="32"/>
    </row>
    <row r="63" spans="1:8" x14ac:dyDescent="0.2">
      <c r="A63" s="33"/>
      <c r="F63" s="34"/>
      <c r="G63" s="35"/>
      <c r="H63" s="35"/>
    </row>
    <row r="64" spans="1:8" x14ac:dyDescent="0.2">
      <c r="A64" s="36"/>
      <c r="G64" s="37"/>
      <c r="H64" s="37"/>
    </row>
    <row r="65" spans="1:8" x14ac:dyDescent="0.2">
      <c r="A65" s="1" t="s">
        <v>49</v>
      </c>
      <c r="F65" s="34"/>
      <c r="G65" s="38"/>
      <c r="H65" s="38"/>
    </row>
    <row r="67" spans="1:8" x14ac:dyDescent="0.2">
      <c r="F67" s="24"/>
      <c r="G67" s="39"/>
      <c r="H67" s="39"/>
    </row>
  </sheetData>
  <phoneticPr fontId="0" type="noConversion"/>
  <printOptions horizontalCentered="1"/>
  <pageMargins left="0.75" right="0.75" top="1.54" bottom="0.42" header="0.5" footer="0.21"/>
  <pageSetup scale="82" orientation="portrait" r:id="rId1"/>
  <headerFooter alignWithMargins="0">
    <oddHeader>&amp;C&amp;"Times New Roman,Bold"&amp;12
&amp;14Louisville Gas And Electric Company&amp;12
Calculation of ECR Roll-in At February 28, 2017&amp;R&amp;"Times New Roman,Bold"&amp;10 Attachment to Response to Question No. 5(a)
Page &amp;P of &amp;N
Rahn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120"/>
  <sheetViews>
    <sheetView zoomScaleNormal="100" zoomScaleSheetLayoutView="90" workbookViewId="0"/>
  </sheetViews>
  <sheetFormatPr defaultRowHeight="11.25" x14ac:dyDescent="0.2"/>
  <cols>
    <col min="1" max="1" width="13.83203125" style="1" customWidth="1"/>
    <col min="2" max="2" width="14.6640625" style="1" customWidth="1"/>
    <col min="3" max="3" width="16.33203125" style="1" customWidth="1"/>
    <col min="4" max="4" width="13.5" style="1" customWidth="1"/>
    <col min="5" max="7" width="12.33203125" style="1" customWidth="1"/>
    <col min="8" max="10" width="14" style="1" customWidth="1"/>
    <col min="11" max="11" width="11.83203125" style="1" customWidth="1"/>
    <col min="12" max="12" width="1.6640625" style="1" customWidth="1"/>
    <col min="13" max="13" width="16.1640625" style="1" bestFit="1" customWidth="1"/>
    <col min="14" max="14" width="12.5" bestFit="1" customWidth="1"/>
    <col min="15" max="15" width="3.5" customWidth="1"/>
    <col min="16" max="16" width="12.5" customWidth="1"/>
    <col min="17" max="17" width="13" customWidth="1"/>
    <col min="18" max="18" width="11.83203125" bestFit="1" customWidth="1"/>
    <col min="19" max="19" width="3.83203125" customWidth="1"/>
    <col min="20" max="20" width="13.33203125" customWidth="1"/>
    <col min="21" max="21" width="13" customWidth="1"/>
    <col min="22" max="22" width="11.33203125" customWidth="1"/>
    <col min="24" max="16384" width="9.33203125" style="1"/>
  </cols>
  <sheetData>
    <row r="1" spans="1:13" ht="12" x14ac:dyDescent="0.2">
      <c r="A1" s="40" t="s">
        <v>0</v>
      </c>
    </row>
    <row r="2" spans="1:13" x14ac:dyDescent="0.2">
      <c r="A2" s="24" t="s">
        <v>64</v>
      </c>
    </row>
    <row r="3" spans="1:13" x14ac:dyDescent="0.2">
      <c r="A3" s="24"/>
    </row>
    <row r="4" spans="1:13" ht="12.75" x14ac:dyDescent="0.2">
      <c r="A4" s="88" t="s">
        <v>70</v>
      </c>
    </row>
    <row r="5" spans="1:13" x14ac:dyDescent="0.2">
      <c r="H5" s="41"/>
      <c r="I5" s="41"/>
      <c r="J5" s="41"/>
    </row>
    <row r="6" spans="1:13" ht="33.75" customHeight="1" x14ac:dyDescent="0.2">
      <c r="B6" s="42" t="s">
        <v>1</v>
      </c>
      <c r="C6" s="42" t="s">
        <v>2</v>
      </c>
      <c r="D6" s="95" t="s">
        <v>34</v>
      </c>
      <c r="E6" s="95"/>
      <c r="F6" s="95"/>
      <c r="G6" s="84" t="s">
        <v>73</v>
      </c>
      <c r="H6" s="42" t="s">
        <v>50</v>
      </c>
      <c r="I6" s="42" t="s">
        <v>53</v>
      </c>
      <c r="J6" s="4" t="s">
        <v>54</v>
      </c>
      <c r="K6" s="42" t="s">
        <v>44</v>
      </c>
      <c r="M6" s="42"/>
    </row>
    <row r="7" spans="1:13" x14ac:dyDescent="0.2">
      <c r="A7" s="16"/>
      <c r="B7" s="43" t="s">
        <v>40</v>
      </c>
      <c r="C7" s="44"/>
      <c r="D7" s="44" t="s">
        <v>43</v>
      </c>
      <c r="E7" s="44" t="s">
        <v>38</v>
      </c>
      <c r="F7" s="43" t="s">
        <v>39</v>
      </c>
      <c r="G7" s="43"/>
      <c r="H7" s="79" t="s">
        <v>51</v>
      </c>
      <c r="I7" s="80" t="s">
        <v>52</v>
      </c>
      <c r="J7" s="43"/>
      <c r="K7" s="45"/>
    </row>
    <row r="8" spans="1:13" x14ac:dyDescent="0.2">
      <c r="A8" s="46">
        <v>42460</v>
      </c>
      <c r="B8" s="47">
        <v>1522727.0385916671</v>
      </c>
      <c r="C8" s="47">
        <v>75151.12371</v>
      </c>
      <c r="D8" s="47">
        <v>0</v>
      </c>
      <c r="E8" s="47">
        <v>501786.91999999993</v>
      </c>
      <c r="F8" s="47">
        <v>196094.78</v>
      </c>
      <c r="G8" s="47">
        <v>0</v>
      </c>
      <c r="H8" s="90">
        <v>0.65</v>
      </c>
      <c r="I8" s="47">
        <v>58651.62</v>
      </c>
      <c r="J8" s="47">
        <v>0</v>
      </c>
      <c r="K8" s="18">
        <f t="shared" ref="K8:K19" si="0">SUM(B8:J8)</f>
        <v>2354412.1323016668</v>
      </c>
      <c r="M8" s="9"/>
    </row>
    <row r="9" spans="1:13" x14ac:dyDescent="0.2">
      <c r="A9" s="46">
        <f t="shared" ref="A9:A19" si="1">EOMONTH(A8,1)</f>
        <v>42490</v>
      </c>
      <c r="B9" s="8">
        <v>1522830.0606555003</v>
      </c>
      <c r="C9" s="8">
        <v>75151.12371</v>
      </c>
      <c r="D9" s="8">
        <v>0</v>
      </c>
      <c r="E9" s="8">
        <v>233365.22</v>
      </c>
      <c r="F9" s="8">
        <v>187295.98</v>
      </c>
      <c r="G9" s="8">
        <v>0</v>
      </c>
      <c r="H9" s="91">
        <v>0.52</v>
      </c>
      <c r="I9" s="8">
        <v>50004.32</v>
      </c>
      <c r="J9" s="8">
        <v>0</v>
      </c>
      <c r="K9" s="18">
        <f t="shared" si="0"/>
        <v>2068647.2243655003</v>
      </c>
      <c r="M9" s="9"/>
    </row>
    <row r="10" spans="1:13" x14ac:dyDescent="0.2">
      <c r="A10" s="46">
        <f t="shared" si="1"/>
        <v>42521</v>
      </c>
      <c r="B10" s="8">
        <v>1522830.0606555003</v>
      </c>
      <c r="C10" s="8">
        <v>75151.12371</v>
      </c>
      <c r="D10" s="8">
        <v>0</v>
      </c>
      <c r="E10" s="8">
        <v>436518.74</v>
      </c>
      <c r="F10" s="8">
        <v>117874.63</v>
      </c>
      <c r="G10" s="8">
        <v>0</v>
      </c>
      <c r="H10" s="91">
        <v>0.28999999999999998</v>
      </c>
      <c r="I10" s="8">
        <v>20383.05</v>
      </c>
      <c r="J10" s="8">
        <v>3252.4</v>
      </c>
      <c r="K10" s="18">
        <f t="shared" si="0"/>
        <v>2176010.2943655001</v>
      </c>
      <c r="M10" s="9"/>
    </row>
    <row r="11" spans="1:13" x14ac:dyDescent="0.2">
      <c r="A11" s="46">
        <f t="shared" si="1"/>
        <v>42551</v>
      </c>
      <c r="B11" s="8">
        <v>1781026.9087752085</v>
      </c>
      <c r="C11" s="8">
        <v>122986.64371</v>
      </c>
      <c r="D11" s="8">
        <v>0</v>
      </c>
      <c r="E11" s="8">
        <v>696924.17000000016</v>
      </c>
      <c r="F11" s="8">
        <v>151434.87999999998</v>
      </c>
      <c r="G11" s="8">
        <v>0</v>
      </c>
      <c r="H11" s="93">
        <v>0</v>
      </c>
      <c r="I11" s="8">
        <v>44565.15</v>
      </c>
      <c r="J11" s="8">
        <v>0</v>
      </c>
      <c r="K11" s="18">
        <f t="shared" si="0"/>
        <v>2796937.7524852087</v>
      </c>
      <c r="M11" s="9"/>
    </row>
    <row r="12" spans="1:13" x14ac:dyDescent="0.2">
      <c r="A12" s="46">
        <f t="shared" si="1"/>
        <v>42582</v>
      </c>
      <c r="B12" s="8">
        <v>2039223.756894917</v>
      </c>
      <c r="C12" s="8">
        <v>122986.64371</v>
      </c>
      <c r="D12" s="8">
        <v>0</v>
      </c>
      <c r="E12" s="8">
        <v>698642.91999999993</v>
      </c>
      <c r="F12" s="8">
        <v>134441.19</v>
      </c>
      <c r="G12" s="8">
        <v>0</v>
      </c>
      <c r="H12" s="93">
        <v>0</v>
      </c>
      <c r="I12" s="8">
        <v>50109.009999999995</v>
      </c>
      <c r="J12" s="8">
        <v>0</v>
      </c>
      <c r="K12" s="18">
        <f t="shared" si="0"/>
        <v>3045403.5206049168</v>
      </c>
      <c r="M12" s="9"/>
    </row>
    <row r="13" spans="1:13" x14ac:dyDescent="0.2">
      <c r="A13" s="46">
        <f t="shared" si="1"/>
        <v>42613</v>
      </c>
      <c r="B13" s="8">
        <v>2054641.4673857507</v>
      </c>
      <c r="C13" s="8">
        <v>122986.64371</v>
      </c>
      <c r="D13" s="8">
        <v>0</v>
      </c>
      <c r="E13" s="8">
        <v>414930.28</v>
      </c>
      <c r="F13" s="8">
        <v>139084.86000000002</v>
      </c>
      <c r="G13" s="8">
        <v>0</v>
      </c>
      <c r="H13" s="93">
        <v>0</v>
      </c>
      <c r="I13" s="8">
        <v>93159.59</v>
      </c>
      <c r="J13" s="8">
        <v>0</v>
      </c>
      <c r="K13" s="18">
        <f t="shared" si="0"/>
        <v>2824802.8410957507</v>
      </c>
      <c r="M13" s="9"/>
    </row>
    <row r="14" spans="1:13" x14ac:dyDescent="0.2">
      <c r="A14" s="46">
        <f t="shared" si="1"/>
        <v>42643</v>
      </c>
      <c r="B14" s="8">
        <v>2070059.1778765833</v>
      </c>
      <c r="C14" s="8">
        <v>122986.64371</v>
      </c>
      <c r="D14" s="8">
        <v>0</v>
      </c>
      <c r="E14" s="8">
        <v>386219.00999999995</v>
      </c>
      <c r="F14" s="8">
        <v>141468.82</v>
      </c>
      <c r="G14" s="8">
        <v>0</v>
      </c>
      <c r="H14" s="93">
        <v>0</v>
      </c>
      <c r="I14" s="8">
        <v>95294.390000000014</v>
      </c>
      <c r="J14" s="8">
        <v>14648.8</v>
      </c>
      <c r="K14" s="18">
        <f t="shared" si="0"/>
        <v>2830676.8415865828</v>
      </c>
      <c r="M14" s="9"/>
    </row>
    <row r="15" spans="1:13" x14ac:dyDescent="0.2">
      <c r="A15" s="46">
        <f t="shared" si="1"/>
        <v>42674</v>
      </c>
      <c r="B15" s="8">
        <v>2070059.1778765833</v>
      </c>
      <c r="C15" s="8">
        <v>122986.64371</v>
      </c>
      <c r="D15" s="8">
        <v>0</v>
      </c>
      <c r="E15" s="8">
        <v>250501.82</v>
      </c>
      <c r="F15" s="8">
        <v>188922.88</v>
      </c>
      <c r="G15" s="8">
        <v>0</v>
      </c>
      <c r="H15" s="93">
        <v>0</v>
      </c>
      <c r="I15" s="8">
        <v>96446.06</v>
      </c>
      <c r="J15" s="8">
        <v>0</v>
      </c>
      <c r="K15" s="18">
        <f t="shared" si="0"/>
        <v>2728916.5815865831</v>
      </c>
      <c r="M15" s="9"/>
    </row>
    <row r="16" spans="1:13" x14ac:dyDescent="0.2">
      <c r="A16" s="46">
        <f t="shared" si="1"/>
        <v>42704</v>
      </c>
      <c r="B16" s="8">
        <v>2070059.1778765833</v>
      </c>
      <c r="C16" s="8">
        <v>122986.64371</v>
      </c>
      <c r="D16" s="8">
        <v>0</v>
      </c>
      <c r="E16" s="8">
        <v>288015.25000000006</v>
      </c>
      <c r="F16" s="8">
        <v>147551.66</v>
      </c>
      <c r="G16" s="8">
        <v>0</v>
      </c>
      <c r="H16" s="93">
        <v>0</v>
      </c>
      <c r="I16" s="8">
        <v>83002.660000000018</v>
      </c>
      <c r="J16" s="8">
        <v>0</v>
      </c>
      <c r="K16" s="18">
        <f t="shared" si="0"/>
        <v>2711615.3915865836</v>
      </c>
      <c r="M16" s="9"/>
    </row>
    <row r="17" spans="1:13" x14ac:dyDescent="0.2">
      <c r="A17" s="46">
        <f t="shared" si="1"/>
        <v>42735</v>
      </c>
      <c r="B17" s="8">
        <v>2070059.1778765833</v>
      </c>
      <c r="C17" s="8">
        <v>122986.64371</v>
      </c>
      <c r="D17" s="8">
        <v>0</v>
      </c>
      <c r="E17" s="8">
        <v>363361.18</v>
      </c>
      <c r="F17" s="8">
        <v>156073.49000000002</v>
      </c>
      <c r="G17" s="8">
        <v>0</v>
      </c>
      <c r="H17" s="93">
        <v>0</v>
      </c>
      <c r="I17" s="8">
        <v>107029.61000000002</v>
      </c>
      <c r="J17" s="8">
        <v>0</v>
      </c>
      <c r="K17" s="18">
        <f t="shared" si="0"/>
        <v>2819510.1015865835</v>
      </c>
      <c r="M17" s="9"/>
    </row>
    <row r="18" spans="1:13" x14ac:dyDescent="0.2">
      <c r="A18" s="46">
        <f t="shared" si="1"/>
        <v>42766</v>
      </c>
      <c r="B18" s="8">
        <v>2070059.1778765833</v>
      </c>
      <c r="C18" s="8">
        <v>137214.86375166668</v>
      </c>
      <c r="D18" s="8">
        <v>0</v>
      </c>
      <c r="E18" s="8">
        <v>372676.49</v>
      </c>
      <c r="F18" s="8">
        <v>162790.76</v>
      </c>
      <c r="G18" s="8">
        <v>0</v>
      </c>
      <c r="H18" s="93">
        <v>0</v>
      </c>
      <c r="I18" s="8">
        <v>69559.259999999995</v>
      </c>
      <c r="J18" s="8">
        <v>7040.6</v>
      </c>
      <c r="K18" s="18">
        <f t="shared" si="0"/>
        <v>2819341.1516282498</v>
      </c>
      <c r="M18" s="9"/>
    </row>
    <row r="19" spans="1:13" x14ac:dyDescent="0.2">
      <c r="A19" s="46">
        <f t="shared" si="1"/>
        <v>42794</v>
      </c>
      <c r="B19" s="12">
        <v>2070059.1778765833</v>
      </c>
      <c r="C19" s="12">
        <v>137214.86375166668</v>
      </c>
      <c r="D19" s="12">
        <v>0</v>
      </c>
      <c r="E19" s="12">
        <v>310529.10000000003</v>
      </c>
      <c r="F19" s="12">
        <v>126582.64999999998</v>
      </c>
      <c r="G19" s="12">
        <v>0</v>
      </c>
      <c r="H19" s="94">
        <v>0</v>
      </c>
      <c r="I19" s="12">
        <v>17626.57</v>
      </c>
      <c r="J19" s="12">
        <v>0</v>
      </c>
      <c r="K19" s="30">
        <f t="shared" si="0"/>
        <v>2662012.3616282498</v>
      </c>
      <c r="M19" s="9"/>
    </row>
    <row r="20" spans="1:13" x14ac:dyDescent="0.2">
      <c r="A20" s="48" t="s">
        <v>41</v>
      </c>
      <c r="B20" s="18"/>
      <c r="C20" s="18"/>
      <c r="D20" s="18"/>
      <c r="E20" s="18"/>
      <c r="F20" s="18"/>
      <c r="G20" s="18"/>
      <c r="H20" s="18"/>
      <c r="I20" s="18">
        <v>-7874.429999999993</v>
      </c>
      <c r="J20" s="18"/>
      <c r="K20" s="18">
        <f>SUM(B20:J20)</f>
        <v>-7874.429999999993</v>
      </c>
    </row>
    <row r="21" spans="1:13" ht="12" thickBot="1" x14ac:dyDescent="0.25">
      <c r="A21" s="49" t="s">
        <v>3</v>
      </c>
      <c r="B21" s="50">
        <f>SUM(B8:B20)</f>
        <v>22863634.360218048</v>
      </c>
      <c r="C21" s="50">
        <f>SUM(C8:C20)</f>
        <v>1360789.6046033332</v>
      </c>
      <c r="D21" s="50">
        <f>SUM(D8:D20)</f>
        <v>0</v>
      </c>
      <c r="E21" s="50">
        <f t="shared" ref="E21:J21" si="2">SUM(E8:E20)</f>
        <v>4953471.0999999996</v>
      </c>
      <c r="F21" s="50">
        <f t="shared" si="2"/>
        <v>1849616.5799999998</v>
      </c>
      <c r="G21" s="50">
        <f t="shared" si="2"/>
        <v>0</v>
      </c>
      <c r="H21" s="92">
        <f t="shared" si="2"/>
        <v>1.46</v>
      </c>
      <c r="I21" s="50">
        <f t="shared" si="2"/>
        <v>777956.85999999987</v>
      </c>
      <c r="J21" s="50">
        <f t="shared" si="2"/>
        <v>24941.800000000003</v>
      </c>
      <c r="K21" s="50">
        <f>SUM(B21:J21)</f>
        <v>31830411.764821377</v>
      </c>
      <c r="M21" s="15"/>
    </row>
    <row r="22" spans="1:13" ht="12" thickTop="1" x14ac:dyDescent="0.2">
      <c r="A22" s="52"/>
      <c r="B22" s="15"/>
      <c r="C22" s="15"/>
      <c r="D22" s="15"/>
      <c r="E22" s="15"/>
      <c r="F22" s="15"/>
      <c r="G22" s="15"/>
      <c r="H22" s="15"/>
      <c r="I22" s="15"/>
      <c r="J22" s="15"/>
      <c r="K22" s="53"/>
      <c r="M22" s="15"/>
    </row>
    <row r="23" spans="1:13" x14ac:dyDescent="0.2">
      <c r="A23" s="52"/>
      <c r="B23" s="15"/>
      <c r="C23" s="15"/>
      <c r="D23" s="15"/>
      <c r="E23" s="15"/>
      <c r="F23" s="15"/>
      <c r="G23" s="15"/>
      <c r="H23" s="15"/>
      <c r="I23" s="15"/>
      <c r="J23" s="15"/>
      <c r="K23" s="15"/>
      <c r="M23" s="15"/>
    </row>
    <row r="24" spans="1:13" ht="12.75" x14ac:dyDescent="0.2">
      <c r="A24" s="89" t="s">
        <v>71</v>
      </c>
      <c r="B24" s="14"/>
      <c r="C24" s="14"/>
      <c r="D24" s="14"/>
      <c r="E24" s="14"/>
      <c r="F24" s="14"/>
      <c r="G24" s="14"/>
      <c r="H24" s="14"/>
      <c r="I24" s="14"/>
      <c r="J24" s="15"/>
      <c r="K24" s="15"/>
      <c r="M24" s="15"/>
    </row>
    <row r="25" spans="1:13" x14ac:dyDescent="0.2">
      <c r="A25" s="54"/>
      <c r="B25" s="14"/>
      <c r="C25" s="14"/>
      <c r="D25" s="14"/>
      <c r="E25" s="14"/>
      <c r="F25" s="14"/>
      <c r="G25" s="14"/>
      <c r="H25" s="14"/>
      <c r="I25" s="14"/>
      <c r="J25" s="15"/>
      <c r="K25" s="15"/>
      <c r="M25" s="15"/>
    </row>
    <row r="26" spans="1:13" x14ac:dyDescent="0.2">
      <c r="H26" s="41"/>
      <c r="I26" s="41"/>
      <c r="J26" s="41"/>
      <c r="M26" s="15"/>
    </row>
    <row r="27" spans="1:13" ht="45" x14ac:dyDescent="0.2">
      <c r="B27" s="83" t="s">
        <v>1</v>
      </c>
      <c r="C27" s="83" t="s">
        <v>2</v>
      </c>
      <c r="D27" s="95" t="s">
        <v>34</v>
      </c>
      <c r="E27" s="95"/>
      <c r="F27" s="95"/>
      <c r="G27" s="84" t="s">
        <v>73</v>
      </c>
      <c r="H27" s="83" t="s">
        <v>50</v>
      </c>
      <c r="I27" s="83" t="s">
        <v>53</v>
      </c>
      <c r="J27" s="4" t="s">
        <v>54</v>
      </c>
      <c r="K27" s="83" t="s">
        <v>44</v>
      </c>
      <c r="M27" s="15"/>
    </row>
    <row r="28" spans="1:13" x14ac:dyDescent="0.2">
      <c r="A28" s="16"/>
      <c r="B28" s="43" t="s">
        <v>40</v>
      </c>
      <c r="C28" s="44"/>
      <c r="D28" s="44" t="s">
        <v>43</v>
      </c>
      <c r="E28" s="44" t="s">
        <v>38</v>
      </c>
      <c r="F28" s="43" t="s">
        <v>39</v>
      </c>
      <c r="G28" s="43"/>
      <c r="H28" s="79" t="s">
        <v>51</v>
      </c>
      <c r="I28" s="80" t="s">
        <v>52</v>
      </c>
      <c r="J28" s="43"/>
      <c r="K28" s="45"/>
      <c r="M28" s="15"/>
    </row>
    <row r="29" spans="1:13" x14ac:dyDescent="0.2">
      <c r="A29" s="46">
        <v>42460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18">
        <f t="shared" ref="K29:K40" si="3">SUM(B29:J29)</f>
        <v>0</v>
      </c>
      <c r="M29" s="15"/>
    </row>
    <row r="30" spans="1:13" x14ac:dyDescent="0.2">
      <c r="A30" s="46">
        <f t="shared" ref="A30:A40" si="4">EOMONTH(A29,1)</f>
        <v>42490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18">
        <f t="shared" si="3"/>
        <v>0</v>
      </c>
      <c r="M30" s="15"/>
    </row>
    <row r="31" spans="1:13" x14ac:dyDescent="0.2">
      <c r="A31" s="46">
        <f t="shared" si="4"/>
        <v>42521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18">
        <f t="shared" si="3"/>
        <v>0</v>
      </c>
      <c r="M31" s="15"/>
    </row>
    <row r="32" spans="1:13" x14ac:dyDescent="0.2">
      <c r="A32" s="46">
        <f t="shared" si="4"/>
        <v>42551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18">
        <f t="shared" si="3"/>
        <v>0</v>
      </c>
      <c r="M32" s="15"/>
    </row>
    <row r="33" spans="1:13" x14ac:dyDescent="0.2">
      <c r="A33" s="46">
        <f t="shared" si="4"/>
        <v>42582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  <c r="G33" s="8">
        <v>8226.4693186888871</v>
      </c>
      <c r="H33" s="8">
        <v>0</v>
      </c>
      <c r="I33" s="8">
        <v>0</v>
      </c>
      <c r="J33" s="8">
        <v>0</v>
      </c>
      <c r="K33" s="18">
        <f t="shared" si="3"/>
        <v>8226.4693186888871</v>
      </c>
      <c r="M33" s="15"/>
    </row>
    <row r="34" spans="1:13" x14ac:dyDescent="0.2">
      <c r="A34" s="46">
        <f t="shared" si="4"/>
        <v>42613</v>
      </c>
      <c r="B34" s="8">
        <v>0</v>
      </c>
      <c r="C34" s="8">
        <v>0</v>
      </c>
      <c r="D34" s="8">
        <v>0</v>
      </c>
      <c r="E34" s="8">
        <v>359238.78</v>
      </c>
      <c r="F34" s="8">
        <v>0</v>
      </c>
      <c r="G34" s="8">
        <v>10537.40828189959</v>
      </c>
      <c r="H34" s="8">
        <v>0</v>
      </c>
      <c r="I34" s="8">
        <v>0</v>
      </c>
      <c r="J34" s="8">
        <v>0</v>
      </c>
      <c r="K34" s="18">
        <f t="shared" si="3"/>
        <v>369776.18828189961</v>
      </c>
      <c r="M34" s="15"/>
    </row>
    <row r="35" spans="1:13" x14ac:dyDescent="0.2">
      <c r="A35" s="46">
        <f t="shared" si="4"/>
        <v>42643</v>
      </c>
      <c r="B35" s="8">
        <v>0</v>
      </c>
      <c r="C35" s="8">
        <v>0</v>
      </c>
      <c r="D35" s="8">
        <v>0</v>
      </c>
      <c r="E35" s="8">
        <v>202437.2</v>
      </c>
      <c r="F35" s="8">
        <v>0</v>
      </c>
      <c r="G35" s="8">
        <v>16157.919624181466</v>
      </c>
      <c r="H35" s="8">
        <v>0</v>
      </c>
      <c r="I35" s="8">
        <v>0</v>
      </c>
      <c r="J35" s="8">
        <v>0</v>
      </c>
      <c r="K35" s="18">
        <f t="shared" si="3"/>
        <v>218595.11962418148</v>
      </c>
      <c r="M35" s="15"/>
    </row>
    <row r="36" spans="1:13" x14ac:dyDescent="0.2">
      <c r="A36" s="46">
        <f t="shared" si="4"/>
        <v>42674</v>
      </c>
      <c r="B36" s="8">
        <v>1060.4040626666667</v>
      </c>
      <c r="C36" s="8">
        <v>0</v>
      </c>
      <c r="D36" s="8">
        <v>0</v>
      </c>
      <c r="E36" s="8">
        <v>157428</v>
      </c>
      <c r="F36" s="8">
        <v>0</v>
      </c>
      <c r="G36" s="8">
        <v>19244.90959051143</v>
      </c>
      <c r="H36" s="8">
        <v>0</v>
      </c>
      <c r="I36" s="8">
        <v>0</v>
      </c>
      <c r="J36" s="8">
        <v>0</v>
      </c>
      <c r="K36" s="18">
        <f t="shared" si="3"/>
        <v>177733.31365317811</v>
      </c>
      <c r="M36" s="15"/>
    </row>
    <row r="37" spans="1:13" x14ac:dyDescent="0.2">
      <c r="A37" s="46">
        <f t="shared" si="4"/>
        <v>42704</v>
      </c>
      <c r="B37" s="8">
        <v>2120.8081253333335</v>
      </c>
      <c r="C37" s="8">
        <v>0</v>
      </c>
      <c r="D37" s="8">
        <v>0</v>
      </c>
      <c r="E37" s="8">
        <v>111328.2</v>
      </c>
      <c r="F37" s="8">
        <v>0</v>
      </c>
      <c r="G37" s="8">
        <v>20124.766327678401</v>
      </c>
      <c r="H37" s="8">
        <v>0</v>
      </c>
      <c r="I37" s="8">
        <v>0</v>
      </c>
      <c r="J37" s="8">
        <v>0</v>
      </c>
      <c r="K37" s="18">
        <f t="shared" si="3"/>
        <v>133573.77445301175</v>
      </c>
      <c r="M37" s="15"/>
    </row>
    <row r="38" spans="1:13" x14ac:dyDescent="0.2">
      <c r="A38" s="46">
        <f t="shared" si="4"/>
        <v>42735</v>
      </c>
      <c r="B38" s="8">
        <v>2120.8081253333335</v>
      </c>
      <c r="C38" s="8">
        <v>0</v>
      </c>
      <c r="D38" s="8">
        <v>0</v>
      </c>
      <c r="E38" s="8">
        <v>220903.19999999998</v>
      </c>
      <c r="F38" s="8">
        <v>0</v>
      </c>
      <c r="G38" s="8">
        <v>21705.413175136029</v>
      </c>
      <c r="H38" s="8">
        <v>0</v>
      </c>
      <c r="I38" s="8">
        <v>0</v>
      </c>
      <c r="J38" s="8">
        <v>0</v>
      </c>
      <c r="K38" s="18">
        <f t="shared" si="3"/>
        <v>244729.42130046934</v>
      </c>
      <c r="M38" s="15"/>
    </row>
    <row r="39" spans="1:13" x14ac:dyDescent="0.2">
      <c r="A39" s="46">
        <f t="shared" si="4"/>
        <v>42766</v>
      </c>
      <c r="B39" s="8">
        <v>2509.5014605833335</v>
      </c>
      <c r="C39" s="8">
        <v>1405.959875</v>
      </c>
      <c r="D39" s="8">
        <v>0</v>
      </c>
      <c r="E39" s="8">
        <v>155344.79999999999</v>
      </c>
      <c r="F39" s="8">
        <v>0</v>
      </c>
      <c r="G39" s="8">
        <v>21778.76</v>
      </c>
      <c r="H39" s="8">
        <v>0</v>
      </c>
      <c r="I39" s="8">
        <v>0</v>
      </c>
      <c r="J39" s="8">
        <v>0</v>
      </c>
      <c r="K39" s="18">
        <f t="shared" si="3"/>
        <v>181039.02133558333</v>
      </c>
      <c r="M39" s="15"/>
    </row>
    <row r="40" spans="1:13" x14ac:dyDescent="0.2">
      <c r="A40" s="46">
        <f t="shared" si="4"/>
        <v>42794</v>
      </c>
      <c r="B40" s="12">
        <v>2898.1947958333335</v>
      </c>
      <c r="C40" s="12">
        <v>1405.959875</v>
      </c>
      <c r="D40" s="12">
        <v>0</v>
      </c>
      <c r="E40" s="12">
        <v>250420.59999999998</v>
      </c>
      <c r="F40" s="12"/>
      <c r="G40" s="12">
        <v>22202.138123128876</v>
      </c>
      <c r="H40" s="12">
        <v>0</v>
      </c>
      <c r="I40" s="12">
        <v>0</v>
      </c>
      <c r="J40" s="12">
        <v>0</v>
      </c>
      <c r="K40" s="30">
        <f t="shared" si="3"/>
        <v>276926.89279396215</v>
      </c>
      <c r="M40" s="15"/>
    </row>
    <row r="41" spans="1:13" x14ac:dyDescent="0.2">
      <c r="A41" s="48" t="s">
        <v>41</v>
      </c>
      <c r="B41" s="18"/>
      <c r="C41" s="18"/>
      <c r="D41" s="18"/>
      <c r="E41" s="18"/>
      <c r="F41" s="18"/>
      <c r="G41" s="18"/>
      <c r="H41" s="18"/>
      <c r="I41" s="18">
        <v>0</v>
      </c>
      <c r="J41" s="18"/>
      <c r="K41" s="18">
        <f>SUM(B41:J41)</f>
        <v>0</v>
      </c>
      <c r="M41" s="15"/>
    </row>
    <row r="42" spans="1:13" ht="12" thickBot="1" x14ac:dyDescent="0.25">
      <c r="A42" s="49" t="s">
        <v>3</v>
      </c>
      <c r="B42" s="50">
        <f>SUM(B29:B41)</f>
        <v>10709.71656975</v>
      </c>
      <c r="C42" s="50">
        <f>SUM(C29:C41)</f>
        <v>2811.91975</v>
      </c>
      <c r="D42" s="50">
        <f>SUM(D29:D41)</f>
        <v>0</v>
      </c>
      <c r="E42" s="50">
        <f t="shared" ref="E42:J42" si="5">SUM(E29:E41)</f>
        <v>1457100.7799999998</v>
      </c>
      <c r="F42" s="50">
        <f t="shared" si="5"/>
        <v>0</v>
      </c>
      <c r="G42" s="50">
        <f t="shared" si="5"/>
        <v>139977.78444122468</v>
      </c>
      <c r="H42" s="50">
        <f t="shared" si="5"/>
        <v>0</v>
      </c>
      <c r="I42" s="50">
        <f t="shared" si="5"/>
        <v>0</v>
      </c>
      <c r="J42" s="50">
        <f t="shared" si="5"/>
        <v>0</v>
      </c>
      <c r="K42" s="50">
        <f>SUM(B42:J42)</f>
        <v>1610600.2007609745</v>
      </c>
      <c r="M42" s="15"/>
    </row>
    <row r="43" spans="1:13" ht="12" thickTop="1" x14ac:dyDescent="0.2">
      <c r="A43" s="54"/>
      <c r="B43" s="14"/>
      <c r="C43" s="14"/>
      <c r="D43" s="14"/>
      <c r="E43" s="14"/>
      <c r="F43" s="14"/>
      <c r="G43" s="14"/>
      <c r="H43" s="14"/>
      <c r="I43" s="14"/>
      <c r="J43" s="15"/>
      <c r="K43" s="15"/>
      <c r="M43" s="15"/>
    </row>
    <row r="44" spans="1:13" x14ac:dyDescent="0.2">
      <c r="A44" s="54"/>
      <c r="B44" s="14"/>
      <c r="C44" s="14"/>
      <c r="D44" s="14"/>
      <c r="E44" s="14"/>
      <c r="F44" s="14"/>
      <c r="G44" s="14"/>
      <c r="H44" s="14"/>
      <c r="I44" s="14"/>
      <c r="J44" s="15"/>
      <c r="K44" s="15"/>
      <c r="M44" s="15"/>
    </row>
    <row r="45" spans="1:13" x14ac:dyDescent="0.2">
      <c r="A45" s="2"/>
      <c r="M45" s="51"/>
    </row>
    <row r="46" spans="1:13" ht="12" x14ac:dyDescent="0.2">
      <c r="A46" s="55" t="s">
        <v>4</v>
      </c>
      <c r="B46" s="51"/>
      <c r="C46" s="51"/>
      <c r="D46" s="51"/>
      <c r="E46" s="51"/>
      <c r="F46" s="51"/>
      <c r="G46" s="51"/>
    </row>
    <row r="47" spans="1:13" x14ac:dyDescent="0.2">
      <c r="A47" s="56" t="s">
        <v>61</v>
      </c>
      <c r="B47" s="51"/>
      <c r="C47" s="51"/>
      <c r="D47" s="51"/>
      <c r="E47" s="51"/>
      <c r="F47" s="51"/>
      <c r="G47" s="51"/>
      <c r="H47" s="79"/>
      <c r="I47" s="80"/>
    </row>
    <row r="48" spans="1:13" x14ac:dyDescent="0.2">
      <c r="A48" s="51"/>
      <c r="B48" s="51"/>
      <c r="C48" s="57"/>
      <c r="D48" s="15"/>
      <c r="E48" s="15"/>
      <c r="F48" s="15"/>
      <c r="G48" s="15"/>
    </row>
    <row r="49" spans="1:9" ht="33.75" x14ac:dyDescent="0.2">
      <c r="A49" s="51"/>
      <c r="B49" s="58" t="s">
        <v>5</v>
      </c>
      <c r="C49" s="58"/>
      <c r="D49" s="59"/>
      <c r="E49" s="15"/>
      <c r="F49" s="51"/>
      <c r="G49" s="51"/>
    </row>
    <row r="50" spans="1:9" x14ac:dyDescent="0.2">
      <c r="A50" s="51"/>
      <c r="B50" s="60" t="s">
        <v>45</v>
      </c>
      <c r="C50" s="61"/>
      <c r="D50" s="15"/>
      <c r="E50" s="15"/>
      <c r="F50" s="51"/>
      <c r="G50" s="51"/>
    </row>
    <row r="51" spans="1:9" x14ac:dyDescent="0.2">
      <c r="A51" s="62">
        <f t="shared" ref="A51:A62" si="6">A8</f>
        <v>42460</v>
      </c>
      <c r="B51" s="8">
        <v>68.436134838892826</v>
      </c>
      <c r="C51" s="15"/>
      <c r="D51" s="15"/>
      <c r="E51" s="15"/>
      <c r="F51" s="51"/>
      <c r="G51" s="51"/>
    </row>
    <row r="52" spans="1:9" x14ac:dyDescent="0.2">
      <c r="A52" s="62">
        <f t="shared" si="6"/>
        <v>42490</v>
      </c>
      <c r="B52" s="8">
        <v>0</v>
      </c>
      <c r="C52" s="15"/>
      <c r="D52" s="15"/>
      <c r="E52" s="15"/>
      <c r="F52" s="51"/>
      <c r="G52" s="51"/>
    </row>
    <row r="53" spans="1:9" x14ac:dyDescent="0.2">
      <c r="A53" s="62">
        <f t="shared" si="6"/>
        <v>42521</v>
      </c>
      <c r="B53" s="8">
        <v>0</v>
      </c>
      <c r="C53" s="15"/>
      <c r="D53" s="15"/>
      <c r="E53" s="15"/>
      <c r="F53" s="51"/>
      <c r="G53" s="51"/>
    </row>
    <row r="54" spans="1:9" x14ac:dyDescent="0.2">
      <c r="A54" s="62">
        <f t="shared" si="6"/>
        <v>42551</v>
      </c>
      <c r="B54" s="8">
        <v>0</v>
      </c>
      <c r="C54" s="15"/>
      <c r="D54" s="15"/>
      <c r="E54" s="15"/>
      <c r="F54" s="51"/>
      <c r="G54" s="51"/>
    </row>
    <row r="55" spans="1:9" x14ac:dyDescent="0.2">
      <c r="A55" s="62">
        <f t="shared" si="6"/>
        <v>42582</v>
      </c>
      <c r="B55" s="8">
        <v>0</v>
      </c>
      <c r="C55" s="15"/>
      <c r="D55" s="15"/>
      <c r="E55" s="15"/>
      <c r="F55" s="51"/>
      <c r="G55" s="51"/>
    </row>
    <row r="56" spans="1:9" x14ac:dyDescent="0.2">
      <c r="A56" s="62">
        <f t="shared" si="6"/>
        <v>42613</v>
      </c>
      <c r="B56" s="8">
        <v>0</v>
      </c>
      <c r="C56" s="15"/>
      <c r="D56" s="15"/>
      <c r="E56" s="15"/>
      <c r="F56" s="51"/>
      <c r="G56" s="51"/>
      <c r="H56" s="79"/>
      <c r="I56" s="80"/>
    </row>
    <row r="57" spans="1:9" x14ac:dyDescent="0.2">
      <c r="A57" s="62">
        <f t="shared" si="6"/>
        <v>42643</v>
      </c>
      <c r="B57" s="8">
        <v>0</v>
      </c>
      <c r="C57" s="15"/>
      <c r="D57" s="15"/>
      <c r="E57" s="63"/>
      <c r="F57" s="51"/>
      <c r="G57" s="51"/>
    </row>
    <row r="58" spans="1:9" x14ac:dyDescent="0.2">
      <c r="A58" s="62">
        <f t="shared" si="6"/>
        <v>42674</v>
      </c>
      <c r="B58" s="8">
        <v>0</v>
      </c>
      <c r="C58" s="15"/>
      <c r="D58" s="15"/>
      <c r="E58" s="15"/>
      <c r="F58" s="51"/>
      <c r="G58" s="51"/>
    </row>
    <row r="59" spans="1:9" x14ac:dyDescent="0.2">
      <c r="A59" s="62">
        <f t="shared" si="6"/>
        <v>42704</v>
      </c>
      <c r="B59" s="8">
        <v>0</v>
      </c>
      <c r="C59" s="15"/>
      <c r="D59" s="15"/>
      <c r="E59" s="64"/>
      <c r="F59" s="51"/>
      <c r="G59" s="51"/>
    </row>
    <row r="60" spans="1:9" x14ac:dyDescent="0.2">
      <c r="A60" s="65">
        <f t="shared" si="6"/>
        <v>42735</v>
      </c>
      <c r="B60" s="8">
        <v>0</v>
      </c>
      <c r="C60" s="14"/>
      <c r="D60" s="14"/>
      <c r="E60" s="64"/>
      <c r="F60" s="51"/>
      <c r="G60" s="51"/>
      <c r="H60" s="79"/>
      <c r="I60" s="80"/>
    </row>
    <row r="61" spans="1:9" x14ac:dyDescent="0.2">
      <c r="A61" s="62">
        <f t="shared" si="6"/>
        <v>42766</v>
      </c>
      <c r="B61" s="8">
        <v>0</v>
      </c>
      <c r="C61" s="15"/>
      <c r="D61" s="15"/>
      <c r="E61" s="15"/>
      <c r="F61" s="51"/>
      <c r="G61" s="51"/>
    </row>
    <row r="62" spans="1:9" x14ac:dyDescent="0.2">
      <c r="A62" s="62">
        <f t="shared" si="6"/>
        <v>42794</v>
      </c>
      <c r="B62" s="12">
        <v>0</v>
      </c>
      <c r="C62" s="15"/>
      <c r="D62" s="15"/>
      <c r="E62" s="15"/>
      <c r="F62" s="51"/>
      <c r="G62" s="51"/>
    </row>
    <row r="63" spans="1:9" x14ac:dyDescent="0.2">
      <c r="A63" s="51"/>
      <c r="B63" s="66"/>
      <c r="C63" s="51"/>
      <c r="D63" s="51"/>
      <c r="E63" s="51"/>
      <c r="F63" s="51"/>
      <c r="G63" s="51"/>
    </row>
    <row r="64" spans="1:9" ht="12" thickBot="1" x14ac:dyDescent="0.25">
      <c r="A64" s="52" t="s">
        <v>3</v>
      </c>
      <c r="B64" s="50">
        <f>SUM(B51:B63)</f>
        <v>68.436134838892826</v>
      </c>
      <c r="C64" s="15"/>
      <c r="D64" s="15"/>
      <c r="E64" s="15"/>
      <c r="F64" s="51"/>
      <c r="G64" s="51"/>
    </row>
    <row r="65" spans="1:27" ht="12" thickTop="1" x14ac:dyDescent="0.2">
      <c r="A65" s="51"/>
      <c r="B65" s="51"/>
      <c r="C65" s="51"/>
      <c r="D65" s="15"/>
      <c r="E65" s="15"/>
      <c r="F65" s="51"/>
      <c r="G65" s="51"/>
    </row>
    <row r="66" spans="1:27" ht="12" x14ac:dyDescent="0.2">
      <c r="A66" s="67" t="s">
        <v>6</v>
      </c>
      <c r="B66" s="51"/>
      <c r="C66" s="51"/>
      <c r="D66" s="15"/>
      <c r="E66" s="15"/>
      <c r="F66" s="15"/>
      <c r="G66" s="15"/>
    </row>
    <row r="67" spans="1:27" x14ac:dyDescent="0.2">
      <c r="A67" s="51" t="s">
        <v>7</v>
      </c>
      <c r="B67" s="51"/>
      <c r="C67" s="57"/>
      <c r="D67" s="15"/>
      <c r="E67" s="15"/>
      <c r="F67" s="15"/>
      <c r="G67" s="15"/>
    </row>
    <row r="68" spans="1:27" x14ac:dyDescent="0.2">
      <c r="A68" s="51"/>
      <c r="B68" s="51"/>
      <c r="C68" s="51"/>
      <c r="D68" s="15"/>
      <c r="E68" s="15"/>
      <c r="F68" s="15"/>
      <c r="G68" s="15"/>
      <c r="H68" s="82"/>
    </row>
    <row r="69" spans="1:27" ht="45" x14ac:dyDescent="0.2">
      <c r="A69" s="51"/>
      <c r="B69" s="58" t="s">
        <v>8</v>
      </c>
      <c r="C69" s="58" t="s">
        <v>9</v>
      </c>
      <c r="D69" s="68" t="s">
        <v>10</v>
      </c>
      <c r="E69" s="15"/>
      <c r="F69" s="15"/>
      <c r="G69" s="15"/>
      <c r="H69" s="58"/>
      <c r="I69" s="58"/>
      <c r="J69" s="58"/>
      <c r="K69" s="51"/>
      <c r="L69" s="51"/>
      <c r="M69" s="51"/>
      <c r="X69" s="51"/>
      <c r="Y69" s="51"/>
      <c r="Z69" s="51"/>
      <c r="AA69" s="51"/>
    </row>
    <row r="70" spans="1:27" ht="26.25" customHeight="1" x14ac:dyDescent="0.2">
      <c r="A70" s="51"/>
      <c r="B70" s="69" t="s">
        <v>58</v>
      </c>
      <c r="C70" s="69" t="s">
        <v>58</v>
      </c>
      <c r="D70" s="68" t="s">
        <v>11</v>
      </c>
      <c r="E70" s="15"/>
      <c r="F70" s="15"/>
      <c r="G70" s="15"/>
      <c r="H70" s="51"/>
      <c r="I70" s="51"/>
      <c r="J70" s="51"/>
      <c r="K70" s="51"/>
      <c r="L70" s="51"/>
      <c r="M70" s="51"/>
      <c r="X70" s="51"/>
      <c r="Y70" s="51"/>
      <c r="Z70" s="51"/>
      <c r="AA70" s="51"/>
    </row>
    <row r="71" spans="1:27" x14ac:dyDescent="0.2">
      <c r="A71" s="51"/>
      <c r="B71" s="66"/>
      <c r="C71" s="66"/>
      <c r="D71" s="30"/>
      <c r="E71" s="15"/>
      <c r="F71" s="51"/>
      <c r="G71" s="51"/>
      <c r="H71" s="51"/>
      <c r="I71" s="51"/>
      <c r="J71" s="51"/>
      <c r="K71" s="51"/>
      <c r="L71" s="51"/>
      <c r="M71" s="51"/>
      <c r="X71" s="51"/>
      <c r="Y71" s="51"/>
      <c r="Z71" s="51"/>
      <c r="AA71" s="51"/>
    </row>
    <row r="72" spans="1:27" x14ac:dyDescent="0.2">
      <c r="A72" s="62">
        <f t="shared" ref="A72:A83" si="7">A51</f>
        <v>42460</v>
      </c>
      <c r="B72" s="47">
        <v>77944909.909999996</v>
      </c>
      <c r="C72" s="47">
        <v>80978901.489999995</v>
      </c>
      <c r="D72" s="70">
        <f t="shared" ref="D72:D83" si="8">B72/C72</f>
        <v>0.96253355473864188</v>
      </c>
      <c r="E72" s="15"/>
      <c r="F72" s="71"/>
      <c r="G72" s="71"/>
      <c r="H72" s="15"/>
      <c r="I72" s="15"/>
      <c r="J72" s="15"/>
      <c r="K72" s="51"/>
      <c r="L72" s="51"/>
      <c r="M72" s="51"/>
      <c r="X72" s="51"/>
      <c r="Y72" s="51"/>
      <c r="Z72" s="51"/>
      <c r="AA72" s="51"/>
    </row>
    <row r="73" spans="1:27" x14ac:dyDescent="0.2">
      <c r="A73" s="62">
        <f t="shared" si="7"/>
        <v>42490</v>
      </c>
      <c r="B73" s="8">
        <v>74544117.539999992</v>
      </c>
      <c r="C73" s="8">
        <v>78262900.029999986</v>
      </c>
      <c r="D73" s="70">
        <f t="shared" si="8"/>
        <v>0.95248345654742539</v>
      </c>
      <c r="E73" s="15"/>
      <c r="F73" s="71"/>
      <c r="G73" s="71"/>
      <c r="H73" s="15"/>
      <c r="I73" s="15"/>
      <c r="J73" s="15"/>
      <c r="K73" s="51"/>
      <c r="L73" s="51"/>
      <c r="M73" s="51"/>
      <c r="X73" s="51"/>
      <c r="Y73" s="51"/>
      <c r="Z73" s="51"/>
      <c r="AA73" s="51"/>
    </row>
    <row r="74" spans="1:27" x14ac:dyDescent="0.2">
      <c r="A74" s="62">
        <f t="shared" si="7"/>
        <v>42521</v>
      </c>
      <c r="B74" s="8">
        <v>74282428.780000001</v>
      </c>
      <c r="C74" s="8">
        <v>74895439.680000007</v>
      </c>
      <c r="D74" s="70">
        <f t="shared" si="8"/>
        <v>0.99181511047108917</v>
      </c>
      <c r="E74" s="15"/>
      <c r="F74" s="71"/>
      <c r="G74" s="71"/>
      <c r="H74" s="15"/>
      <c r="I74" s="15"/>
      <c r="J74" s="15"/>
      <c r="K74" s="51"/>
      <c r="L74" s="51"/>
      <c r="M74" s="51"/>
      <c r="X74" s="51"/>
      <c r="Y74" s="51"/>
      <c r="Z74" s="51"/>
      <c r="AA74" s="51"/>
    </row>
    <row r="75" spans="1:27" x14ac:dyDescent="0.2">
      <c r="A75" s="62">
        <f t="shared" si="7"/>
        <v>42551</v>
      </c>
      <c r="B75" s="8">
        <v>90177255.809999987</v>
      </c>
      <c r="C75" s="8">
        <v>91788322.419999987</v>
      </c>
      <c r="D75" s="70">
        <f t="shared" si="8"/>
        <v>0.98244802206289195</v>
      </c>
      <c r="E75" s="15"/>
      <c r="F75" s="71"/>
      <c r="G75" s="71"/>
      <c r="H75" s="15"/>
      <c r="I75" s="15"/>
      <c r="J75" s="15"/>
      <c r="K75" s="51"/>
      <c r="L75" s="51"/>
      <c r="M75" s="51"/>
      <c r="X75" s="51"/>
      <c r="Y75" s="51"/>
      <c r="Z75" s="51"/>
      <c r="AA75" s="51"/>
    </row>
    <row r="76" spans="1:27" x14ac:dyDescent="0.2">
      <c r="A76" s="62">
        <f t="shared" si="7"/>
        <v>42582</v>
      </c>
      <c r="B76" s="8">
        <v>104590459.09999999</v>
      </c>
      <c r="C76" s="8">
        <v>106441055.89</v>
      </c>
      <c r="D76" s="70">
        <f t="shared" si="8"/>
        <v>0.98261388169699782</v>
      </c>
      <c r="E76" s="15"/>
      <c r="F76" s="71"/>
      <c r="G76" s="71"/>
      <c r="H76" s="15"/>
      <c r="I76" s="15"/>
      <c r="J76" s="15"/>
      <c r="K76" s="51"/>
      <c r="L76" s="51"/>
      <c r="M76" s="51"/>
      <c r="X76" s="51"/>
      <c r="Y76" s="51"/>
      <c r="Z76" s="51"/>
      <c r="AA76" s="51"/>
    </row>
    <row r="77" spans="1:27" x14ac:dyDescent="0.2">
      <c r="A77" s="62">
        <f t="shared" si="7"/>
        <v>42613</v>
      </c>
      <c r="B77" s="8">
        <v>108406518.56999999</v>
      </c>
      <c r="C77" s="8">
        <v>108920207.19</v>
      </c>
      <c r="D77" s="70">
        <f t="shared" si="8"/>
        <v>0.9952838079062416</v>
      </c>
      <c r="E77" s="15"/>
      <c r="F77" s="71"/>
      <c r="G77" s="71"/>
      <c r="H77" s="14"/>
      <c r="I77" s="15"/>
      <c r="J77" s="15"/>
      <c r="K77" s="51"/>
      <c r="L77" s="51"/>
      <c r="M77" s="51"/>
      <c r="X77" s="51"/>
      <c r="Y77" s="51"/>
      <c r="Z77" s="51"/>
      <c r="AA77" s="51"/>
    </row>
    <row r="78" spans="1:27" x14ac:dyDescent="0.2">
      <c r="A78" s="62">
        <f t="shared" si="7"/>
        <v>42643</v>
      </c>
      <c r="B78" s="8">
        <v>107704186.94</v>
      </c>
      <c r="C78" s="8">
        <v>108963310.67</v>
      </c>
      <c r="D78" s="70">
        <f t="shared" si="8"/>
        <v>0.9884445165784902</v>
      </c>
      <c r="E78" s="15"/>
      <c r="F78" s="71"/>
      <c r="G78" s="71"/>
      <c r="H78" s="15"/>
      <c r="I78" s="15"/>
      <c r="J78" s="15"/>
      <c r="K78" s="51"/>
      <c r="L78" s="51"/>
      <c r="M78" s="51"/>
      <c r="X78" s="51"/>
      <c r="Y78" s="51"/>
      <c r="Z78" s="51"/>
      <c r="AA78" s="51"/>
    </row>
    <row r="79" spans="1:27" x14ac:dyDescent="0.2">
      <c r="A79" s="62">
        <f t="shared" si="7"/>
        <v>42674</v>
      </c>
      <c r="B79" s="8">
        <v>81178960.849999994</v>
      </c>
      <c r="C79" s="8">
        <v>82088459.809999987</v>
      </c>
      <c r="D79" s="70">
        <f t="shared" si="8"/>
        <v>0.98892050158932088</v>
      </c>
      <c r="E79" s="15"/>
      <c r="F79" s="71"/>
      <c r="G79" s="71"/>
      <c r="H79" s="15"/>
      <c r="I79" s="15"/>
      <c r="J79" s="15"/>
      <c r="K79" s="51"/>
      <c r="L79" s="51"/>
      <c r="M79" s="51"/>
      <c r="X79" s="51"/>
      <c r="Y79" s="51"/>
      <c r="Z79" s="51"/>
      <c r="AA79" s="51"/>
    </row>
    <row r="80" spans="1:27" x14ac:dyDescent="0.2">
      <c r="A80" s="62">
        <f t="shared" si="7"/>
        <v>42704</v>
      </c>
      <c r="B80" s="8">
        <v>74537294.700000003</v>
      </c>
      <c r="C80" s="8">
        <v>76001496.650000006</v>
      </c>
      <c r="D80" s="70">
        <f t="shared" si="8"/>
        <v>0.98073456425808425</v>
      </c>
      <c r="E80" s="15"/>
      <c r="F80" s="71"/>
      <c r="G80" s="71"/>
      <c r="H80" s="15"/>
      <c r="I80" s="15"/>
      <c r="J80" s="15"/>
      <c r="K80" s="51"/>
      <c r="L80" s="51"/>
      <c r="M80" s="51"/>
      <c r="X80" s="51"/>
      <c r="Y80" s="51"/>
      <c r="Z80" s="51"/>
      <c r="AA80" s="51"/>
    </row>
    <row r="81" spans="1:27" x14ac:dyDescent="0.2">
      <c r="A81" s="62">
        <f t="shared" si="7"/>
        <v>42735</v>
      </c>
      <c r="B81" s="8">
        <v>80494852.969999999</v>
      </c>
      <c r="C81" s="8">
        <v>87440347.730000004</v>
      </c>
      <c r="D81" s="70">
        <f t="shared" si="8"/>
        <v>0.92056876556064893</v>
      </c>
      <c r="E81" s="15"/>
      <c r="F81" s="71"/>
      <c r="G81" s="71"/>
      <c r="H81" s="15"/>
      <c r="I81" s="15"/>
      <c r="J81" s="15"/>
      <c r="K81" s="51"/>
      <c r="L81" s="51"/>
      <c r="M81" s="51"/>
      <c r="X81" s="51"/>
      <c r="Y81" s="51"/>
      <c r="Z81" s="51"/>
      <c r="AA81" s="51"/>
    </row>
    <row r="82" spans="1:27" x14ac:dyDescent="0.2">
      <c r="A82" s="62">
        <f t="shared" si="7"/>
        <v>42766</v>
      </c>
      <c r="B82" s="8">
        <v>84221115.690000013</v>
      </c>
      <c r="C82" s="8">
        <v>92746170.230000019</v>
      </c>
      <c r="D82" s="70">
        <f t="shared" si="8"/>
        <v>0.90808186991593465</v>
      </c>
      <c r="E82" s="15"/>
      <c r="F82" s="71"/>
      <c r="G82" s="71"/>
      <c r="H82" s="15"/>
      <c r="I82" s="15"/>
      <c r="J82" s="15"/>
      <c r="K82" s="51"/>
      <c r="L82" s="51"/>
      <c r="M82" s="51"/>
      <c r="X82" s="51"/>
      <c r="Y82" s="51"/>
      <c r="Z82" s="51"/>
      <c r="AA82" s="51"/>
    </row>
    <row r="83" spans="1:27" x14ac:dyDescent="0.2">
      <c r="A83" s="62">
        <f t="shared" si="7"/>
        <v>42794</v>
      </c>
      <c r="B83" s="12">
        <v>72767859.019999996</v>
      </c>
      <c r="C83" s="12">
        <v>78826087.599999994</v>
      </c>
      <c r="D83" s="72">
        <f t="shared" si="8"/>
        <v>0.92314437054465714</v>
      </c>
      <c r="E83" s="15"/>
      <c r="F83" s="71"/>
      <c r="G83" s="71"/>
      <c r="H83" s="15"/>
      <c r="I83" s="15"/>
      <c r="J83" s="15"/>
      <c r="K83" s="51"/>
      <c r="L83" s="51"/>
      <c r="M83" s="51"/>
      <c r="X83" s="51"/>
      <c r="Y83" s="51"/>
      <c r="Z83" s="51"/>
      <c r="AA83" s="51"/>
    </row>
    <row r="84" spans="1:27" x14ac:dyDescent="0.2">
      <c r="A84" s="73"/>
      <c r="B84" s="14"/>
      <c r="C84" s="14"/>
      <c r="D84" s="70"/>
      <c r="E84" s="15"/>
      <c r="F84" s="51"/>
      <c r="G84" s="51"/>
      <c r="H84" s="15"/>
      <c r="I84" s="15"/>
      <c r="J84" s="15"/>
      <c r="K84" s="51"/>
      <c r="L84" s="51"/>
      <c r="M84" s="51"/>
      <c r="X84" s="51"/>
      <c r="Y84" s="51"/>
      <c r="Z84" s="51"/>
      <c r="AA84" s="51"/>
    </row>
    <row r="85" spans="1:27" ht="12" thickBot="1" x14ac:dyDescent="0.25">
      <c r="A85" s="52" t="s">
        <v>3</v>
      </c>
      <c r="B85" s="74">
        <f>SUM(B72:B84)</f>
        <v>1030849959.8800001</v>
      </c>
      <c r="C85" s="74">
        <f>SUM(C72:C84)</f>
        <v>1067352699.39</v>
      </c>
      <c r="D85" s="75">
        <f>ROUND(B85/C85,6)</f>
        <v>0.96580100000000002</v>
      </c>
      <c r="E85" s="15"/>
      <c r="F85" s="15"/>
      <c r="G85" s="15"/>
      <c r="H85" s="15"/>
      <c r="I85" s="15"/>
      <c r="J85" s="15"/>
      <c r="K85" s="51"/>
      <c r="L85" s="51"/>
      <c r="M85" s="29"/>
      <c r="X85" s="51"/>
      <c r="Y85" s="51"/>
      <c r="Z85" s="51"/>
      <c r="AA85" s="51"/>
    </row>
    <row r="86" spans="1:27" ht="12" thickTop="1" x14ac:dyDescent="0.2">
      <c r="A86" s="51"/>
      <c r="B86" s="51"/>
      <c r="C86" s="51"/>
      <c r="D86" s="15"/>
      <c r="E86" s="15"/>
      <c r="F86" s="15"/>
      <c r="G86" s="15"/>
      <c r="H86" s="51"/>
      <c r="I86" s="51"/>
      <c r="J86" s="51"/>
      <c r="K86" s="51"/>
      <c r="L86" s="51"/>
      <c r="M86" s="51"/>
      <c r="X86" s="51"/>
      <c r="Y86" s="51"/>
      <c r="Z86" s="51"/>
      <c r="AA86" s="51"/>
    </row>
    <row r="87" spans="1:27" x14ac:dyDescent="0.2">
      <c r="A87" s="51"/>
      <c r="B87" s="51"/>
      <c r="C87" s="51"/>
      <c r="D87" s="15"/>
      <c r="E87" s="15"/>
      <c r="F87" s="15"/>
      <c r="G87" s="15"/>
      <c r="H87" s="51"/>
      <c r="I87" s="51"/>
      <c r="J87" s="51"/>
      <c r="K87" s="51"/>
      <c r="L87" s="51"/>
      <c r="M87" s="51"/>
      <c r="X87" s="51"/>
      <c r="Y87" s="51"/>
      <c r="Z87" s="51"/>
      <c r="AA87" s="51"/>
    </row>
    <row r="88" spans="1:27" x14ac:dyDescent="0.2">
      <c r="A88" s="51"/>
      <c r="B88" s="76"/>
      <c r="C88" s="51"/>
      <c r="D88" s="38"/>
      <c r="E88" s="38"/>
      <c r="F88" s="38"/>
      <c r="G88" s="38"/>
    </row>
    <row r="89" spans="1:27" x14ac:dyDescent="0.2">
      <c r="A89" s="51"/>
      <c r="B89" s="51"/>
      <c r="C89" s="51"/>
      <c r="D89" s="15"/>
      <c r="E89" s="15"/>
      <c r="F89" s="15"/>
      <c r="G89" s="15"/>
    </row>
    <row r="90" spans="1:27" x14ac:dyDescent="0.2">
      <c r="A90" s="51"/>
      <c r="B90" s="51"/>
      <c r="C90" s="51"/>
      <c r="D90" s="15"/>
      <c r="E90" s="15"/>
      <c r="F90" s="15"/>
      <c r="G90" s="15"/>
    </row>
    <row r="91" spans="1:27" x14ac:dyDescent="0.2">
      <c r="A91" s="51"/>
      <c r="B91" s="51"/>
      <c r="C91" s="51"/>
      <c r="D91" s="15"/>
      <c r="E91" s="15"/>
      <c r="F91" s="15"/>
      <c r="G91" s="15"/>
    </row>
    <row r="92" spans="1:27" x14ac:dyDescent="0.2">
      <c r="A92" s="51"/>
      <c r="B92" s="51"/>
      <c r="C92" s="51"/>
      <c r="D92" s="15"/>
      <c r="E92" s="15"/>
      <c r="F92" s="15"/>
      <c r="G92" s="15"/>
    </row>
    <row r="93" spans="1:27" x14ac:dyDescent="0.2">
      <c r="A93" s="51"/>
      <c r="B93" s="51"/>
      <c r="C93" s="51"/>
      <c r="D93" s="51"/>
      <c r="E93" s="51"/>
      <c r="F93" s="51"/>
      <c r="G93" s="51"/>
    </row>
    <row r="94" spans="1:27" x14ac:dyDescent="0.2">
      <c r="A94" s="51"/>
      <c r="B94" s="51"/>
      <c r="C94" s="51"/>
      <c r="D94" s="64"/>
      <c r="E94" s="64"/>
      <c r="F94" s="64"/>
      <c r="G94" s="64"/>
    </row>
    <row r="95" spans="1:27" x14ac:dyDescent="0.2">
      <c r="A95" s="51"/>
      <c r="B95" s="51"/>
      <c r="C95" s="51"/>
      <c r="D95" s="51"/>
      <c r="E95" s="51"/>
      <c r="F95" s="51"/>
      <c r="G95" s="51"/>
    </row>
    <row r="96" spans="1:2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</sheetData>
  <mergeCells count="2">
    <mergeCell ref="D6:F6"/>
    <mergeCell ref="D27:F27"/>
  </mergeCells>
  <phoneticPr fontId="0" type="noConversion"/>
  <printOptions horizontalCentered="1"/>
  <pageMargins left="0.75" right="0.75" top="1.54" bottom="0.42" header="0.5" footer="0.21"/>
  <pageSetup scale="65" orientation="portrait" horizontalDpi="300" verticalDpi="300" r:id="rId1"/>
  <headerFooter alignWithMargins="0">
    <oddHeader>&amp;C&amp;"Times New Roman,Bold"&amp;12
&amp;14Louisville Gas And Electric Company&amp;12
Calculation of ECR Roll-in At February 28, 2017&amp;R&amp;"Times New Roman,Bold"&amp;10 Attachment to Response to Question No. 5(a)
Page &amp;P of &amp;N
Rahn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_x0020_Testimony xmlns="65bfb563-8fe2-4d34-a09f-38a217d8feea" xsi:nil="true"/>
    <Review_x0020_Case_x0020_Expense_x0020_Period xmlns="65bfb563-8fe2-4d34-a09f-38a217d8feea">Mar-Feb (ECR)</Review_x0020_Case_x0020_Expense_x0020_Period>
    <Construction_x0020_Monitoring xmlns="65bfb563-8fe2-4d34-a09f-38a217d8feea" xsi:nil="true"/>
    <Year xmlns="65bfb563-8fe2-4d34-a09f-38a217d8feea">2017</Year>
    <Filing_x0020_Type xmlns="65bfb563-8fe2-4d34-a09f-38a217d8feea">
      <Value>Review Cases (ECR/FAC/OST)</Value>
    </Filing_x0020_Type>
    <Review_x0020_Case_x0020_Doc_x0020_Types xmlns="65bfb563-8fe2-4d34-a09f-38a217d8feea">01.2 – 1st Data Request Attachments</Review_x0020_Case_x0020_Doc_x0020_Types>
    <Status xmlns="65bfb563-8fe2-4d34-a09f-38a217d8feea"/>
    <Document_x0020_Type xmlns="65bfb563-8fe2-4d34-a09f-38a217d8feea">
      <Value>ECR</Value>
    </Document_x0020_Type>
    <Filings xmlns="65bfb563-8fe2-4d34-a09f-38a217d8feea" xsi:nil="true"/>
    <Filing_x0020_Case_x0020__x0023_ xmlns="65bfb563-8fe2-4d34-a09f-38a217d8feea" xsi:nil="true"/>
    <Filing_x0020_Witness xmlns="65bfb563-8fe2-4d34-a09f-38a217d8feea" xsi:nil="true"/>
    <Case_x0020__x0023_ xmlns="65bfb563-8fe2-4d34-a09f-38a217d8feea">2017-00267</Case_x0020__x0023_>
    <Company xmlns="65bfb563-8fe2-4d34-a09f-38a217d8feea">
      <Value>LGE</Value>
    </Company>
    <Filing_x0020_Doc_x0020_Types xmlns="65bfb563-8fe2-4d34-a09f-38a217d8feea" xsi:nil="true"/>
    <Construction_x0020_Monitoring_x0020_Description xmlns="65bfb563-8fe2-4d34-a09f-38a217d8feea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10F20E04BCF41BE361D2F61EE6FFA" ma:contentTypeVersion="28" ma:contentTypeDescription="Create a new document." ma:contentTypeScope="" ma:versionID="20fc385a25ace3125cc1daef47bb7ee2">
  <xsd:schema xmlns:xsd="http://www.w3.org/2001/XMLSchema" xmlns:xs="http://www.w3.org/2001/XMLSchema" xmlns:p="http://schemas.microsoft.com/office/2006/metadata/properties" xmlns:ns2="65bfb563-8fe2-4d34-a09f-38a217d8feea" targetNamespace="http://schemas.microsoft.com/office/2006/metadata/properties" ma:root="true" ma:fieldsID="3ee5c1ea3907e0176d1c092d4662d47d" ns2:_="">
    <xsd:import namespace="65bfb563-8fe2-4d34-a09f-38a217d8fee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 minOccurs="0"/>
                <xsd:element ref="ns2:Filing_x0020_Type" minOccurs="0"/>
                <xsd:element ref="ns2:Filings" minOccurs="0"/>
                <xsd:element ref="ns2:Filing_x0020_Doc_x0020_Types" minOccurs="0"/>
                <xsd:element ref="ns2:Filing_x0020_Case_x0020__x0023_" minOccurs="0"/>
                <xsd:element ref="ns2:Filing_x0020_Witness" minOccurs="0"/>
                <xsd:element ref="ns2:Review_x0020_Case_x0020_Expense_x0020_Period" minOccurs="0"/>
                <xsd:element ref="ns2:Review_x0020_Case_x0020_Doc_x0020_Types" minOccurs="0"/>
                <xsd:element ref="ns2:Case_x0020__x0023_" minOccurs="0"/>
                <xsd:element ref="ns2:Witness_x0020_Testimony" minOccurs="0"/>
                <xsd:element ref="ns2:Construction_x0020_Monitoring_x0020_Description" minOccurs="0"/>
                <xsd:element ref="ns2:Construction_x0020_Monitoring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bfb563-8fe2-4d34-a09f-38a217d8fee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ternalName="Year">
      <xsd:simpleType>
        <xsd:restriction base="dms:Choice">
          <xsd:enumeration value="2015"/>
          <xsd:enumeration value="2016"/>
          <xsd:enumeration value="2017"/>
        </xsd:restriction>
      </xsd:simpleType>
    </xsd:element>
    <xsd:element name="Document_x0020_Type" ma:index="4" nillable="true" ma:displayName="Document Type" ma:internalName="Document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DSM"/>
                    <xsd:enumeration value="ECR"/>
                    <xsd:enumeration value="FAC / OST"/>
                    <xsd:enumeration value="GLT"/>
                    <xsd:enumeration value="GSC"/>
                    <xsd:enumeration value="HEA"/>
                    <xsd:enumeration value="LFF"/>
                    <xsd:enumeration value="WNA"/>
                  </xsd:restriction>
                </xsd:simpleType>
              </xsd:element>
            </xsd:sequence>
          </xsd:extension>
        </xsd:complexContent>
      </xsd:complexType>
    </xsd:element>
    <xsd:element name="Filing_x0020_Type" ma:index="5" nillable="true" ma:displayName="Filing Type" ma:internalName="Filing_x0020_Typ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Monthly Filings (ECR/LFF)"/>
                    <xsd:enumeration value="Form A Filings (FAC/OST)"/>
                    <xsd:enumeration value="Form B Filings (FAC/OST)"/>
                    <xsd:enumeration value="Quarterly Filings (GSC)"/>
                    <xsd:enumeration value="Annual Filing (LFF/WNA)"/>
                    <xsd:enumeration value="Forecasted Annual Filing (GLT)"/>
                    <xsd:enumeration value="True-up Annual Filing (GLT)"/>
                    <xsd:enumeration value="Review Cases (ECR/FAC/OST)"/>
                    <xsd:enumeration value="Construction Monitoring (ECR)"/>
                    <xsd:enumeration value="Approved Project Detail (ECR)"/>
                  </xsd:restriction>
                </xsd:simpleType>
              </xsd:element>
            </xsd:sequence>
          </xsd:extension>
        </xsd:complexContent>
      </xsd:complexType>
    </xsd:element>
    <xsd:element name="Filings" ma:index="6" nillable="true" ma:displayName="Filing Expense Period" ma:format="Dropdown" ma:internalName="Filings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  <xsd:enumeration value="Nov-Jan (GSC)"/>
          <xsd:enumeration value="Feb-Apr (GSC)"/>
          <xsd:enumeration value="May-Jul (GSC)"/>
          <xsd:enumeration value="Aug-Oct (GSC)"/>
          <xsd:enumeration value="Apr-May (LFF)"/>
          <xsd:enumeration value="Jan-Dec (GLT/WNA)"/>
          <xsd:enumeration value="N/A"/>
        </xsd:restriction>
      </xsd:simpleType>
    </xsd:element>
    <xsd:element name="Filing_x0020_Doc_x0020_Types" ma:index="7" nillable="true" ma:displayName="Filing Doc Types" ma:format="Dropdown" ma:internalName="Filing_x0020_Doc_x0020_Types">
      <xsd:simpleType>
        <xsd:restriction base="dms:Choice">
          <xsd:enumeration value="00 – Orders"/>
          <xsd:enumeration value="01 – 1st Data Request and Testimony"/>
          <xsd:enumeration value="02 – 2nd Data Request and Testimony"/>
          <xsd:enumeration value="03 – 3rd Data Request and Testimony"/>
          <xsd:enumeration value="04 – Post Hearing Data Request, Testimony, or Briefs"/>
          <xsd:enumeration value="05 – Technical Conference or Hearings"/>
          <xsd:enumeration value="06 – Support"/>
          <xsd:enumeration value="07 – Application"/>
          <xsd:enumeration value="08 – Tariffs"/>
          <xsd:enumeration value="10 – eFiled/Filed Documents"/>
        </xsd:restriction>
      </xsd:simpleType>
    </xsd:element>
    <xsd:element name="Filing_x0020_Case_x0020__x0023_" ma:index="8" nillable="true" ma:displayName="Filing Case #" ma:internalName="Filing_x0020_Case_x0020__x0023_">
      <xsd:simpleType>
        <xsd:restriction base="dms:Text">
          <xsd:maxLength value="255"/>
        </xsd:restriction>
      </xsd:simpleType>
    </xsd:element>
    <xsd:element name="Filing_x0020_Witness" ma:index="9" nillable="true" ma:displayName="Filing Witness" ma:format="Dropdown" ma:internalName="Filing_x0020_Witness">
      <xsd:simpleType>
        <xsd:restriction base="dms:Choice">
          <xsd:enumeration value="Billiter, Delbert"/>
          <xsd:enumeration value="Garrett, Chris"/>
          <xsd:enumeration value="Schram, Chuck"/>
          <xsd:enumeration value="Wilson, Stuart"/>
        </xsd:restriction>
      </xsd:simpleType>
    </xsd:element>
    <xsd:element name="Review_x0020_Case_x0020_Expense_x0020_Period" ma:index="10" nillable="true" ma:displayName="Review Case Expense Period" ma:format="Dropdown" ma:internalName="Review_x0020_Case_x0020_Expense_x0020_Period">
      <xsd:simpleType>
        <xsd:restriction base="dms:Choice">
          <xsd:enumeration value="Mar-Aug (ECR)"/>
          <xsd:enumeration value="Sep-Feb (ECR)"/>
          <xsd:enumeration value="Mar-Feb (ECR)"/>
          <xsd:enumeration value="May-Oct (FAC)"/>
          <xsd:enumeration value="Nov-Apr (FAC)"/>
          <xsd:enumeration value="Nov-Oct (FAC)"/>
        </xsd:restriction>
      </xsd:simpleType>
    </xsd:element>
    <xsd:element name="Review_x0020_Case_x0020_Doc_x0020_Types" ma:index="11" nillable="true" ma:displayName="Review Case Doc Types" ma:format="Dropdown" ma:internalName="Review_x0020_Case_x0020_Doc_x0020_Types">
      <xsd:simpleType>
        <xsd:restriction base="dms:Choice">
          <xsd:enumeration value="00.1 – Orders"/>
          <xsd:enumeration value="00.2 – Requests for Information"/>
          <xsd:enumeration value="00.4 – Other Communications/eFilings"/>
          <xsd:enumeration value="01.1 – 1st Data Request Responses/Testimony"/>
          <xsd:enumeration value="01.2 – 1st Data Request Attachments"/>
          <xsd:enumeration value="01.3 – 1st Data Request Confidentiality Petition"/>
          <xsd:enumeration value="01.4 – 1st Data Request/Testimony - As Filed"/>
          <xsd:enumeration value="02.1 – 2nd Data Request Responses/Testimony"/>
          <xsd:enumeration value="02.2 – 2nd Data Request Attachments"/>
          <xsd:enumeration value="02.3 – 2nd Data Request Confidentiality Petition"/>
          <xsd:enumeration value="02.4 – 2nd Data Request/Testimony - As Filed"/>
          <xsd:enumeration value="03.1 – 3rd Data Request Responses/Testimony"/>
          <xsd:enumeration value="03.2 – 3rd Data Request Attachments"/>
          <xsd:enumeration value="03.3 – 3rd Data Request Confidentiality Petition"/>
          <xsd:enumeration value="03.4 – 3rd Data Request/Testimony - As Filed"/>
          <xsd:enumeration value="04.1 – Post Hearing Data Request Responses/Testimony/Briefs"/>
          <xsd:enumeration value="04.2 – Post Hearing Data Request Attachments"/>
          <xsd:enumeration value="04.3 – Post Hearing Data Request Confidentiality Petition"/>
          <xsd:enumeration value="04.4 – Post Hearing Data Request/Testimony - As Filed"/>
          <xsd:enumeration value="05 – Technical Conference or Hearings"/>
          <xsd:enumeration value="10 – Application"/>
          <xsd:enumeration value="10.1 – Application - As Filed"/>
        </xsd:restriction>
      </xsd:simpleType>
    </xsd:element>
    <xsd:element name="Case_x0020__x0023_" ma:index="12" nillable="true" ma:displayName="Review Case #" ma:internalName="Case_x0020__x0023_">
      <xsd:simpleType>
        <xsd:restriction base="dms:Text">
          <xsd:maxLength value="255"/>
        </xsd:restriction>
      </xsd:simpleType>
    </xsd:element>
    <xsd:element name="Witness_x0020_Testimony" ma:index="13" nillable="true" ma:displayName="Review Case Witness" ma:format="Dropdown" ma:internalName="Witness_x0020_Testimony">
      <xsd:simpleType>
        <xsd:restriction base="dms:Choice">
          <xsd:enumeration value="Dotson, Mike"/>
          <xsd:enumeration value="Garrett, Christopher"/>
          <xsd:enumeration value="Metts, Heather"/>
          <xsd:enumeration value="Multiple"/>
          <xsd:enumeration value="N/A"/>
          <xsd:enumeration value="Rahn, Derek"/>
          <xsd:enumeration value="Saunders, Eileen"/>
          <xsd:enumeration value="Schram, Chuck"/>
          <xsd:enumeration value="Wilson, Stuart"/>
        </xsd:restriction>
      </xsd:simpleType>
    </xsd:element>
    <xsd:element name="Construction_x0020_Monitoring_x0020_Description" ma:index="14" nillable="true" ma:displayName="Construction Monitoring Description" ma:format="Dropdown" ma:internalName="Construction_x0020_Monitoring_x0020_Description">
      <xsd:simpleType>
        <xsd:restriction base="dms:Choice">
          <xsd:enumeration value="2011 ECR Plan"/>
          <xsd:enumeration value="2016 ECR Plan"/>
          <xsd:enumeration value="TC Landfill"/>
        </xsd:restriction>
      </xsd:simpleType>
    </xsd:element>
    <xsd:element name="Construction_x0020_Monitoring" ma:index="15" nillable="true" ma:displayName="Construction Monitoring Period" ma:format="Dropdown" ma:internalName="Construction_x0020_Monitoring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Status" ma:index="23" nillable="true" ma:displayName="Status (Internal Use Only)" ma:internalName="Statu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  <xsd:enumeration value="Filed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B1C72E-29B7-4B2E-B521-2F49A48DDDCA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65bfb563-8fe2-4d34-a09f-38a217d8feea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6CF998E9-A3DB-41C2-9EC5-BEB693492E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E97F99-E58C-46F1-A66A-503D4CA688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bfb563-8fe2-4d34-a09f-38a217d8fe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Roll In Req Req</vt:lpstr>
      <vt:lpstr>SuppSch</vt:lpstr>
      <vt:lpstr>'Roll In Req Req'!Print_Area</vt:lpstr>
      <vt:lpstr>SuppSch!Print_Area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2017-08-17T21:46:08Z</dcterms:created>
  <dcterms:modified xsi:type="dcterms:W3CDTF">2017-08-18T19:14:58Z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0x010100FF510F20E04BCF41BE361D2F61EE6FFA</vt:lpwstr>
  </property>
</Properties>
</file>