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105" windowWidth="12015" windowHeight="10020" tabRatio="955"/>
  </bookViews>
  <sheets>
    <sheet name="EX AEV-1" sheetId="25" r:id="rId1"/>
    <sheet name="RS" sheetId="1" r:id="rId2"/>
    <sheet name="RS-D" sheetId="30" r:id="rId3"/>
    <sheet name="RS TOD2" sheetId="4" r:id="rId4"/>
    <sheet name="TOD2 CC" sheetId="3" r:id="rId5"/>
    <sheet name="SGS" sheetId="7" r:id="rId6"/>
    <sheet name="SGS TOD" sheetId="6" r:id="rId7"/>
    <sheet name="TOD CC" sheetId="5" r:id="rId8"/>
    <sheet name="MGS" sheetId="8" r:id="rId9"/>
    <sheet name="GS" sheetId="29" r:id="rId10"/>
    <sheet name="LGS" sheetId="10" r:id="rId11"/>
    <sheet name="LGS-TOD" sheetId="9" r:id="rId12"/>
    <sheet name="IGS" sheetId="11" r:id="rId13"/>
    <sheet name="Demand Basis" sheetId="15" r:id="rId14"/>
    <sheet name="Energy Basis" sheetId="14" r:id="rId15"/>
    <sheet name="off peak" sheetId="13" r:id="rId16"/>
    <sheet name="Off Peak xcs" sheetId="12" r:id="rId17"/>
    <sheet name="AFS Rate" sheetId="16" r:id="rId18"/>
    <sheet name="MW" sheetId="17" r:id="rId19"/>
    <sheet name="OL 1" sheetId="18" r:id="rId20"/>
    <sheet name="OL 2" sheetId="19" r:id="rId21"/>
    <sheet name="OL Detail" sheetId="20" r:id="rId22"/>
    <sheet name="SL 1" sheetId="21" r:id="rId23"/>
    <sheet name="SL 2" sheetId="22" r:id="rId24"/>
    <sheet name="Cogen" sheetId="23" r:id="rId25"/>
    <sheet name="Carrying Charge" sheetId="26" r:id="rId26"/>
    <sheet name="Rate Export" sheetId="31" r:id="rId27"/>
    <sheet name="ES" sheetId="32" r:id="rId28"/>
  </sheets>
  <definedNames>
    <definedName name="_xlnm.Print_Area" localSheetId="0">'EX AEV-1'!$A$1:$Y$25</definedName>
  </definedNames>
  <calcPr calcId="145621"/>
</workbook>
</file>

<file path=xl/calcChain.xml><?xml version="1.0" encoding="utf-8"?>
<calcChain xmlns="http://schemas.openxmlformats.org/spreadsheetml/2006/main">
  <c r="S15" i="18" l="1"/>
  <c r="T15" i="18" s="1"/>
  <c r="B25" i="32" l="1"/>
  <c r="B20" i="32"/>
  <c r="B28" i="32" s="1"/>
  <c r="B19" i="32"/>
  <c r="B9" i="32"/>
  <c r="B21" i="32" l="1"/>
  <c r="I15" i="25" l="1"/>
  <c r="D77" i="1" l="1"/>
  <c r="B14" i="31"/>
  <c r="F112" i="31" l="1"/>
  <c r="F111" i="31"/>
  <c r="F108" i="31"/>
  <c r="F107" i="31"/>
  <c r="F106" i="31"/>
  <c r="F103" i="31"/>
  <c r="F102" i="31"/>
  <c r="F98" i="31"/>
  <c r="F97" i="31"/>
  <c r="F96" i="31"/>
  <c r="F93" i="31"/>
  <c r="F90" i="31"/>
  <c r="F89" i="31"/>
  <c r="F85" i="31"/>
  <c r="F84" i="31"/>
  <c r="F81" i="31"/>
  <c r="F80" i="31"/>
  <c r="F79" i="31"/>
  <c r="F78" i="31"/>
  <c r="F77" i="31"/>
  <c r="F142" i="31"/>
  <c r="F141" i="31"/>
  <c r="F140" i="31"/>
  <c r="F139" i="31"/>
  <c r="F135" i="31"/>
  <c r="F134" i="31"/>
  <c r="F133" i="31"/>
  <c r="F132" i="31"/>
  <c r="F128" i="31"/>
  <c r="F127" i="31"/>
  <c r="F126" i="31"/>
  <c r="F125" i="31"/>
  <c r="F118" i="31"/>
  <c r="F119" i="31"/>
  <c r="F117" i="31"/>
  <c r="D72" i="31"/>
  <c r="C72" i="31"/>
  <c r="B72" i="31"/>
  <c r="D69" i="31"/>
  <c r="D70" i="31"/>
  <c r="E67" i="31"/>
  <c r="B67" i="31"/>
  <c r="E63" i="31"/>
  <c r="D65" i="31"/>
  <c r="D66" i="31"/>
  <c r="B63" i="31"/>
  <c r="E59" i="31"/>
  <c r="D61" i="31"/>
  <c r="D62" i="31"/>
  <c r="B59" i="31"/>
  <c r="E55" i="31"/>
  <c r="D57" i="31"/>
  <c r="D58" i="31"/>
  <c r="B55" i="31"/>
  <c r="E53" i="31"/>
  <c r="B53" i="31"/>
  <c r="E52" i="31"/>
  <c r="B52" i="31"/>
  <c r="E50" i="31"/>
  <c r="B50" i="31"/>
  <c r="E49" i="31"/>
  <c r="B49" i="31"/>
  <c r="E48" i="31"/>
  <c r="B48" i="31"/>
  <c r="E45" i="31"/>
  <c r="D45" i="31"/>
  <c r="B45" i="31"/>
  <c r="B42" i="31"/>
  <c r="E41" i="31"/>
  <c r="B41" i="31"/>
  <c r="B37" i="31"/>
  <c r="B34" i="31"/>
  <c r="B31" i="31"/>
  <c r="B29" i="31"/>
  <c r="B26" i="31"/>
  <c r="B18" i="31"/>
  <c r="B21" i="31"/>
  <c r="B17" i="31"/>
  <c r="B10" i="31"/>
  <c r="B9" i="31"/>
  <c r="B4" i="31" l="1"/>
  <c r="I24" i="21" l="1"/>
  <c r="I16" i="21"/>
  <c r="I23" i="21"/>
  <c r="B44" i="21"/>
  <c r="I30" i="21"/>
  <c r="I29" i="21"/>
  <c r="K13" i="18"/>
  <c r="K30" i="18"/>
  <c r="K9" i="18"/>
  <c r="K14" i="18"/>
  <c r="K15" i="18"/>
  <c r="K34" i="18"/>
  <c r="K31" i="18"/>
  <c r="K29" i="18"/>
  <c r="C49" i="18"/>
  <c r="I31" i="21" l="1"/>
  <c r="D256" i="10"/>
  <c r="F241" i="10"/>
  <c r="F223" i="10"/>
  <c r="E159" i="8" l="1"/>
  <c r="E150" i="8"/>
  <c r="C225" i="8" l="1"/>
  <c r="C223" i="8"/>
  <c r="E211" i="8"/>
  <c r="C211" i="8"/>
  <c r="E210" i="8"/>
  <c r="C210" i="8"/>
  <c r="G210" i="8" s="1"/>
  <c r="F13" i="16"/>
  <c r="D12" i="14"/>
  <c r="C11" i="14"/>
  <c r="B51" i="14"/>
  <c r="B50" i="14"/>
  <c r="B49" i="14"/>
  <c r="B11" i="15"/>
  <c r="C50" i="15"/>
  <c r="B48" i="15"/>
  <c r="C48" i="15"/>
  <c r="C43" i="15"/>
  <c r="E11" i="15"/>
  <c r="D11" i="15"/>
  <c r="C11" i="15"/>
  <c r="D10" i="15"/>
  <c r="C10" i="15"/>
  <c r="E12" i="15"/>
  <c r="D12" i="15"/>
  <c r="C12" i="15"/>
  <c r="B12" i="15"/>
  <c r="E30" i="6" l="1"/>
  <c r="K45" i="6"/>
  <c r="E78" i="7"/>
  <c r="E29" i="6"/>
  <c r="E66" i="6"/>
  <c r="G64" i="6"/>
  <c r="E65" i="6"/>
  <c r="E64" i="6"/>
  <c r="E63" i="6"/>
  <c r="K21" i="7"/>
  <c r="I47" i="4"/>
  <c r="H11" i="10" l="1"/>
  <c r="G14" i="8" l="1"/>
  <c r="G12" i="8"/>
  <c r="G10" i="8"/>
  <c r="G8" i="19" l="1"/>
  <c r="M41" i="18"/>
  <c r="V41" i="18" s="1"/>
  <c r="D41" i="9"/>
  <c r="D22" i="9"/>
  <c r="E83" i="8"/>
  <c r="C48" i="7"/>
  <c r="K18" i="7"/>
  <c r="C17" i="7"/>
  <c r="C39" i="3"/>
  <c r="D7" i="25"/>
  <c r="G40" i="18" l="1"/>
  <c r="B28" i="30" l="1"/>
  <c r="B29" i="30" l="1"/>
  <c r="Q31" i="21" l="1"/>
  <c r="Q30" i="21"/>
  <c r="Q29" i="21"/>
  <c r="Q23" i="21"/>
  <c r="Q22" i="21"/>
  <c r="Q21" i="21"/>
  <c r="Q15" i="21"/>
  <c r="Q14" i="21"/>
  <c r="Q13" i="21"/>
  <c r="P32" i="21"/>
  <c r="P31" i="21"/>
  <c r="P30" i="21"/>
  <c r="P29" i="21"/>
  <c r="P24" i="21"/>
  <c r="P23" i="21"/>
  <c r="P22" i="21"/>
  <c r="P21" i="21"/>
  <c r="Q4" i="21"/>
  <c r="Q32" i="21" s="1"/>
  <c r="P14" i="21"/>
  <c r="P15" i="21"/>
  <c r="P16" i="21"/>
  <c r="P13" i="21"/>
  <c r="S31" i="18"/>
  <c r="S30" i="18"/>
  <c r="S29" i="18"/>
  <c r="S24" i="18"/>
  <c r="T24" i="18" s="1"/>
  <c r="S22" i="18"/>
  <c r="T22" i="18" s="1"/>
  <c r="S23" i="18"/>
  <c r="T23" i="18" s="1"/>
  <c r="S21" i="18"/>
  <c r="T21" i="18" s="1"/>
  <c r="T30" i="18"/>
  <c r="T29" i="18"/>
  <c r="T31" i="18"/>
  <c r="S18" i="18"/>
  <c r="T18" i="18" s="1"/>
  <c r="S17" i="18"/>
  <c r="T17" i="18" s="1"/>
  <c r="S16" i="18"/>
  <c r="T16" i="18" s="1"/>
  <c r="S12" i="18"/>
  <c r="T12" i="18" s="1"/>
  <c r="S11" i="18"/>
  <c r="T11" i="18" s="1"/>
  <c r="S10" i="18"/>
  <c r="T10" i="18" s="1"/>
  <c r="S9" i="18"/>
  <c r="S14" i="18" s="1"/>
  <c r="T14" i="18" s="1"/>
  <c r="S8" i="18"/>
  <c r="S13" i="18" s="1"/>
  <c r="T13" i="18" s="1"/>
  <c r="S7" i="18"/>
  <c r="T7" i="18" s="1"/>
  <c r="T8" i="18" l="1"/>
  <c r="T9" i="18"/>
  <c r="S25" i="18"/>
  <c r="T25" i="18" s="1"/>
  <c r="Q16" i="21"/>
  <c r="Q24" i="21"/>
  <c r="D195" i="11"/>
  <c r="H261" i="11"/>
  <c r="F277" i="10"/>
  <c r="F276" i="10"/>
  <c r="J163" i="23" l="1"/>
  <c r="U29" i="18"/>
  <c r="V29" i="18" s="1"/>
  <c r="I54" i="6"/>
  <c r="U11" i="25"/>
  <c r="T8" i="25"/>
  <c r="S11" i="25"/>
  <c r="R8" i="25"/>
  <c r="Y11" i="25"/>
  <c r="X8" i="25"/>
  <c r="W11" i="25"/>
  <c r="P8" i="25"/>
  <c r="O11" i="25"/>
  <c r="H8" i="25"/>
  <c r="G11" i="25"/>
  <c r="F8" i="25"/>
  <c r="E11" i="25"/>
  <c r="D8" i="25"/>
  <c r="X11" i="25"/>
  <c r="T11" i="25"/>
  <c r="R11" i="25"/>
  <c r="P11" i="25"/>
  <c r="M11" i="25"/>
  <c r="L11" i="25"/>
  <c r="K11" i="25"/>
  <c r="J11" i="25"/>
  <c r="H11" i="25"/>
  <c r="F11" i="25"/>
  <c r="D11" i="25"/>
  <c r="Y8" i="25"/>
  <c r="W8" i="25"/>
  <c r="U8" i="25"/>
  <c r="S8" i="25"/>
  <c r="O8" i="25"/>
  <c r="M8" i="25"/>
  <c r="L8" i="25"/>
  <c r="K8" i="25"/>
  <c r="J8" i="25"/>
  <c r="G8" i="25"/>
  <c r="E8" i="25"/>
  <c r="H26" i="10" l="1"/>
  <c r="F54" i="10"/>
  <c r="D30" i="29"/>
  <c r="D32" i="29"/>
  <c r="D33" i="29"/>
  <c r="H9" i="10" l="1"/>
  <c r="H18" i="10" s="1"/>
  <c r="E16" i="1"/>
  <c r="J73" i="10"/>
  <c r="J74" i="10"/>
  <c r="H74" i="10"/>
  <c r="H73" i="10"/>
  <c r="F74" i="10"/>
  <c r="F73" i="10"/>
  <c r="D73" i="10"/>
  <c r="D74" i="10"/>
  <c r="I51" i="8"/>
  <c r="G51" i="8"/>
  <c r="E51" i="8"/>
  <c r="E97" i="1" l="1"/>
  <c r="B17" i="30"/>
  <c r="B30" i="30" s="1"/>
  <c r="E30" i="30" s="1"/>
  <c r="F40" i="29"/>
  <c r="F41" i="29"/>
  <c r="F39" i="29"/>
  <c r="C35" i="17" l="1"/>
  <c r="J18" i="11"/>
  <c r="H18" i="11"/>
  <c r="F18" i="11"/>
  <c r="D18" i="11"/>
  <c r="H225" i="10"/>
  <c r="F145" i="10"/>
  <c r="D113" i="29"/>
  <c r="G175" i="8"/>
  <c r="G80" i="7"/>
  <c r="E27" i="5" l="1"/>
  <c r="D27" i="5"/>
  <c r="E26" i="5"/>
  <c r="D26" i="5"/>
  <c r="E25" i="5"/>
  <c r="D25" i="5"/>
  <c r="E24" i="5"/>
  <c r="D24" i="5"/>
  <c r="A27" i="5"/>
  <c r="A26" i="5"/>
  <c r="A25" i="5"/>
  <c r="A24" i="5"/>
  <c r="A9" i="5"/>
  <c r="B9" i="5"/>
  <c r="A10" i="5"/>
  <c r="B10" i="5"/>
  <c r="A11" i="5"/>
  <c r="B11" i="5"/>
  <c r="A12" i="5"/>
  <c r="B12" i="5"/>
  <c r="B8" i="5"/>
  <c r="A8" i="5"/>
  <c r="B50" i="15" l="1"/>
  <c r="E49" i="15"/>
  <c r="E46" i="15"/>
  <c r="E45" i="15"/>
  <c r="E44" i="15"/>
  <c r="B43" i="15"/>
  <c r="F123" i="11"/>
  <c r="F122" i="11"/>
  <c r="F121" i="11"/>
  <c r="F82" i="11"/>
  <c r="F81" i="11"/>
  <c r="F80" i="11"/>
  <c r="F44" i="15" l="1"/>
  <c r="U21" i="25"/>
  <c r="H276" i="10"/>
  <c r="H277" i="10"/>
  <c r="D54" i="10" l="1"/>
  <c r="D56" i="10"/>
  <c r="D57" i="10"/>
  <c r="D55" i="10"/>
  <c r="F24" i="10"/>
  <c r="F23" i="10"/>
  <c r="F7" i="10"/>
  <c r="F6" i="10"/>
  <c r="F181" i="10"/>
  <c r="F141" i="10"/>
  <c r="F140" i="10"/>
  <c r="F139" i="10"/>
  <c r="E92" i="8"/>
  <c r="E91" i="8"/>
  <c r="E90" i="8"/>
  <c r="C18" i="7"/>
  <c r="F80" i="1"/>
  <c r="I8" i="25"/>
  <c r="C131" i="29" l="1"/>
  <c r="C126" i="29"/>
  <c r="C120" i="29"/>
  <c r="C130" i="29"/>
  <c r="C129" i="29"/>
  <c r="C125" i="29"/>
  <c r="C124" i="29"/>
  <c r="K59" i="8" l="1"/>
  <c r="K55" i="29"/>
  <c r="D132" i="29" s="1"/>
  <c r="K54" i="29"/>
  <c r="D127" i="29" s="1"/>
  <c r="K53" i="29"/>
  <c r="D121" i="29" s="1"/>
  <c r="K24" i="7" l="1"/>
  <c r="D62" i="29"/>
  <c r="D122" i="29" s="1"/>
  <c r="H110" i="29" l="1"/>
  <c r="D96" i="29"/>
  <c r="D97" i="29"/>
  <c r="D95" i="29"/>
  <c r="D110" i="29" s="1"/>
  <c r="C97" i="29"/>
  <c r="C105" i="29" s="1"/>
  <c r="C96" i="29"/>
  <c r="C104" i="29" s="1"/>
  <c r="C95" i="29"/>
  <c r="F62" i="29"/>
  <c r="C122" i="29" s="1"/>
  <c r="F122" i="29" s="1"/>
  <c r="D46" i="29"/>
  <c r="D45" i="29"/>
  <c r="C79" i="29"/>
  <c r="C78" i="29"/>
  <c r="G12" i="6"/>
  <c r="C98" i="29" l="1"/>
  <c r="C106" i="29" s="1"/>
  <c r="F97" i="29"/>
  <c r="F95" i="29"/>
  <c r="C103" i="29"/>
  <c r="F103" i="29" s="1"/>
  <c r="F96" i="29"/>
  <c r="D112" i="29"/>
  <c r="D111" i="29"/>
  <c r="F98" i="29" l="1"/>
  <c r="C91" i="29" s="1"/>
  <c r="F374" i="23"/>
  <c r="C75" i="29" l="1"/>
  <c r="C74" i="29"/>
  <c r="D60" i="29"/>
  <c r="D61" i="29"/>
  <c r="H30" i="29"/>
  <c r="F30" i="29"/>
  <c r="D31" i="29"/>
  <c r="H34" i="29"/>
  <c r="F34" i="29"/>
  <c r="C70" i="29" l="1"/>
  <c r="C118" i="29"/>
  <c r="C71" i="29"/>
  <c r="C119" i="29"/>
  <c r="F55" i="29"/>
  <c r="F61" i="29" s="1"/>
  <c r="H61" i="29" s="1"/>
  <c r="C132" i="29"/>
  <c r="F132" i="29" s="1"/>
  <c r="F53" i="29"/>
  <c r="F59" i="29" s="1"/>
  <c r="C121" i="29"/>
  <c r="F121" i="29" s="1"/>
  <c r="F54" i="29"/>
  <c r="F60" i="29" s="1"/>
  <c r="H60" i="29" s="1"/>
  <c r="C127" i="29"/>
  <c r="F127" i="29" s="1"/>
  <c r="D59" i="29"/>
  <c r="F45" i="29"/>
  <c r="H45" i="29" s="1"/>
  <c r="D34" i="29"/>
  <c r="F241" i="11"/>
  <c r="H59" i="29" l="1"/>
  <c r="H62" i="29"/>
  <c r="Y24" i="25"/>
  <c r="Y9" i="25" s="1"/>
  <c r="Y22" i="25" s="1"/>
  <c r="X24" i="25"/>
  <c r="X9" i="25" s="1"/>
  <c r="X22" i="25" s="1"/>
  <c r="W24" i="25"/>
  <c r="W9" i="25" s="1"/>
  <c r="U24" i="25"/>
  <c r="T24" i="25"/>
  <c r="S24" i="25"/>
  <c r="S9" i="25" s="1"/>
  <c r="S22" i="25" s="1"/>
  <c r="R24" i="25"/>
  <c r="R9" i="25" s="1"/>
  <c r="P24" i="25"/>
  <c r="P9" i="25" s="1"/>
  <c r="P22" i="25" s="1"/>
  <c r="O24" i="25"/>
  <c r="O9" i="25" s="1"/>
  <c r="M24" i="25"/>
  <c r="M9" i="25" s="1"/>
  <c r="M22" i="25" s="1"/>
  <c r="L24" i="25"/>
  <c r="L9" i="25" s="1"/>
  <c r="K24" i="25"/>
  <c r="K9" i="25" s="1"/>
  <c r="J24" i="25"/>
  <c r="J9" i="25" s="1"/>
  <c r="H24" i="25"/>
  <c r="H9" i="25" s="1"/>
  <c r="H22" i="25" s="1"/>
  <c r="G24" i="25"/>
  <c r="G9" i="25" s="1"/>
  <c r="F24" i="25"/>
  <c r="F9" i="25" s="1"/>
  <c r="F22" i="25" s="1"/>
  <c r="E24" i="25"/>
  <c r="E9" i="25" s="1"/>
  <c r="E22" i="25" s="1"/>
  <c r="D24" i="25"/>
  <c r="D9" i="25" s="1"/>
  <c r="W22" i="25"/>
  <c r="R22" i="25"/>
  <c r="O22" i="25"/>
  <c r="L22" i="25"/>
  <c r="K22" i="25"/>
  <c r="G22" i="25"/>
  <c r="Y21" i="25"/>
  <c r="X21" i="25"/>
  <c r="W21" i="25"/>
  <c r="T21" i="25"/>
  <c r="S21" i="25"/>
  <c r="R21" i="25"/>
  <c r="P21" i="25"/>
  <c r="O21" i="25"/>
  <c r="M21" i="25"/>
  <c r="L21" i="25"/>
  <c r="K21" i="25"/>
  <c r="J21" i="25"/>
  <c r="H21" i="25"/>
  <c r="G21" i="25"/>
  <c r="F21" i="25"/>
  <c r="E21" i="25"/>
  <c r="D21" i="25"/>
  <c r="V15" i="25"/>
  <c r="Q15" i="25"/>
  <c r="N15" i="25"/>
  <c r="I21" i="25"/>
  <c r="V11" i="25"/>
  <c r="V24" i="25" s="1"/>
  <c r="Q11" i="25"/>
  <c r="Q24" i="25" s="1"/>
  <c r="N11" i="25"/>
  <c r="N24" i="25" s="1"/>
  <c r="I11" i="25"/>
  <c r="V8" i="25"/>
  <c r="Q8" i="25"/>
  <c r="N8" i="25"/>
  <c r="H63" i="29" l="1"/>
  <c r="C87" i="29" s="1"/>
  <c r="Q9" i="25"/>
  <c r="Q22" i="25" s="1"/>
  <c r="N9" i="25"/>
  <c r="N22" i="25" s="1"/>
  <c r="J22" i="25"/>
  <c r="D22" i="25"/>
  <c r="B5" i="30"/>
  <c r="I9" i="25"/>
  <c r="I22" i="25" s="1"/>
  <c r="J7" i="11"/>
  <c r="D33" i="11"/>
  <c r="T9" i="25"/>
  <c r="T22" i="25" s="1"/>
  <c r="D34" i="11"/>
  <c r="U9" i="25"/>
  <c r="U22" i="25" s="1"/>
  <c r="V21" i="25"/>
  <c r="C8" i="25"/>
  <c r="C11" i="25"/>
  <c r="C24" i="25" s="1"/>
  <c r="N21" i="25"/>
  <c r="Q21" i="25"/>
  <c r="C15" i="25"/>
  <c r="I24" i="25"/>
  <c r="V22" i="25" l="1"/>
  <c r="V9" i="25"/>
  <c r="J6" i="11"/>
  <c r="C21" i="25"/>
  <c r="C9" i="25" l="1"/>
  <c r="C22" i="25" s="1"/>
  <c r="C22" i="15"/>
  <c r="F20" i="16" l="1"/>
  <c r="D118" i="1" l="1"/>
  <c r="C68" i="7" l="1"/>
  <c r="C67" i="7"/>
  <c r="C50" i="7" l="1"/>
  <c r="D87" i="1"/>
  <c r="D86" i="1"/>
  <c r="K44" i="6" l="1"/>
  <c r="E32" i="6"/>
  <c r="E22" i="1"/>
  <c r="G29" i="19"/>
  <c r="G28" i="19"/>
  <c r="G27" i="19"/>
  <c r="G22" i="19"/>
  <c r="G21" i="19"/>
  <c r="G18" i="19"/>
  <c r="G17" i="19"/>
  <c r="G15" i="19"/>
  <c r="G20" i="19"/>
  <c r="G14" i="19"/>
  <c r="G12" i="19"/>
  <c r="G11" i="19"/>
  <c r="G10" i="19"/>
  <c r="G9" i="19"/>
  <c r="K38" i="4" l="1"/>
  <c r="K37" i="4" s="1"/>
  <c r="B15" i="30"/>
  <c r="B13" i="30" s="1"/>
  <c r="B27" i="30" s="1"/>
  <c r="K8" i="19"/>
  <c r="F81" i="10" l="1"/>
  <c r="F55" i="10"/>
  <c r="F56" i="10"/>
  <c r="F57" i="10"/>
  <c r="J55" i="10"/>
  <c r="J56" i="10"/>
  <c r="J57" i="10"/>
  <c r="J54" i="10"/>
  <c r="H55" i="10"/>
  <c r="H56" i="10"/>
  <c r="H57" i="10"/>
  <c r="H54" i="10"/>
  <c r="D10" i="22" l="1"/>
  <c r="D9" i="22"/>
  <c r="D8" i="22"/>
  <c r="D7" i="22"/>
  <c r="H245" i="23" l="1"/>
  <c r="H195" i="23"/>
  <c r="G195" i="23"/>
  <c r="C209" i="8" l="1"/>
  <c r="E84" i="8"/>
  <c r="E46" i="5"/>
  <c r="E40" i="5"/>
  <c r="C41" i="5"/>
  <c r="E41" i="5" s="1"/>
  <c r="C45" i="5"/>
  <c r="E45" i="5" s="1"/>
  <c r="C44" i="5"/>
  <c r="C43" i="5"/>
  <c r="C42" i="5"/>
  <c r="D47" i="5"/>
  <c r="D48" i="5"/>
  <c r="D38" i="5"/>
  <c r="D39" i="5"/>
  <c r="D37" i="5"/>
  <c r="F41" i="11"/>
  <c r="E58" i="4" l="1"/>
  <c r="E57" i="4"/>
  <c r="E56" i="4"/>
  <c r="B47" i="3"/>
  <c r="D46" i="3"/>
  <c r="D45" i="3"/>
  <c r="E44" i="3"/>
  <c r="C43" i="3"/>
  <c r="E43" i="3" s="1"/>
  <c r="C41" i="3"/>
  <c r="C42" i="3"/>
  <c r="C40" i="3"/>
  <c r="E39" i="3"/>
  <c r="C47" i="3"/>
  <c r="E38" i="3"/>
  <c r="E47" i="3" s="1"/>
  <c r="D36" i="3"/>
  <c r="D37" i="3"/>
  <c r="D35" i="3"/>
  <c r="F27" i="3"/>
  <c r="F26" i="3"/>
  <c r="E25" i="4"/>
  <c r="G97" i="1"/>
  <c r="F69" i="1"/>
  <c r="F71" i="1" s="1"/>
  <c r="G16" i="1"/>
  <c r="E9" i="1"/>
  <c r="E7" i="1" s="1"/>
  <c r="E8" i="1" s="1"/>
  <c r="D47" i="3" l="1"/>
  <c r="C48" i="3"/>
  <c r="B48" i="3"/>
  <c r="E30" i="1"/>
  <c r="E45" i="1" s="1"/>
  <c r="J166" i="23"/>
  <c r="J151" i="23"/>
  <c r="B18" i="26"/>
  <c r="C16" i="26"/>
  <c r="D16" i="26"/>
  <c r="E16" i="26" s="1"/>
  <c r="F16" i="26" s="1"/>
  <c r="G16" i="26" s="1"/>
  <c r="H16" i="26" s="1"/>
  <c r="I16" i="26" s="1"/>
  <c r="J16" i="26" s="1"/>
  <c r="K16" i="26" s="1"/>
  <c r="L16" i="26" s="1"/>
  <c r="M16" i="26" s="1"/>
  <c r="M30" i="18" l="1"/>
  <c r="U30" i="18"/>
  <c r="V30" i="18" s="1"/>
  <c r="U31" i="18"/>
  <c r="V31" i="18" s="1"/>
  <c r="G32" i="8" l="1"/>
  <c r="G8" i="8"/>
  <c r="G20" i="8" s="1"/>
  <c r="G26" i="8"/>
  <c r="H40" i="10"/>
  <c r="H33" i="10"/>
  <c r="D15" i="17" l="1"/>
  <c r="C42" i="19"/>
  <c r="C41" i="19"/>
  <c r="C40" i="19"/>
  <c r="K36" i="21" l="1"/>
  <c r="C44" i="22"/>
  <c r="C43" i="22"/>
  <c r="C42" i="22"/>
  <c r="J7" i="23"/>
  <c r="C10" i="26"/>
  <c r="D10" i="26" s="1"/>
  <c r="F34" i="23" l="1"/>
  <c r="F32" i="23"/>
  <c r="G63" i="6"/>
  <c r="K57" i="8"/>
  <c r="E10" i="26"/>
  <c r="D18" i="26"/>
  <c r="C18" i="26"/>
  <c r="E18" i="26" l="1"/>
  <c r="F10" i="26"/>
  <c r="F18" i="26" s="1"/>
  <c r="G10" i="26" l="1"/>
  <c r="C39" i="19"/>
  <c r="H10" i="26" l="1"/>
  <c r="G18" i="26"/>
  <c r="C41" i="22" l="1"/>
  <c r="H18" i="26"/>
  <c r="I10" i="26"/>
  <c r="J10" i="26" l="1"/>
  <c r="I18" i="26"/>
  <c r="K10" i="26" l="1"/>
  <c r="J18" i="26"/>
  <c r="E10" i="7"/>
  <c r="D73" i="1" l="1"/>
  <c r="G19" i="6"/>
  <c r="L10" i="26"/>
  <c r="K18" i="26"/>
  <c r="F73" i="1" l="1"/>
  <c r="L18" i="26"/>
  <c r="M10" i="26"/>
  <c r="M18" i="26" s="1"/>
  <c r="C13" i="17"/>
  <c r="F37" i="10"/>
  <c r="F30" i="10"/>
  <c r="E30" i="8"/>
  <c r="H7" i="29" s="1"/>
  <c r="E24" i="8"/>
  <c r="F7" i="29" s="1"/>
  <c r="E6" i="8"/>
  <c r="C8" i="7"/>
  <c r="D7" i="1"/>
  <c r="G12" i="4" l="1"/>
  <c r="F7" i="1"/>
  <c r="B8" i="30" s="1"/>
  <c r="D7" i="29"/>
  <c r="D8" i="1"/>
  <c r="E31" i="8"/>
  <c r="H8" i="29" s="1"/>
  <c r="H25" i="29" s="1"/>
  <c r="D55" i="29" s="1"/>
  <c r="H55" i="29" s="1"/>
  <c r="F31" i="10"/>
  <c r="C14" i="17"/>
  <c r="C9" i="7"/>
  <c r="F38" i="10"/>
  <c r="E7" i="8"/>
  <c r="E25" i="8"/>
  <c r="F8" i="29" s="1"/>
  <c r="F25" i="29" s="1"/>
  <c r="D54" i="29" s="1"/>
  <c r="H54" i="29" s="1"/>
  <c r="E12" i="4"/>
  <c r="O40" i="19"/>
  <c r="D31" i="11"/>
  <c r="D32" i="11"/>
  <c r="I12" i="4" l="1"/>
  <c r="E13" i="4"/>
  <c r="I13" i="4" s="1"/>
  <c r="F8" i="1"/>
  <c r="B9" i="30" s="1"/>
  <c r="B22" i="30" s="1"/>
  <c r="D8" i="29"/>
  <c r="I41" i="22"/>
  <c r="E254" i="8" l="1"/>
  <c r="H118" i="23"/>
  <c r="H120" i="23" s="1"/>
  <c r="H138" i="23" s="1"/>
  <c r="H119" i="23"/>
  <c r="H127" i="23"/>
  <c r="H128" i="23"/>
  <c r="H131" i="23" s="1"/>
  <c r="H129" i="23"/>
  <c r="J145" i="23"/>
  <c r="H156" i="23"/>
  <c r="J157" i="23" s="1"/>
  <c r="I205" i="23"/>
  <c r="F225" i="23"/>
  <c r="J13" i="23" s="1"/>
  <c r="H225" i="23"/>
  <c r="I188" i="23" s="1"/>
  <c r="I190" i="23" s="1"/>
  <c r="G196" i="23" s="1"/>
  <c r="H243" i="23"/>
  <c r="H247" i="23"/>
  <c r="H360" i="23"/>
  <c r="H361" i="23" s="1"/>
  <c r="H362" i="23" s="1"/>
  <c r="H363" i="23" s="1"/>
  <c r="H364" i="23" s="1"/>
  <c r="H365" i="23" s="1"/>
  <c r="H366" i="23" s="1"/>
  <c r="H367" i="23" s="1"/>
  <c r="H368" i="23" s="1"/>
  <c r="H369" i="23" s="1"/>
  <c r="H370" i="23" s="1"/>
  <c r="H371" i="23" s="1"/>
  <c r="H372" i="23" s="1"/>
  <c r="H373" i="23" s="1"/>
  <c r="D361" i="23"/>
  <c r="D362" i="23" s="1"/>
  <c r="D363" i="23" s="1"/>
  <c r="D364" i="23" s="1"/>
  <c r="D365" i="23" s="1"/>
  <c r="D366" i="23" s="1"/>
  <c r="D367" i="23" s="1"/>
  <c r="D368" i="23" s="1"/>
  <c r="D369" i="23" s="1"/>
  <c r="D370" i="23" s="1"/>
  <c r="D371" i="23" s="1"/>
  <c r="F375" i="23"/>
  <c r="F376" i="23" s="1"/>
  <c r="F377" i="23" s="1"/>
  <c r="F401" i="23"/>
  <c r="F403" i="23" s="1"/>
  <c r="H234" i="23" s="1"/>
  <c r="B4" i="22"/>
  <c r="E4" i="22"/>
  <c r="F4" i="22"/>
  <c r="H7" i="22"/>
  <c r="F7" i="22"/>
  <c r="G23" i="22"/>
  <c r="F8" i="22"/>
  <c r="H9" i="22"/>
  <c r="F9" i="22"/>
  <c r="G25" i="22"/>
  <c r="F10" i="22"/>
  <c r="H19" i="22"/>
  <c r="I19" i="22" s="1"/>
  <c r="B22" i="22"/>
  <c r="E22" i="22" s="1"/>
  <c r="H22" i="22"/>
  <c r="I22" i="22" s="1"/>
  <c r="B23" i="22"/>
  <c r="D23" i="22"/>
  <c r="H23" i="22"/>
  <c r="H29" i="22" s="1"/>
  <c r="I29" i="22" s="1"/>
  <c r="B24" i="22"/>
  <c r="D24" i="22"/>
  <c r="E24" i="22" s="1"/>
  <c r="H24" i="22"/>
  <c r="I24" i="22" s="1"/>
  <c r="B25" i="22"/>
  <c r="D25" i="22"/>
  <c r="H25" i="22"/>
  <c r="H31" i="22" s="1"/>
  <c r="I31" i="22" s="1"/>
  <c r="B28" i="22"/>
  <c r="E28" i="22" s="1"/>
  <c r="B29" i="22"/>
  <c r="D29" i="22"/>
  <c r="D30" i="22" s="1"/>
  <c r="D31" i="22" s="1"/>
  <c r="E31" i="22" s="1"/>
  <c r="E29" i="22"/>
  <c r="B30" i="22"/>
  <c r="E30" i="22" s="1"/>
  <c r="B31" i="22"/>
  <c r="C45" i="22"/>
  <c r="C47" i="22" s="1"/>
  <c r="D7" i="21"/>
  <c r="I7" i="21"/>
  <c r="K7" i="21"/>
  <c r="M7" i="21" s="1"/>
  <c r="N7" i="21"/>
  <c r="D8" i="21"/>
  <c r="F8" i="21"/>
  <c r="I8" i="21"/>
  <c r="K8" i="21"/>
  <c r="M8" i="21" s="1"/>
  <c r="N8" i="21"/>
  <c r="D9" i="21"/>
  <c r="F9" i="21"/>
  <c r="I9" i="21"/>
  <c r="K9" i="21"/>
  <c r="M9" i="21" s="1"/>
  <c r="N9" i="21"/>
  <c r="D10" i="21"/>
  <c r="F10" i="21"/>
  <c r="I10" i="21"/>
  <c r="K10" i="21"/>
  <c r="M10" i="21" s="1"/>
  <c r="N10" i="21"/>
  <c r="D11" i="21"/>
  <c r="F11" i="21"/>
  <c r="I11" i="21"/>
  <c r="K11" i="21"/>
  <c r="M11" i="21" s="1"/>
  <c r="N11" i="21"/>
  <c r="D12" i="21"/>
  <c r="F12" i="21"/>
  <c r="I12" i="21"/>
  <c r="K12" i="21"/>
  <c r="M12" i="21" s="1"/>
  <c r="N12" i="21"/>
  <c r="D13" i="21"/>
  <c r="D14" i="21"/>
  <c r="D15" i="21"/>
  <c r="D16" i="21"/>
  <c r="D21" i="21"/>
  <c r="D22" i="21"/>
  <c r="D23" i="21"/>
  <c r="D24" i="21"/>
  <c r="D29" i="21"/>
  <c r="D30" i="21"/>
  <c r="D31" i="21"/>
  <c r="D32" i="21"/>
  <c r="O8" i="19"/>
  <c r="O9" i="19"/>
  <c r="K9" i="19"/>
  <c r="O10" i="19"/>
  <c r="K10" i="19"/>
  <c r="O11" i="19"/>
  <c r="K11" i="19"/>
  <c r="O12" i="19"/>
  <c r="K12" i="19"/>
  <c r="O14" i="19"/>
  <c r="K14" i="19"/>
  <c r="O15" i="19"/>
  <c r="K15" i="19"/>
  <c r="O17" i="19"/>
  <c r="K17" i="19"/>
  <c r="O18" i="19"/>
  <c r="K18" i="19"/>
  <c r="O20" i="19"/>
  <c r="K20" i="19"/>
  <c r="O21" i="19"/>
  <c r="K21" i="19"/>
  <c r="O22" i="19"/>
  <c r="K22" i="19"/>
  <c r="O27" i="19"/>
  <c r="K27" i="19"/>
  <c r="K28" i="19"/>
  <c r="O29" i="19"/>
  <c r="K29" i="19"/>
  <c r="G31" i="19"/>
  <c r="O31" i="19" s="1"/>
  <c r="K31" i="19"/>
  <c r="K32" i="19"/>
  <c r="C43" i="19"/>
  <c r="G7" i="18"/>
  <c r="G8" i="18"/>
  <c r="G9" i="18"/>
  <c r="G11" i="18"/>
  <c r="G12" i="18"/>
  <c r="G13" i="18"/>
  <c r="G14" i="18"/>
  <c r="G15" i="18"/>
  <c r="G16" i="18"/>
  <c r="G17" i="18"/>
  <c r="G18" i="18"/>
  <c r="G21" i="18"/>
  <c r="G22" i="18"/>
  <c r="G23" i="18"/>
  <c r="G24" i="18"/>
  <c r="G25" i="18"/>
  <c r="G29" i="18"/>
  <c r="M29" i="18"/>
  <c r="O29" i="18" s="1"/>
  <c r="Q29" i="18"/>
  <c r="G30" i="18"/>
  <c r="G31" i="18"/>
  <c r="Q31" i="18"/>
  <c r="M31" i="18"/>
  <c r="O31" i="18" s="1"/>
  <c r="G34" i="18"/>
  <c r="G35" i="18"/>
  <c r="G36" i="18"/>
  <c r="D13" i="17"/>
  <c r="F13" i="17" s="1"/>
  <c r="F14" i="17"/>
  <c r="C24" i="17"/>
  <c r="I24" i="17" s="1"/>
  <c r="C45" i="17" s="1"/>
  <c r="F24" i="17"/>
  <c r="C39" i="17"/>
  <c r="C46" i="17" s="1"/>
  <c r="C57" i="17"/>
  <c r="C58" i="17"/>
  <c r="C59" i="17"/>
  <c r="F59" i="17" s="1"/>
  <c r="D59" i="17"/>
  <c r="F36" i="16"/>
  <c r="D13" i="15"/>
  <c r="D17" i="15" s="1"/>
  <c r="D19" i="15" s="1"/>
  <c r="C13" i="15"/>
  <c r="C17" i="15" s="1"/>
  <c r="E13" i="15"/>
  <c r="E17" i="15" s="1"/>
  <c r="C18" i="15"/>
  <c r="F45" i="15"/>
  <c r="F46" i="15"/>
  <c r="F49" i="15"/>
  <c r="A3" i="14"/>
  <c r="C13" i="14"/>
  <c r="C17" i="14" s="1"/>
  <c r="D13" i="14"/>
  <c r="D17" i="14" s="1"/>
  <c r="D19" i="14" s="1"/>
  <c r="E13" i="14"/>
  <c r="E17" i="14" s="1"/>
  <c r="B18" i="14"/>
  <c r="C18" i="14" s="1"/>
  <c r="C22" i="14"/>
  <c r="D22" i="14"/>
  <c r="E22" i="14"/>
  <c r="B42" i="14"/>
  <c r="B43" i="14"/>
  <c r="B44" i="14"/>
  <c r="B45" i="14"/>
  <c r="A1" i="13"/>
  <c r="A3" i="13"/>
  <c r="B18" i="13"/>
  <c r="B20" i="13"/>
  <c r="B22" i="13"/>
  <c r="B24" i="13"/>
  <c r="A1" i="12"/>
  <c r="A3" i="12"/>
  <c r="F14" i="12"/>
  <c r="G14" i="12" s="1"/>
  <c r="B18" i="12"/>
  <c r="B20" i="12"/>
  <c r="B22" i="12"/>
  <c r="B24" i="12"/>
  <c r="D238" i="11"/>
  <c r="D173" i="11"/>
  <c r="D174" i="11"/>
  <c r="D175" i="11"/>
  <c r="D221" i="11" s="1"/>
  <c r="D239" i="11"/>
  <c r="D249" i="11"/>
  <c r="D68" i="11" s="1"/>
  <c r="D259" i="11"/>
  <c r="D69" i="11" s="1"/>
  <c r="D270" i="11"/>
  <c r="D159" i="11"/>
  <c r="D160" i="11"/>
  <c r="D260" i="11"/>
  <c r="D162" i="11"/>
  <c r="D120" i="11"/>
  <c r="D241" i="11"/>
  <c r="D251" i="11"/>
  <c r="D262" i="11"/>
  <c r="D272" i="11"/>
  <c r="F57" i="11" s="1"/>
  <c r="D79" i="11"/>
  <c r="D80" i="11"/>
  <c r="H80" i="11" s="1"/>
  <c r="D109" i="11"/>
  <c r="D110" i="11"/>
  <c r="D243" i="11"/>
  <c r="D253" i="11"/>
  <c r="F33" i="11"/>
  <c r="F31" i="11"/>
  <c r="H31" i="11" s="1"/>
  <c r="B41" i="11"/>
  <c r="B42" i="11"/>
  <c r="F42" i="11"/>
  <c r="B43" i="11"/>
  <c r="F43" i="11"/>
  <c r="F264" i="11" s="1"/>
  <c r="B44" i="11"/>
  <c r="F44" i="11"/>
  <c r="F274" i="11" s="1"/>
  <c r="B46" i="11"/>
  <c r="B54" i="11"/>
  <c r="B55" i="11"/>
  <c r="D55" i="11"/>
  <c r="D56" i="11" s="1"/>
  <c r="B56" i="11"/>
  <c r="B57" i="11"/>
  <c r="B59" i="11"/>
  <c r="B67" i="11"/>
  <c r="B79" i="11" s="1"/>
  <c r="B68" i="11"/>
  <c r="B80" i="11" s="1"/>
  <c r="B69" i="11"/>
  <c r="B81" i="11" s="1"/>
  <c r="B70" i="11"/>
  <c r="B82" i="11" s="1"/>
  <c r="B72" i="11"/>
  <c r="D87" i="11"/>
  <c r="B96" i="11"/>
  <c r="D96" i="11"/>
  <c r="B97" i="11"/>
  <c r="D97" i="11"/>
  <c r="B98" i="11"/>
  <c r="D98" i="11"/>
  <c r="B99" i="11"/>
  <c r="D99" i="11"/>
  <c r="B107" i="11"/>
  <c r="B108" i="11"/>
  <c r="B109" i="11"/>
  <c r="B110" i="11"/>
  <c r="B112" i="11"/>
  <c r="B120" i="11"/>
  <c r="B121" i="11"/>
  <c r="D121" i="11"/>
  <c r="H121" i="11" s="1"/>
  <c r="B122" i="11"/>
  <c r="B123" i="11"/>
  <c r="B125" i="11"/>
  <c r="B131" i="11"/>
  <c r="B132" i="11"/>
  <c r="B133" i="11"/>
  <c r="B134" i="11"/>
  <c r="B150" i="11"/>
  <c r="F150" i="11"/>
  <c r="J150" i="11"/>
  <c r="B151" i="11"/>
  <c r="F151" i="11"/>
  <c r="B152" i="11"/>
  <c r="F152" i="11"/>
  <c r="B153" i="11"/>
  <c r="F153" i="11"/>
  <c r="B159" i="11"/>
  <c r="B160" i="11"/>
  <c r="B161" i="11"/>
  <c r="B162" i="11"/>
  <c r="B164" i="11"/>
  <c r="B172" i="11"/>
  <c r="F172" i="11"/>
  <c r="F209" i="11" s="1"/>
  <c r="B173" i="11"/>
  <c r="F173" i="11"/>
  <c r="F210" i="11" s="1"/>
  <c r="B174" i="11"/>
  <c r="F174" i="11"/>
  <c r="F211" i="11" s="1"/>
  <c r="B175" i="11"/>
  <c r="F175" i="11"/>
  <c r="F212" i="11" s="1"/>
  <c r="B177" i="11"/>
  <c r="B136" i="11" s="1"/>
  <c r="B183" i="11"/>
  <c r="F183" i="11"/>
  <c r="J209" i="11" s="1"/>
  <c r="B184" i="11"/>
  <c r="B185" i="11"/>
  <c r="B186" i="11"/>
  <c r="B209" i="11"/>
  <c r="B210" i="11"/>
  <c r="B211" i="11"/>
  <c r="B212" i="11"/>
  <c r="B218" i="11"/>
  <c r="B219" i="11"/>
  <c r="B220" i="11"/>
  <c r="B221" i="11"/>
  <c r="B223" i="11"/>
  <c r="E258" i="11"/>
  <c r="E269" i="11" s="1"/>
  <c r="E263" i="11"/>
  <c r="E273" i="11" s="1"/>
  <c r="E264" i="11"/>
  <c r="E274" i="11" s="1"/>
  <c r="J7" i="10"/>
  <c r="D6" i="9" s="1"/>
  <c r="D13" i="9" s="1"/>
  <c r="B14" i="10"/>
  <c r="B15" i="10"/>
  <c r="B16" i="10"/>
  <c r="B18" i="10"/>
  <c r="B22" i="10"/>
  <c r="B23" i="10"/>
  <c r="H23" i="10"/>
  <c r="H22" i="10" s="1"/>
  <c r="B24" i="10"/>
  <c r="J24" i="10"/>
  <c r="F6" i="9" s="1"/>
  <c r="F13" i="9" s="1"/>
  <c r="B26" i="10"/>
  <c r="B29" i="10"/>
  <c r="B30" i="10"/>
  <c r="H30" i="10"/>
  <c r="H29" i="10" s="1"/>
  <c r="B31" i="10"/>
  <c r="J31" i="10"/>
  <c r="D83" i="10" s="1"/>
  <c r="B33" i="10"/>
  <c r="B36" i="10"/>
  <c r="B37" i="10"/>
  <c r="H37" i="10"/>
  <c r="J37" i="10" s="1"/>
  <c r="B38" i="10"/>
  <c r="J38" i="10"/>
  <c r="J6" i="9" s="1"/>
  <c r="J13" i="9" s="1"/>
  <c r="B40" i="10"/>
  <c r="B43" i="10"/>
  <c r="B44" i="10"/>
  <c r="B45" i="10"/>
  <c r="H45" i="10"/>
  <c r="B47" i="10"/>
  <c r="F91" i="10"/>
  <c r="F82" i="10"/>
  <c r="F92" i="10" s="1"/>
  <c r="F83" i="10"/>
  <c r="F93" i="10" s="1"/>
  <c r="F84" i="10"/>
  <c r="F94" i="10" s="1"/>
  <c r="B91" i="10"/>
  <c r="D91" i="10"/>
  <c r="F255" i="10" s="1"/>
  <c r="B92" i="10"/>
  <c r="D92" i="10"/>
  <c r="B93" i="10"/>
  <c r="B94" i="10"/>
  <c r="B96" i="10"/>
  <c r="B105" i="10"/>
  <c r="B106" i="10"/>
  <c r="D106" i="10"/>
  <c r="B107" i="10"/>
  <c r="D107" i="10"/>
  <c r="F197" i="10" s="1"/>
  <c r="B108" i="10"/>
  <c r="D108" i="10"/>
  <c r="F205" i="10" s="1"/>
  <c r="B110" i="10"/>
  <c r="B119" i="10"/>
  <c r="B120" i="10"/>
  <c r="B121" i="10"/>
  <c r="B122" i="10"/>
  <c r="B127" i="10"/>
  <c r="D127" i="10"/>
  <c r="B128" i="10"/>
  <c r="D128" i="10"/>
  <c r="B129" i="10"/>
  <c r="D129" i="10"/>
  <c r="B130" i="10"/>
  <c r="D130" i="10"/>
  <c r="B132" i="10"/>
  <c r="B138" i="10"/>
  <c r="D138" i="10"/>
  <c r="H138" i="10" s="1"/>
  <c r="B139" i="10"/>
  <c r="D139" i="10"/>
  <c r="H139" i="10" s="1"/>
  <c r="B140" i="10"/>
  <c r="D140" i="10"/>
  <c r="B141" i="10"/>
  <c r="D141" i="10"/>
  <c r="D152" i="10" s="1"/>
  <c r="B143" i="10"/>
  <c r="B149" i="10"/>
  <c r="B150" i="10"/>
  <c r="B151" i="10"/>
  <c r="B152" i="10"/>
  <c r="B154" i="10"/>
  <c r="B172" i="10"/>
  <c r="D172" i="10"/>
  <c r="B173" i="10"/>
  <c r="D173" i="10"/>
  <c r="B174" i="10"/>
  <c r="D174" i="10"/>
  <c r="B175" i="10"/>
  <c r="D175" i="10"/>
  <c r="D180" i="10"/>
  <c r="D181" i="10"/>
  <c r="D182" i="10"/>
  <c r="D183" i="10"/>
  <c r="F183" i="10"/>
  <c r="D188" i="10"/>
  <c r="E188" i="10"/>
  <c r="E196" i="10" s="1"/>
  <c r="E204" i="10" s="1"/>
  <c r="D189" i="10"/>
  <c r="F189" i="10"/>
  <c r="D190" i="10"/>
  <c r="E190" i="10"/>
  <c r="E198" i="10" s="1"/>
  <c r="E206" i="10" s="1"/>
  <c r="D191" i="10"/>
  <c r="E191" i="10"/>
  <c r="D196" i="10"/>
  <c r="D197" i="10"/>
  <c r="F107" i="10" s="1"/>
  <c r="D198" i="10"/>
  <c r="D199" i="10"/>
  <c r="E199" i="10"/>
  <c r="E207" i="10" s="1"/>
  <c r="D204" i="10"/>
  <c r="D205" i="10"/>
  <c r="D206" i="10"/>
  <c r="D207" i="10"/>
  <c r="H232" i="10"/>
  <c r="D255" i="10"/>
  <c r="F270" i="10"/>
  <c r="F256" i="10" s="1"/>
  <c r="D14" i="9"/>
  <c r="D20" i="9" s="1"/>
  <c r="F14" i="9"/>
  <c r="F20" i="9" s="1"/>
  <c r="H14" i="9"/>
  <c r="H20" i="9" s="1"/>
  <c r="J14" i="9"/>
  <c r="J20" i="9" s="1"/>
  <c r="D18" i="9"/>
  <c r="F18" i="9"/>
  <c r="D29" i="9"/>
  <c r="F29" i="9"/>
  <c r="F41" i="9" s="1"/>
  <c r="H29" i="9"/>
  <c r="H41" i="9" s="1"/>
  <c r="J29" i="9"/>
  <c r="D30" i="9"/>
  <c r="D72" i="9" s="1"/>
  <c r="F30" i="9"/>
  <c r="F72" i="9" s="1"/>
  <c r="H30" i="9"/>
  <c r="H72" i="9" s="1"/>
  <c r="J30" i="9"/>
  <c r="J72" i="9" s="1"/>
  <c r="F34" i="9"/>
  <c r="H34" i="9" s="1"/>
  <c r="D40" i="9"/>
  <c r="D52" i="9"/>
  <c r="D53" i="9"/>
  <c r="D54" i="9"/>
  <c r="D55" i="9"/>
  <c r="J67" i="9"/>
  <c r="I7" i="8"/>
  <c r="G6" i="8"/>
  <c r="G24" i="8"/>
  <c r="I25" i="8"/>
  <c r="C58" i="8" s="1"/>
  <c r="G30" i="8"/>
  <c r="I31" i="8"/>
  <c r="C59" i="8" s="1"/>
  <c r="E57" i="8"/>
  <c r="E58" i="8"/>
  <c r="E69" i="8" s="1"/>
  <c r="C69" i="8"/>
  <c r="E59" i="8"/>
  <c r="E70" i="8" s="1"/>
  <c r="C70" i="8"/>
  <c r="C68" i="8"/>
  <c r="G83" i="8"/>
  <c r="G84" i="8"/>
  <c r="E100" i="8"/>
  <c r="E101" i="8"/>
  <c r="E103" i="8"/>
  <c r="E104" i="8"/>
  <c r="E106" i="8"/>
  <c r="E107" i="8"/>
  <c r="C124" i="8"/>
  <c r="G124" i="8" s="1"/>
  <c r="C125" i="8"/>
  <c r="G125" i="8"/>
  <c r="C128" i="8"/>
  <c r="G128" i="8" s="1"/>
  <c r="C129" i="8"/>
  <c r="G129" i="8" s="1"/>
  <c r="C132" i="8"/>
  <c r="G132" i="8" s="1"/>
  <c r="C133" i="8"/>
  <c r="G133" i="8" s="1"/>
  <c r="C142" i="8"/>
  <c r="C143" i="8"/>
  <c r="C144" i="8"/>
  <c r="C145" i="8"/>
  <c r="C146" i="8"/>
  <c r="C150" i="8"/>
  <c r="C151" i="8"/>
  <c r="C152" i="8"/>
  <c r="C153" i="8"/>
  <c r="C154" i="8"/>
  <c r="C159" i="8"/>
  <c r="C160" i="8"/>
  <c r="C161" i="8"/>
  <c r="C162" i="8"/>
  <c r="C163" i="8"/>
  <c r="E173" i="8"/>
  <c r="E223" i="8"/>
  <c r="G251" i="8"/>
  <c r="E261" i="8" s="1"/>
  <c r="G261" i="8" s="1"/>
  <c r="E194" i="8" s="1"/>
  <c r="G9" i="7"/>
  <c r="K16" i="7" s="1"/>
  <c r="C20" i="7"/>
  <c r="C22" i="7" s="1"/>
  <c r="K17" i="7" s="1"/>
  <c r="E30" i="7"/>
  <c r="C37" i="7"/>
  <c r="C38" i="7"/>
  <c r="G65" i="6" s="1"/>
  <c r="I65" i="6" s="1"/>
  <c r="E28" i="6" s="1"/>
  <c r="C47" i="7"/>
  <c r="C49" i="7" s="1"/>
  <c r="E60" i="7"/>
  <c r="C69" i="7"/>
  <c r="C70" i="7"/>
  <c r="G87" i="7"/>
  <c r="C112" i="7"/>
  <c r="C113" i="7"/>
  <c r="E12" i="6"/>
  <c r="I12" i="6" s="1"/>
  <c r="E13" i="6"/>
  <c r="I13" i="6" s="1"/>
  <c r="I19" i="6"/>
  <c r="C45" i="6"/>
  <c r="I55" i="6"/>
  <c r="I56" i="6"/>
  <c r="E67" i="6"/>
  <c r="E68" i="6"/>
  <c r="E69" i="6"/>
  <c r="E70" i="6"/>
  <c r="G70" i="6"/>
  <c r="D13" i="5"/>
  <c r="D14" i="5" s="1"/>
  <c r="F24" i="5"/>
  <c r="F25" i="5"/>
  <c r="F26" i="5"/>
  <c r="F27" i="5"/>
  <c r="D28" i="5"/>
  <c r="E28" i="5"/>
  <c r="E49" i="5"/>
  <c r="D49" i="5"/>
  <c r="B49" i="5"/>
  <c r="B50" i="5" s="1"/>
  <c r="C49" i="5"/>
  <c r="E62" i="4"/>
  <c r="E61" i="4"/>
  <c r="C38" i="4"/>
  <c r="I48" i="4"/>
  <c r="I49" i="4"/>
  <c r="G62" i="4" s="1"/>
  <c r="E59" i="4"/>
  <c r="E60" i="4"/>
  <c r="D13" i="3"/>
  <c r="D14" i="3" s="1"/>
  <c r="F24" i="3"/>
  <c r="F25" i="3"/>
  <c r="D28" i="3"/>
  <c r="E28" i="3"/>
  <c r="E48" i="3"/>
  <c r="D48" i="3"/>
  <c r="F75" i="1"/>
  <c r="D132" i="1"/>
  <c r="D67" i="1"/>
  <c r="D71" i="1"/>
  <c r="D75" i="1" s="1"/>
  <c r="D119" i="1"/>
  <c r="F120" i="1"/>
  <c r="G56" i="4"/>
  <c r="I56" i="4" s="1"/>
  <c r="E21" i="4" s="1"/>
  <c r="F56" i="1"/>
  <c r="D56" i="1"/>
  <c r="B10" i="15" l="1"/>
  <c r="I70" i="6"/>
  <c r="H255" i="10"/>
  <c r="H189" i="10"/>
  <c r="H183" i="10"/>
  <c r="D149" i="10"/>
  <c r="G61" i="7"/>
  <c r="C51" i="7"/>
  <c r="C57" i="7" s="1"/>
  <c r="G57" i="4"/>
  <c r="I57" i="4" s="1"/>
  <c r="D132" i="10"/>
  <c r="E61" i="8"/>
  <c r="G182" i="8"/>
  <c r="E198" i="8" s="1"/>
  <c r="C206" i="8" s="1"/>
  <c r="B13" i="15"/>
  <c r="B17" i="15" s="1"/>
  <c r="E50" i="5"/>
  <c r="C50" i="5"/>
  <c r="D50" i="5"/>
  <c r="F28" i="5"/>
  <c r="F30" i="5" s="1"/>
  <c r="D16" i="5" s="1"/>
  <c r="F28" i="3"/>
  <c r="F30" i="3" s="1"/>
  <c r="D16" i="3" s="1"/>
  <c r="D17" i="3" s="1"/>
  <c r="B50" i="3" s="1"/>
  <c r="D50" i="3" s="1"/>
  <c r="E36" i="4" s="1"/>
  <c r="G36" i="4" s="1"/>
  <c r="B53" i="14"/>
  <c r="B11" i="14" s="1"/>
  <c r="D31" i="9"/>
  <c r="D66" i="9"/>
  <c r="I62" i="4"/>
  <c r="F77" i="1"/>
  <c r="G223" i="8"/>
  <c r="E192" i="8" s="1"/>
  <c r="E225" i="8"/>
  <c r="G23" i="8"/>
  <c r="F11" i="29"/>
  <c r="I30" i="8"/>
  <c r="H11" i="29"/>
  <c r="F378" i="23"/>
  <c r="F379" i="23" s="1"/>
  <c r="F380" i="23" s="1"/>
  <c r="F381" i="23" s="1"/>
  <c r="F382" i="23" s="1"/>
  <c r="F383" i="23" s="1"/>
  <c r="F384" i="23" s="1"/>
  <c r="H374" i="23"/>
  <c r="H375" i="23" s="1"/>
  <c r="H376" i="23" s="1"/>
  <c r="H377" i="23" s="1"/>
  <c r="C19" i="15"/>
  <c r="B47" i="14"/>
  <c r="G29" i="8"/>
  <c r="C20" i="17"/>
  <c r="I20" i="17" s="1"/>
  <c r="C19" i="14"/>
  <c r="F22" i="22"/>
  <c r="C45" i="19"/>
  <c r="E9" i="19" s="1"/>
  <c r="F31" i="9"/>
  <c r="F106" i="10"/>
  <c r="H205" i="10"/>
  <c r="H197" i="10"/>
  <c r="D254" i="10"/>
  <c r="F245" i="10"/>
  <c r="D253" i="10" s="1"/>
  <c r="G59" i="8"/>
  <c r="G58" i="8"/>
  <c r="C208" i="8"/>
  <c r="E68" i="8"/>
  <c r="E72" i="8" s="1"/>
  <c r="D132" i="11"/>
  <c r="F32" i="11"/>
  <c r="H32" i="11" s="1"/>
  <c r="D250" i="11"/>
  <c r="D186" i="11"/>
  <c r="D242" i="11"/>
  <c r="H41" i="11"/>
  <c r="J41" i="11" s="1"/>
  <c r="D240" i="11"/>
  <c r="D131" i="11"/>
  <c r="H131" i="11" s="1"/>
  <c r="H120" i="11"/>
  <c r="D263" i="11"/>
  <c r="H175" i="11"/>
  <c r="D172" i="11"/>
  <c r="D218" i="11" s="1"/>
  <c r="D81" i="11"/>
  <c r="H81" i="11" s="1"/>
  <c r="H42" i="11"/>
  <c r="J42" i="11" s="1"/>
  <c r="D264" i="11"/>
  <c r="H264" i="11" s="1"/>
  <c r="E23" i="22"/>
  <c r="E25" i="22"/>
  <c r="H130" i="23"/>
  <c r="H132" i="23" s="1"/>
  <c r="H139" i="23" s="1"/>
  <c r="H140" i="23" s="1"/>
  <c r="J11" i="23" s="1"/>
  <c r="E180" i="23"/>
  <c r="J9" i="23" s="1"/>
  <c r="D33" i="23" s="1"/>
  <c r="H33" i="23" s="1"/>
  <c r="J17" i="23" s="1"/>
  <c r="C90" i="8"/>
  <c r="G90" i="8" s="1"/>
  <c r="C100" i="8" s="1"/>
  <c r="G100" i="8" s="1"/>
  <c r="C91" i="8"/>
  <c r="G91" i="8" s="1"/>
  <c r="D372" i="23"/>
  <c r="D373" i="23" s="1"/>
  <c r="D374" i="23" s="1"/>
  <c r="D375" i="23" s="1"/>
  <c r="D376" i="23" s="1"/>
  <c r="D377" i="23" s="1"/>
  <c r="D378" i="23" s="1"/>
  <c r="D379" i="23" s="1"/>
  <c r="D380" i="23" s="1"/>
  <c r="D381" i="23" s="1"/>
  <c r="D382" i="23" s="1"/>
  <c r="D383" i="23" s="1"/>
  <c r="D384" i="23" s="1"/>
  <c r="D219" i="11"/>
  <c r="H173" i="11"/>
  <c r="D184" i="11"/>
  <c r="F54" i="11"/>
  <c r="H54" i="11" s="1"/>
  <c r="H241" i="11"/>
  <c r="D252" i="11"/>
  <c r="D248" i="11"/>
  <c r="D108" i="11"/>
  <c r="F243" i="11"/>
  <c r="H243" i="11" s="1"/>
  <c r="D271" i="11"/>
  <c r="F253" i="11"/>
  <c r="H253" i="11" s="1"/>
  <c r="D107" i="11"/>
  <c r="H106" i="10"/>
  <c r="F191" i="10"/>
  <c r="H191" i="10" s="1"/>
  <c r="D150" i="10"/>
  <c r="F108" i="10"/>
  <c r="H92" i="10"/>
  <c r="H181" i="10"/>
  <c r="H256" i="10"/>
  <c r="H141" i="10"/>
  <c r="H108" i="10"/>
  <c r="F105" i="10"/>
  <c r="H83" i="10"/>
  <c r="H6" i="9"/>
  <c r="H13" i="9" s="1"/>
  <c r="H16" i="9" s="1"/>
  <c r="D71" i="9"/>
  <c r="D78" i="9" s="1"/>
  <c r="J31" i="9"/>
  <c r="F16" i="9"/>
  <c r="D16" i="9"/>
  <c r="J30" i="10"/>
  <c r="H5" i="9" s="1"/>
  <c r="H28" i="9" s="1"/>
  <c r="J16" i="9"/>
  <c r="J41" i="9"/>
  <c r="J71" i="9" s="1"/>
  <c r="J78" i="9" s="1"/>
  <c r="F22" i="9"/>
  <c r="F66" i="9" s="1"/>
  <c r="E208" i="8"/>
  <c r="I24" i="8"/>
  <c r="F30" i="22"/>
  <c r="F29" i="22"/>
  <c r="E70" i="7"/>
  <c r="G70" i="7" s="1"/>
  <c r="E113" i="7"/>
  <c r="G113" i="7" s="1"/>
  <c r="I38" i="7"/>
  <c r="C56" i="7" s="1"/>
  <c r="H56" i="1"/>
  <c r="D82" i="10"/>
  <c r="H82" i="10" s="1"/>
  <c r="D120" i="1"/>
  <c r="D91" i="1"/>
  <c r="E132" i="1" s="1"/>
  <c r="D122" i="1"/>
  <c r="E131" i="1" s="1"/>
  <c r="I16" i="1"/>
  <c r="E38" i="1" s="1"/>
  <c r="H196" i="23"/>
  <c r="H197" i="23" s="1"/>
  <c r="H202" i="23" s="1"/>
  <c r="H204" i="23" s="1"/>
  <c r="G197" i="23"/>
  <c r="G202" i="23" s="1"/>
  <c r="G204" i="23" s="1"/>
  <c r="F97" i="23"/>
  <c r="F72" i="23"/>
  <c r="F88" i="23"/>
  <c r="C7" i="22"/>
  <c r="C9" i="22"/>
  <c r="C8" i="22"/>
  <c r="C10" i="22"/>
  <c r="F31" i="22"/>
  <c r="F24" i="22"/>
  <c r="F23" i="22"/>
  <c r="K25" i="22"/>
  <c r="G31" i="22"/>
  <c r="K31" i="22" s="1"/>
  <c r="K23" i="22"/>
  <c r="G29" i="22"/>
  <c r="K29" i="22" s="1"/>
  <c r="F28" i="22"/>
  <c r="F25" i="22"/>
  <c r="H30" i="22"/>
  <c r="I30" i="22" s="1"/>
  <c r="H28" i="22"/>
  <c r="I28" i="22" s="1"/>
  <c r="I25" i="22"/>
  <c r="G24" i="22"/>
  <c r="I23" i="22"/>
  <c r="G22" i="22"/>
  <c r="H10" i="22"/>
  <c r="H8" i="22"/>
  <c r="E17" i="19"/>
  <c r="E12" i="19"/>
  <c r="O28" i="19"/>
  <c r="G32" i="19"/>
  <c r="O32" i="19" s="1"/>
  <c r="O30" i="18"/>
  <c r="Q30" i="18"/>
  <c r="D58" i="17"/>
  <c r="F58" i="17" s="1"/>
  <c r="D12" i="17"/>
  <c r="D70" i="11"/>
  <c r="H33" i="11"/>
  <c r="H43" i="11"/>
  <c r="J43" i="11" s="1"/>
  <c r="D269" i="11"/>
  <c r="D67" i="11"/>
  <c r="F262" i="11"/>
  <c r="H262" i="11" s="1"/>
  <c r="H79" i="11"/>
  <c r="D220" i="11"/>
  <c r="B188" i="11"/>
  <c r="D36" i="11"/>
  <c r="D273" i="11"/>
  <c r="D82" i="11"/>
  <c r="H82" i="11" s="1"/>
  <c r="F56" i="11"/>
  <c r="H56" i="11" s="1"/>
  <c r="F55" i="11"/>
  <c r="H55" i="11" s="1"/>
  <c r="D185" i="11"/>
  <c r="H174" i="11"/>
  <c r="D57" i="11"/>
  <c r="F251" i="11"/>
  <c r="H251" i="11" s="1"/>
  <c r="F34" i="11"/>
  <c r="H44" i="11" s="1"/>
  <c r="J44" i="11" s="1"/>
  <c r="D274" i="11"/>
  <c r="H274" i="11" s="1"/>
  <c r="D258" i="11"/>
  <c r="D161" i="11"/>
  <c r="D164" i="11" s="1"/>
  <c r="H105" i="10"/>
  <c r="F110" i="10"/>
  <c r="F96" i="10"/>
  <c r="H91" i="10"/>
  <c r="H140" i="10"/>
  <c r="D151" i="10"/>
  <c r="J5" i="9"/>
  <c r="J28" i="9" s="1"/>
  <c r="H107" i="10"/>
  <c r="H6" i="10"/>
  <c r="H15" i="10" s="1"/>
  <c r="H44" i="10" s="1"/>
  <c r="F86" i="10"/>
  <c r="H270" i="10"/>
  <c r="D143" i="10"/>
  <c r="D84" i="10"/>
  <c r="H84" i="10" s="1"/>
  <c r="J23" i="10"/>
  <c r="F5" i="9" s="1"/>
  <c r="F28" i="9" s="1"/>
  <c r="F71" i="9"/>
  <c r="J34" i="9"/>
  <c r="H71" i="9"/>
  <c r="H31" i="9"/>
  <c r="I6" i="8"/>
  <c r="C173" i="8" s="1"/>
  <c r="G173" i="8" s="1"/>
  <c r="G18" i="8"/>
  <c r="G36" i="8" s="1"/>
  <c r="C104" i="8"/>
  <c r="G104" i="8" s="1"/>
  <c r="E143" i="8"/>
  <c r="G143" i="8" s="1"/>
  <c r="E160" i="8"/>
  <c r="G160" i="8" s="1"/>
  <c r="C101" i="8"/>
  <c r="G101" i="8" s="1"/>
  <c r="C107" i="8"/>
  <c r="G107" i="8" s="1"/>
  <c r="E151" i="8"/>
  <c r="G151" i="8" s="1"/>
  <c r="G70" i="8"/>
  <c r="E163" i="8"/>
  <c r="G163" i="8"/>
  <c r="E154" i="8"/>
  <c r="G154" i="8" s="1"/>
  <c r="G69" i="8"/>
  <c r="E236" i="8"/>
  <c r="G236" i="8" s="1"/>
  <c r="G135" i="8"/>
  <c r="E209" i="8"/>
  <c r="G209" i="8" s="1"/>
  <c r="E146" i="8"/>
  <c r="G146" i="8" s="1"/>
  <c r="E191" i="8" s="1"/>
  <c r="C92" i="8"/>
  <c r="G92" i="8" s="1"/>
  <c r="G5" i="8"/>
  <c r="C111" i="7"/>
  <c r="E69" i="7"/>
  <c r="G69" i="7" s="1"/>
  <c r="E112" i="7"/>
  <c r="G112" i="7" s="1"/>
  <c r="I37" i="7"/>
  <c r="E101" i="7"/>
  <c r="C110" i="7" s="1"/>
  <c r="E127" i="7"/>
  <c r="E8" i="7"/>
  <c r="D17" i="5"/>
  <c r="E45" i="6" s="1"/>
  <c r="B19" i="15" l="1"/>
  <c r="B24" i="15"/>
  <c r="C24" i="15" s="1"/>
  <c r="C29" i="7"/>
  <c r="F88" i="1"/>
  <c r="H88" i="1" s="1"/>
  <c r="E8" i="19"/>
  <c r="E32" i="19"/>
  <c r="E11" i="19"/>
  <c r="G150" i="8"/>
  <c r="H5" i="10"/>
  <c r="C207" i="8"/>
  <c r="H120" i="1"/>
  <c r="G68" i="8"/>
  <c r="B10" i="14"/>
  <c r="B13" i="14" s="1"/>
  <c r="B17" i="14" s="1"/>
  <c r="B19" i="14" s="1"/>
  <c r="D24" i="14" s="1"/>
  <c r="D26" i="14" s="1"/>
  <c r="D34" i="14" s="1"/>
  <c r="E24" i="15"/>
  <c r="F24" i="15" s="1"/>
  <c r="E38" i="4"/>
  <c r="E50" i="3"/>
  <c r="E37" i="4" s="1"/>
  <c r="G37" i="4" s="1"/>
  <c r="C50" i="3"/>
  <c r="E35" i="4" s="1"/>
  <c r="G35" i="4" s="1"/>
  <c r="C26" i="15"/>
  <c r="C33" i="15" s="1"/>
  <c r="D24" i="15"/>
  <c r="D26" i="15" s="1"/>
  <c r="D34" i="15" s="1"/>
  <c r="H143" i="10"/>
  <c r="D164" i="10" s="1"/>
  <c r="C103" i="8"/>
  <c r="G103" i="8" s="1"/>
  <c r="E142" i="8"/>
  <c r="G142" i="8" s="1"/>
  <c r="G177" i="8"/>
  <c r="H24" i="29"/>
  <c r="G8" i="7"/>
  <c r="D11" i="29"/>
  <c r="F24" i="29"/>
  <c r="D177" i="11"/>
  <c r="H378" i="23"/>
  <c r="H379" i="23" s="1"/>
  <c r="H380" i="23" s="1"/>
  <c r="H381" i="23" s="1"/>
  <c r="H382" i="23" s="1"/>
  <c r="H383" i="23" s="1"/>
  <c r="H384" i="23" s="1"/>
  <c r="G387" i="23" s="1"/>
  <c r="G391" i="23" s="1"/>
  <c r="J83" i="10"/>
  <c r="J84" i="10" s="1"/>
  <c r="E27" i="19"/>
  <c r="E31" i="19"/>
  <c r="C6" i="20"/>
  <c r="D6" i="20" s="1"/>
  <c r="E18" i="19"/>
  <c r="E22" i="19"/>
  <c r="C14" i="20"/>
  <c r="D14" i="20" s="1"/>
  <c r="I36" i="18" s="1"/>
  <c r="E21" i="19"/>
  <c r="E10" i="19"/>
  <c r="E28" i="19"/>
  <c r="E14" i="19"/>
  <c r="C11" i="20"/>
  <c r="D11" i="20" s="1"/>
  <c r="I35" i="18" s="1"/>
  <c r="K35" i="18" s="1"/>
  <c r="E29" i="19"/>
  <c r="E15" i="19"/>
  <c r="C7" i="20"/>
  <c r="D7" i="20" s="1"/>
  <c r="E20" i="19"/>
  <c r="F89" i="1"/>
  <c r="H89" i="1" s="1"/>
  <c r="G211" i="8"/>
  <c r="G225" i="8"/>
  <c r="E193" i="8" s="1"/>
  <c r="E244" i="8"/>
  <c r="G244" i="8" s="1"/>
  <c r="G58" i="4"/>
  <c r="I58" i="4" s="1"/>
  <c r="E22" i="4" s="1"/>
  <c r="D73" i="9"/>
  <c r="G208" i="8"/>
  <c r="D223" i="11"/>
  <c r="D183" i="11"/>
  <c r="H183" i="11" s="1"/>
  <c r="H84" i="11"/>
  <c r="D88" i="11" s="1"/>
  <c r="D112" i="11"/>
  <c r="J46" i="11"/>
  <c r="D192" i="11" s="1"/>
  <c r="H172" i="11"/>
  <c r="H177" i="11" s="1"/>
  <c r="D201" i="11" s="1"/>
  <c r="D131" i="1"/>
  <c r="D134" i="1" s="1"/>
  <c r="G389" i="23"/>
  <c r="J19" i="23" s="1"/>
  <c r="F71" i="23" s="1"/>
  <c r="F387" i="23"/>
  <c r="F59" i="11"/>
  <c r="H34" i="11"/>
  <c r="D84" i="11"/>
  <c r="F36" i="11"/>
  <c r="H110" i="10"/>
  <c r="D159" i="10" s="1"/>
  <c r="K31" i="9"/>
  <c r="J73" i="9"/>
  <c r="H233" i="23"/>
  <c r="H235" i="23" s="1"/>
  <c r="E269" i="23" s="1"/>
  <c r="I274" i="23" s="1"/>
  <c r="E97" i="7"/>
  <c r="E134" i="1"/>
  <c r="I97" i="1"/>
  <c r="E106" i="1" s="1"/>
  <c r="E43" i="1"/>
  <c r="D54" i="1"/>
  <c r="I204" i="23"/>
  <c r="I206" i="23" s="1"/>
  <c r="G28" i="22"/>
  <c r="K28" i="22" s="1"/>
  <c r="K22" i="22"/>
  <c r="G30" i="22"/>
  <c r="K30" i="22" s="1"/>
  <c r="K24" i="22"/>
  <c r="D72" i="11"/>
  <c r="D123" i="11"/>
  <c r="H57" i="11"/>
  <c r="H59" i="11" s="1"/>
  <c r="D193" i="11" s="1"/>
  <c r="F272" i="11"/>
  <c r="H272" i="11" s="1"/>
  <c r="H46" i="11"/>
  <c r="D122" i="11"/>
  <c r="D154" i="10"/>
  <c r="J6" i="10"/>
  <c r="F240" i="10"/>
  <c r="F78" i="9"/>
  <c r="F73" i="9"/>
  <c r="H73" i="9"/>
  <c r="H78" i="9"/>
  <c r="G159" i="8"/>
  <c r="C106" i="8"/>
  <c r="G106" i="8" s="1"/>
  <c r="G109" i="8" s="1"/>
  <c r="C115" i="8" s="1"/>
  <c r="G17" i="8"/>
  <c r="E96" i="7"/>
  <c r="C55" i="7"/>
  <c r="E7" i="7"/>
  <c r="K19" i="6"/>
  <c r="M19" i="6" s="1"/>
  <c r="G66" i="6" s="1"/>
  <c r="I66" i="6" s="1"/>
  <c r="I63" i="6"/>
  <c r="E26" i="6" s="1"/>
  <c r="G127" i="7"/>
  <c r="B52" i="5"/>
  <c r="G72" i="8" l="1"/>
  <c r="C114" i="8" s="1"/>
  <c r="D41" i="29"/>
  <c r="H41" i="29" s="1"/>
  <c r="F15" i="16"/>
  <c r="F17" i="16" s="1"/>
  <c r="F23" i="16" s="1"/>
  <c r="D90" i="11"/>
  <c r="C96" i="11" s="1"/>
  <c r="D8" i="20"/>
  <c r="I34" i="18" s="1"/>
  <c r="K36" i="18"/>
  <c r="M36" i="18" s="1"/>
  <c r="O36" i="18" s="1"/>
  <c r="D125" i="11"/>
  <c r="E24" i="14"/>
  <c r="F24" i="14" s="1"/>
  <c r="B24" i="14"/>
  <c r="E12" i="12"/>
  <c r="E16" i="12" s="1"/>
  <c r="E22" i="12" s="1"/>
  <c r="E26" i="15"/>
  <c r="F12" i="12" s="1"/>
  <c r="F16" i="12" s="1"/>
  <c r="F18" i="12" s="1"/>
  <c r="G38" i="4"/>
  <c r="H18" i="9"/>
  <c r="H22" i="9" s="1"/>
  <c r="H66" i="9" s="1"/>
  <c r="M35" i="18"/>
  <c r="O35" i="18" s="1"/>
  <c r="Q35" i="18"/>
  <c r="D188" i="11"/>
  <c r="I286" i="23"/>
  <c r="I279" i="23"/>
  <c r="I308" i="23"/>
  <c r="I289" i="23"/>
  <c r="I310" i="23"/>
  <c r="I281" i="23"/>
  <c r="I309" i="23"/>
  <c r="I278" i="23"/>
  <c r="I301" i="23"/>
  <c r="I300" i="23"/>
  <c r="I290" i="23"/>
  <c r="I299" i="23"/>
  <c r="I307" i="23"/>
  <c r="I288" i="23"/>
  <c r="I287" i="23"/>
  <c r="I306" i="23"/>
  <c r="I277" i="23"/>
  <c r="I298" i="23"/>
  <c r="I280" i="23"/>
  <c r="I297" i="23"/>
  <c r="F96" i="23"/>
  <c r="F70" i="23"/>
  <c r="J21" i="23"/>
  <c r="D87" i="23" s="1"/>
  <c r="F95" i="23"/>
  <c r="F87" i="23"/>
  <c r="F86" i="23"/>
  <c r="M34" i="18"/>
  <c r="O34" i="18" s="1"/>
  <c r="D93" i="10"/>
  <c r="H93" i="10" s="1"/>
  <c r="E21" i="1"/>
  <c r="E24" i="1" s="1"/>
  <c r="E27" i="1" s="1"/>
  <c r="G179" i="8" s="1"/>
  <c r="E207" i="8" s="1"/>
  <c r="E235" i="8" s="1"/>
  <c r="E32" i="1"/>
  <c r="E44" i="1"/>
  <c r="D55" i="1" s="1"/>
  <c r="D58" i="1" s="1"/>
  <c r="D95" i="23"/>
  <c r="D70" i="23"/>
  <c r="D96" i="23"/>
  <c r="C34" i="15"/>
  <c r="D12" i="12"/>
  <c r="D16" i="12" s="1"/>
  <c r="H122" i="11"/>
  <c r="D133" i="11"/>
  <c r="H123" i="11"/>
  <c r="D134" i="11"/>
  <c r="K73" i="9"/>
  <c r="H14" i="10"/>
  <c r="H43" i="10" s="1"/>
  <c r="D223" i="10"/>
  <c r="H223" i="10" s="1"/>
  <c r="H227" i="10" s="1"/>
  <c r="H229" i="10" s="1"/>
  <c r="D5" i="9"/>
  <c r="D28" i="9" s="1"/>
  <c r="K28" i="9" s="1"/>
  <c r="K33" i="9" s="1"/>
  <c r="F33" i="9" s="1"/>
  <c r="F36" i="9" s="1"/>
  <c r="F38" i="9" s="1"/>
  <c r="F42" i="9" s="1"/>
  <c r="F44" i="9" s="1"/>
  <c r="F68" i="9" s="1"/>
  <c r="G19" i="8"/>
  <c r="G37" i="8" s="1"/>
  <c r="G35" i="8"/>
  <c r="I64" i="6"/>
  <c r="E27" i="6" s="1"/>
  <c r="G82" i="6"/>
  <c r="I82" i="6" s="1"/>
  <c r="C52" i="5"/>
  <c r="E42" i="6" s="1"/>
  <c r="G42" i="6" s="1"/>
  <c r="D52" i="5"/>
  <c r="E43" i="6" s="1"/>
  <c r="G43" i="6" s="1"/>
  <c r="E52" i="5"/>
  <c r="E44" i="6" s="1"/>
  <c r="G44" i="6" s="1"/>
  <c r="G235" i="8" l="1"/>
  <c r="C33" i="31"/>
  <c r="G184" i="8"/>
  <c r="E195" i="8" s="1"/>
  <c r="G207" i="8"/>
  <c r="B21" i="30"/>
  <c r="C28" i="30" s="1"/>
  <c r="E28" i="30" s="1"/>
  <c r="F55" i="1"/>
  <c r="F96" i="11"/>
  <c r="F107" i="11" s="1"/>
  <c r="F242" i="11" s="1"/>
  <c r="C55" i="31" s="1"/>
  <c r="C98" i="11"/>
  <c r="F98" i="11" s="1"/>
  <c r="F109" i="11" s="1"/>
  <c r="F263" i="11" s="1"/>
  <c r="C97" i="11"/>
  <c r="F97" i="11" s="1"/>
  <c r="F108" i="11" s="1"/>
  <c r="F252" i="11" s="1"/>
  <c r="C59" i="31" s="1"/>
  <c r="C99" i="11"/>
  <c r="F99" i="11" s="1"/>
  <c r="F110" i="11" s="1"/>
  <c r="Q36" i="18"/>
  <c r="E26" i="14"/>
  <c r="F20" i="12"/>
  <c r="F22" i="12"/>
  <c r="C24" i="14"/>
  <c r="C26" i="14" s="1"/>
  <c r="C33" i="14" s="1"/>
  <c r="C34" i="14" s="1"/>
  <c r="E18" i="12"/>
  <c r="E20" i="12"/>
  <c r="F24" i="12"/>
  <c r="E243" i="8"/>
  <c r="G243" i="8" s="1"/>
  <c r="G84" i="7"/>
  <c r="F199" i="10"/>
  <c r="H199" i="10" s="1"/>
  <c r="G38" i="8"/>
  <c r="H108" i="11"/>
  <c r="I302" i="23"/>
  <c r="K302" i="23" s="1"/>
  <c r="K303" i="23" s="1"/>
  <c r="I311" i="23"/>
  <c r="K311" i="23" s="1"/>
  <c r="K312" i="23" s="1"/>
  <c r="I282" i="23"/>
  <c r="K282" i="23" s="1"/>
  <c r="K283" i="23" s="1"/>
  <c r="I291" i="23"/>
  <c r="K291" i="23" s="1"/>
  <c r="K292" i="23" s="1"/>
  <c r="G45" i="6"/>
  <c r="Q34" i="18"/>
  <c r="D86" i="23"/>
  <c r="D72" i="23"/>
  <c r="D97" i="23"/>
  <c r="D99" i="23" s="1"/>
  <c r="D88" i="23"/>
  <c r="D71" i="23"/>
  <c r="H125" i="11"/>
  <c r="D143" i="11" s="1"/>
  <c r="D94" i="10"/>
  <c r="J18" i="9"/>
  <c r="J22" i="9" s="1"/>
  <c r="J66" i="9" s="1"/>
  <c r="H47" i="10"/>
  <c r="H33" i="9"/>
  <c r="H36" i="9" s="1"/>
  <c r="H38" i="9" s="1"/>
  <c r="H42" i="9" s="1"/>
  <c r="H44" i="9" s="1"/>
  <c r="H68" i="9" s="1"/>
  <c r="D33" i="9"/>
  <c r="D36" i="9" s="1"/>
  <c r="D38" i="9" s="1"/>
  <c r="D42" i="9" s="1"/>
  <c r="J33" i="9"/>
  <c r="J36" i="9" s="1"/>
  <c r="J38" i="9" s="1"/>
  <c r="J42" i="9" s="1"/>
  <c r="J44" i="9" s="1"/>
  <c r="J68" i="9" s="1"/>
  <c r="D18" i="12"/>
  <c r="D20" i="12"/>
  <c r="D136" i="11"/>
  <c r="H234" i="10"/>
  <c r="F242" i="10" s="1"/>
  <c r="F254" i="10"/>
  <c r="H263" i="11" l="1"/>
  <c r="C63" i="31"/>
  <c r="F273" i="11"/>
  <c r="C67" i="31" s="1"/>
  <c r="H252" i="11"/>
  <c r="H109" i="11"/>
  <c r="D44" i="9"/>
  <c r="D68" i="9" s="1"/>
  <c r="F274" i="10"/>
  <c r="H110" i="11"/>
  <c r="H107" i="11"/>
  <c r="H242" i="11"/>
  <c r="E111" i="7"/>
  <c r="G89" i="7"/>
  <c r="E98" i="7" s="1"/>
  <c r="D81" i="23"/>
  <c r="G32" i="1"/>
  <c r="G102" i="1"/>
  <c r="F87" i="1"/>
  <c r="I32" i="1"/>
  <c r="E39" i="1" s="1"/>
  <c r="D90" i="23"/>
  <c r="H94" i="10"/>
  <c r="H96" i="10" s="1"/>
  <c r="D158" i="10" s="1"/>
  <c r="F207" i="10"/>
  <c r="H207" i="10" s="1"/>
  <c r="F269" i="10"/>
  <c r="H254" i="10"/>
  <c r="H273" i="11" l="1"/>
  <c r="H274" i="10"/>
  <c r="C47" i="31"/>
  <c r="H269" i="10"/>
  <c r="C44" i="31"/>
  <c r="H87" i="1"/>
  <c r="C8" i="31"/>
  <c r="C12" i="31" s="1"/>
  <c r="H112" i="11"/>
  <c r="D196" i="11" s="1"/>
  <c r="E126" i="7"/>
  <c r="G126" i="7" s="1"/>
  <c r="G111" i="7"/>
  <c r="F102" i="23"/>
  <c r="F105" i="23" s="1"/>
  <c r="F119" i="1"/>
  <c r="I102" i="1"/>
  <c r="E107" i="1" s="1"/>
  <c r="H55" i="1"/>
  <c r="H119" i="1" l="1"/>
  <c r="C5" i="31"/>
  <c r="D40" i="29"/>
  <c r="H40" i="29" s="1"/>
  <c r="C20" i="31" s="1"/>
  <c r="E7" i="25" l="1"/>
  <c r="C7" i="7" s="1"/>
  <c r="F7" i="25"/>
  <c r="F12" i="25" s="1"/>
  <c r="G7" i="25"/>
  <c r="G20" i="25" s="1"/>
  <c r="H7" i="25"/>
  <c r="H20" i="25" s="1"/>
  <c r="J7" i="25"/>
  <c r="J20" i="25" s="1"/>
  <c r="K7" i="25"/>
  <c r="L7" i="25"/>
  <c r="M7" i="25"/>
  <c r="M20" i="25" s="1"/>
  <c r="O7" i="25"/>
  <c r="O20" i="25" s="1"/>
  <c r="P7" i="25"/>
  <c r="R7" i="25"/>
  <c r="R20" i="25" s="1"/>
  <c r="S7" i="25"/>
  <c r="S20" i="25" s="1"/>
  <c r="T7" i="25"/>
  <c r="T20" i="25" s="1"/>
  <c r="U7" i="25"/>
  <c r="U20" i="25" s="1"/>
  <c r="W7" i="25"/>
  <c r="X7" i="25"/>
  <c r="X20" i="25" s="1"/>
  <c r="Y7" i="25"/>
  <c r="Y20" i="25" s="1"/>
  <c r="D10" i="25"/>
  <c r="E10" i="25"/>
  <c r="F10" i="25"/>
  <c r="G10" i="25"/>
  <c r="H10" i="25"/>
  <c r="E29" i="8" s="1"/>
  <c r="I29" i="8" s="1"/>
  <c r="I32" i="8" s="1"/>
  <c r="J10" i="25"/>
  <c r="J23" i="25" s="1"/>
  <c r="K10" i="25"/>
  <c r="L10" i="25"/>
  <c r="L23" i="25" s="1"/>
  <c r="M10" i="25"/>
  <c r="F36" i="10" s="1"/>
  <c r="O10" i="25"/>
  <c r="P10" i="25"/>
  <c r="P23" i="25" s="1"/>
  <c r="R10" i="25"/>
  <c r="R23" i="25" s="1"/>
  <c r="S10" i="25"/>
  <c r="T10" i="25"/>
  <c r="T23" i="25" s="1"/>
  <c r="U10" i="25"/>
  <c r="W10" i="25"/>
  <c r="X10" i="25"/>
  <c r="Y10" i="25"/>
  <c r="T12" i="25"/>
  <c r="E20" i="25"/>
  <c r="G11" i="6" s="1"/>
  <c r="G14" i="6" s="1"/>
  <c r="I44" i="6" s="1"/>
  <c r="M44" i="6" s="1"/>
  <c r="E56" i="6" s="1"/>
  <c r="K20" i="25"/>
  <c r="W20" i="25"/>
  <c r="F23" i="25"/>
  <c r="E23" i="8"/>
  <c r="I23" i="8" s="1"/>
  <c r="I26" i="8" s="1"/>
  <c r="G11" i="4"/>
  <c r="G14" i="4" s="1"/>
  <c r="I36" i="4" s="1"/>
  <c r="M36" i="4" s="1"/>
  <c r="E48" i="4" s="1"/>
  <c r="C10" i="7" l="1"/>
  <c r="G7" i="7"/>
  <c r="C12" i="17"/>
  <c r="C15" i="17" s="1"/>
  <c r="X12" i="25"/>
  <c r="M44" i="18" s="1"/>
  <c r="P12" i="25"/>
  <c r="D23" i="25"/>
  <c r="B6" i="30"/>
  <c r="E5" i="8"/>
  <c r="I5" i="8" s="1"/>
  <c r="I8" i="8" s="1"/>
  <c r="E190" i="8" s="1"/>
  <c r="H23" i="25"/>
  <c r="H25" i="25" s="1"/>
  <c r="D6" i="1"/>
  <c r="D9" i="1" s="1"/>
  <c r="F12" i="17"/>
  <c r="F15" i="17" s="1"/>
  <c r="J36" i="10"/>
  <c r="F40" i="10"/>
  <c r="J12" i="25"/>
  <c r="E11" i="6"/>
  <c r="I37" i="4"/>
  <c r="M37" i="4" s="1"/>
  <c r="E49" i="4" s="1"/>
  <c r="H12" i="25"/>
  <c r="I35" i="4"/>
  <c r="X23" i="25"/>
  <c r="O39" i="19" s="1"/>
  <c r="R12" i="25"/>
  <c r="V7" i="25"/>
  <c r="I43" i="6"/>
  <c r="M43" i="6" s="1"/>
  <c r="E55" i="6" s="1"/>
  <c r="I42" i="6"/>
  <c r="K23" i="25"/>
  <c r="K25" i="25" s="1"/>
  <c r="N10" i="25"/>
  <c r="N23" i="25" s="1"/>
  <c r="K12" i="25"/>
  <c r="F22" i="10"/>
  <c r="E26" i="8"/>
  <c r="F6" i="29"/>
  <c r="Y12" i="25"/>
  <c r="K40" i="21" s="1"/>
  <c r="Y23" i="25"/>
  <c r="I40" i="22" s="1"/>
  <c r="I48" i="22" s="1"/>
  <c r="I50" i="22" s="1"/>
  <c r="O23" i="25"/>
  <c r="O25" i="25" s="1"/>
  <c r="O12" i="25"/>
  <c r="Q10" i="25"/>
  <c r="Q23" i="25" s="1"/>
  <c r="F5" i="10"/>
  <c r="Q7" i="25"/>
  <c r="P20" i="25"/>
  <c r="P25" i="25" s="1"/>
  <c r="H6" i="29"/>
  <c r="E32" i="8"/>
  <c r="S23" i="25"/>
  <c r="S25" i="25" s="1"/>
  <c r="V10" i="25"/>
  <c r="S12" i="25"/>
  <c r="D20" i="25"/>
  <c r="D25" i="25" s="1"/>
  <c r="D12" i="25"/>
  <c r="G23" i="25"/>
  <c r="G25" i="25" s="1"/>
  <c r="G12" i="25"/>
  <c r="I10" i="25"/>
  <c r="V20" i="25"/>
  <c r="R25" i="25"/>
  <c r="L20" i="25"/>
  <c r="L25" i="25" s="1"/>
  <c r="N7" i="25"/>
  <c r="L12" i="25"/>
  <c r="F29" i="10"/>
  <c r="W23" i="25"/>
  <c r="W25" i="25" s="1"/>
  <c r="W12" i="25"/>
  <c r="M12" i="25"/>
  <c r="M23" i="25"/>
  <c r="M25" i="25" s="1"/>
  <c r="E12" i="25"/>
  <c r="E23" i="25"/>
  <c r="E25" i="25" s="1"/>
  <c r="X25" i="25"/>
  <c r="T25" i="25"/>
  <c r="F20" i="25"/>
  <c r="F25" i="25" s="1"/>
  <c r="I7" i="25"/>
  <c r="U12" i="25"/>
  <c r="U23" i="25"/>
  <c r="U25" i="25" s="1"/>
  <c r="J25" i="25"/>
  <c r="E197" i="8" l="1"/>
  <c r="E200" i="8" s="1"/>
  <c r="E206" i="8" s="1"/>
  <c r="D6" i="29"/>
  <c r="D9" i="29" s="1"/>
  <c r="E8" i="8"/>
  <c r="O46" i="19"/>
  <c r="O49" i="19" s="1"/>
  <c r="C29" i="17"/>
  <c r="C31" i="17" s="1"/>
  <c r="E253" i="8"/>
  <c r="E255" i="8" s="1"/>
  <c r="I38" i="4"/>
  <c r="I40" i="4" s="1"/>
  <c r="V12" i="25"/>
  <c r="C29" i="30"/>
  <c r="E29" i="30" s="1"/>
  <c r="F6" i="1"/>
  <c r="E11" i="4"/>
  <c r="J4" i="9"/>
  <c r="J8" i="9" s="1"/>
  <c r="J65" i="9" s="1"/>
  <c r="J70" i="9" s="1"/>
  <c r="J40" i="10"/>
  <c r="M35" i="4"/>
  <c r="E47" i="4" s="1"/>
  <c r="E14" i="6"/>
  <c r="K71" i="6" s="1"/>
  <c r="I11" i="6"/>
  <c r="I14" i="6" s="1"/>
  <c r="C7" i="25"/>
  <c r="C20" i="25" s="1"/>
  <c r="J29" i="10"/>
  <c r="F33" i="10"/>
  <c r="J5" i="10"/>
  <c r="F9" i="10"/>
  <c r="G7" i="22"/>
  <c r="I7" i="22" s="1"/>
  <c r="F13" i="21" s="1"/>
  <c r="G9" i="22"/>
  <c r="I9" i="22" s="1"/>
  <c r="F15" i="21" s="1"/>
  <c r="J17" i="22"/>
  <c r="J22" i="22"/>
  <c r="L22" i="22" s="1"/>
  <c r="G21" i="21" s="1"/>
  <c r="I21" i="21" s="1"/>
  <c r="J29" i="22"/>
  <c r="L29" i="22" s="1"/>
  <c r="G30" i="21" s="1"/>
  <c r="R30" i="21" s="1"/>
  <c r="S30" i="21" s="1"/>
  <c r="G2" i="22"/>
  <c r="J25" i="22"/>
  <c r="L25" i="22" s="1"/>
  <c r="G24" i="21" s="1"/>
  <c r="R24" i="21" s="1"/>
  <c r="S24" i="21" s="1"/>
  <c r="J30" i="22"/>
  <c r="L30" i="22" s="1"/>
  <c r="G31" i="21" s="1"/>
  <c r="R31" i="21" s="1"/>
  <c r="S31" i="21" s="1"/>
  <c r="G10" i="22"/>
  <c r="I10" i="22" s="1"/>
  <c r="F16" i="21" s="1"/>
  <c r="R16" i="21" s="1"/>
  <c r="S16" i="21" s="1"/>
  <c r="J28" i="22"/>
  <c r="L28" i="22" s="1"/>
  <c r="G29" i="21" s="1"/>
  <c r="R29" i="21" s="1"/>
  <c r="S29" i="21" s="1"/>
  <c r="G8" i="22"/>
  <c r="I8" i="22" s="1"/>
  <c r="F14" i="21" s="1"/>
  <c r="J31" i="22"/>
  <c r="L31" i="22" s="1"/>
  <c r="G32" i="21" s="1"/>
  <c r="I32" i="21" s="1"/>
  <c r="R32" i="21" s="1"/>
  <c r="S32" i="21" s="1"/>
  <c r="J23" i="22"/>
  <c r="L23" i="22" s="1"/>
  <c r="G22" i="21" s="1"/>
  <c r="I22" i="21" s="1"/>
  <c r="R22" i="21" s="1"/>
  <c r="S22" i="21" s="1"/>
  <c r="J24" i="22"/>
  <c r="L24" i="22" s="1"/>
  <c r="G23" i="21" s="1"/>
  <c r="J22" i="10"/>
  <c r="F26" i="10"/>
  <c r="H61" i="17"/>
  <c r="C44" i="17"/>
  <c r="C47" i="17" s="1"/>
  <c r="C51" i="17" s="1"/>
  <c r="D57" i="17" s="1"/>
  <c r="F57" i="17" s="1"/>
  <c r="F61" i="17" s="1"/>
  <c r="Y25" i="25"/>
  <c r="Q12" i="25"/>
  <c r="Q20" i="25"/>
  <c r="Q25" i="25" s="1"/>
  <c r="I12" i="25"/>
  <c r="I20" i="25"/>
  <c r="F22" i="15"/>
  <c r="N20" i="25"/>
  <c r="N25" i="25" s="1"/>
  <c r="N12" i="25"/>
  <c r="V23" i="25"/>
  <c r="V25" i="25" s="1"/>
  <c r="G10" i="7"/>
  <c r="F9" i="29"/>
  <c r="F23" i="29"/>
  <c r="F26" i="29" s="1"/>
  <c r="F13" i="29"/>
  <c r="I45" i="6"/>
  <c r="I47" i="6" s="1"/>
  <c r="M42" i="6"/>
  <c r="E54" i="6" s="1"/>
  <c r="B22" i="15"/>
  <c r="I23" i="25"/>
  <c r="C10" i="25"/>
  <c r="C23" i="25" s="1"/>
  <c r="H13" i="29"/>
  <c r="H9" i="29"/>
  <c r="H23" i="29"/>
  <c r="H26" i="29" s="1"/>
  <c r="E260" i="8" l="1"/>
  <c r="F46" i="29" s="1"/>
  <c r="C29" i="31" s="1"/>
  <c r="K9" i="29"/>
  <c r="E242" i="8"/>
  <c r="G242" i="8" s="1"/>
  <c r="G246" i="8" s="1"/>
  <c r="E12" i="8" s="1"/>
  <c r="I12" i="8" s="1"/>
  <c r="G206" i="8"/>
  <c r="G213" i="8" s="1"/>
  <c r="I213" i="8" s="1"/>
  <c r="E234" i="8"/>
  <c r="D13" i="29"/>
  <c r="K13" i="29" s="1"/>
  <c r="M10" i="19"/>
  <c r="Q10" i="19" s="1"/>
  <c r="I9" i="18" s="1"/>
  <c r="M2" i="19"/>
  <c r="M20" i="19"/>
  <c r="Q20" i="19" s="1"/>
  <c r="I16" i="18" s="1"/>
  <c r="K16" i="18" s="1"/>
  <c r="Q16" i="18" s="1"/>
  <c r="M21" i="19"/>
  <c r="Q21" i="19" s="1"/>
  <c r="I17" i="18" s="1"/>
  <c r="K17" i="18" s="1"/>
  <c r="U17" i="18" s="1"/>
  <c r="V17" i="18" s="1"/>
  <c r="M12" i="19"/>
  <c r="Q12" i="19" s="1"/>
  <c r="I11" i="18" s="1"/>
  <c r="M8" i="19"/>
  <c r="Q8" i="19" s="1"/>
  <c r="I7" i="18" s="1"/>
  <c r="K7" i="18" s="1"/>
  <c r="M7" i="18" s="1"/>
  <c r="O7" i="18" s="1"/>
  <c r="M15" i="19"/>
  <c r="Q15" i="19" s="1"/>
  <c r="I13" i="18" s="1"/>
  <c r="U13" i="18" s="1"/>
  <c r="V13" i="18" s="1"/>
  <c r="M18" i="19"/>
  <c r="Q18" i="19" s="1"/>
  <c r="I15" i="18" s="1"/>
  <c r="U15" i="18" s="1"/>
  <c r="V15" i="18" s="1"/>
  <c r="M9" i="19"/>
  <c r="Q9" i="19" s="1"/>
  <c r="I8" i="18" s="1"/>
  <c r="K8" i="18" s="1"/>
  <c r="U8" i="18" s="1"/>
  <c r="V8" i="18" s="1"/>
  <c r="M17" i="19"/>
  <c r="Q17" i="19" s="1"/>
  <c r="I14" i="18" s="1"/>
  <c r="U14" i="18" s="1"/>
  <c r="V14" i="18" s="1"/>
  <c r="M22" i="19"/>
  <c r="Q22" i="19" s="1"/>
  <c r="I18" i="18" s="1"/>
  <c r="K18" i="18" s="1"/>
  <c r="U18" i="18" s="1"/>
  <c r="V18" i="18" s="1"/>
  <c r="M27" i="19"/>
  <c r="Q27" i="19" s="1"/>
  <c r="I21" i="18" s="1"/>
  <c r="K21" i="18" s="1"/>
  <c r="U21" i="18" s="1"/>
  <c r="V21" i="18" s="1"/>
  <c r="M29" i="19"/>
  <c r="Q29" i="19" s="1"/>
  <c r="I23" i="18" s="1"/>
  <c r="K23" i="18" s="1"/>
  <c r="U23" i="18" s="1"/>
  <c r="V23" i="18" s="1"/>
  <c r="M14" i="19"/>
  <c r="Q14" i="19" s="1"/>
  <c r="I12" i="18" s="1"/>
  <c r="M11" i="19"/>
  <c r="Q11" i="19" s="1"/>
  <c r="I10" i="18" s="1"/>
  <c r="K10" i="18" s="1"/>
  <c r="U10" i="18" s="1"/>
  <c r="V10" i="18" s="1"/>
  <c r="M32" i="19"/>
  <c r="Q32" i="19" s="1"/>
  <c r="I25" i="18" s="1"/>
  <c r="K25" i="18" s="1"/>
  <c r="U25" i="18" s="1"/>
  <c r="V25" i="18" s="1"/>
  <c r="M31" i="19"/>
  <c r="Q31" i="19" s="1"/>
  <c r="I24" i="18" s="1"/>
  <c r="K24" i="18" s="1"/>
  <c r="U24" i="18" s="1"/>
  <c r="V24" i="18" s="1"/>
  <c r="M28" i="19"/>
  <c r="Q28" i="19" s="1"/>
  <c r="I22" i="18" s="1"/>
  <c r="K22" i="18" s="1"/>
  <c r="U22" i="18" s="1"/>
  <c r="V22" i="18" s="1"/>
  <c r="E24" i="6"/>
  <c r="E33" i="6" s="1"/>
  <c r="I61" i="17"/>
  <c r="K23" i="21"/>
  <c r="M23" i="21" s="1"/>
  <c r="R23" i="21"/>
  <c r="S23" i="21" s="1"/>
  <c r="K21" i="21"/>
  <c r="M21" i="21" s="1"/>
  <c r="R21" i="21"/>
  <c r="S21" i="21" s="1"/>
  <c r="E14" i="4"/>
  <c r="K63" i="4" s="1"/>
  <c r="I11" i="4"/>
  <c r="I14" i="4" s="1"/>
  <c r="E19" i="4" s="1"/>
  <c r="E23" i="4" s="1"/>
  <c r="E26" i="4" s="1"/>
  <c r="F9" i="1"/>
  <c r="B7" i="30"/>
  <c r="B10" i="30" s="1"/>
  <c r="B20" i="30" s="1"/>
  <c r="C27" i="30" s="1"/>
  <c r="E27" i="30" s="1"/>
  <c r="E31" i="30" s="1"/>
  <c r="E32" i="30" s="1"/>
  <c r="J5" i="11"/>
  <c r="J9" i="11" s="1"/>
  <c r="F4" i="9"/>
  <c r="F8" i="9" s="1"/>
  <c r="F65" i="9" s="1"/>
  <c r="J26" i="10"/>
  <c r="I14" i="21"/>
  <c r="F22" i="21"/>
  <c r="F30" i="21"/>
  <c r="J9" i="10"/>
  <c r="D4" i="9"/>
  <c r="D8" i="9" s="1"/>
  <c r="D65" i="9" s="1"/>
  <c r="K29" i="21"/>
  <c r="M29" i="21" s="1"/>
  <c r="N29" i="21"/>
  <c r="B26" i="15"/>
  <c r="B22" i="14"/>
  <c r="B26" i="14" s="1"/>
  <c r="B32" i="14" s="1"/>
  <c r="F24" i="21"/>
  <c r="F32" i="21"/>
  <c r="N30" i="21"/>
  <c r="K30" i="21"/>
  <c r="M30" i="21" s="1"/>
  <c r="F21" i="21"/>
  <c r="I13" i="21"/>
  <c r="R13" i="21" s="1"/>
  <c r="S13" i="21" s="1"/>
  <c r="F29" i="21"/>
  <c r="C25" i="25"/>
  <c r="K24" i="21"/>
  <c r="M24" i="21" s="1"/>
  <c r="N24" i="21"/>
  <c r="C12" i="25"/>
  <c r="N23" i="21"/>
  <c r="F31" i="21"/>
  <c r="F23" i="21"/>
  <c r="I15" i="21"/>
  <c r="R15" i="21" s="1"/>
  <c r="S15" i="21" s="1"/>
  <c r="F22" i="14"/>
  <c r="F26" i="14" s="1"/>
  <c r="F26" i="15"/>
  <c r="K22" i="21"/>
  <c r="M22" i="21" s="1"/>
  <c r="N22" i="21"/>
  <c r="I25" i="25"/>
  <c r="C29" i="25" s="1"/>
  <c r="N32" i="21"/>
  <c r="K32" i="21"/>
  <c r="M32" i="21" s="1"/>
  <c r="N31" i="21"/>
  <c r="K31" i="21"/>
  <c r="M31" i="21" s="1"/>
  <c r="N21" i="21"/>
  <c r="H4" i="9"/>
  <c r="H8" i="9" s="1"/>
  <c r="H65" i="9" s="1"/>
  <c r="J33" i="10"/>
  <c r="G234" i="8" l="1"/>
  <c r="G238" i="8" s="1"/>
  <c r="D17" i="29" s="1"/>
  <c r="C32" i="31"/>
  <c r="G260" i="8"/>
  <c r="G263" i="8" s="1"/>
  <c r="E14" i="8" s="1"/>
  <c r="I14" i="8" s="1"/>
  <c r="K12" i="18"/>
  <c r="U12" i="18" s="1"/>
  <c r="V12" i="18" s="1"/>
  <c r="K11" i="18"/>
  <c r="U11" i="18" s="1"/>
  <c r="V11" i="18" s="1"/>
  <c r="M13" i="18"/>
  <c r="O13" i="18" s="1"/>
  <c r="Q10" i="18"/>
  <c r="U7" i="18"/>
  <c r="V7" i="18" s="1"/>
  <c r="M22" i="18"/>
  <c r="O22" i="18" s="1"/>
  <c r="M18" i="18"/>
  <c r="O18" i="18" s="1"/>
  <c r="Q13" i="18"/>
  <c r="Q22" i="18"/>
  <c r="Q14" i="18"/>
  <c r="Q7" i="18"/>
  <c r="M14" i="18"/>
  <c r="O14" i="18" s="1"/>
  <c r="C85" i="29"/>
  <c r="M15" i="18"/>
  <c r="O15" i="18" s="1"/>
  <c r="Q25" i="18"/>
  <c r="M17" i="18"/>
  <c r="O17" i="18" s="1"/>
  <c r="M10" i="18"/>
  <c r="O10" i="18" s="1"/>
  <c r="C54" i="6"/>
  <c r="G54" i="6" s="1"/>
  <c r="K54" i="6" s="1"/>
  <c r="G79" i="6" s="1"/>
  <c r="C56" i="6"/>
  <c r="G56" i="6" s="1"/>
  <c r="K56" i="6" s="1"/>
  <c r="G81" i="6" s="1"/>
  <c r="C55" i="6"/>
  <c r="G55" i="6" s="1"/>
  <c r="K55" i="6" s="1"/>
  <c r="G80" i="6" s="1"/>
  <c r="U9" i="18"/>
  <c r="V9" i="18" s="1"/>
  <c r="M9" i="18"/>
  <c r="O9" i="18" s="1"/>
  <c r="Q9" i="18"/>
  <c r="M23" i="18"/>
  <c r="O23" i="18" s="1"/>
  <c r="M8" i="18"/>
  <c r="O8" i="18" s="1"/>
  <c r="Q17" i="18"/>
  <c r="Q15" i="18"/>
  <c r="M21" i="18"/>
  <c r="O21" i="18" s="1"/>
  <c r="M24" i="18"/>
  <c r="O24" i="18" s="1"/>
  <c r="U16" i="18"/>
  <c r="V16" i="18" s="1"/>
  <c r="M16" i="18"/>
  <c r="O16" i="18" s="1"/>
  <c r="Q18" i="18"/>
  <c r="Q24" i="18"/>
  <c r="Q21" i="18"/>
  <c r="Q23" i="18"/>
  <c r="M25" i="18"/>
  <c r="O25" i="18" s="1"/>
  <c r="Q8" i="18"/>
  <c r="R14" i="21"/>
  <c r="S14" i="21" s="1"/>
  <c r="S34" i="21" s="1"/>
  <c r="E37" i="1"/>
  <c r="E40" i="1" s="1"/>
  <c r="E48" i="1" s="1"/>
  <c r="E104" i="1"/>
  <c r="C48" i="4"/>
  <c r="G48" i="4" s="1"/>
  <c r="K48" i="4" s="1"/>
  <c r="G60" i="4" s="1"/>
  <c r="I60" i="4" s="1"/>
  <c r="C47" i="4"/>
  <c r="G47" i="4" s="1"/>
  <c r="K47" i="4" s="1"/>
  <c r="C49" i="4"/>
  <c r="G49" i="4" s="1"/>
  <c r="K49" i="4" s="1"/>
  <c r="G61" i="4" s="1"/>
  <c r="I61" i="4" s="1"/>
  <c r="C27" i="25"/>
  <c r="D139" i="11"/>
  <c r="K13" i="21"/>
  <c r="N13" i="21"/>
  <c r="D191" i="11"/>
  <c r="J278" i="11"/>
  <c r="B32" i="15"/>
  <c r="C12" i="12"/>
  <c r="C16" i="12" s="1"/>
  <c r="C18" i="12" s="1"/>
  <c r="G12" i="12"/>
  <c r="G16" i="12" s="1"/>
  <c r="C12" i="13"/>
  <c r="C16" i="13" s="1"/>
  <c r="N15" i="21"/>
  <c r="K15" i="21"/>
  <c r="M15" i="21" s="1"/>
  <c r="N16" i="21"/>
  <c r="K16" i="21"/>
  <c r="M16" i="21" s="1"/>
  <c r="F239" i="10"/>
  <c r="F244" i="10" s="1"/>
  <c r="E32" i="14"/>
  <c r="F32" i="14" s="1"/>
  <c r="F150" i="10" s="1"/>
  <c r="H173" i="10" s="1"/>
  <c r="B33" i="14"/>
  <c r="E33" i="14" s="1"/>
  <c r="F33" i="14" s="1"/>
  <c r="F151" i="10" s="1"/>
  <c r="B34" i="14"/>
  <c r="E34" i="14" s="1"/>
  <c r="F34" i="14" s="1"/>
  <c r="F152" i="10" s="1"/>
  <c r="N14" i="21"/>
  <c r="K14" i="21"/>
  <c r="M14" i="21" s="1"/>
  <c r="F247" i="10" l="1"/>
  <c r="F253" i="10" s="1"/>
  <c r="I80" i="6"/>
  <c r="I84" i="6" s="1"/>
  <c r="C23" i="31"/>
  <c r="E10" i="8"/>
  <c r="I81" i="6"/>
  <c r="C24" i="31"/>
  <c r="I79" i="6"/>
  <c r="C22" i="31"/>
  <c r="M12" i="18"/>
  <c r="O12" i="18" s="1"/>
  <c r="Q12" i="18"/>
  <c r="M11" i="18"/>
  <c r="O11" i="18" s="1"/>
  <c r="Q11" i="18"/>
  <c r="V40" i="18"/>
  <c r="V42" i="18" s="1"/>
  <c r="G68" i="6"/>
  <c r="I68" i="6" s="1"/>
  <c r="G69" i="6"/>
  <c r="I69" i="6" s="1"/>
  <c r="G67" i="6"/>
  <c r="I67" i="6" s="1"/>
  <c r="G59" i="4"/>
  <c r="I59" i="4" s="1"/>
  <c r="I63" i="4" s="1"/>
  <c r="M63" i="4" s="1"/>
  <c r="F54" i="1"/>
  <c r="H54" i="1" s="1"/>
  <c r="H58" i="1" s="1"/>
  <c r="I58" i="1" s="1"/>
  <c r="F86" i="1"/>
  <c r="H152" i="10"/>
  <c r="H175" i="10"/>
  <c r="B34" i="15"/>
  <c r="E34" i="15" s="1"/>
  <c r="E32" i="15"/>
  <c r="F32" i="15" s="1"/>
  <c r="D104" i="29" s="1"/>
  <c r="B33" i="15"/>
  <c r="E33" i="15" s="1"/>
  <c r="F33" i="15" s="1"/>
  <c r="D105" i="29" s="1"/>
  <c r="H174" i="10"/>
  <c r="H151" i="10"/>
  <c r="C18" i="13"/>
  <c r="E18" i="13" s="1"/>
  <c r="F67" i="11" s="1"/>
  <c r="C22" i="13"/>
  <c r="E22" i="13" s="1"/>
  <c r="F69" i="11" s="1"/>
  <c r="C20" i="13"/>
  <c r="E20" i="13" s="1"/>
  <c r="F68" i="11" s="1"/>
  <c r="C24" i="13"/>
  <c r="E24" i="13" s="1"/>
  <c r="F70" i="11" s="1"/>
  <c r="H150" i="10"/>
  <c r="G22" i="12"/>
  <c r="I22" i="12" s="1"/>
  <c r="F54" i="9" s="1"/>
  <c r="H54" i="9" s="1"/>
  <c r="H67" i="9" s="1"/>
  <c r="H70" i="9" s="1"/>
  <c r="G18" i="12"/>
  <c r="I18" i="12" s="1"/>
  <c r="F52" i="9" s="1"/>
  <c r="G24" i="12"/>
  <c r="I24" i="12" s="1"/>
  <c r="F55" i="9" s="1"/>
  <c r="H55" i="9" s="1"/>
  <c r="G20" i="12"/>
  <c r="I20" i="12" s="1"/>
  <c r="F53" i="9" s="1"/>
  <c r="H53" i="9" s="1"/>
  <c r="F67" i="9" s="1"/>
  <c r="F70" i="9" s="1"/>
  <c r="M13" i="21"/>
  <c r="M34" i="21" s="1"/>
  <c r="K34" i="21"/>
  <c r="F268" i="10" l="1"/>
  <c r="H268" i="10" s="1"/>
  <c r="H271" i="10" s="1"/>
  <c r="H253" i="10"/>
  <c r="H258" i="10" s="1"/>
  <c r="J258" i="10" s="1"/>
  <c r="C43" i="31"/>
  <c r="D16" i="29"/>
  <c r="I10" i="7"/>
  <c r="H86" i="1"/>
  <c r="H91" i="1" s="1"/>
  <c r="C7" i="31"/>
  <c r="C11" i="31" s="1"/>
  <c r="I10" i="8"/>
  <c r="E20" i="8"/>
  <c r="O40" i="18"/>
  <c r="M40" i="18"/>
  <c r="M42" i="18" s="1"/>
  <c r="M46" i="18" s="1"/>
  <c r="I71" i="6"/>
  <c r="M71" i="6" s="1"/>
  <c r="K38" i="21"/>
  <c r="K42" i="21" s="1"/>
  <c r="S35" i="21"/>
  <c r="E105" i="1"/>
  <c r="E109" i="1" s="1"/>
  <c r="E112" i="1" s="1"/>
  <c r="G132" i="1"/>
  <c r="H52" i="9"/>
  <c r="D67" i="9" s="1"/>
  <c r="D70" i="9" s="1"/>
  <c r="K70" i="9" s="1"/>
  <c r="K75" i="9" s="1"/>
  <c r="D75" i="9" s="1"/>
  <c r="D77" i="9" s="1"/>
  <c r="F275" i="10"/>
  <c r="H275" i="10" s="1"/>
  <c r="F132" i="11"/>
  <c r="H69" i="11"/>
  <c r="F259" i="11"/>
  <c r="H259" i="11" s="1"/>
  <c r="F34" i="15"/>
  <c r="F134" i="11" s="1"/>
  <c r="H113" i="29"/>
  <c r="H154" i="10"/>
  <c r="D161" i="10" s="1"/>
  <c r="H67" i="11"/>
  <c r="F239" i="11"/>
  <c r="H239" i="11" s="1"/>
  <c r="H68" i="11"/>
  <c r="F249" i="11"/>
  <c r="H249" i="11" s="1"/>
  <c r="H70" i="11"/>
  <c r="F270" i="11"/>
  <c r="H270" i="11" s="1"/>
  <c r="F133" i="11"/>
  <c r="E18" i="8" l="1"/>
  <c r="E17" i="8"/>
  <c r="V43" i="18"/>
  <c r="F118" i="1"/>
  <c r="H57" i="9"/>
  <c r="I9" i="7"/>
  <c r="K9" i="7" s="1"/>
  <c r="I7" i="7"/>
  <c r="K7" i="7" s="1"/>
  <c r="I8" i="7"/>
  <c r="K8" i="7" s="1"/>
  <c r="H112" i="29"/>
  <c r="F105" i="29"/>
  <c r="J152" i="11"/>
  <c r="H133" i="11"/>
  <c r="F185" i="11"/>
  <c r="H72" i="11"/>
  <c r="D194" i="11" s="1"/>
  <c r="F104" i="29"/>
  <c r="H111" i="29"/>
  <c r="F75" i="9"/>
  <c r="F77" i="9" s="1"/>
  <c r="F80" i="9" s="1"/>
  <c r="J75" i="9"/>
  <c r="J77" i="9" s="1"/>
  <c r="J80" i="9" s="1"/>
  <c r="H75" i="9"/>
  <c r="H77" i="9" s="1"/>
  <c r="H80" i="9" s="1"/>
  <c r="J153" i="11"/>
  <c r="F186" i="11"/>
  <c r="H134" i="11"/>
  <c r="J151" i="11"/>
  <c r="H132" i="11"/>
  <c r="F184" i="11"/>
  <c r="E36" i="8" l="1"/>
  <c r="I36" i="8" s="1"/>
  <c r="I18" i="8"/>
  <c r="H118" i="1"/>
  <c r="H122" i="1" s="1"/>
  <c r="I122" i="1" s="1"/>
  <c r="C4" i="31"/>
  <c r="E35" i="8"/>
  <c r="I17" i="8"/>
  <c r="E19" i="8"/>
  <c r="C78" i="7"/>
  <c r="G78" i="7" s="1"/>
  <c r="G82" i="7" s="1"/>
  <c r="K10" i="7"/>
  <c r="D80" i="9"/>
  <c r="K80" i="9" s="1"/>
  <c r="F273" i="10"/>
  <c r="K20" i="7"/>
  <c r="K22" i="7" s="1"/>
  <c r="C28" i="7"/>
  <c r="C30" i="7" s="1"/>
  <c r="I30" i="7" s="1"/>
  <c r="F106" i="29"/>
  <c r="C89" i="29" s="1"/>
  <c r="H184" i="11"/>
  <c r="J210" i="11"/>
  <c r="H186" i="11"/>
  <c r="J212" i="11"/>
  <c r="H185" i="11"/>
  <c r="J211" i="11"/>
  <c r="H136" i="11"/>
  <c r="D140" i="11" s="1"/>
  <c r="D142" i="11" s="1"/>
  <c r="D145" i="11" s="1"/>
  <c r="D150" i="11" s="1"/>
  <c r="H273" i="10" l="1"/>
  <c r="H278" i="10" s="1"/>
  <c r="H280" i="10" s="1"/>
  <c r="F11" i="10" s="1"/>
  <c r="F18" i="10" s="1"/>
  <c r="C46" i="31"/>
  <c r="E37" i="8"/>
  <c r="I37" i="8" s="1"/>
  <c r="I19" i="8"/>
  <c r="C57" i="8" s="1"/>
  <c r="G131" i="1"/>
  <c r="G134" i="1" s="1"/>
  <c r="H134" i="1" s="1"/>
  <c r="I35" i="8"/>
  <c r="E38" i="8"/>
  <c r="E95" i="7"/>
  <c r="E100" i="7" s="1"/>
  <c r="C54" i="7"/>
  <c r="C58" i="7" s="1"/>
  <c r="C60" i="7" s="1"/>
  <c r="G60" i="7" s="1"/>
  <c r="G62" i="7" s="1"/>
  <c r="J11" i="10"/>
  <c r="H188" i="11"/>
  <c r="D198" i="11" s="1"/>
  <c r="H150" i="11"/>
  <c r="L150" i="11" s="1"/>
  <c r="F159" i="11" s="1"/>
  <c r="D151" i="11"/>
  <c r="G57" i="8" l="1"/>
  <c r="C61" i="8"/>
  <c r="I38" i="8"/>
  <c r="I20" i="8"/>
  <c r="E103" i="7"/>
  <c r="E110" i="7" s="1"/>
  <c r="E67" i="7"/>
  <c r="G67" i="7" s="1"/>
  <c r="E68" i="7"/>
  <c r="G68" i="7" s="1"/>
  <c r="F15" i="10"/>
  <c r="F44" i="10" s="1"/>
  <c r="F16" i="10"/>
  <c r="F45" i="10" s="1"/>
  <c r="H159" i="11"/>
  <c r="F240" i="11"/>
  <c r="H240" i="11" s="1"/>
  <c r="D152" i="11"/>
  <c r="H151" i="11"/>
  <c r="L151" i="11" s="1"/>
  <c r="F160" i="11" s="1"/>
  <c r="C113" i="8" l="1"/>
  <c r="C117" i="8" s="1"/>
  <c r="I166" i="8"/>
  <c r="G110" i="7"/>
  <c r="G115" i="7" s="1"/>
  <c r="I115" i="7" s="1"/>
  <c r="E125" i="7"/>
  <c r="G125" i="7" s="1"/>
  <c r="G72" i="7"/>
  <c r="I72" i="7" s="1"/>
  <c r="D70" i="29"/>
  <c r="F14" i="10"/>
  <c r="F43" i="10" s="1"/>
  <c r="D81" i="10"/>
  <c r="J45" i="10"/>
  <c r="J16" i="10"/>
  <c r="J44" i="10"/>
  <c r="J15" i="10"/>
  <c r="F250" i="11"/>
  <c r="H250" i="11" s="1"/>
  <c r="H160" i="11"/>
  <c r="D153" i="11"/>
  <c r="H153" i="11" s="1"/>
  <c r="L153" i="11" s="1"/>
  <c r="F162" i="11" s="1"/>
  <c r="H152" i="11"/>
  <c r="L152" i="11" s="1"/>
  <c r="F161" i="11" s="1"/>
  <c r="F70" i="29" l="1"/>
  <c r="H46" i="29" s="1"/>
  <c r="H47" i="29" s="1"/>
  <c r="D19" i="29" s="1"/>
  <c r="D118" i="29"/>
  <c r="I132" i="8"/>
  <c r="K132" i="8" s="1"/>
  <c r="I133" i="8"/>
  <c r="K133" i="8" s="1"/>
  <c r="E162" i="8" s="1"/>
  <c r="G162" i="8" s="1"/>
  <c r="I125" i="8"/>
  <c r="K125" i="8" s="1"/>
  <c r="E145" i="8" s="1"/>
  <c r="I129" i="8"/>
  <c r="K129" i="8" s="1"/>
  <c r="E153" i="8" s="1"/>
  <c r="G153" i="8" s="1"/>
  <c r="I124" i="8"/>
  <c r="I128" i="8"/>
  <c r="K128" i="8" s="1"/>
  <c r="E152" i="8" s="1"/>
  <c r="G152" i="8" s="1"/>
  <c r="G129" i="7"/>
  <c r="I11" i="7" s="1"/>
  <c r="D39" i="29"/>
  <c r="D78" i="29"/>
  <c r="F78" i="29" s="1"/>
  <c r="F118" i="29"/>
  <c r="D74" i="29"/>
  <c r="F74" i="29" s="1"/>
  <c r="F47" i="10"/>
  <c r="J43" i="10"/>
  <c r="J47" i="10" s="1"/>
  <c r="J14" i="10"/>
  <c r="J18" i="10" s="1"/>
  <c r="H81" i="10"/>
  <c r="D86" i="10"/>
  <c r="H161" i="11"/>
  <c r="F260" i="11"/>
  <c r="H260" i="11" s="1"/>
  <c r="H162" i="11"/>
  <c r="F271" i="11"/>
  <c r="H271" i="11" s="1"/>
  <c r="E161" i="8" l="1"/>
  <c r="G161" i="8" s="1"/>
  <c r="C15" i="31"/>
  <c r="C27" i="31"/>
  <c r="K124" i="8"/>
  <c r="E144" i="8" s="1"/>
  <c r="G144" i="8" s="1"/>
  <c r="I135" i="8"/>
  <c r="D71" i="29"/>
  <c r="G145" i="8"/>
  <c r="H39" i="29"/>
  <c r="C19" i="31" s="1"/>
  <c r="D42" i="29"/>
  <c r="D18" i="29" s="1"/>
  <c r="D20" i="29" s="1"/>
  <c r="D23" i="29" s="1"/>
  <c r="D124" i="29"/>
  <c r="D129" i="29"/>
  <c r="H213" i="10"/>
  <c r="D157" i="10"/>
  <c r="H164" i="11"/>
  <c r="D197" i="11" s="1"/>
  <c r="D200" i="11" s="1"/>
  <c r="D203" i="11" s="1"/>
  <c r="D204" i="11" s="1"/>
  <c r="D209" i="11" s="1"/>
  <c r="F124" i="29" l="1"/>
  <c r="C35" i="31"/>
  <c r="D75" i="29"/>
  <c r="D119" i="29"/>
  <c r="D79" i="29"/>
  <c r="F71" i="29"/>
  <c r="F129" i="29"/>
  <c r="C38" i="31"/>
  <c r="G166" i="8"/>
  <c r="K166" i="8" s="1"/>
  <c r="D25" i="29"/>
  <c r="D53" i="29" s="1"/>
  <c r="H53" i="29" s="1"/>
  <c r="C86" i="29"/>
  <c r="D24" i="29"/>
  <c r="D210" i="11"/>
  <c r="H209" i="11"/>
  <c r="L209" i="11" s="1"/>
  <c r="F238" i="11" s="1"/>
  <c r="D56" i="31" s="1"/>
  <c r="D130" i="29" l="1"/>
  <c r="F79" i="29"/>
  <c r="C16" i="31"/>
  <c r="C28" i="31"/>
  <c r="F119" i="29"/>
  <c r="F75" i="29"/>
  <c r="F81" i="29" s="1"/>
  <c r="C88" i="29" s="1"/>
  <c r="C90" i="29" s="1"/>
  <c r="C92" i="29" s="1"/>
  <c r="C110" i="29" s="1"/>
  <c r="D125" i="29"/>
  <c r="D26" i="29"/>
  <c r="H134" i="29" s="1"/>
  <c r="F218" i="11"/>
  <c r="H218" i="11" s="1"/>
  <c r="H238" i="11"/>
  <c r="H245" i="11" s="1"/>
  <c r="D211" i="11"/>
  <c r="H210" i="11"/>
  <c r="L210" i="11" s="1"/>
  <c r="F248" i="11" s="1"/>
  <c r="D60" i="31" s="1"/>
  <c r="F110" i="29" l="1"/>
  <c r="J110" i="29" s="1"/>
  <c r="C111" i="29"/>
  <c r="F111" i="29" s="1"/>
  <c r="J111" i="29" s="1"/>
  <c r="D126" i="29" s="1"/>
  <c r="D34" i="31" s="1"/>
  <c r="F125" i="29"/>
  <c r="C36" i="31"/>
  <c r="F130" i="29"/>
  <c r="C39" i="31"/>
  <c r="D212" i="11"/>
  <c r="H212" i="11" s="1"/>
  <c r="L212" i="11" s="1"/>
  <c r="F269" i="11" s="1"/>
  <c r="D68" i="31" s="1"/>
  <c r="H211" i="11"/>
  <c r="L211" i="11" s="1"/>
  <c r="F258" i="11" s="1"/>
  <c r="D64" i="31" s="1"/>
  <c r="H248" i="11"/>
  <c r="H255" i="11" s="1"/>
  <c r="F219" i="11"/>
  <c r="H219" i="11" s="1"/>
  <c r="F126" i="29" l="1"/>
  <c r="H120" i="10"/>
  <c r="F128" i="10" s="1"/>
  <c r="F188" i="10" s="1"/>
  <c r="K111" i="29"/>
  <c r="C112" i="29"/>
  <c r="F112" i="29" s="1"/>
  <c r="J112" i="29" s="1"/>
  <c r="D131" i="29" s="1"/>
  <c r="D37" i="31" s="1"/>
  <c r="K110" i="29"/>
  <c r="D120" i="29"/>
  <c r="H121" i="10"/>
  <c r="F129" i="10" s="1"/>
  <c r="F221" i="11"/>
  <c r="H221" i="11" s="1"/>
  <c r="H269" i="11"/>
  <c r="H276" i="11" s="1"/>
  <c r="F220" i="11"/>
  <c r="H220" i="11" s="1"/>
  <c r="H258" i="11"/>
  <c r="H266" i="11" s="1"/>
  <c r="C113" i="29" l="1"/>
  <c r="F113" i="29" s="1"/>
  <c r="J113" i="29" s="1"/>
  <c r="H122" i="10" s="1"/>
  <c r="F130" i="10" s="1"/>
  <c r="F204" i="10" s="1"/>
  <c r="H128" i="10"/>
  <c r="H188" i="10"/>
  <c r="D48" i="31"/>
  <c r="D53" i="31" s="1"/>
  <c r="H204" i="10"/>
  <c r="D50" i="31"/>
  <c r="K112" i="29"/>
  <c r="K114" i="29" s="1"/>
  <c r="H119" i="10"/>
  <c r="F127" i="10" s="1"/>
  <c r="D26" i="31"/>
  <c r="F120" i="29"/>
  <c r="F134" i="29" s="1"/>
  <c r="J134" i="29" s="1"/>
  <c r="F131" i="29"/>
  <c r="H130" i="10"/>
  <c r="H278" i="11"/>
  <c r="L278" i="11" s="1"/>
  <c r="H223" i="11"/>
  <c r="H129" i="10"/>
  <c r="F196" i="10"/>
  <c r="F180" i="10" l="1"/>
  <c r="H127" i="10"/>
  <c r="H132" i="10" s="1"/>
  <c r="D160" i="10" s="1"/>
  <c r="D163" i="10" s="1"/>
  <c r="D166" i="10" s="1"/>
  <c r="C172" i="10" s="1"/>
  <c r="C173" i="10" s="1"/>
  <c r="F173" i="10" s="1"/>
  <c r="J173" i="10" s="1"/>
  <c r="F190" i="10" s="1"/>
  <c r="C48" i="31" s="1"/>
  <c r="C53" i="31" s="1"/>
  <c r="H196" i="10"/>
  <c r="D49" i="31"/>
  <c r="D41" i="31" l="1"/>
  <c r="D52" i="31" s="1"/>
  <c r="H180" i="10"/>
  <c r="F172" i="10"/>
  <c r="J172" i="10" s="1"/>
  <c r="F182" i="10" s="1"/>
  <c r="C175" i="10"/>
  <c r="F175" i="10" s="1"/>
  <c r="J175" i="10" s="1"/>
  <c r="C174" i="10"/>
  <c r="F174" i="10" s="1"/>
  <c r="J174" i="10" s="1"/>
  <c r="F198" i="10" s="1"/>
  <c r="C49" i="31" s="1"/>
  <c r="H190" i="10"/>
  <c r="H193" i="10" s="1"/>
  <c r="H182" i="10" l="1"/>
  <c r="H185" i="10" s="1"/>
  <c r="C41" i="31"/>
  <c r="C52" i="31" s="1"/>
  <c r="H198" i="10"/>
  <c r="H201" i="10" s="1"/>
  <c r="F206" i="10"/>
  <c r="H206" i="10" l="1"/>
  <c r="H209" i="10" s="1"/>
  <c r="H211" i="10" s="1"/>
  <c r="H215" i="10" s="1"/>
  <c r="C50" i="31"/>
</calcChain>
</file>

<file path=xl/sharedStrings.xml><?xml version="1.0" encoding="utf-8"?>
<sst xmlns="http://schemas.openxmlformats.org/spreadsheetml/2006/main" count="2754" uniqueCount="1138">
  <si>
    <t xml:space="preserve"> I.</t>
  </si>
  <si>
    <t>Revenue</t>
  </si>
  <si>
    <t>Billed &amp;</t>
  </si>
  <si>
    <t>Accrued</t>
  </si>
  <si>
    <t xml:space="preserve">      Revenue</t>
  </si>
  <si>
    <t>Total RS Revenue Requirement</t>
  </si>
  <si>
    <t>Demand</t>
  </si>
  <si>
    <t>Energy</t>
  </si>
  <si>
    <t>Customer</t>
  </si>
  <si>
    <t>Total</t>
  </si>
  <si>
    <t xml:space="preserve">  Base</t>
  </si>
  <si>
    <t xml:space="preserve">  Revenue</t>
  </si>
  <si>
    <t>II.</t>
  </si>
  <si>
    <t>Customer Charge</t>
  </si>
  <si>
    <t>/mo.</t>
  </si>
  <si>
    <t>=</t>
  </si>
  <si>
    <t>Proposed Customer Charge</t>
  </si>
  <si>
    <t>Customer Revenue</t>
  </si>
  <si>
    <t>III.</t>
  </si>
  <si>
    <t>Off-Peak Energy Charge</t>
  </si>
  <si>
    <t>Energy Revenue Requirement</t>
  </si>
  <si>
    <t>Total Energy (kWh)</t>
  </si>
  <si>
    <t>Total Secondary Energy Charge</t>
  </si>
  <si>
    <t>/kWh</t>
  </si>
  <si>
    <t>Fixed Cost Adder</t>
  </si>
  <si>
    <t>Proposed Off-Peak Energy Charge</t>
  </si>
  <si>
    <t>Off-Peak % Usage</t>
  </si>
  <si>
    <t>Off-Peak kWh Energy</t>
  </si>
  <si>
    <t>Off-Peak Revenue</t>
  </si>
  <si>
    <t>IV.</t>
  </si>
  <si>
    <t>On-Peak Energy Charge</t>
  </si>
  <si>
    <t>Total RS Base Revenue</t>
  </si>
  <si>
    <t>Less:  Customer Revenue</t>
  </si>
  <si>
    <t>Less:  Off-Peak Energy Revenue</t>
  </si>
  <si>
    <t>On-Peak Revenue</t>
  </si>
  <si>
    <t>Total RS Energy</t>
  </si>
  <si>
    <t>Less:  Off-Peak kWh Energy</t>
  </si>
  <si>
    <t>On-Peak kWh Energy</t>
  </si>
  <si>
    <t>Proposed On-Peak Energy Charge</t>
  </si>
  <si>
    <t>Revenue Verification</t>
  </si>
  <si>
    <t>Units</t>
  </si>
  <si>
    <t xml:space="preserve">        Rate</t>
  </si>
  <si>
    <t>Difference</t>
  </si>
  <si>
    <t>On-Peak</t>
  </si>
  <si>
    <t>kWh</t>
  </si>
  <si>
    <t>Off-Peak</t>
  </si>
  <si>
    <t>Bills</t>
  </si>
  <si>
    <t>/Mo.</t>
  </si>
  <si>
    <t>Time-of-Day Customer Charges</t>
  </si>
  <si>
    <t xml:space="preserve">    Units</t>
  </si>
  <si>
    <t xml:space="preserve">    Revenue</t>
  </si>
  <si>
    <t xml:space="preserve">  On-Peak</t>
  </si>
  <si>
    <t xml:space="preserve">  Off-Peak</t>
  </si>
  <si>
    <t xml:space="preserve">  Customer</t>
  </si>
  <si>
    <t xml:space="preserve">  Total</t>
  </si>
  <si>
    <t>Customer Charge Revenue</t>
  </si>
  <si>
    <t>Standard Energy Rates</t>
  </si>
  <si>
    <t>Storage Water Heating Revenue</t>
  </si>
  <si>
    <t>Energy Charge Revenue - All Blocks</t>
  </si>
  <si>
    <t>All kWh</t>
  </si>
  <si>
    <t>RS Revenue Verification</t>
  </si>
  <si>
    <t xml:space="preserve">        Units</t>
  </si>
  <si>
    <t xml:space="preserve">         Rate</t>
  </si>
  <si>
    <t xml:space="preserve">  Difference</t>
  </si>
  <si>
    <t xml:space="preserve">  Storage Water Heating</t>
  </si>
  <si>
    <t>Residential Summary</t>
  </si>
  <si>
    <t>Schedule</t>
  </si>
  <si>
    <t xml:space="preserve">        Bills</t>
  </si>
  <si>
    <t xml:space="preserve">   kWh</t>
  </si>
  <si>
    <t xml:space="preserve">    Difference</t>
  </si>
  <si>
    <t>RS</t>
  </si>
  <si>
    <t>Total Billed</t>
  </si>
  <si>
    <t xml:space="preserve"> </t>
  </si>
  <si>
    <t>*Revised after revenue verification</t>
  </si>
  <si>
    <t>Fuel</t>
  </si>
  <si>
    <t>Base</t>
  </si>
  <si>
    <t>On-Peak kWh</t>
  </si>
  <si>
    <t>Off-Peak kWh</t>
  </si>
  <si>
    <t>+</t>
  </si>
  <si>
    <t>V.</t>
  </si>
  <si>
    <t>VI.</t>
  </si>
  <si>
    <t>VII.</t>
  </si>
  <si>
    <t>VIII.</t>
  </si>
  <si>
    <t>IX.</t>
  </si>
  <si>
    <t>X.</t>
  </si>
  <si>
    <t>XII.</t>
  </si>
  <si>
    <t>XIV.</t>
  </si>
  <si>
    <t>Proposed Revenue</t>
  </si>
  <si>
    <t>Proposed Standard Charge</t>
  </si>
  <si>
    <t>x</t>
  </si>
  <si>
    <t xml:space="preserve">  kWh     x</t>
  </si>
  <si>
    <t xml:space="preserve">  Bills      x</t>
  </si>
  <si>
    <t>Less:  Storage Water Htg Revenue</t>
  </si>
  <si>
    <t>Standard Energy Rate - All kWh</t>
  </si>
  <si>
    <t xml:space="preserve">  All Standard kWh</t>
  </si>
  <si>
    <t>Separate Meter Customer Charge:</t>
  </si>
  <si>
    <t>Current</t>
  </si>
  <si>
    <t xml:space="preserve">  Customer - Std TOD</t>
  </si>
  <si>
    <t xml:space="preserve">  Customer - Sep Meter</t>
  </si>
  <si>
    <t>Less:</t>
  </si>
  <si>
    <t>Actual Differential:</t>
  </si>
  <si>
    <t xml:space="preserve">    TOD Meter Cost</t>
  </si>
  <si>
    <t xml:space="preserve">    Standard Meter Cost</t>
  </si>
  <si>
    <t xml:space="preserve">    Cost Differential</t>
  </si>
  <si>
    <t xml:space="preserve">    Over 12 Months</t>
  </si>
  <si>
    <t xml:space="preserve">    Differential</t>
  </si>
  <si>
    <t>Less RS-TOD/RS-LM-TOD Revenue</t>
  </si>
  <si>
    <t xml:space="preserve">    Carrying Cost</t>
  </si>
  <si>
    <t>Current TOD Charge</t>
  </si>
  <si>
    <t xml:space="preserve">Use: </t>
  </si>
  <si>
    <t>30 Year Annual Investment CC</t>
  </si>
  <si>
    <t>RS-TOD / RS-LM-TOD Proposed Revenue</t>
  </si>
  <si>
    <t>Proposed Customer Charge Revenue</t>
  </si>
  <si>
    <t>Charge</t>
  </si>
  <si>
    <t>Proposed</t>
  </si>
  <si>
    <t>Separate Meter</t>
  </si>
  <si>
    <t>Adjusted Base Revenue</t>
  </si>
  <si>
    <t>RS-TOD / RS LMTOD</t>
  </si>
  <si>
    <t>I.</t>
  </si>
  <si>
    <t>Production</t>
  </si>
  <si>
    <t>All Other</t>
  </si>
  <si>
    <t>(1)</t>
  </si>
  <si>
    <t>(2)</t>
  </si>
  <si>
    <t>(3) = (1) - (2)</t>
  </si>
  <si>
    <t>Basic Energy Charge Rate Design</t>
  </si>
  <si>
    <t>All Other Revenue</t>
  </si>
  <si>
    <t>Less: Customer Charge Revenue - STD</t>
  </si>
  <si>
    <t xml:space="preserve">         Customer Charge Revenue - TOD</t>
  </si>
  <si>
    <t>Basic Energy Revenue</t>
  </si>
  <si>
    <t>Total kWh</t>
  </si>
  <si>
    <t>Basic Energy Charge</t>
  </si>
  <si>
    <t>Variable Energy Charge Rate Design</t>
  </si>
  <si>
    <t>Market Generation (Excluding Losses)</t>
  </si>
  <si>
    <t>RT LMP</t>
  </si>
  <si>
    <t>Capacity</t>
  </si>
  <si>
    <t>Production Charge</t>
  </si>
  <si>
    <r>
      <t xml:space="preserve">Variable Energy </t>
    </r>
    <r>
      <rPr>
        <u/>
        <sz val="12"/>
        <rFont val="Arial"/>
        <family val="2"/>
      </rPr>
      <t>Charge</t>
    </r>
  </si>
  <si>
    <t>(3) = (1) + (2)</t>
  </si>
  <si>
    <t>(4) on (3)</t>
  </si>
  <si>
    <t>(5)</t>
  </si>
  <si>
    <t>(6) = (4) / (5)</t>
  </si>
  <si>
    <t>Summer</t>
  </si>
  <si>
    <t>Winter</t>
  </si>
  <si>
    <t>Other</t>
  </si>
  <si>
    <t>Percentage:</t>
  </si>
  <si>
    <t>Energy Base Rate Total</t>
  </si>
  <si>
    <r>
      <t xml:space="preserve">Basic Energy 
</t>
    </r>
    <r>
      <rPr>
        <u/>
        <sz val="12"/>
        <rFont val="Arial"/>
        <family val="2"/>
      </rPr>
      <t>Charge</t>
    </r>
  </si>
  <si>
    <r>
      <t xml:space="preserve">Variable Energy 
</t>
    </r>
    <r>
      <rPr>
        <u/>
        <sz val="12"/>
        <rFont val="Arial"/>
        <family val="2"/>
      </rPr>
      <t>Charge</t>
    </r>
  </si>
  <si>
    <t>Subtotal</t>
  </si>
  <si>
    <t>Fuel Adjustment</t>
  </si>
  <si>
    <t>Base Rate</t>
  </si>
  <si>
    <t>(4)</t>
  </si>
  <si>
    <t>(5) = (3) - (4)</t>
  </si>
  <si>
    <t xml:space="preserve">Winter </t>
  </si>
  <si>
    <t>Rate</t>
  </si>
  <si>
    <t xml:space="preserve">(3) = (1) x (2) </t>
  </si>
  <si>
    <t>Customer Charge - STD</t>
  </si>
  <si>
    <t>Customer Charge - TOD</t>
  </si>
  <si>
    <t>Customer Charge - TOD - Sep Meter</t>
  </si>
  <si>
    <t>* Revised after revenue verification</t>
  </si>
  <si>
    <t xml:space="preserve">    * 50% in Summer, 50% in Other</t>
  </si>
  <si>
    <t>*</t>
  </si>
  <si>
    <t>Monthly Peak</t>
  </si>
  <si>
    <t>Allocation of Capacity Charge between Summer Peak and All Other Hours</t>
  </si>
  <si>
    <t>Average</t>
  </si>
  <si>
    <t>2017/2018</t>
  </si>
  <si>
    <t>2016/2017</t>
  </si>
  <si>
    <t>(d)</t>
  </si>
  <si>
    <t>(c)</t>
  </si>
  <si>
    <t>(b)</t>
  </si>
  <si>
    <t>(a)</t>
  </si>
  <si>
    <t>($/MW-day)</t>
  </si>
  <si>
    <t>(%)</t>
  </si>
  <si>
    <t>Clearing Price</t>
  </si>
  <si>
    <t>Clearing</t>
  </si>
  <si>
    <t>Margin Cleared</t>
  </si>
  <si>
    <t>PY</t>
  </si>
  <si>
    <t>Weighted Avg</t>
  </si>
  <si>
    <t xml:space="preserve">RPM BRA </t>
  </si>
  <si>
    <t xml:space="preserve">RPM Reserve </t>
  </si>
  <si>
    <t>PJM</t>
  </si>
  <si>
    <t>Total Capacity</t>
  </si>
  <si>
    <t>Average RPM Clearing Price</t>
  </si>
  <si>
    <t>365 Days</t>
  </si>
  <si>
    <t>Average MW</t>
  </si>
  <si>
    <t>kW</t>
  </si>
  <si>
    <t>Hour</t>
  </si>
  <si>
    <t>Date</t>
  </si>
  <si>
    <t>(Load Research RS Expanded kW)</t>
  </si>
  <si>
    <t>Proposed RS-TOD/RS-LM-TOD/ RS TOD 2</t>
  </si>
  <si>
    <t>(Load Research SGS Expanded kW)</t>
  </si>
  <si>
    <t>SGS-TOD</t>
  </si>
  <si>
    <t>Billing</t>
  </si>
  <si>
    <t>Revenue From Exisiting SGS-TOD Customers</t>
  </si>
  <si>
    <t>Customer Charge - NM</t>
  </si>
  <si>
    <t>Market Generation (Excl. Losses)</t>
  </si>
  <si>
    <t xml:space="preserve">         Customer Charge Revenue - NM</t>
  </si>
  <si>
    <t>/</t>
  </si>
  <si>
    <r>
      <t xml:space="preserve">Proposed Customer </t>
    </r>
    <r>
      <rPr>
        <u/>
        <sz val="12"/>
        <rFont val="Arial"/>
        <family val="2"/>
      </rPr>
      <t>Charge</t>
    </r>
  </si>
  <si>
    <r>
      <t xml:space="preserve">Plus </t>
    </r>
    <r>
      <rPr>
        <u/>
        <sz val="12"/>
        <rFont val="Arial"/>
        <family val="2"/>
      </rPr>
      <t>Standard</t>
    </r>
  </si>
  <si>
    <r>
      <t xml:space="preserve">Incremental </t>
    </r>
    <r>
      <rPr>
        <u/>
        <sz val="12"/>
        <rFont val="Arial"/>
        <family val="2"/>
      </rPr>
      <t>Customer Charge</t>
    </r>
  </si>
  <si>
    <t>Carrying Charge</t>
  </si>
  <si>
    <t>Months</t>
  </si>
  <si>
    <r>
      <t>Annual Incremental</t>
    </r>
    <r>
      <rPr>
        <u/>
        <sz val="12"/>
        <rFont val="Arial"/>
        <family val="2"/>
      </rPr>
      <t xml:space="preserve"> Meter Charge</t>
    </r>
  </si>
  <si>
    <t>Incremental Meter Charge Rate Design</t>
  </si>
  <si>
    <t xml:space="preserve">    Total</t>
  </si>
  <si>
    <t xml:space="preserve">        Customer</t>
  </si>
  <si>
    <t xml:space="preserve">        Off-Peak Energy</t>
  </si>
  <si>
    <t xml:space="preserve">        On-Peak Energy</t>
  </si>
  <si>
    <t xml:space="preserve">    SGS-LM TOD</t>
  </si>
  <si>
    <t>Revenue From Existing TOD Customers</t>
  </si>
  <si>
    <t xml:space="preserve">  IX.</t>
  </si>
  <si>
    <t>*Revised after revenue verification.</t>
  </si>
  <si>
    <t>Total Base Revenue</t>
  </si>
  <si>
    <t>Non-Metered Customer</t>
  </si>
  <si>
    <t>Standard Customer</t>
  </si>
  <si>
    <t xml:space="preserve">          Time-of-Day Off-Peak Revenue</t>
  </si>
  <si>
    <t xml:space="preserve">           Non-Metered Customer Revenue</t>
  </si>
  <si>
    <t>Less:  Standard Customer Revenue</t>
  </si>
  <si>
    <t>Total SGS Base Revenue</t>
  </si>
  <si>
    <t xml:space="preserve"> VII.</t>
  </si>
  <si>
    <t xml:space="preserve">  Off-Peak Revenue</t>
  </si>
  <si>
    <t xml:space="preserve">  Off-Peak kWh</t>
  </si>
  <si>
    <t xml:space="preserve">  Off-Peak % Usage</t>
  </si>
  <si>
    <t xml:space="preserve">  Use:  Proposed Residential Off-Peak Energy Charge</t>
  </si>
  <si>
    <t xml:space="preserve">  Calculated Off-Peak Energy Charge</t>
  </si>
  <si>
    <t xml:space="preserve">  Fixed Cost Adder</t>
  </si>
  <si>
    <t>kwh    =</t>
  </si>
  <si>
    <t xml:space="preserve">  Energy Revenue Requirement</t>
  </si>
  <si>
    <t xml:space="preserve">  VI.</t>
  </si>
  <si>
    <t xml:space="preserve">   Total Base Revenue</t>
  </si>
  <si>
    <t>/mo</t>
  </si>
  <si>
    <t xml:space="preserve">   Non-Metered Customer</t>
  </si>
  <si>
    <t xml:space="preserve">   Standard Customer</t>
  </si>
  <si>
    <t xml:space="preserve">               - Over 500 kWh</t>
  </si>
  <si>
    <t xml:space="preserve">   Energy - First 500 kWh</t>
  </si>
  <si>
    <t xml:space="preserve">  V.</t>
  </si>
  <si>
    <t xml:space="preserve">  First 500 kWh Charge</t>
  </si>
  <si>
    <t>Block Differential</t>
  </si>
  <si>
    <t>Over 500 kWh Charge</t>
  </si>
  <si>
    <t xml:space="preserve">   Less: Block Differential Revenue</t>
  </si>
  <si>
    <t xml:space="preserve">   Less: Non-Metered Customer Revenue</t>
  </si>
  <si>
    <t xml:space="preserve">   Less: Standard Customer Revenue</t>
  </si>
  <si>
    <t xml:space="preserve">   Revenue Requirement</t>
  </si>
  <si>
    <t>Block Differential Revenue</t>
  </si>
  <si>
    <t xml:space="preserve">  First 500 kWh </t>
  </si>
  <si>
    <t>Proposed Differential</t>
  </si>
  <si>
    <t>Less Customer Charge Increase</t>
  </si>
  <si>
    <t xml:space="preserve">   Over 500 kWh Charge</t>
  </si>
  <si>
    <t>Energy Charges</t>
  </si>
  <si>
    <t xml:space="preserve">  IV.</t>
  </si>
  <si>
    <t xml:space="preserve"> Bills</t>
  </si>
  <si>
    <t xml:space="preserve">    Non-Metered</t>
  </si>
  <si>
    <t xml:space="preserve">    Standard</t>
  </si>
  <si>
    <t>Use:</t>
  </si>
  <si>
    <t xml:space="preserve">  /</t>
  </si>
  <si>
    <t>Residual Customer Revenue</t>
  </si>
  <si>
    <t>Less:  Non-Metered Customer Rev.</t>
  </si>
  <si>
    <t>Standard Customer Charge</t>
  </si>
  <si>
    <t xml:space="preserve">  III.</t>
  </si>
  <si>
    <t xml:space="preserve">        Use:</t>
  </si>
  <si>
    <t>Meter Plant Revenue</t>
  </si>
  <si>
    <t>/ Bills</t>
  </si>
  <si>
    <t>GRCF</t>
  </si>
  <si>
    <t>Adj. Customer Revenue</t>
  </si>
  <si>
    <t>Income</t>
  </si>
  <si>
    <t xml:space="preserve">           Meter Reading Expense (902)</t>
  </si>
  <si>
    <t xml:space="preserve">           Meter O&amp;M Expense (586 &amp; 597)</t>
  </si>
  <si>
    <t>Depreciated Meter Plant</t>
  </si>
  <si>
    <t>Less:  Meter Plant Revenue</t>
  </si>
  <si>
    <t>Net Plant/Gross Plant Percentage</t>
  </si>
  <si>
    <t>Customer Base Revenue</t>
  </si>
  <si>
    <t>Meter Plant  (370)</t>
  </si>
  <si>
    <t>Non-Metered Customer Charge</t>
  </si>
  <si>
    <t xml:space="preserve"> II.</t>
  </si>
  <si>
    <t xml:space="preserve">  Energy</t>
  </si>
  <si>
    <t xml:space="preserve">  Demand</t>
  </si>
  <si>
    <t>TOD/LMTOD</t>
  </si>
  <si>
    <t>Revenue Excld Fuel</t>
  </si>
  <si>
    <t>SGS</t>
  </si>
  <si>
    <t xml:space="preserve">   I.</t>
  </si>
  <si>
    <t xml:space="preserve">   Customer</t>
  </si>
  <si>
    <t xml:space="preserve">   Energy</t>
  </si>
  <si>
    <t>Revenue from Recreational Lighting</t>
  </si>
  <si>
    <t xml:space="preserve">    Proposed Energy Charge</t>
  </si>
  <si>
    <t xml:space="preserve">         Use:  Proposed MGS Secondary</t>
  </si>
  <si>
    <t xml:space="preserve">    Customer Charge</t>
  </si>
  <si>
    <t>Recreational Lighting</t>
  </si>
  <si>
    <t xml:space="preserve">      Total</t>
  </si>
  <si>
    <t xml:space="preserve">      Customer</t>
  </si>
  <si>
    <t xml:space="preserve">      Off-Peak Energy</t>
  </si>
  <si>
    <t xml:space="preserve">      On-Peak Energy</t>
  </si>
  <si>
    <t xml:space="preserve">  MGS-LM-TOD</t>
  </si>
  <si>
    <t xml:space="preserve">  MGS-TOD</t>
  </si>
  <si>
    <t xml:space="preserve">  XI.</t>
  </si>
  <si>
    <t>**</t>
  </si>
  <si>
    <t xml:space="preserve">MGS-LM-TOD </t>
  </si>
  <si>
    <t>MGS-TOD</t>
  </si>
  <si>
    <t xml:space="preserve">  X.</t>
  </si>
  <si>
    <t>LM-TOD</t>
  </si>
  <si>
    <t>TOD</t>
  </si>
  <si>
    <t xml:space="preserve"> IX.</t>
  </si>
  <si>
    <t xml:space="preserve">          Off-Peak Energy Revenue</t>
  </si>
  <si>
    <t xml:space="preserve">          LM-TOD Customer Revenue</t>
  </si>
  <si>
    <t xml:space="preserve">          TOD Customer Revenue</t>
  </si>
  <si>
    <t>Total MGS Secondary Base Revenue</t>
  </si>
  <si>
    <t xml:space="preserve"> VIII.</t>
  </si>
  <si>
    <t xml:space="preserve">  Off-Peak % Usage  -  secondary</t>
  </si>
  <si>
    <t xml:space="preserve">  VII.</t>
  </si>
  <si>
    <t xml:space="preserve">  Total Standard MGS Revenue</t>
  </si>
  <si>
    <t>/bill</t>
  </si>
  <si>
    <t>bills</t>
  </si>
  <si>
    <t xml:space="preserve">              -   &gt; 200 x Demand</t>
  </si>
  <si>
    <t xml:space="preserve">  Energy - &lt;= 200 x Demand</t>
  </si>
  <si>
    <t>/kW</t>
  </si>
  <si>
    <t xml:space="preserve">                - Minimum</t>
  </si>
  <si>
    <t xml:space="preserve">  Demand - Standard</t>
  </si>
  <si>
    <t>Subtransmission</t>
  </si>
  <si>
    <t>Primary</t>
  </si>
  <si>
    <t>Secondary</t>
  </si>
  <si>
    <t>Target</t>
  </si>
  <si>
    <t xml:space="preserve">     Total Energy Revenue</t>
  </si>
  <si>
    <t xml:space="preserve">     &gt;  200 x Demand</t>
  </si>
  <si>
    <t xml:space="preserve">    &lt;= 200 x Demand</t>
  </si>
  <si>
    <t>Charges</t>
  </si>
  <si>
    <t xml:space="preserve">  Proposed Energy Charges</t>
  </si>
  <si>
    <t xml:space="preserve">  Proposed Energy Revenue</t>
  </si>
  <si>
    <t xml:space="preserve">             Demand Revenue</t>
  </si>
  <si>
    <t xml:space="preserve">  Less:  Customer Revenue</t>
  </si>
  <si>
    <t xml:space="preserve">  Total Base Revenue</t>
  </si>
  <si>
    <t>Proposed Energy Charges and Revenue</t>
  </si>
  <si>
    <t xml:space="preserve">        Mining Minimum Demand</t>
  </si>
  <si>
    <t xml:space="preserve">        Standard Demand</t>
  </si>
  <si>
    <t xml:space="preserve">    Subtransmission</t>
  </si>
  <si>
    <t xml:space="preserve">    Primary</t>
  </si>
  <si>
    <t xml:space="preserve">    Secondary</t>
  </si>
  <si>
    <t>Revised</t>
  </si>
  <si>
    <t xml:space="preserve">  Proposed Demand Revenue</t>
  </si>
  <si>
    <t>Standard Demand</t>
  </si>
  <si>
    <t>Factor</t>
  </si>
  <si>
    <t>Loss</t>
  </si>
  <si>
    <t xml:space="preserve">    Mining Minimum Demand</t>
  </si>
  <si>
    <t xml:space="preserve">    Standard Demand</t>
  </si>
  <si>
    <t>Increase</t>
  </si>
  <si>
    <t xml:space="preserve">  Proposed Demand Charge</t>
  </si>
  <si>
    <t>Proposed Demand Charges and Revenue</t>
  </si>
  <si>
    <t xml:space="preserve">  Proposed Customer Revenue</t>
  </si>
  <si>
    <t>Rate*</t>
  </si>
  <si>
    <t xml:space="preserve">  Proposed Customer Charge</t>
  </si>
  <si>
    <t>Full Cost</t>
  </si>
  <si>
    <t>Proposed Customer Charges and Revenue</t>
  </si>
  <si>
    <t xml:space="preserve">  Bills</t>
  </si>
  <si>
    <t xml:space="preserve">  Over 200 kWh per kW</t>
  </si>
  <si>
    <t xml:space="preserve">  First 200 kWh per kW</t>
  </si>
  <si>
    <t xml:space="preserve">  Mining Minimum Billing Demand</t>
  </si>
  <si>
    <t xml:space="preserve">  Standard Billing Demand</t>
  </si>
  <si>
    <t>Billing Determinant Summary</t>
  </si>
  <si>
    <t xml:space="preserve">  II.</t>
  </si>
  <si>
    <t>Total MGS - Excl. TOD,  LM-TOD, RL</t>
  </si>
  <si>
    <t xml:space="preserve">    Customer</t>
  </si>
  <si>
    <t xml:space="preserve">    Energy</t>
  </si>
  <si>
    <t xml:space="preserve">    Demand</t>
  </si>
  <si>
    <t xml:space="preserve">  Secondary - Excl. TOD, LM-TOD, and RL</t>
  </si>
  <si>
    <t xml:space="preserve">  Secondary RL</t>
  </si>
  <si>
    <t xml:space="preserve">  Secondary LM-TOD</t>
  </si>
  <si>
    <t xml:space="preserve">  Secondary TOD</t>
  </si>
  <si>
    <t>Calculated On-Peak Energy Charge</t>
  </si>
  <si>
    <t>Loss Adjusted Energy</t>
  </si>
  <si>
    <t>Loss Factor</t>
  </si>
  <si>
    <t xml:space="preserve">          Demand Revenue</t>
  </si>
  <si>
    <t>Less: Customer Revenue</t>
  </si>
  <si>
    <t>Total Revenue</t>
  </si>
  <si>
    <t>Trans</t>
  </si>
  <si>
    <t>Subtran</t>
  </si>
  <si>
    <t xml:space="preserve">Full cost off-peak rates </t>
  </si>
  <si>
    <t xml:space="preserve">         - Transmission</t>
  </si>
  <si>
    <t xml:space="preserve">         - Subtransmission</t>
  </si>
  <si>
    <t xml:space="preserve">         - Primary</t>
  </si>
  <si>
    <t>LGS - Secondary</t>
  </si>
  <si>
    <t>Rate *</t>
  </si>
  <si>
    <t xml:space="preserve">Demand </t>
  </si>
  <si>
    <t xml:space="preserve">Proposed </t>
  </si>
  <si>
    <t xml:space="preserve">Billing </t>
  </si>
  <si>
    <t>Demand Charge</t>
  </si>
  <si>
    <t>Proposed Off-Peak Charge</t>
  </si>
  <si>
    <t>From Load Research</t>
  </si>
  <si>
    <t>Calculated Off-Peak Energy Charge</t>
  </si>
  <si>
    <t>Total Energy Charge</t>
  </si>
  <si>
    <t>Total Billing kWh</t>
  </si>
  <si>
    <t>Proposed Customer Revenue</t>
  </si>
  <si>
    <t>All Bills</t>
  </si>
  <si>
    <t>Calculated Customer Charge</t>
  </si>
  <si>
    <t>Full Cost Customer Revenue</t>
  </si>
  <si>
    <t>Proposed Base Revenue</t>
  </si>
  <si>
    <t>*Use same as standard</t>
  </si>
  <si>
    <t>/Mo *</t>
  </si>
  <si>
    <t xml:space="preserve">  LGS-LM-TOD</t>
  </si>
  <si>
    <t>/Mo</t>
  </si>
  <si>
    <t xml:space="preserve">                 - Time-of-Day</t>
  </si>
  <si>
    <t>Customer - Standard</t>
  </si>
  <si>
    <t xml:space="preserve">/kWh </t>
  </si>
  <si>
    <t xml:space="preserve">             Off-Peak Energy Revenue</t>
  </si>
  <si>
    <t xml:space="preserve">            Time-of-Day Customer Revenue</t>
  </si>
  <si>
    <t>Total LGS Secondary Base Revenue</t>
  </si>
  <si>
    <t xml:space="preserve">  Use: </t>
  </si>
  <si>
    <t xml:space="preserve">  Secondary Energy Revenue Reqt</t>
  </si>
  <si>
    <t>Off-Peak Energy Charge For LM-TOD</t>
  </si>
  <si>
    <t>Total Tariff LGS</t>
  </si>
  <si>
    <t>/KVA</t>
  </si>
  <si>
    <t>KVA</t>
  </si>
  <si>
    <t>Excess KVA</t>
  </si>
  <si>
    <t>Tran</t>
  </si>
  <si>
    <t>/kWh *</t>
  </si>
  <si>
    <t>Credit</t>
  </si>
  <si>
    <t xml:space="preserve">Equipment </t>
  </si>
  <si>
    <t xml:space="preserve">  Secondary Energy Charge</t>
  </si>
  <si>
    <t xml:space="preserve">  Loss Adjusted Billing Energy</t>
  </si>
  <si>
    <t xml:space="preserve">  Energy Revenue</t>
  </si>
  <si>
    <t xml:space="preserve">             Equipment Credit Revenue</t>
  </si>
  <si>
    <t xml:space="preserve">             Excess KVA Revenue</t>
  </si>
  <si>
    <t xml:space="preserve">  Total Revenue</t>
  </si>
  <si>
    <t>--</t>
  </si>
  <si>
    <t>Equipment Credit Revenue</t>
  </si>
  <si>
    <t>Equipment</t>
  </si>
  <si>
    <t>Loss Adj</t>
  </si>
  <si>
    <t>Proposed Demand Revenue</t>
  </si>
  <si>
    <t>Demand Charges</t>
  </si>
  <si>
    <t>Proposed KVA Revenue</t>
  </si>
  <si>
    <t>Excess</t>
  </si>
  <si>
    <t>Proposed/Current</t>
  </si>
  <si>
    <t>Proposed Excess KVA Charges &amp; Revenue</t>
  </si>
  <si>
    <t>*** Equal to Subtrans</t>
  </si>
  <si>
    <t>** Full cost.</t>
  </si>
  <si>
    <t>* Use Current.</t>
  </si>
  <si>
    <t>***</t>
  </si>
  <si>
    <t xml:space="preserve">  Transmission</t>
  </si>
  <si>
    <t xml:space="preserve">  Subtransmission</t>
  </si>
  <si>
    <t xml:space="preserve">  Primary</t>
  </si>
  <si>
    <t xml:space="preserve">  Secondary</t>
  </si>
  <si>
    <t>Proposed Customer Charges &amp; Revenue</t>
  </si>
  <si>
    <t>Billing kWh</t>
  </si>
  <si>
    <t>Billing Reactive</t>
  </si>
  <si>
    <t>Billing Demand</t>
  </si>
  <si>
    <t>Transmission</t>
  </si>
  <si>
    <t>Total LGS Excld LMTOD</t>
  </si>
  <si>
    <t xml:space="preserve">Primary </t>
  </si>
  <si>
    <t>Secondary Excl. LM-TOD</t>
  </si>
  <si>
    <t xml:space="preserve">   Demand</t>
  </si>
  <si>
    <t xml:space="preserve">Secondary </t>
  </si>
  <si>
    <t>Billed and</t>
  </si>
  <si>
    <t>Total Tariff IGS</t>
  </si>
  <si>
    <t>/KVAR</t>
  </si>
  <si>
    <t>KVAR</t>
  </si>
  <si>
    <t>Excess KVAR</t>
  </si>
  <si>
    <t>Minimum Demand</t>
  </si>
  <si>
    <t>Off-peak Demand</t>
  </si>
  <si>
    <t>On-Peak Demand</t>
  </si>
  <si>
    <t>Proposed On-Peak Demand Revenue</t>
  </si>
  <si>
    <t>% of Full Cost</t>
  </si>
  <si>
    <t xml:space="preserve">  Full Cost Demand Charge</t>
  </si>
  <si>
    <t xml:space="preserve">  Loss Adjusted Billing Demand</t>
  </si>
  <si>
    <t xml:space="preserve">  Demand Revenue</t>
  </si>
  <si>
    <t xml:space="preserve">              Equipment Credit Revenue</t>
  </si>
  <si>
    <t xml:space="preserve">              Minimum Demand Revenue</t>
  </si>
  <si>
    <t xml:space="preserve">              Energy Revenue</t>
  </si>
  <si>
    <t xml:space="preserve">              Off-peak Revenue</t>
  </si>
  <si>
    <t xml:space="preserve">              Excess KVAR Revenue</t>
  </si>
  <si>
    <t xml:space="preserve">  Less: Customer Revenue</t>
  </si>
  <si>
    <t xml:space="preserve">  Total Required Base Revenue</t>
  </si>
  <si>
    <t>Full Cost Demand Charge</t>
  </si>
  <si>
    <t>Calculation of Loss Adj Demand</t>
  </si>
  <si>
    <t>Proposed On-Peak Demand Charges and Revenue</t>
  </si>
  <si>
    <t>Minimum</t>
  </si>
  <si>
    <t>Proposed Minimum Demand Revenue</t>
  </si>
  <si>
    <t xml:space="preserve">  Loss Adjusted Maximum Demand</t>
  </si>
  <si>
    <t xml:space="preserve">   Less: Equipment Credit Revenue</t>
  </si>
  <si>
    <t xml:space="preserve">  Total Required Demand Revenue</t>
  </si>
  <si>
    <t>Maximum</t>
  </si>
  <si>
    <t>Proposed Minimum Demand Charges and Revenue</t>
  </si>
  <si>
    <t>Proposed Energy Revenue</t>
  </si>
  <si>
    <t>Off-peak</t>
  </si>
  <si>
    <t>Proposed Off-Peak Demand Charges and Revenue</t>
  </si>
  <si>
    <t>Excess KVAR Rate</t>
  </si>
  <si>
    <t>Proposed KVAR Revenue</t>
  </si>
  <si>
    <t>Use: Current</t>
  </si>
  <si>
    <t>Proposed Excess KVAR Charges &amp; Revenue</t>
  </si>
  <si>
    <t>Maximum Monthly Demand kW</t>
  </si>
  <si>
    <t>Off-Peak Billing Demand</t>
  </si>
  <si>
    <t>On-Peak Billing Demand</t>
  </si>
  <si>
    <t xml:space="preserve">  Transmission Charge</t>
  </si>
  <si>
    <t xml:space="preserve">  Subtran Charge</t>
  </si>
  <si>
    <t xml:space="preserve">  Primary Charge</t>
  </si>
  <si>
    <t xml:space="preserve">  Secondary Charge</t>
  </si>
  <si>
    <t xml:space="preserve">  Off Peak Demand Cost</t>
  </si>
  <si>
    <t xml:space="preserve">  Off-Peak Recovery %</t>
  </si>
  <si>
    <t xml:space="preserve">  Functional Demand Cost</t>
  </si>
  <si>
    <t>Factors</t>
  </si>
  <si>
    <t>Cost</t>
  </si>
  <si>
    <t>Bulk</t>
  </si>
  <si>
    <t>Distribution</t>
  </si>
  <si>
    <t>Full</t>
  </si>
  <si>
    <t>Full Cost Off-Peak Demand Charges</t>
  </si>
  <si>
    <t>Total LGS-Sec</t>
  </si>
  <si>
    <t>LGS-Sec</t>
  </si>
  <si>
    <t>Total MGS-Sec</t>
  </si>
  <si>
    <t xml:space="preserve">  MGS-AF</t>
  </si>
  <si>
    <t>MGS-Sec</t>
  </si>
  <si>
    <t>Metered</t>
  </si>
  <si>
    <t>TOD and AF Energy</t>
  </si>
  <si>
    <t>Full Cost Equipment Credits</t>
  </si>
  <si>
    <t xml:space="preserve">  Functional Cost</t>
  </si>
  <si>
    <t xml:space="preserve">  Functional Energy</t>
  </si>
  <si>
    <t xml:space="preserve">  Functional Demand Rev</t>
  </si>
  <si>
    <t xml:space="preserve">  Energy Served by Subtran System</t>
  </si>
  <si>
    <t xml:space="preserve">  Loss Adj Energy</t>
  </si>
  <si>
    <t xml:space="preserve">  Relative Loss Factor</t>
  </si>
  <si>
    <t xml:space="preserve">  LGS</t>
  </si>
  <si>
    <t xml:space="preserve">  MGS</t>
  </si>
  <si>
    <t>Current Metered Energy Summary</t>
  </si>
  <si>
    <t>Equipment Credits Relative to Secondary</t>
  </si>
  <si>
    <t>KENTUCKY POWER COMPANY</t>
  </si>
  <si>
    <t>Standard</t>
  </si>
  <si>
    <t>TOD and AF Demands</t>
  </si>
  <si>
    <t>Full Cost Equipment Credits (Relative to Secondary)</t>
  </si>
  <si>
    <t xml:space="preserve">  Functional Demand</t>
  </si>
  <si>
    <t xml:space="preserve">  Demand Served by Subtran System</t>
  </si>
  <si>
    <t xml:space="preserve">  Loss Adj Demand</t>
  </si>
  <si>
    <t>Current Billing Demand Summary</t>
  </si>
  <si>
    <t xml:space="preserve"> =</t>
  </si>
  <si>
    <t xml:space="preserve">Total Monthly AFS Transfer Switch Testing Rate </t>
  </si>
  <si>
    <t xml:space="preserve"> /</t>
  </si>
  <si>
    <t>Divided by 12</t>
  </si>
  <si>
    <t>Total Annual AFS Transfer Switch Testing Cost</t>
  </si>
  <si>
    <t>AFS Transfer Switch Monthly Testing Rate</t>
  </si>
  <si>
    <t>AFS Monthly Cost @ Primary</t>
  </si>
  <si>
    <t xml:space="preserve"> x</t>
  </si>
  <si>
    <t>Loss Factor Secondary to Primary</t>
  </si>
  <si>
    <t>Monthly Cost @ Secondary</t>
  </si>
  <si>
    <t>Functional Demand kW @ Secondary</t>
  </si>
  <si>
    <t>Primary Demand Revenue Requirement</t>
  </si>
  <si>
    <t xml:space="preserve">     </t>
  </si>
  <si>
    <t>AFS Monthly Cost / Reservation Demand Charge</t>
  </si>
  <si>
    <t>Alternate Feed Service (AFS) Rate Design</t>
  </si>
  <si>
    <t>Total MW Verified Revenues</t>
  </si>
  <si>
    <t xml:space="preserve">Target </t>
  </si>
  <si>
    <t>Proposed Energy Charge</t>
  </si>
  <si>
    <t xml:space="preserve">Billing kWh </t>
  </si>
  <si>
    <t>Energy Charge Revenue</t>
  </si>
  <si>
    <t>Less:  Minimum Demand Revenue</t>
  </si>
  <si>
    <t>Total MW Revenue Requirement</t>
  </si>
  <si>
    <t>Energy Charge</t>
  </si>
  <si>
    <t xml:space="preserve"> IV.</t>
  </si>
  <si>
    <t>Minimum Demand Charge Revenue</t>
  </si>
  <si>
    <t>Minimum kW</t>
  </si>
  <si>
    <t>Current Minimum Demand Charges</t>
  </si>
  <si>
    <t>Monthly Demand (SNCP)</t>
  </si>
  <si>
    <t>Demand Revenue Requirement</t>
  </si>
  <si>
    <t>Bills           X</t>
  </si>
  <si>
    <t>Use current:</t>
  </si>
  <si>
    <t>Full Cost Customer Charge</t>
  </si>
  <si>
    <t xml:space="preserve">Base </t>
  </si>
  <si>
    <t xml:space="preserve">  I.</t>
  </si>
  <si>
    <t>MW Rate Design</t>
  </si>
  <si>
    <t>Kentucky Power Company</t>
  </si>
  <si>
    <t>* In process of elimination (Overall Increase)</t>
  </si>
  <si>
    <t>Scale Factor</t>
  </si>
  <si>
    <t>Revenue Target</t>
  </si>
  <si>
    <t>Fuel Clause</t>
  </si>
  <si>
    <t xml:space="preserve">Base Revenue </t>
  </si>
  <si>
    <t xml:space="preserve">  Lateral</t>
  </si>
  <si>
    <t xml:space="preserve">  Span</t>
  </si>
  <si>
    <t xml:space="preserve">  Pole</t>
  </si>
  <si>
    <t>Facilities Charge</t>
  </si>
  <si>
    <t>175 Post Top</t>
  </si>
  <si>
    <t>400 Watt</t>
  </si>
  <si>
    <t>175 Watt</t>
  </si>
  <si>
    <t>Mercury Vapor *</t>
  </si>
  <si>
    <t>400 Watt Mongoose</t>
  </si>
  <si>
    <t>250 Watt Mongoose</t>
  </si>
  <si>
    <t>1000 Watt Floodlight</t>
  </si>
  <si>
    <t>400 Watt Floodlight</t>
  </si>
  <si>
    <t>250 Watt Floodlight</t>
  </si>
  <si>
    <t>Metal Halide</t>
  </si>
  <si>
    <t>400 Watt Shoebox</t>
  </si>
  <si>
    <t>250 Watt Shoebox</t>
  </si>
  <si>
    <t>100 Watt Shoebox</t>
  </si>
  <si>
    <t>200 Watt Floodlight</t>
  </si>
  <si>
    <t>150 Watt Post Top</t>
  </si>
  <si>
    <t>100 Watt Post Top</t>
  </si>
  <si>
    <t>250 Watt</t>
  </si>
  <si>
    <t>200 Watt</t>
  </si>
  <si>
    <t>150 Watt</t>
  </si>
  <si>
    <t>100 Watt</t>
  </si>
  <si>
    <t>High Pressure Sodium</t>
  </si>
  <si>
    <t>Tariff #</t>
  </si>
  <si>
    <t>(9)=(8/4)</t>
  </si>
  <si>
    <t>(8)</t>
  </si>
  <si>
    <t>(7)=(2*6)</t>
  </si>
  <si>
    <t>(6)</t>
  </si>
  <si>
    <t xml:space="preserve">  (5)</t>
  </si>
  <si>
    <t>(4)=(2*3)</t>
  </si>
  <si>
    <t>(3)</t>
  </si>
  <si>
    <t>Lamps</t>
  </si>
  <si>
    <t>Type &amp; Size</t>
  </si>
  <si>
    <t>Percent</t>
  </si>
  <si>
    <t>Annual</t>
  </si>
  <si>
    <t>Based</t>
  </si>
  <si>
    <t>Present</t>
  </si>
  <si>
    <t>Number of</t>
  </si>
  <si>
    <t>Lamp</t>
  </si>
  <si>
    <t>Energy Rate ($/kWh)</t>
  </si>
  <si>
    <t>Class Metered Energy</t>
  </si>
  <si>
    <t>B&amp;A Rev Excl Direct Ltg Costs</t>
  </si>
  <si>
    <t xml:space="preserve">  Less: Acct. 598</t>
  </si>
  <si>
    <t>Monthly Total FCCRR</t>
  </si>
  <si>
    <t xml:space="preserve">  State Income Tax</t>
  </si>
  <si>
    <t xml:space="preserve">  Taxes Other</t>
  </si>
  <si>
    <t>Annual Total</t>
  </si>
  <si>
    <t>Prop Taxes, Adm &amp; Gen'l</t>
  </si>
  <si>
    <t>Cust. Related Revenue Reqt.</t>
  </si>
  <si>
    <t>F.I.T.</t>
  </si>
  <si>
    <t>Depreciation</t>
  </si>
  <si>
    <t>Return</t>
  </si>
  <si>
    <t>Using 10-Yr Inv Life</t>
  </si>
  <si>
    <t xml:space="preserve">Outdoor Lighting (OL) Cost of Service </t>
  </si>
  <si>
    <t>Fixed Cost CC Rate</t>
  </si>
  <si>
    <t>High Pressure Sodium (HPS)</t>
  </si>
  <si>
    <t>(9)=(3+7+8)</t>
  </si>
  <si>
    <t>(7)=(6)*EC</t>
  </si>
  <si>
    <t>(3)=(2)*FCCR</t>
  </si>
  <si>
    <t>Estimate</t>
  </si>
  <si>
    <t>Maintenance</t>
  </si>
  <si>
    <t>per kWh</t>
  </si>
  <si>
    <t>Monthly</t>
  </si>
  <si>
    <t>Consumption in kWh</t>
  </si>
  <si>
    <t>Facility</t>
  </si>
  <si>
    <t>Installed</t>
  </si>
  <si>
    <t>Lighting</t>
  </si>
  <si>
    <t>Estimated</t>
  </si>
  <si>
    <t>Energy Cost @</t>
  </si>
  <si>
    <t>UG Lateral - 50 Feet</t>
  </si>
  <si>
    <t>OH Span - Total  -  &lt; = 150 ft.</t>
  </si>
  <si>
    <t>35ft Wood Pole</t>
  </si>
  <si>
    <t>30ft Wood Pole</t>
  </si>
  <si>
    <t>Facilities Charges</t>
  </si>
  <si>
    <t>50,000 Lumen HPS</t>
  </si>
  <si>
    <t>22,000 Lumen HPS</t>
  </si>
  <si>
    <t>16,000 Lumen HPS</t>
  </si>
  <si>
    <t>9,500 Lumen HPS</t>
  </si>
  <si>
    <t>Service on New Metal or Concrete Poles</t>
  </si>
  <si>
    <t>Service on New Wood Poles</t>
  </si>
  <si>
    <t>n.a.</t>
  </si>
  <si>
    <t>5,800 Lumen HPS</t>
  </si>
  <si>
    <t>58,000 Lumen MV</t>
  </si>
  <si>
    <t>21,000 Lumen MV</t>
  </si>
  <si>
    <t>11,000 Lumen MV</t>
  </si>
  <si>
    <t>7,000 Lumen MV</t>
  </si>
  <si>
    <t>3,500 Lumen MV</t>
  </si>
  <si>
    <t>Service on Existing Wood Poles</t>
  </si>
  <si>
    <t>(10)=(8/4)</t>
  </si>
  <si>
    <t>(9)</t>
  </si>
  <si>
    <t>(7)</t>
  </si>
  <si>
    <t>w/pole</t>
  </si>
  <si>
    <t>Cost Based</t>
  </si>
  <si>
    <t>B&amp;A Rev Excl Direct Ltg Cost</t>
  </si>
  <si>
    <t xml:space="preserve">            Account 596</t>
  </si>
  <si>
    <t xml:space="preserve">  Less: Account 585</t>
  </si>
  <si>
    <t>Customer-Related Revenue Requirement</t>
  </si>
  <si>
    <t>Energy-Related Revenue Reqmt</t>
  </si>
  <si>
    <t>Demand-Related Revenue Reqmt</t>
  </si>
  <si>
    <t>20-Yr Inv Life</t>
  </si>
  <si>
    <t>FCCRR</t>
  </si>
  <si>
    <t>Street Lighting (SL) Cost of Service</t>
  </si>
  <si>
    <t>50,000 Lumen</t>
  </si>
  <si>
    <t>22,000 Lumen</t>
  </si>
  <si>
    <t>16,000 Lumen</t>
  </si>
  <si>
    <t>9,500 Lumen</t>
  </si>
  <si>
    <t>(12)=(5+10+11)</t>
  </si>
  <si>
    <t>(10)=(6)*EC</t>
  </si>
  <si>
    <t>(6)=(5)*FCCRR</t>
  </si>
  <si>
    <t xml:space="preserve"> (5)</t>
  </si>
  <si>
    <t xml:space="preserve"> (4)</t>
  </si>
  <si>
    <t xml:space="preserve"> (3)</t>
  </si>
  <si>
    <t xml:space="preserve"> (2)</t>
  </si>
  <si>
    <t>Type</t>
  </si>
  <si>
    <t>Pole</t>
  </si>
  <si>
    <t xml:space="preserve">Lamp </t>
  </si>
  <si>
    <t>(3)=(2)*FCCRR</t>
  </si>
  <si>
    <t>O&amp;M Percentage</t>
  </si>
  <si>
    <t>Account 370 - Meter Plant</t>
  </si>
  <si>
    <t>Total O&amp;M</t>
  </si>
  <si>
    <t>Account 597 - Maintenance</t>
  </si>
  <si>
    <t>Account 586 - Operation</t>
  </si>
  <si>
    <r>
      <t xml:space="preserve">* Based upon Moody's Economy.com, </t>
    </r>
    <r>
      <rPr>
        <sz val="12"/>
        <rFont val="CG Times"/>
      </rPr>
      <t>GDP Chain Price Deflator</t>
    </r>
  </si>
  <si>
    <t>Average Rate (25th Root)</t>
  </si>
  <si>
    <t>Number of Years</t>
  </si>
  <si>
    <t>Compound Escalation Rate:</t>
  </si>
  <si>
    <t>Rates</t>
  </si>
  <si>
    <t>Year</t>
  </si>
  <si>
    <t>Escalation</t>
  </si>
  <si>
    <t>Cumulative</t>
  </si>
  <si>
    <t>Calculation of Cost Escalation Rates *</t>
  </si>
  <si>
    <t>/    5    =</t>
  </si>
  <si>
    <t>Option 3 - Secondary - Self Contained</t>
  </si>
  <si>
    <t>Option 3 - Secondary - Transformer Rated</t>
  </si>
  <si>
    <t>Option 3 - Primary - Transformer Rated</t>
  </si>
  <si>
    <t>Option 2 - Secondary - Self-Contained</t>
  </si>
  <si>
    <t>Option 2 - Primary - Transformer Rated</t>
  </si>
  <si>
    <t>Polyphase</t>
  </si>
  <si>
    <t xml:space="preserve">Option 3 - Secondary - Self Contained </t>
  </si>
  <si>
    <t xml:space="preserve">Option 3 - Secondary - Transformer Rated </t>
  </si>
  <si>
    <t>Single Phase</t>
  </si>
  <si>
    <t>Time-of-Day Measurement</t>
  </si>
  <si>
    <t>Option 3 - Secondary - Self Contained (Below 200 Amps)</t>
  </si>
  <si>
    <t>Option 3 - Secondary - Transformer Rated (Below 200 Amps)</t>
  </si>
  <si>
    <t>Option 3 - Primary - Transformer Rated (or Sec. &gt;200 Amps)</t>
  </si>
  <si>
    <t>Standard Measurement</t>
  </si>
  <si>
    <t>Material (IM)</t>
  </si>
  <si>
    <t>Incremental</t>
  </si>
  <si>
    <t>Monthly Meter Charges</t>
  </si>
  <si>
    <t>of Incremental Material Cost</t>
  </si>
  <si>
    <t>Monthly Charge on IM =</t>
  </si>
  <si>
    <t>OR:</t>
  </si>
  <si>
    <t>Incremental Labor Cost (50% of Material) = 0.5 x IM</t>
  </si>
  <si>
    <t>IL =</t>
  </si>
  <si>
    <t>Incremental Material Cost</t>
  </si>
  <si>
    <t xml:space="preserve">IM = </t>
  </si>
  <si>
    <t>Monthly Charge on Incremental Material</t>
  </si>
  <si>
    <t>OC</t>
  </si>
  <si>
    <t>Company Construction Overheads</t>
  </si>
  <si>
    <t>Overheads</t>
  </si>
  <si>
    <t>LC</t>
  </si>
  <si>
    <t>Total Charges on Labor</t>
  </si>
  <si>
    <t>Transportation Expense</t>
  </si>
  <si>
    <t>Labor</t>
  </si>
  <si>
    <t>MC</t>
  </si>
  <si>
    <t>Total Charges on Material</t>
  </si>
  <si>
    <t>Stores Expense</t>
  </si>
  <si>
    <t>Contingencies</t>
  </si>
  <si>
    <t>CC</t>
  </si>
  <si>
    <t>Carrying Costs</t>
  </si>
  <si>
    <t>O&amp;M</t>
  </si>
  <si>
    <t>Fixed Costs</t>
  </si>
  <si>
    <t>Value</t>
  </si>
  <si>
    <t>Variable</t>
  </si>
  <si>
    <t>Annual Carrying Charge Rates</t>
  </si>
  <si>
    <t>** Assuming COGEN/SPP Service at Primary</t>
  </si>
  <si>
    <t>Compound Loss Factor</t>
  </si>
  <si>
    <t>System</t>
  </si>
  <si>
    <t>Demand and Energy Loss Calculations **</t>
  </si>
  <si>
    <t xml:space="preserve">   Off-Peak Period is all other hours</t>
  </si>
  <si>
    <t>* On-Peak Period is 7am - 9pm, Monday through Friday</t>
  </si>
  <si>
    <t>¢/kWh</t>
  </si>
  <si>
    <t>Non-Time-of-Day Energy Payment</t>
  </si>
  <si>
    <t>Hours Per Year</t>
  </si>
  <si>
    <t>Weighted Average of Hourly TOD Payments</t>
  </si>
  <si>
    <t>hours</t>
  </si>
  <si>
    <t>Hours per Year</t>
  </si>
  <si>
    <t>Time-of-Day Energy Payments</t>
  </si>
  <si>
    <t>C.</t>
  </si>
  <si>
    <t>Divided by (1 - Loss Savings)</t>
  </si>
  <si>
    <t>B.</t>
  </si>
  <si>
    <t>Loss Adjustment (Potential Loss Savings)</t>
  </si>
  <si>
    <t>Divided by 2</t>
  </si>
  <si>
    <t>Primary Losses</t>
  </si>
  <si>
    <t>Potential Loss Savings</t>
  </si>
  <si>
    <t>A.</t>
  </si>
  <si>
    <t>Non-TOD</t>
  </si>
  <si>
    <t>Energy Payment Calculation *</t>
  </si>
  <si>
    <t>CCR =</t>
  </si>
  <si>
    <t>dr</t>
  </si>
  <si>
    <t>Debt Ratio</t>
  </si>
  <si>
    <t>b</t>
  </si>
  <si>
    <t>Rate on Debt Capital</t>
  </si>
  <si>
    <t>bd</t>
  </si>
  <si>
    <t>Book Depreciation</t>
  </si>
  <si>
    <t>ct</t>
  </si>
  <si>
    <t>Composite Tax Rate</t>
  </si>
  <si>
    <t>d</t>
  </si>
  <si>
    <t>Depreciation Rate</t>
  </si>
  <si>
    <t>p</t>
  </si>
  <si>
    <t>Insurance Rate</t>
  </si>
  <si>
    <t xml:space="preserve">Electric Plant in Service </t>
  </si>
  <si>
    <t>Account 9240000</t>
  </si>
  <si>
    <t>Insurance Rate:</t>
  </si>
  <si>
    <t>a</t>
  </si>
  <si>
    <t>Property Tax Rate</t>
  </si>
  <si>
    <t xml:space="preserve">Account 4081005 </t>
  </si>
  <si>
    <t>Property Tax Rate:</t>
  </si>
  <si>
    <t>R</t>
  </si>
  <si>
    <t>Weighted Cost of Capital</t>
  </si>
  <si>
    <t>Calculation of Annual Carrying Charge Rate (Page 1, Assumption C)</t>
  </si>
  <si>
    <t>Total  O&amp;M Cost (Page 1, Assumption D)</t>
  </si>
  <si>
    <t>Variable O&amp;M Cost</t>
  </si>
  <si>
    <t>Fixed O&amp;M Cost</t>
  </si>
  <si>
    <t>Per Unit Variable O&amp;M Cost</t>
  </si>
  <si>
    <t>Unit Size</t>
  </si>
  <si>
    <t>/year</t>
  </si>
  <si>
    <t>Total Variable O&amp;M Cost</t>
  </si>
  <si>
    <t>Planned Outage Rate</t>
  </si>
  <si>
    <t>mills/kWh</t>
  </si>
  <si>
    <t xml:space="preserve">Variable Operations &amp; Maintenance Cost </t>
  </si>
  <si>
    <t>Per Unit Fixed O&amp;M Cost</t>
  </si>
  <si>
    <t>Total Fixed O&amp;M Cost</t>
  </si>
  <si>
    <t xml:space="preserve">Fixed Operations &amp; Maintenance Cost </t>
  </si>
  <si>
    <t>Cost Calculations (Support Page 1, Assumptions A &amp; D)</t>
  </si>
  <si>
    <t xml:space="preserve">  Standard Measurement</t>
  </si>
  <si>
    <t xml:space="preserve">Three Year Average Avoided Cost of Capacity = </t>
  </si>
  <si>
    <t xml:space="preserve"> TOD Measurement</t>
  </si>
  <si>
    <t>C =</t>
  </si>
  <si>
    <t>S6 =</t>
  </si>
  <si>
    <t>S3 =</t>
  </si>
  <si>
    <t>S5 =</t>
  </si>
  <si>
    <t>S2 =</t>
  </si>
  <si>
    <t>S4 =</t>
  </si>
  <si>
    <t>S1 =</t>
  </si>
  <si>
    <t>T =</t>
  </si>
  <si>
    <t>Calculation for Third Year</t>
  </si>
  <si>
    <t>Calculation for Second Year</t>
  </si>
  <si>
    <t>Calculation for First Year</t>
  </si>
  <si>
    <t>Where:</t>
  </si>
  <si>
    <t>Calculation of Unadjusted Monthly Avoided Cost of Capacity</t>
  </si>
  <si>
    <t>-----------</t>
  </si>
  <si>
    <t>D =</t>
  </si>
  <si>
    <t>Calculation of Present Value of Carrying Charge</t>
  </si>
  <si>
    <t>IP</t>
  </si>
  <si>
    <t>Construction Cost Escalation Rate</t>
  </si>
  <si>
    <t>I)</t>
  </si>
  <si>
    <t>IO</t>
  </si>
  <si>
    <t>Fixed Operation and Maintenance Cost Escalation Rate</t>
  </si>
  <si>
    <t>H)</t>
  </si>
  <si>
    <t>D</t>
  </si>
  <si>
    <t>Present Value of Carrying Charge for $1 Investment for N years</t>
  </si>
  <si>
    <t>G)</t>
  </si>
  <si>
    <t>years</t>
  </si>
  <si>
    <t>N</t>
  </si>
  <si>
    <t>Estimated Unit Life</t>
  </si>
  <si>
    <t>F)</t>
  </si>
  <si>
    <t>L</t>
  </si>
  <si>
    <t>Line Losses</t>
  </si>
  <si>
    <t>E)</t>
  </si>
  <si>
    <t>O</t>
  </si>
  <si>
    <t>Operation &amp; Maintenance Cost per Year (Fixed &amp; Variable)</t>
  </si>
  <si>
    <t>D)</t>
  </si>
  <si>
    <t>CCR</t>
  </si>
  <si>
    <t>Carrying Charge Rate</t>
  </si>
  <si>
    <t>C)</t>
  </si>
  <si>
    <t>Weighted Cost of Capital (Workpaper S-2)</t>
  </si>
  <si>
    <t>B)</t>
  </si>
  <si>
    <t>V</t>
  </si>
  <si>
    <t>Capital Cost per kW of Capacity</t>
  </si>
  <si>
    <t>A)</t>
  </si>
  <si>
    <t>Assumptions</t>
  </si>
  <si>
    <t xml:space="preserve">    Secondary Demand and Energy Rev Requirement</t>
  </si>
  <si>
    <t xml:space="preserve">    Secondary Energy</t>
  </si>
  <si>
    <t>/kWh (Off-Pk)  =</t>
  </si>
  <si>
    <t>/mo.                 =</t>
  </si>
  <si>
    <t>MGS</t>
  </si>
  <si>
    <t>LGS</t>
  </si>
  <si>
    <t>OL</t>
  </si>
  <si>
    <t>SL</t>
  </si>
  <si>
    <t>Check</t>
  </si>
  <si>
    <t>o=sum j-n</t>
  </si>
  <si>
    <t>n=e-h</t>
  </si>
  <si>
    <t>Dist Secondary</t>
  </si>
  <si>
    <t>m=d</t>
  </si>
  <si>
    <t>Dist Primary</t>
  </si>
  <si>
    <t>l=c-i</t>
  </si>
  <si>
    <t>k=b-g</t>
  </si>
  <si>
    <t>j=a</t>
  </si>
  <si>
    <t>Base Rate Revenue Targets</t>
  </si>
  <si>
    <t>Less Fuel Clause</t>
  </si>
  <si>
    <t>g</t>
  </si>
  <si>
    <t>Adjustments</t>
  </si>
  <si>
    <t>TOTAL</t>
  </si>
  <si>
    <t>f= sum a-e</t>
  </si>
  <si>
    <t>e</t>
  </si>
  <si>
    <t>c</t>
  </si>
  <si>
    <t>MW</t>
  </si>
  <si>
    <t>LGS-TRA</t>
  </si>
  <si>
    <t>LGS-SUB</t>
  </si>
  <si>
    <t>LGS-PRI</t>
  </si>
  <si>
    <t>LGS-SEC</t>
  </si>
  <si>
    <t>MGS-SUB</t>
  </si>
  <si>
    <t>MGS-PRI</t>
  </si>
  <si>
    <t>MGS-SEC</t>
  </si>
  <si>
    <t>Retail</t>
  </si>
  <si>
    <t>From CCOS</t>
  </si>
  <si>
    <t>Base Rate Revenue Target Summary</t>
  </si>
  <si>
    <t>KPCo Kentucky Retail Jurisdiction</t>
  </si>
  <si>
    <t>(4) @ 35% Federal Income Tax Rate</t>
  </si>
  <si>
    <t>(3) Assuming MACRS Tax Depreciation</t>
  </si>
  <si>
    <t>(2) Sinking Fund annuity with R1 Dispersion of Retirements</t>
  </si>
  <si>
    <t>Property Taxes,  General  &amp; Admin Expenses</t>
  </si>
  <si>
    <t>FIT (3) (4)</t>
  </si>
  <si>
    <t>Depreciation (2)</t>
  </si>
  <si>
    <t>Return (1)</t>
  </si>
  <si>
    <t>Investment Life (Years)</t>
  </si>
  <si>
    <t>For Economic Analyses</t>
  </si>
  <si>
    <t>Annual Investment Carrying Charges</t>
  </si>
  <si>
    <t>Kentucky Power</t>
  </si>
  <si>
    <t xml:space="preserve">  * Limited after revenue verification</t>
  </si>
  <si>
    <t>Schools</t>
  </si>
  <si>
    <t xml:space="preserve">/kW </t>
  </si>
  <si>
    <t>Fixed Operations &amp; Maintenance Cost per kW (2017 Dollars)</t>
  </si>
  <si>
    <t>Variable Operations &amp; Maintenance Cost per kW (2017 Dollars)</t>
  </si>
  <si>
    <t>Total Operations &amp; Maintenance Cost per kW (2017 Dollars)</t>
  </si>
  <si>
    <t>Avoided Energy Costs (2017-2019 Average)</t>
  </si>
  <si>
    <t>Summer 2016 RTO 5CP</t>
  </si>
  <si>
    <t>2018/2019</t>
  </si>
  <si>
    <t>2019/2020</t>
  </si>
  <si>
    <t>Minimum Billing Demand</t>
  </si>
  <si>
    <t xml:space="preserve">  Minimum kWh</t>
  </si>
  <si>
    <t>Twelve Months Ended February 28, 2017</t>
  </si>
  <si>
    <t>January 2017</t>
  </si>
  <si>
    <t>February 2017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</si>
  <si>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</si>
  <si>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</si>
  <si>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</si>
  <si>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</si>
  <si>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</si>
  <si>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</si>
  <si>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</si>
  <si>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</si>
  <si>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</si>
  <si>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</si>
  <si>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IGS Sec</t>
  </si>
  <si>
    <t>IGS Pri</t>
  </si>
  <si>
    <t>IGS Sub</t>
  </si>
  <si>
    <t>IGS Tra</t>
  </si>
  <si>
    <t>IGS</t>
  </si>
  <si>
    <t>Proposed Tariff GS</t>
  </si>
  <si>
    <t>Proposed Tariff LGS</t>
  </si>
  <si>
    <t>PS Sec</t>
  </si>
  <si>
    <t>PS Pri</t>
  </si>
  <si>
    <t>PS</t>
  </si>
  <si>
    <t xml:space="preserve">  IGS</t>
  </si>
  <si>
    <t>Fuel Revenue</t>
  </si>
  <si>
    <t>Less</t>
  </si>
  <si>
    <t>SGS TOD</t>
  </si>
  <si>
    <t>MGS TOD</t>
  </si>
  <si>
    <t xml:space="preserve">Less </t>
  </si>
  <si>
    <t>GS LMTOD</t>
  </si>
  <si>
    <t>Rec Lighting</t>
  </si>
  <si>
    <t>General Service (GS)</t>
  </si>
  <si>
    <t>Secondary Tariff Provisions Base Rev</t>
  </si>
  <si>
    <t>Standard GS  Base Revenue Targets</t>
  </si>
  <si>
    <t>First 4450 kWh</t>
  </si>
  <si>
    <t>Over 4450 kWh</t>
  </si>
  <si>
    <t>Billing Demand Greater Than 10 kW</t>
  </si>
  <si>
    <t>Standard Service Charge</t>
  </si>
  <si>
    <t>Non-Metered Service Charge</t>
  </si>
  <si>
    <t xml:space="preserve">On Peak </t>
  </si>
  <si>
    <t>Off Peak</t>
  </si>
  <si>
    <t>Service Charge Revenue</t>
  </si>
  <si>
    <t>Billing Data</t>
  </si>
  <si>
    <t>Service Charge</t>
  </si>
  <si>
    <t>Non-Metered</t>
  </si>
  <si>
    <t>less Service Charge Revenue</t>
  </si>
  <si>
    <t>less Energy Charge Revenue</t>
  </si>
  <si>
    <t>less Secondary Tariff Provisions (TODs)</t>
  </si>
  <si>
    <t>Loss Adjusted Demand</t>
  </si>
  <si>
    <t>Equipment Credit</t>
  </si>
  <si>
    <t>Demand Rates</t>
  </si>
  <si>
    <t>* Use Proposed Standard Charge.</t>
  </si>
  <si>
    <t>less Equipment Credit Revenue</t>
  </si>
  <si>
    <t>Residual Demand Charge</t>
  </si>
  <si>
    <t>Loss Adjusted Billing Demand</t>
  </si>
  <si>
    <t>PRODUCTION</t>
  </si>
  <si>
    <t>BULKTRAN</t>
  </si>
  <si>
    <t>SUBTRAN</t>
  </si>
  <si>
    <t>DISTPRI</t>
  </si>
  <si>
    <t>DISTSEC</t>
  </si>
  <si>
    <t>ENERGY</t>
  </si>
  <si>
    <t>CUSTOMER</t>
  </si>
  <si>
    <t>Current Rates</t>
  </si>
  <si>
    <t>current rates</t>
  </si>
  <si>
    <t>Includes Schools again</t>
  </si>
  <si>
    <t>Standard LGS</t>
  </si>
  <si>
    <t>Total LGS with Schools</t>
  </si>
  <si>
    <t>LGS TOD</t>
  </si>
  <si>
    <t xml:space="preserve">      Billing demand</t>
  </si>
  <si>
    <t xml:space="preserve">      Excess kVa</t>
  </si>
  <si>
    <t>kVa</t>
  </si>
  <si>
    <t>Secondary LM-TOD &amp; TOD</t>
  </si>
  <si>
    <t xml:space="preserve">  MGS-REC Lights</t>
  </si>
  <si>
    <t>Return on Rate Base - Class Proposed</t>
  </si>
  <si>
    <t>*Secondary same as SGS Standard.</t>
  </si>
  <si>
    <t>Proposed GS</t>
  </si>
  <si>
    <t>Proposed Minimum Demand Charge</t>
  </si>
  <si>
    <t xml:space="preserve">GS LMTOD </t>
  </si>
  <si>
    <t>avg kWh</t>
  </si>
  <si>
    <t>avg kW</t>
  </si>
  <si>
    <t xml:space="preserve">  O&amp;M Expenses</t>
  </si>
  <si>
    <t>(1) Company Proposed Rate of Return</t>
  </si>
  <si>
    <t>CS-IRP Demand Credit</t>
  </si>
  <si>
    <t xml:space="preserve">              CS-IRP Credit Revenue</t>
  </si>
  <si>
    <t>Monthly kWh</t>
  </si>
  <si>
    <t xml:space="preserve"> Revenue</t>
  </si>
  <si>
    <t>Base Fuel</t>
  </si>
  <si>
    <t xml:space="preserve">Non-Fuel  </t>
  </si>
  <si>
    <t>Revenue Check</t>
  </si>
  <si>
    <t>check</t>
  </si>
  <si>
    <t>Total On-Peak Billing Demand</t>
  </si>
  <si>
    <t>Total Bills</t>
  </si>
  <si>
    <t>RS-D Rates</t>
  </si>
  <si>
    <t>Energy Charge - All kWh</t>
  </si>
  <si>
    <t xml:space="preserve">On-Peak Demand Charge </t>
  </si>
  <si>
    <t>Revenue Targets</t>
  </si>
  <si>
    <t>Distribution Primary</t>
  </si>
  <si>
    <t>Distribution Secondary</t>
  </si>
  <si>
    <t>Prod and Trans Demand</t>
  </si>
  <si>
    <t>On-Peak Demand Charge  per kW</t>
  </si>
  <si>
    <t>Optional Residential Demand Rate</t>
  </si>
  <si>
    <t>On Peak kWh</t>
  </si>
  <si>
    <t>Off Peak Energy</t>
  </si>
  <si>
    <t>On Peak Energy Charge</t>
  </si>
  <si>
    <t>Off Peak Energy Charge</t>
  </si>
  <si>
    <t>$/kWh</t>
  </si>
  <si>
    <t xml:space="preserve">$/kW </t>
  </si>
  <si>
    <t>$/customer/month</t>
  </si>
  <si>
    <t>RS-D Billing Units</t>
  </si>
  <si>
    <t>PS-SEC</t>
  </si>
  <si>
    <t>PS-PRI</t>
  </si>
  <si>
    <t>IGS-SEC</t>
  </si>
  <si>
    <t>IGS-PRI</t>
  </si>
  <si>
    <t>IGS-SUB</t>
  </si>
  <si>
    <t>IGS-TRA</t>
  </si>
  <si>
    <t>(Load Research RS NCP On-Peak)</t>
  </si>
  <si>
    <t>(Load Research SGS NCP On-Peak)</t>
  </si>
  <si>
    <t>Calculated Non-Metered Customer Charge</t>
  </si>
  <si>
    <t>Customer Charge - LM-TOD</t>
  </si>
  <si>
    <t xml:space="preserve">         Customer Charge Revenue - LM-TOD</t>
  </si>
  <si>
    <t xml:space="preserve">  LGS-TOD</t>
  </si>
  <si>
    <t xml:space="preserve">  LGS TOD</t>
  </si>
  <si>
    <t xml:space="preserve">Full Cost Off-Peak Excess </t>
  </si>
  <si>
    <t xml:space="preserve">          RL Customer Revenue</t>
  </si>
  <si>
    <t>RL</t>
  </si>
  <si>
    <t>/kW *</t>
  </si>
  <si>
    <t>* Limited after Revenue Verification</t>
  </si>
  <si>
    <t>Customer - Non-Metered</t>
  </si>
  <si>
    <t>Class Increase</t>
  </si>
  <si>
    <t>Calculation of Meter O&amp;M Expense as a % of Original Cost (Per Books Total Company Values)</t>
  </si>
  <si>
    <t>Electric Plant in Service (101)</t>
  </si>
  <si>
    <t>Maximum Increase (1.5 x class increase)</t>
  </si>
  <si>
    <t>(8)=(2*7)</t>
  </si>
  <si>
    <t>Maximum Increase (2 x class increase)</t>
  </si>
  <si>
    <t>kW Demand</t>
  </si>
  <si>
    <t>Reactive Demand</t>
  </si>
  <si>
    <t>Lamp Charge</t>
  </si>
  <si>
    <t>Incremental Enviro Surcharge</t>
  </si>
  <si>
    <t>RS Total</t>
  </si>
  <si>
    <t>Storage Water Heating</t>
  </si>
  <si>
    <t>RSLMTOD Total</t>
  </si>
  <si>
    <t>on peak</t>
  </si>
  <si>
    <t>off peak</t>
  </si>
  <si>
    <t>Sep Meter Charge</t>
  </si>
  <si>
    <t>RS TOD Total</t>
  </si>
  <si>
    <t>SGS Metered Total</t>
  </si>
  <si>
    <t xml:space="preserve">  First 4,450 kWh</t>
  </si>
  <si>
    <t xml:space="preserve">  Over 4,450 kWh</t>
  </si>
  <si>
    <t>SGS NM Total</t>
  </si>
  <si>
    <t>SGSLMTOD (225)</t>
  </si>
  <si>
    <t xml:space="preserve">  On-Peak - Summer</t>
  </si>
  <si>
    <t xml:space="preserve">  On-Peak - Winter</t>
  </si>
  <si>
    <t>MGS Sec</t>
  </si>
  <si>
    <t>MGS RL (214)</t>
  </si>
  <si>
    <t>MGSLMTOD (223)</t>
  </si>
  <si>
    <t>Same as SGS LMTOD</t>
  </si>
  <si>
    <t>MGSTOD (229)</t>
  </si>
  <si>
    <t>MGS Pri Total</t>
  </si>
  <si>
    <t>MGS Sub (236)</t>
  </si>
  <si>
    <t>LGS Sec Total</t>
  </si>
  <si>
    <t>LGSLMTOD (251)</t>
  </si>
  <si>
    <t>LGSSECTOD (256)</t>
  </si>
  <si>
    <t>LGS Pri Total</t>
  </si>
  <si>
    <t>LGS Sub (248)</t>
  </si>
  <si>
    <t>LGS Tran (250)</t>
  </si>
  <si>
    <t>PS Sec (260)</t>
  </si>
  <si>
    <t>PS Pri (264)</t>
  </si>
  <si>
    <t>IGS Sec (356)</t>
  </si>
  <si>
    <t>IGS Pri (358)</t>
  </si>
  <si>
    <t>IGS Sub Total (359,371)</t>
  </si>
  <si>
    <t>IGS Tran Total (360,372)</t>
  </si>
  <si>
    <t>OL Total</t>
  </si>
  <si>
    <t>Overhead Lighting Service</t>
  </si>
  <si>
    <t xml:space="preserve">  100 watts, 9,500 Lumens (094)</t>
  </si>
  <si>
    <t xml:space="preserve">  150 watts, 16,000 Lumens (113)</t>
  </si>
  <si>
    <t xml:space="preserve">  200 watts, 22,000 Lumens (097)</t>
  </si>
  <si>
    <t xml:space="preserve">  250 watts, 28,000 Lumens (103)</t>
  </si>
  <si>
    <t xml:space="preserve">  400 watts, 50,000 Lumens (098)</t>
  </si>
  <si>
    <t>Mercury Vapor</t>
  </si>
  <si>
    <t xml:space="preserve">  175 watts, 7,000 Lumens (093)</t>
  </si>
  <si>
    <t xml:space="preserve">  400 watts, 20,000 Lumens (095)</t>
  </si>
  <si>
    <t>Post Top Lighting Service</t>
  </si>
  <si>
    <t>High Pressure Sodium - PT - UG Circuit</t>
  </si>
  <si>
    <t xml:space="preserve">  100 watts, 9,500 Lumens (111)</t>
  </si>
  <si>
    <t xml:space="preserve">  150 watts, 16,000 Lumens (122)</t>
  </si>
  <si>
    <t>Mercury Vapor - PT - UG Circuit</t>
  </si>
  <si>
    <t xml:space="preserve">  175 watts, 7,000 Lumens (099)</t>
  </si>
  <si>
    <t>High Pressure Sodium - Shoebox with Decorative Pole</t>
  </si>
  <si>
    <t xml:space="preserve">  100 watts, 9,500 Lumens (121)</t>
  </si>
  <si>
    <t xml:space="preserve">  250 watts, 28,000 Lumens (120)</t>
  </si>
  <si>
    <t xml:space="preserve">  400 watts, 50,000 Lumens (126)</t>
  </si>
  <si>
    <t>Flood Lighting Service</t>
  </si>
  <si>
    <t>High Pressure Sodium - Floodlight, existing pole</t>
  </si>
  <si>
    <t xml:space="preserve">  200 watts, 22,000 Lumens (107)</t>
  </si>
  <si>
    <t xml:space="preserve">  400 watts, 50,000 Lumens (109)</t>
  </si>
  <si>
    <t>Metal Halide - Floodlight, existing pole</t>
  </si>
  <si>
    <t xml:space="preserve">  250 watts, 20,500 Lumens (110)</t>
  </si>
  <si>
    <t xml:space="preserve">  400 watts, 36,000 Lumens (116)</t>
  </si>
  <si>
    <t xml:space="preserve">  1000 watts, 110,000 Lumens (131)</t>
  </si>
  <si>
    <t>Metal Halide - Mongoose Light, existing pole</t>
  </si>
  <si>
    <t xml:space="preserve">  250 watts, 20,500 Lumens (130)</t>
  </si>
  <si>
    <t xml:space="preserve">  400 watts, 36,000 Lumens (136)</t>
  </si>
  <si>
    <t>Metered kWh</t>
  </si>
  <si>
    <t>SL (528)</t>
  </si>
  <si>
    <t>OH Service on Distribution Poles</t>
  </si>
  <si>
    <t xml:space="preserve">  100 watts, 9,500 Lumens </t>
  </si>
  <si>
    <t xml:space="preserve">  150 watts, 16,000 Lumens </t>
  </si>
  <si>
    <t xml:space="preserve">  200 watts, 22,000 Lumens </t>
  </si>
  <si>
    <t xml:space="preserve">  400 watts, 50,000 Lumens </t>
  </si>
  <si>
    <t>Service on New Wood Distribution Poles</t>
  </si>
  <si>
    <t>From CCOS:</t>
  </si>
  <si>
    <t>RS TOD2</t>
  </si>
  <si>
    <t>Proposed ES Rate Calc for Proposed side of Revenue Proof and Newspaper Notice</t>
  </si>
  <si>
    <t>Incremental ECP</t>
  </si>
  <si>
    <t>KPCo Total Co  Revenue Requirement</t>
  </si>
  <si>
    <t>KPCo KY Retail Juris  Factor</t>
  </si>
  <si>
    <t>KY Retail Juris Total Co  Revenue Requirement</t>
  </si>
  <si>
    <t>KY Residential Retail Revenue</t>
  </si>
  <si>
    <t>All Other Classes Retail Revenue</t>
  </si>
  <si>
    <t>KY Total Retail Revenue</t>
  </si>
  <si>
    <t>All Other Classes Non-Fuel Retail Revenue</t>
  </si>
  <si>
    <t>Residential Allocation</t>
  </si>
  <si>
    <t>All Other Allocation</t>
  </si>
  <si>
    <t>Residential Enviromental Adjustment Factor</t>
  </si>
  <si>
    <t>All Other Environmental Adjustment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</si>
</sst>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"/>
    <numFmt numFmtId="166" formatCode="0.0%"/>
    <numFmt numFmtId="167" formatCode="#,##0.000"/>
    <numFmt numFmtId="168" formatCode="#,##0.0000"/>
    <numFmt numFmtId="169" formatCode="#,##0.00000"/>
    <numFmt numFmtId="170" formatCode="&quot;$&quot;#,##0.00"/>
    <numFmt numFmtId="171" formatCode="&quot;$&quot;#,##0.00000"/>
    <numFmt numFmtId="172" formatCode="0.000"/>
    <numFmt numFmtId="173" formatCode="#,##0.00000_);\(#,##0.00000\)"/>
    <numFmt numFmtId="174" formatCode="0.0000"/>
    <numFmt numFmtId="175" formatCode="0.0"/>
    <numFmt numFmtId="176" formatCode="#,##0.0"/>
    <numFmt numFmtId="177" formatCode="_(&quot;$&quot;* #,##0_);_(&quot;$&quot;* \(#,##0\);_(&quot;$&quot;* &quot;-&quot;??_);_(@_)"/>
    <numFmt numFmtId="178" formatCode="&quot;$&quot;#,##0.000000"/>
    <numFmt numFmtId="179" formatCode="&quot;$&quot;#,##0.0000000"/>
    <numFmt numFmtId="180" formatCode="_(* #,##0_);_(* \(#,##0\);_(* &quot;-&quot;??_);_(@_)"/>
    <numFmt numFmtId="181" formatCode="&quot;$&quot;#,##0.000"/>
    <numFmt numFmtId="182" formatCode="_(* #,##0.0000_);_(* \(#,##0.0000\);_(* &quot;-&quot;??_);_(@_)"/>
    <numFmt numFmtId="183" formatCode="#,##0.000000"/>
    <numFmt numFmtId="184" formatCode="_(&quot;$&quot;* #,##0_);_(&quot;$&quot;* \(#,##0\);_(&quot;$&quot;* &quot;-&quot;?????_);_(@_)"/>
    <numFmt numFmtId="185" formatCode="0.00000"/>
    <numFmt numFmtId="186" formatCode="&quot;$&quot;#,##0.00000_);\(&quot;$&quot;#,##0.00000\)"/>
    <numFmt numFmtId="187" formatCode="&quot;$&quot;#,##0.00;[Red]&quot;$&quot;#,##0.00"/>
    <numFmt numFmtId="188" formatCode="#,##0;[Red]#,##0"/>
    <numFmt numFmtId="189" formatCode="_(* #,##0.00000_);_(* \(#,##0.00000\);_(* &quot;-&quot;??_);_(@_)"/>
    <numFmt numFmtId="190" formatCode="0.0000%"/>
    <numFmt numFmtId="191" formatCode="0.000000"/>
    <numFmt numFmtId="192" formatCode="hh:mm\ AM/PM"/>
    <numFmt numFmtId="193" formatCode="0;[Red]0"/>
    <numFmt numFmtId="194" formatCode="0.00_);[Red]\(0.00\)"/>
    <numFmt numFmtId="195" formatCode="_(* #,##0.0_);_(* \(#,##0.0\);&quot;&quot;;_(@_)"/>
    <numFmt numFmtId="196" formatCode="[Blue]#,##0,_);[Red]\(#,##0,\)"/>
    <numFmt numFmtId="197" formatCode="0%\ &quot;of&quot;"/>
    <numFmt numFmtId="198" formatCode="&quot;$&quot;#,##0.00000_);[Red]\(&quot;$&quot;#,##0.00000\)"/>
    <numFmt numFmtId="199" formatCode="_(* #,##0.000_);_(* \(#,##0.000\);_(* &quot;-&quot;??_);_(@_)"/>
    <numFmt numFmtId="200" formatCode="0.000%"/>
    <numFmt numFmtId="201" formatCode="_(&quot;$&quot;* #,##0.00000_);_(&quot;$&quot;* \(#,##0.00000\);_(&quot;$&quot;* &quot;-&quot;??_);_(@_)"/>
  </numFmts>
  <fonts count="133">
    <font>
      <sz val="12"/>
      <name val="CG Time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indexed="12"/>
      <name val="Arial"/>
      <family val="2"/>
    </font>
    <font>
      <u/>
      <sz val="12"/>
      <name val="Arial"/>
      <family val="2"/>
    </font>
    <font>
      <sz val="12"/>
      <name val="CG Times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rgb="FF00B0F0"/>
      <name val="Arial"/>
      <family val="2"/>
    </font>
    <font>
      <sz val="10"/>
      <color rgb="FFFF0000"/>
      <name val="Arial"/>
      <family val="2"/>
    </font>
    <font>
      <sz val="10"/>
      <name val="MS Sans Serif"/>
      <family val="2"/>
    </font>
    <font>
      <sz val="12"/>
      <name val="Arial MT"/>
    </font>
    <font>
      <sz val="11"/>
      <color indexed="8"/>
      <name val="Calibri"/>
      <family val="2"/>
      <scheme val="minor"/>
    </font>
    <font>
      <sz val="10"/>
      <name val="Helv"/>
    </font>
    <font>
      <b/>
      <sz val="10"/>
      <name val="MS Sans Serif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color theme="1"/>
      <name val="Arial MT"/>
    </font>
    <font>
      <sz val="12"/>
      <color indexed="9"/>
      <name val="Arial"/>
      <family val="2"/>
    </font>
    <font>
      <sz val="12"/>
      <color rgb="FFFF0000"/>
      <name val="Arial MT"/>
    </font>
    <font>
      <b/>
      <i/>
      <sz val="12"/>
      <name val="Arial"/>
      <family val="2"/>
    </font>
    <font>
      <u/>
      <sz val="12"/>
      <name val="Arial MT"/>
    </font>
    <font>
      <b/>
      <u/>
      <sz val="12"/>
      <name val="Arial MT"/>
    </font>
    <font>
      <i/>
      <sz val="12"/>
      <name val="Arial MT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 Unicode MS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theme="1"/>
      <name val="Arial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10"/>
      <name val="Tahoma"/>
      <family val="2"/>
    </font>
    <font>
      <sz val="12"/>
      <color theme="3"/>
      <name val="Arial"/>
      <family val="2"/>
    </font>
    <font>
      <b/>
      <sz val="12"/>
      <color theme="3"/>
      <name val="Arial"/>
      <family val="2"/>
    </font>
    <font>
      <b/>
      <sz val="12"/>
      <name val="CG Times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6"/>
      <name val="Arial"/>
      <family val="2"/>
    </font>
    <font>
      <b/>
      <u/>
      <sz val="16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mediumGray">
        <fgColor indexed="22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090">
    <xf numFmtId="0" fontId="0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7" fillId="0" borderId="0"/>
    <xf numFmtId="3" fontId="17" fillId="0" borderId="0"/>
    <xf numFmtId="3" fontId="17" fillId="0" borderId="0"/>
    <xf numFmtId="43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37" fontId="44" fillId="0" borderId="0"/>
    <xf numFmtId="0" fontId="35" fillId="0" borderId="0"/>
    <xf numFmtId="0" fontId="43" fillId="0" borderId="0"/>
    <xf numFmtId="37" fontId="44" fillId="0" borderId="0"/>
    <xf numFmtId="0" fontId="45" fillId="0" borderId="0"/>
    <xf numFmtId="0" fontId="43" fillId="0" borderId="0"/>
    <xf numFmtId="0" fontId="39" fillId="0" borderId="0"/>
    <xf numFmtId="0" fontId="39" fillId="0" borderId="0"/>
    <xf numFmtId="0" fontId="45" fillId="0" borderId="0"/>
    <xf numFmtId="0" fontId="43" fillId="0" borderId="0"/>
    <xf numFmtId="0" fontId="35" fillId="0" borderId="0"/>
    <xf numFmtId="0" fontId="45" fillId="0" borderId="0"/>
    <xf numFmtId="0" fontId="39" fillId="0" borderId="0"/>
    <xf numFmtId="0" fontId="39" fillId="0" borderId="0"/>
    <xf numFmtId="0" fontId="35" fillId="0" borderId="0"/>
    <xf numFmtId="0" fontId="45" fillId="0" borderId="0"/>
    <xf numFmtId="0" fontId="46" fillId="0" borderId="0" applyNumberFormat="0" applyFill="0" applyBorder="0" applyAlignment="0" applyProtection="0"/>
    <xf numFmtId="0" fontId="45" fillId="0" borderId="0"/>
    <xf numFmtId="0" fontId="45" fillId="0" borderId="0"/>
    <xf numFmtId="0" fontId="35" fillId="23" borderId="7" applyNumberFormat="0" applyFont="0" applyAlignment="0" applyProtection="0"/>
    <xf numFmtId="0" fontId="35" fillId="23" borderId="7" applyNumberFormat="0" applyFont="0" applyAlignment="0" applyProtection="0"/>
    <xf numFmtId="0" fontId="35" fillId="23" borderId="7" applyNumberFormat="0" applyFont="0" applyAlignment="0" applyProtection="0"/>
    <xf numFmtId="0" fontId="35" fillId="23" borderId="7" applyNumberFormat="0" applyFont="0" applyAlignment="0" applyProtection="0"/>
    <xf numFmtId="0" fontId="35" fillId="23" borderId="7" applyNumberFormat="0" applyFont="0" applyAlignment="0" applyProtection="0"/>
    <xf numFmtId="0" fontId="35" fillId="23" borderId="7" applyNumberFormat="0" applyFont="0" applyAlignment="0" applyProtection="0"/>
    <xf numFmtId="0" fontId="35" fillId="23" borderId="7" applyNumberFormat="0" applyFont="0" applyAlignment="0" applyProtection="0"/>
    <xf numFmtId="0" fontId="39" fillId="24" borderId="13" applyNumberFormat="0" applyFont="0" applyAlignment="0" applyProtection="0"/>
    <xf numFmtId="0" fontId="31" fillId="20" borderId="8" applyNumberFormat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3" fillId="0" borderId="0" applyFont="0" applyFill="0" applyBorder="0" applyAlignment="0" applyProtection="0"/>
    <xf numFmtId="8" fontId="46" fillId="0" borderId="0" applyNumberForma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47" fillId="0" borderId="14">
      <alignment horizontal="center"/>
    </xf>
    <xf numFmtId="0" fontId="47" fillId="0" borderId="14">
      <alignment horizontal="center"/>
    </xf>
    <xf numFmtId="3" fontId="43" fillId="0" borderId="0" applyFont="0" applyFill="0" applyBorder="0" applyAlignment="0" applyProtection="0"/>
    <xf numFmtId="0" fontId="43" fillId="26" borderId="0" applyNumberFormat="0" applyFont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9" fontId="17" fillId="0" borderId="0"/>
    <xf numFmtId="0" fontId="49" fillId="0" borderId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44" fillId="0" borderId="0"/>
    <xf numFmtId="9" fontId="4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66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3" fillId="0" borderId="0"/>
    <xf numFmtId="40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43" fillId="26" borderId="0" applyNumberFormat="0" applyFont="0" applyBorder="0" applyAlignment="0" applyProtection="0"/>
    <xf numFmtId="0" fontId="8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8" fillId="2" borderId="0" applyNumberFormat="0" applyBorder="0" applyAlignment="0" applyProtection="0"/>
    <xf numFmtId="0" fontId="60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8" fillId="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8" fillId="4" borderId="0" applyNumberFormat="0" applyBorder="0" applyAlignment="0" applyProtection="0"/>
    <xf numFmtId="0" fontId="60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8" fillId="5" borderId="0" applyNumberFormat="0" applyBorder="0" applyAlignment="0" applyProtection="0"/>
    <xf numFmtId="0" fontId="60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8" fillId="6" borderId="0" applyNumberFormat="0" applyBorder="0" applyAlignment="0" applyProtection="0"/>
    <xf numFmtId="0" fontId="18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8" fillId="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8" fillId="8" borderId="0" applyNumberFormat="0" applyBorder="0" applyAlignment="0" applyProtection="0"/>
    <xf numFmtId="0" fontId="60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8" fillId="9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8" fillId="10" borderId="0" applyNumberFormat="0" applyBorder="0" applyAlignment="0" applyProtection="0"/>
    <xf numFmtId="0" fontId="60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8" fillId="5" borderId="0" applyNumberFormat="0" applyBorder="0" applyAlignment="0" applyProtection="0"/>
    <xf numFmtId="0" fontId="60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8" fillId="8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8" fillId="11" borderId="0" applyNumberFormat="0" applyBorder="0" applyAlignment="0" applyProtection="0"/>
    <xf numFmtId="0" fontId="60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70" fillId="12" borderId="0" applyNumberFormat="0" applyBorder="0" applyAlignment="0" applyProtection="0"/>
    <xf numFmtId="0" fontId="69" fillId="12" borderId="0" applyNumberFormat="0" applyBorder="0" applyAlignment="0" applyProtection="0"/>
    <xf numFmtId="0" fontId="19" fillId="12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70" fillId="9" borderId="0" applyNumberFormat="0" applyBorder="0" applyAlignment="0" applyProtection="0"/>
    <xf numFmtId="0" fontId="1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70" fillId="10" borderId="0" applyNumberFormat="0" applyBorder="0" applyAlignment="0" applyProtection="0"/>
    <xf numFmtId="0" fontId="6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27" borderId="0" applyNumberFormat="0" applyBorder="0" applyAlignment="0" applyProtection="0"/>
    <xf numFmtId="0" fontId="69" fillId="27" borderId="0" applyNumberFormat="0" applyBorder="0" applyAlignment="0" applyProtection="0"/>
    <xf numFmtId="0" fontId="69" fillId="27" borderId="0" applyNumberFormat="0" applyBorder="0" applyAlignment="0" applyProtection="0"/>
    <xf numFmtId="0" fontId="69" fillId="27" borderId="0" applyNumberFormat="0" applyBorder="0" applyAlignment="0" applyProtection="0"/>
    <xf numFmtId="0" fontId="70" fillId="13" borderId="0" applyNumberFormat="0" applyBorder="0" applyAlignment="0" applyProtection="0"/>
    <xf numFmtId="0" fontId="69" fillId="13" borderId="0" applyNumberFormat="0" applyBorder="0" applyAlignment="0" applyProtection="0"/>
    <xf numFmtId="0" fontId="19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70" fillId="14" borderId="0" applyNumberFormat="0" applyBorder="0" applyAlignment="0" applyProtection="0"/>
    <xf numFmtId="0" fontId="1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70" fillId="15" borderId="0" applyNumberFormat="0" applyBorder="0" applyAlignment="0" applyProtection="0"/>
    <xf numFmtId="0" fontId="6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70" fillId="16" borderId="0" applyNumberFormat="0" applyBorder="0" applyAlignment="0" applyProtection="0"/>
    <xf numFmtId="0" fontId="69" fillId="16" borderId="0" applyNumberFormat="0" applyBorder="0" applyAlignment="0" applyProtection="0"/>
    <xf numFmtId="0" fontId="19" fillId="16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70" fillId="17" borderId="0" applyNumberFormat="0" applyBorder="0" applyAlignment="0" applyProtection="0"/>
    <xf numFmtId="0" fontId="69" fillId="18" borderId="0" applyNumberFormat="0" applyBorder="0" applyAlignment="0" applyProtection="0"/>
    <xf numFmtId="0" fontId="69" fillId="18" borderId="0" applyNumberFormat="0" applyBorder="0" applyAlignment="0" applyProtection="0"/>
    <xf numFmtId="0" fontId="69" fillId="18" borderId="0" applyNumberFormat="0" applyBorder="0" applyAlignment="0" applyProtection="0"/>
    <xf numFmtId="0" fontId="70" fillId="18" borderId="0" applyNumberFormat="0" applyBorder="0" applyAlignment="0" applyProtection="0"/>
    <xf numFmtId="0" fontId="19" fillId="28" borderId="0" applyNumberFormat="0" applyBorder="0" applyAlignment="0" applyProtection="0"/>
    <xf numFmtId="0" fontId="69" fillId="28" borderId="0" applyNumberFormat="0" applyBorder="0" applyAlignment="0" applyProtection="0"/>
    <xf numFmtId="0" fontId="69" fillId="28" borderId="0" applyNumberFormat="0" applyBorder="0" applyAlignment="0" applyProtection="0"/>
    <xf numFmtId="0" fontId="69" fillId="28" borderId="0" applyNumberFormat="0" applyBorder="0" applyAlignment="0" applyProtection="0"/>
    <xf numFmtId="0" fontId="70" fillId="13" borderId="0" applyNumberFormat="0" applyBorder="0" applyAlignment="0" applyProtection="0"/>
    <xf numFmtId="0" fontId="69" fillId="13" borderId="0" applyNumberFormat="0" applyBorder="0" applyAlignment="0" applyProtection="0"/>
    <xf numFmtId="0" fontId="19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70" fillId="14" borderId="0" applyNumberFormat="0" applyBorder="0" applyAlignment="0" applyProtection="0"/>
    <xf numFmtId="0" fontId="69" fillId="19" borderId="0" applyNumberFormat="0" applyBorder="0" applyAlignment="0" applyProtection="0"/>
    <xf numFmtId="0" fontId="69" fillId="19" borderId="0" applyNumberFormat="0" applyBorder="0" applyAlignment="0" applyProtection="0"/>
    <xf numFmtId="0" fontId="69" fillId="19" borderId="0" applyNumberFormat="0" applyBorder="0" applyAlignment="0" applyProtection="0"/>
    <xf numFmtId="0" fontId="70" fillId="19" borderId="0" applyNumberFormat="0" applyBorder="0" applyAlignment="0" applyProtection="0"/>
    <xf numFmtId="0" fontId="20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2" fillId="3" borderId="0" applyNumberFormat="0" applyBorder="0" applyAlignment="0" applyProtection="0"/>
    <xf numFmtId="0" fontId="71" fillId="3" borderId="0" applyNumberFormat="0" applyBorder="0" applyAlignment="0" applyProtection="0"/>
    <xf numFmtId="0" fontId="20" fillId="3" borderId="0" applyNumberFormat="0" applyBorder="0" applyAlignment="0" applyProtection="0"/>
    <xf numFmtId="0" fontId="73" fillId="20" borderId="1" applyNumberFormat="0" applyAlignment="0" applyProtection="0"/>
    <xf numFmtId="0" fontId="73" fillId="20" borderId="1" applyNumberFormat="0" applyAlignment="0" applyProtection="0"/>
    <xf numFmtId="0" fontId="73" fillId="20" borderId="1" applyNumberFormat="0" applyAlignment="0" applyProtection="0"/>
    <xf numFmtId="0" fontId="74" fillId="20" borderId="1" applyNumberFormat="0" applyAlignment="0" applyProtection="0"/>
    <xf numFmtId="0" fontId="22" fillId="27" borderId="2" applyNumberFormat="0" applyAlignment="0" applyProtection="0"/>
    <xf numFmtId="0" fontId="75" fillId="27" borderId="2" applyNumberFormat="0" applyAlignment="0" applyProtection="0"/>
    <xf numFmtId="0" fontId="75" fillId="27" borderId="2" applyNumberFormat="0" applyAlignment="0" applyProtection="0"/>
    <xf numFmtId="0" fontId="75" fillId="27" borderId="2" applyNumberFormat="0" applyAlignment="0" applyProtection="0"/>
    <xf numFmtId="0" fontId="76" fillId="21" borderId="2" applyNumberFormat="0" applyAlignment="0" applyProtection="0"/>
    <xf numFmtId="0" fontId="75" fillId="21" borderId="2" applyNumberFormat="0" applyAlignment="0" applyProtection="0"/>
    <xf numFmtId="0" fontId="22" fillId="21" borderId="2" applyNumberFormat="0" applyAlignment="0" applyProtection="0"/>
    <xf numFmtId="43" fontId="3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7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5" fillId="0" borderId="0" applyFont="0" applyFill="0" applyBorder="0" applyAlignment="0" applyProtection="0"/>
    <xf numFmtId="40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8" fontId="43" fillId="0" borderId="0" applyFont="0" applyFill="0" applyBorder="0" applyAlignment="0" applyProtection="0"/>
    <xf numFmtId="8" fontId="43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1" fillId="4" borderId="0" applyNumberFormat="0" applyBorder="0" applyAlignment="0" applyProtection="0"/>
    <xf numFmtId="0" fontId="82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4" fillId="0" borderId="3" applyNumberFormat="0" applyFill="0" applyAlignment="0" applyProtection="0"/>
    <xf numFmtId="0" fontId="85" fillId="0" borderId="3" applyNumberFormat="0" applyFill="0" applyAlignment="0" applyProtection="0"/>
    <xf numFmtId="0" fontId="25" fillId="0" borderId="3" applyNumberFormat="0" applyFill="0" applyAlignment="0" applyProtection="0"/>
    <xf numFmtId="0" fontId="86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4" applyNumberFormat="0" applyFill="0" applyAlignment="0" applyProtection="0"/>
    <xf numFmtId="0" fontId="89" fillId="0" borderId="4" applyNumberFormat="0" applyFill="0" applyAlignment="0" applyProtection="0"/>
    <xf numFmtId="0" fontId="26" fillId="0" borderId="4" applyNumberFormat="0" applyFill="0" applyAlignment="0" applyProtection="0"/>
    <xf numFmtId="0" fontId="90" fillId="0" borderId="25" applyNumberFormat="0" applyFill="0" applyAlignment="0" applyProtection="0"/>
    <xf numFmtId="0" fontId="91" fillId="0" borderId="25" applyNumberFormat="0" applyFill="0" applyAlignment="0" applyProtection="0"/>
    <xf numFmtId="0" fontId="91" fillId="0" borderId="25" applyNumberFormat="0" applyFill="0" applyAlignment="0" applyProtection="0"/>
    <xf numFmtId="0" fontId="91" fillId="0" borderId="25" applyNumberFormat="0" applyFill="0" applyAlignment="0" applyProtection="0"/>
    <xf numFmtId="0" fontId="92" fillId="0" borderId="5" applyNumberFormat="0" applyFill="0" applyAlignment="0" applyProtection="0"/>
    <xf numFmtId="0" fontId="93" fillId="0" borderId="5" applyNumberFormat="0" applyFill="0" applyAlignment="0" applyProtection="0"/>
    <xf numFmtId="0" fontId="27" fillId="0" borderId="5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4" fillId="7" borderId="1" applyNumberFormat="0" applyAlignment="0" applyProtection="0"/>
    <xf numFmtId="0" fontId="94" fillId="7" borderId="1" applyNumberFormat="0" applyAlignment="0" applyProtection="0"/>
    <xf numFmtId="0" fontId="94" fillId="7" borderId="1" applyNumberFormat="0" applyAlignment="0" applyProtection="0"/>
    <xf numFmtId="0" fontId="95" fillId="7" borderId="1" applyNumberFormat="0" applyAlignment="0" applyProtection="0"/>
    <xf numFmtId="41" fontId="96" fillId="0" borderId="0">
      <alignment horizontal="left"/>
    </xf>
    <xf numFmtId="0" fontId="97" fillId="0" borderId="6" applyNumberFormat="0" applyFill="0" applyAlignment="0" applyProtection="0"/>
    <xf numFmtId="0" fontId="97" fillId="0" borderId="6" applyNumberFormat="0" applyFill="0" applyAlignment="0" applyProtection="0"/>
    <xf numFmtId="0" fontId="97" fillId="0" borderId="6" applyNumberFormat="0" applyFill="0" applyAlignment="0" applyProtection="0"/>
    <xf numFmtId="0" fontId="98" fillId="0" borderId="6" applyNumberFormat="0" applyFill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/>
    <xf numFmtId="0" fontId="67" fillId="0" borderId="0"/>
    <xf numFmtId="37" fontId="44" fillId="0" borderId="0"/>
    <xf numFmtId="0" fontId="44" fillId="0" borderId="0"/>
    <xf numFmtId="0" fontId="43" fillId="0" borderId="0"/>
    <xf numFmtId="0" fontId="8" fillId="0" borderId="0"/>
    <xf numFmtId="38" fontId="35" fillId="0" borderId="0"/>
    <xf numFmtId="38" fontId="35" fillId="0" borderId="0"/>
    <xf numFmtId="38" fontId="35" fillId="0" borderId="0"/>
    <xf numFmtId="38" fontId="35" fillId="0" borderId="0"/>
    <xf numFmtId="0" fontId="43" fillId="0" borderId="0"/>
    <xf numFmtId="0" fontId="43" fillId="0" borderId="0"/>
    <xf numFmtId="38" fontId="35" fillId="0" borderId="0"/>
    <xf numFmtId="38" fontId="35" fillId="0" borderId="0"/>
    <xf numFmtId="38" fontId="35" fillId="0" borderId="0"/>
    <xf numFmtId="38" fontId="35" fillId="0" borderId="0"/>
    <xf numFmtId="38" fontId="35" fillId="0" borderId="0"/>
    <xf numFmtId="38" fontId="35" fillId="0" borderId="0"/>
    <xf numFmtId="38" fontId="35" fillId="0" borderId="0"/>
    <xf numFmtId="38" fontId="35" fillId="0" borderId="0"/>
    <xf numFmtId="38" fontId="35" fillId="0" borderId="0"/>
    <xf numFmtId="38" fontId="35" fillId="0" borderId="0"/>
    <xf numFmtId="0" fontId="67" fillId="0" borderId="0"/>
    <xf numFmtId="0" fontId="102" fillId="0" borderId="0"/>
    <xf numFmtId="0" fontId="102" fillId="0" borderId="0"/>
    <xf numFmtId="0" fontId="67" fillId="0" borderId="0"/>
    <xf numFmtId="0" fontId="102" fillId="0" borderId="0"/>
    <xf numFmtId="38" fontId="35" fillId="0" borderId="0"/>
    <xf numFmtId="38" fontId="35" fillId="0" borderId="0"/>
    <xf numFmtId="38" fontId="35" fillId="0" borderId="0"/>
    <xf numFmtId="38" fontId="35" fillId="0" borderId="0"/>
    <xf numFmtId="38" fontId="35" fillId="0" borderId="0"/>
    <xf numFmtId="0" fontId="8" fillId="0" borderId="0"/>
    <xf numFmtId="0" fontId="67" fillId="0" borderId="0"/>
    <xf numFmtId="0" fontId="35" fillId="0" borderId="0"/>
    <xf numFmtId="0" fontId="35" fillId="0" borderId="0"/>
    <xf numFmtId="0" fontId="101" fillId="0" borderId="0"/>
    <xf numFmtId="0" fontId="101" fillId="0" borderId="0"/>
    <xf numFmtId="0" fontId="101" fillId="0" borderId="0"/>
    <xf numFmtId="0" fontId="35" fillId="23" borderId="7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43" fontId="94" fillId="0" borderId="0"/>
    <xf numFmtId="196" fontId="103" fillId="0" borderId="0"/>
    <xf numFmtId="0" fontId="104" fillId="20" borderId="8" applyNumberFormat="0" applyAlignment="0" applyProtection="0"/>
    <xf numFmtId="0" fontId="104" fillId="20" borderId="8" applyNumberFormat="0" applyAlignment="0" applyProtection="0"/>
    <xf numFmtId="0" fontId="104" fillId="20" borderId="8" applyNumberFormat="0" applyAlignment="0" applyProtection="0"/>
    <xf numFmtId="0" fontId="105" fillId="20" borderId="8" applyNumberFormat="0" applyAlignment="0" applyProtection="0"/>
    <xf numFmtId="9" fontId="4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3" fillId="26" borderId="0" applyNumberFormat="0" applyFont="0" applyBorder="0" applyAlignment="0" applyProtection="0"/>
    <xf numFmtId="0" fontId="43" fillId="26" borderId="0" applyNumberFormat="0" applyFont="0" applyBorder="0" applyAlignment="0" applyProtection="0"/>
    <xf numFmtId="0" fontId="43" fillId="26" borderId="0" applyNumberFormat="0" applyFont="0" applyBorder="0" applyAlignment="0" applyProtection="0"/>
    <xf numFmtId="0" fontId="43" fillId="26" borderId="0" applyNumberFormat="0" applyFont="0" applyBorder="0" applyAlignment="0" applyProtection="0"/>
    <xf numFmtId="0" fontId="43" fillId="26" borderId="0" applyNumberFormat="0" applyFont="0" applyBorder="0" applyAlignment="0" applyProtection="0"/>
    <xf numFmtId="0" fontId="43" fillId="26" borderId="0" applyNumberFormat="0" applyFont="0" applyBorder="0" applyAlignment="0" applyProtection="0"/>
    <xf numFmtId="0" fontId="43" fillId="26" borderId="0" applyNumberFormat="0" applyFont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8" fillId="0" borderId="9" applyNumberFormat="0" applyFill="0" applyAlignment="0" applyProtection="0"/>
    <xf numFmtId="0" fontId="107" fillId="0" borderId="9" applyNumberFormat="0" applyFill="0" applyAlignment="0" applyProtection="0"/>
    <xf numFmtId="0" fontId="33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43" fillId="0" borderId="0"/>
    <xf numFmtId="44" fontId="4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7" fillId="0" borderId="0" applyFont="0" applyFill="0" applyBorder="0" applyAlignment="0" applyProtection="0"/>
    <xf numFmtId="0" fontId="8" fillId="0" borderId="0"/>
    <xf numFmtId="0" fontId="67" fillId="0" borderId="0"/>
    <xf numFmtId="0" fontId="8" fillId="0" borderId="0"/>
    <xf numFmtId="0" fontId="67" fillId="0" borderId="0"/>
    <xf numFmtId="0" fontId="35" fillId="0" borderId="0"/>
    <xf numFmtId="0" fontId="35" fillId="0" borderId="0"/>
    <xf numFmtId="9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6" fillId="0" borderId="0"/>
    <xf numFmtId="0" fontId="66" fillId="0" borderId="0"/>
    <xf numFmtId="0" fontId="66" fillId="0" borderId="0"/>
    <xf numFmtId="0" fontId="113" fillId="0" borderId="0" applyNumberFormat="0" applyFill="0" applyBorder="0" applyAlignment="0" applyProtection="0"/>
    <xf numFmtId="0" fontId="114" fillId="0" borderId="30" applyNumberFormat="0" applyFill="0" applyAlignment="0" applyProtection="0"/>
    <xf numFmtId="0" fontId="115" fillId="0" borderId="31" applyNumberFormat="0" applyFill="0" applyAlignment="0" applyProtection="0"/>
    <xf numFmtId="0" fontId="116" fillId="0" borderId="32" applyNumberFormat="0" applyFill="0" applyAlignment="0" applyProtection="0"/>
    <xf numFmtId="0" fontId="116" fillId="0" borderId="0" applyNumberFormat="0" applyFill="0" applyBorder="0" applyAlignment="0" applyProtection="0"/>
    <xf numFmtId="0" fontId="117" fillId="31" borderId="0" applyNumberFormat="0" applyBorder="0" applyAlignment="0" applyProtection="0"/>
    <xf numFmtId="0" fontId="118" fillId="32" borderId="0" applyNumberFormat="0" applyBorder="0" applyAlignment="0" applyProtection="0"/>
    <xf numFmtId="0" fontId="119" fillId="33" borderId="0" applyNumberFormat="0" applyBorder="0" applyAlignment="0" applyProtection="0"/>
    <xf numFmtId="0" fontId="120" fillId="34" borderId="33" applyNumberFormat="0" applyAlignment="0" applyProtection="0"/>
    <xf numFmtId="0" fontId="121" fillId="35" borderId="34" applyNumberFormat="0" applyAlignment="0" applyProtection="0"/>
    <xf numFmtId="0" fontId="122" fillId="35" borderId="33" applyNumberFormat="0" applyAlignment="0" applyProtection="0"/>
    <xf numFmtId="0" fontId="123" fillId="0" borderId="35" applyNumberFormat="0" applyFill="0" applyAlignment="0" applyProtection="0"/>
    <xf numFmtId="0" fontId="124" fillId="36" borderId="36" applyNumberFormat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2" fillId="0" borderId="37" applyNumberFormat="0" applyFill="0" applyAlignment="0" applyProtection="0"/>
    <xf numFmtId="0" fontId="127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127" fillId="40" borderId="0" applyNumberFormat="0" applyBorder="0" applyAlignment="0" applyProtection="0"/>
    <xf numFmtId="0" fontId="127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127" fillId="44" borderId="0" applyNumberFormat="0" applyBorder="0" applyAlignment="0" applyProtection="0"/>
    <xf numFmtId="0" fontId="127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127" fillId="48" borderId="0" applyNumberFormat="0" applyBorder="0" applyAlignment="0" applyProtection="0"/>
    <xf numFmtId="0" fontId="127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127" fillId="52" borderId="0" applyNumberFormat="0" applyBorder="0" applyAlignment="0" applyProtection="0"/>
    <xf numFmtId="0" fontId="127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127" fillId="56" borderId="0" applyNumberFormat="0" applyBorder="0" applyAlignment="0" applyProtection="0"/>
    <xf numFmtId="0" fontId="127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127" fillId="60" borderId="0" applyNumberFormat="0" applyBorder="0" applyAlignment="0" applyProtection="0"/>
    <xf numFmtId="0" fontId="128" fillId="0" borderId="0"/>
    <xf numFmtId="0" fontId="128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8" fillId="0" borderId="0"/>
    <xf numFmtId="43" fontId="3" fillId="0" borderId="0" applyFont="0" applyFill="0" applyBorder="0" applyAlignment="0" applyProtection="0"/>
    <xf numFmtId="0" fontId="3" fillId="0" borderId="0"/>
    <xf numFmtId="0" fontId="3" fillId="24" borderId="13" applyNumberFormat="0" applyFont="0" applyAlignment="0" applyProtection="0"/>
    <xf numFmtId="0" fontId="35" fillId="0" borderId="0"/>
    <xf numFmtId="44" fontId="3" fillId="0" borderId="0" applyFont="0" applyFill="0" applyBorder="0" applyAlignment="0" applyProtection="0"/>
    <xf numFmtId="0" fontId="3" fillId="0" borderId="0"/>
    <xf numFmtId="0" fontId="3" fillId="24" borderId="13" applyNumberFormat="0" applyFont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37" fontId="44" fillId="0" borderId="0"/>
    <xf numFmtId="0" fontId="35" fillId="23" borderId="7" applyNumberFormat="0" applyFont="0" applyAlignment="0" applyProtection="0"/>
    <xf numFmtId="0" fontId="35" fillId="23" borderId="7" applyNumberFormat="0" applyFont="0" applyAlignment="0" applyProtection="0"/>
    <xf numFmtId="0" fontId="35" fillId="23" borderId="7" applyNumberFormat="0" applyFont="0" applyAlignment="0" applyProtection="0"/>
    <xf numFmtId="0" fontId="35" fillId="23" borderId="7" applyNumberFormat="0" applyFont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3" fillId="0" borderId="0"/>
    <xf numFmtId="40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0" fontId="3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23" borderId="7" applyNumberFormat="0" applyFont="0" applyAlignment="0" applyProtection="0"/>
    <xf numFmtId="0" fontId="35" fillId="23" borderId="7" applyNumberFormat="0" applyFont="0" applyAlignment="0" applyProtection="0"/>
    <xf numFmtId="0" fontId="35" fillId="23" borderId="7" applyNumberFormat="0" applyFont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4" borderId="13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0" borderId="0"/>
    <xf numFmtId="0" fontId="3" fillId="24" borderId="13" applyNumberFormat="0" applyFont="0" applyAlignment="0" applyProtection="0"/>
    <xf numFmtId="0" fontId="35" fillId="0" borderId="0"/>
    <xf numFmtId="44" fontId="3" fillId="0" borderId="0" applyFont="0" applyFill="0" applyBorder="0" applyAlignment="0" applyProtection="0"/>
    <xf numFmtId="0" fontId="3" fillId="0" borderId="0"/>
    <xf numFmtId="0" fontId="3" fillId="24" borderId="13" applyNumberFormat="0" applyFont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4" borderId="13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0" borderId="0"/>
    <xf numFmtId="0" fontId="3" fillId="24" borderId="13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24" borderId="13" applyNumberFormat="0" applyFont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4" borderId="13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24" borderId="13" applyNumberFormat="0" applyFont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4" borderId="13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24" borderId="13" applyNumberFormat="0" applyFont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4" borderId="13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0" fontId="43" fillId="0" borderId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30" applyNumberFormat="0" applyFill="0" applyAlignment="0" applyProtection="0"/>
    <xf numFmtId="0" fontId="115" fillId="0" borderId="31" applyNumberFormat="0" applyFill="0" applyAlignment="0" applyProtection="0"/>
    <xf numFmtId="0" fontId="116" fillId="0" borderId="32" applyNumberFormat="0" applyFill="0" applyAlignment="0" applyProtection="0"/>
    <xf numFmtId="0" fontId="116" fillId="0" borderId="0" applyNumberFormat="0" applyFill="0" applyBorder="0" applyAlignment="0" applyProtection="0"/>
    <xf numFmtId="0" fontId="117" fillId="31" borderId="0" applyNumberFormat="0" applyBorder="0" applyAlignment="0" applyProtection="0"/>
    <xf numFmtId="0" fontId="118" fillId="32" borderId="0" applyNumberFormat="0" applyBorder="0" applyAlignment="0" applyProtection="0"/>
    <xf numFmtId="0" fontId="119" fillId="33" borderId="0" applyNumberFormat="0" applyBorder="0" applyAlignment="0" applyProtection="0"/>
    <xf numFmtId="0" fontId="120" fillId="34" borderId="33" applyNumberFormat="0" applyAlignment="0" applyProtection="0"/>
    <xf numFmtId="0" fontId="121" fillId="35" borderId="34" applyNumberFormat="0" applyAlignment="0" applyProtection="0"/>
    <xf numFmtId="0" fontId="122" fillId="35" borderId="33" applyNumberFormat="0" applyAlignment="0" applyProtection="0"/>
    <xf numFmtId="0" fontId="123" fillId="0" borderId="35" applyNumberFormat="0" applyFill="0" applyAlignment="0" applyProtection="0"/>
    <xf numFmtId="0" fontId="124" fillId="36" borderId="36" applyNumberFormat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2" fillId="0" borderId="37" applyNumberFormat="0" applyFill="0" applyAlignment="0" applyProtection="0"/>
    <xf numFmtId="0" fontId="127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127" fillId="40" borderId="0" applyNumberFormat="0" applyBorder="0" applyAlignment="0" applyProtection="0"/>
    <xf numFmtId="0" fontId="127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127" fillId="44" borderId="0" applyNumberFormat="0" applyBorder="0" applyAlignment="0" applyProtection="0"/>
    <xf numFmtId="0" fontId="127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127" fillId="48" borderId="0" applyNumberFormat="0" applyBorder="0" applyAlignment="0" applyProtection="0"/>
    <xf numFmtId="0" fontId="127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127" fillId="52" borderId="0" applyNumberFormat="0" applyBorder="0" applyAlignment="0" applyProtection="0"/>
    <xf numFmtId="0" fontId="127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127" fillId="56" borderId="0" applyNumberFormat="0" applyBorder="0" applyAlignment="0" applyProtection="0"/>
    <xf numFmtId="0" fontId="127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127" fillId="60" borderId="0" applyNumberFormat="0" applyBorder="0" applyAlignment="0" applyProtection="0"/>
    <xf numFmtId="0" fontId="35" fillId="0" borderId="0"/>
    <xf numFmtId="0" fontId="18" fillId="2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43" fontId="3" fillId="0" borderId="0" applyFont="0" applyFill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20" fillId="3" borderId="0" applyNumberFormat="0" applyBorder="0" applyAlignment="0" applyProtection="0"/>
    <xf numFmtId="0" fontId="22" fillId="21" borderId="2" applyNumberFormat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37" fontId="44" fillId="0" borderId="0"/>
    <xf numFmtId="37" fontId="44" fillId="0" borderId="0"/>
    <xf numFmtId="0" fontId="35" fillId="23" borderId="7" applyNumberFormat="0" applyFon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43" fontId="3" fillId="0" borderId="0" applyFont="0" applyFill="0" applyBorder="0" applyAlignment="0" applyProtection="0"/>
    <xf numFmtId="0" fontId="3" fillId="0" borderId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5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8" fillId="0" borderId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13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4" borderId="13" applyNumberFormat="0" applyFont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13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0" borderId="0"/>
    <xf numFmtId="0" fontId="2" fillId="24" borderId="13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4" borderId="13" applyNumberFormat="0" applyFont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13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0" borderId="0"/>
    <xf numFmtId="0" fontId="2" fillId="24" borderId="13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4" borderId="13" applyNumberFormat="0" applyFont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13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4" borderId="13" applyNumberFormat="0" applyFont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13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4" borderId="13" applyNumberFormat="0" applyFont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13" applyNumberFormat="0" applyFont="0" applyAlignment="0" applyProtection="0"/>
    <xf numFmtId="44" fontId="2" fillId="0" borderId="0" applyFont="0" applyFill="0" applyBorder="0" applyAlignment="0" applyProtection="0"/>
    <xf numFmtId="0" fontId="17" fillId="0" borderId="0"/>
    <xf numFmtId="0" fontId="17" fillId="0" borderId="0"/>
    <xf numFmtId="3" fontId="17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37" fontId="44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2" fillId="24" borderId="13" applyNumberFormat="0" applyFont="0" applyAlignment="0" applyProtection="0"/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5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0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0" fontId="2" fillId="0" borderId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8" fillId="2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8" fillId="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8" fillId="4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8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8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8" fillId="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8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8" fillId="9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8" fillId="10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8" fillId="5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8" fillId="8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8" fillId="11" borderId="0" applyNumberFormat="0" applyBorder="0" applyAlignment="0" applyProtection="0"/>
    <xf numFmtId="43" fontId="2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5" fillId="0" borderId="0" applyFont="0" applyFill="0" applyBorder="0" applyAlignment="0" applyProtection="0"/>
    <xf numFmtId="8" fontId="43" fillId="0" borderId="0" applyFont="0" applyFill="0" applyBorder="0" applyAlignment="0" applyProtection="0"/>
    <xf numFmtId="8" fontId="43" fillId="0" borderId="0" applyFont="0" applyFill="0" applyBorder="0" applyAlignment="0" applyProtection="0"/>
    <xf numFmtId="0" fontId="2" fillId="0" borderId="0"/>
    <xf numFmtId="0" fontId="102" fillId="0" borderId="0"/>
    <xf numFmtId="0" fontId="67" fillId="0" borderId="0"/>
    <xf numFmtId="0" fontId="2" fillId="0" borderId="0"/>
    <xf numFmtId="0" fontId="67" fillId="0" borderId="0"/>
    <xf numFmtId="0" fontId="101" fillId="0" borderId="0"/>
    <xf numFmtId="0" fontId="101" fillId="0" borderId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0" fontId="35" fillId="23" borderId="1" applyNumberFormat="0" applyFont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3" fillId="0" borderId="0"/>
    <xf numFmtId="44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67" fillId="0" borderId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5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24" borderId="13" applyNumberFormat="0" applyFont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24" borderId="13" applyNumberFormat="0" applyFont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24" borderId="13" applyNumberFormat="0" applyFont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24" borderId="13" applyNumberFormat="0" applyFont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24" borderId="13" applyNumberFormat="0" applyFont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9">
    <xf numFmtId="0" fontId="0" fillId="0" borderId="0" xfId="0" applyAlignment="1"/>
    <xf numFmtId="0" fontId="11" fillId="0" borderId="0" xfId="0" applyNumberFormat="1" applyFont="1" applyAlignment="1">
      <alignment horizontal="centerContinuous"/>
    </xf>
    <xf numFmtId="164" fontId="11" fillId="0" borderId="0" xfId="0" applyNumberFormat="1" applyFont="1" applyAlignment="1">
      <alignment horizontal="centerContinuous"/>
    </xf>
    <xf numFmtId="0" fontId="12" fillId="0" borderId="0" xfId="0" applyNumberFormat="1" applyFont="1" applyAlignment="1"/>
    <xf numFmtId="0" fontId="12" fillId="0" borderId="0" xfId="0" applyNumberFormat="1" applyFont="1" applyAlignment="1">
      <alignment horizontal="center"/>
    </xf>
    <xf numFmtId="5" fontId="12" fillId="0" borderId="0" xfId="0" applyNumberFormat="1" applyFont="1" applyAlignment="1"/>
    <xf numFmtId="165" fontId="12" fillId="0" borderId="0" xfId="0" applyNumberFormat="1" applyFont="1" applyAlignment="1"/>
    <xf numFmtId="3" fontId="12" fillId="0" borderId="0" xfId="0" applyNumberFormat="1" applyFont="1" applyAlignment="1"/>
    <xf numFmtId="0" fontId="12" fillId="0" borderId="0" xfId="0" applyNumberFormat="1" applyFont="1" applyAlignment="1">
      <alignment horizontal="right"/>
    </xf>
    <xf numFmtId="171" fontId="12" fillId="0" borderId="0" xfId="0" applyNumberFormat="1" applyFont="1" applyAlignment="1"/>
    <xf numFmtId="10" fontId="12" fillId="0" borderId="0" xfId="0" applyNumberFormat="1" applyFont="1" applyAlignment="1"/>
    <xf numFmtId="167" fontId="12" fillId="0" borderId="0" xfId="0" applyNumberFormat="1" applyFont="1" applyAlignment="1"/>
    <xf numFmtId="3" fontId="12" fillId="0" borderId="0" xfId="0" applyNumberFormat="1" applyFont="1" applyFill="1" applyAlignment="1"/>
    <xf numFmtId="0" fontId="16" fillId="0" borderId="0" xfId="0" applyNumberFormat="1" applyFont="1" applyAlignment="1">
      <alignment horizontal="center"/>
    </xf>
    <xf numFmtId="0" fontId="12" fillId="0" borderId="0" xfId="0" applyNumberFormat="1" applyFont="1" applyBorder="1" applyAlignment="1"/>
    <xf numFmtId="165" fontId="12" fillId="0" borderId="0" xfId="0" applyNumberFormat="1" applyFont="1" applyBorder="1" applyAlignment="1"/>
    <xf numFmtId="5" fontId="15" fillId="0" borderId="0" xfId="0" applyNumberFormat="1" applyFont="1" applyFill="1" applyBorder="1" applyAlignment="1"/>
    <xf numFmtId="170" fontId="12" fillId="0" borderId="0" xfId="0" applyNumberFormat="1" applyFont="1" applyFill="1" applyAlignment="1"/>
    <xf numFmtId="2" fontId="12" fillId="0" borderId="0" xfId="0" applyNumberFormat="1" applyFont="1" applyFill="1" applyAlignment="1"/>
    <xf numFmtId="3" fontId="12" fillId="0" borderId="0" xfId="0" applyNumberFormat="1" applyFont="1" applyBorder="1" applyAlignment="1"/>
    <xf numFmtId="0" fontId="11" fillId="0" borderId="0" xfId="0" applyNumberFormat="1" applyFont="1" applyBorder="1" applyAlignment="1">
      <alignment horizontal="centerContinuous"/>
    </xf>
    <xf numFmtId="0" fontId="16" fillId="0" borderId="0" xfId="0" applyNumberFormat="1" applyFont="1" applyBorder="1" applyAlignment="1">
      <alignment horizontal="center"/>
    </xf>
    <xf numFmtId="0" fontId="12" fillId="0" borderId="0" xfId="0" quotePrefix="1" applyNumberFormat="1" applyFont="1" applyAlignment="1">
      <alignment horizontal="center"/>
    </xf>
    <xf numFmtId="0" fontId="12" fillId="0" borderId="0" xfId="0" quotePrefix="1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2" fontId="12" fillId="0" borderId="0" xfId="0" applyNumberFormat="1" applyFont="1" applyAlignment="1"/>
    <xf numFmtId="2" fontId="12" fillId="0" borderId="0" xfId="0" applyNumberFormat="1" applyFont="1" applyBorder="1" applyAlignment="1"/>
    <xf numFmtId="165" fontId="12" fillId="0" borderId="11" xfId="0" applyNumberFormat="1" applyFont="1" applyBorder="1" applyAlignment="1"/>
    <xf numFmtId="0" fontId="12" fillId="0" borderId="0" xfId="0" applyNumberFormat="1" applyFont="1" applyFill="1" applyAlignment="1"/>
    <xf numFmtId="2" fontId="12" fillId="0" borderId="0" xfId="0" applyNumberFormat="1" applyFont="1" applyFill="1" applyBorder="1" applyAlignment="1"/>
    <xf numFmtId="0" fontId="12" fillId="0" borderId="0" xfId="0" applyNumberFormat="1" applyFont="1" applyAlignment="1">
      <alignment horizontal="center" wrapText="1"/>
    </xf>
    <xf numFmtId="165" fontId="12" fillId="0" borderId="0" xfId="0" applyNumberFormat="1" applyFont="1" applyFill="1" applyBorder="1" applyAlignment="1"/>
    <xf numFmtId="3" fontId="12" fillId="25" borderId="0" xfId="0" applyNumberFormat="1" applyFont="1" applyFill="1" applyAlignment="1"/>
    <xf numFmtId="178" fontId="12" fillId="0" borderId="0" xfId="0" applyNumberFormat="1" applyFont="1" applyAlignment="1"/>
    <xf numFmtId="0" fontId="16" fillId="0" borderId="0" xfId="0" applyNumberFormat="1" applyFont="1" applyAlignment="1">
      <alignment horizontal="center" wrapText="1" shrinkToFit="1"/>
    </xf>
    <xf numFmtId="0" fontId="16" fillId="0" borderId="0" xfId="0" applyNumberFormat="1" applyFont="1" applyBorder="1" applyAlignment="1">
      <alignment horizontal="center" wrapText="1" shrinkToFit="1"/>
    </xf>
    <xf numFmtId="0" fontId="12" fillId="0" borderId="0" xfId="0" applyNumberFormat="1" applyFont="1" applyAlignment="1">
      <alignment horizontal="center" wrapText="1" shrinkToFit="1"/>
    </xf>
    <xf numFmtId="0" fontId="12" fillId="0" borderId="0" xfId="0" quotePrefix="1" applyNumberFormat="1" applyFont="1" applyAlignment="1">
      <alignment horizontal="center" wrapText="1" shrinkToFit="1"/>
    </xf>
    <xf numFmtId="0" fontId="12" fillId="0" borderId="0" xfId="0" applyNumberFormat="1" applyFont="1" applyBorder="1" applyAlignment="1">
      <alignment horizontal="center" wrapText="1" shrinkToFit="1"/>
    </xf>
    <xf numFmtId="3" fontId="12" fillId="25" borderId="0" xfId="0" applyNumberFormat="1" applyFont="1" applyFill="1" applyBorder="1" applyAlignment="1"/>
    <xf numFmtId="3" fontId="12" fillId="0" borderId="11" xfId="0" applyNumberFormat="1" applyFont="1" applyBorder="1" applyAlignment="1"/>
    <xf numFmtId="178" fontId="12" fillId="0" borderId="0" xfId="0" applyNumberFormat="1" applyFont="1" applyBorder="1" applyAlignment="1"/>
    <xf numFmtId="179" fontId="12" fillId="0" borderId="0" xfId="0" applyNumberFormat="1" applyFont="1" applyFill="1" applyAlignment="1"/>
    <xf numFmtId="0" fontId="12" fillId="0" borderId="0" xfId="0" applyNumberFormat="1" applyFont="1" applyAlignment="1">
      <alignment horizontal="left"/>
    </xf>
    <xf numFmtId="170" fontId="12" fillId="25" borderId="0" xfId="0" applyNumberFormat="1" applyFont="1" applyFill="1" applyBorder="1" applyAlignment="1"/>
    <xf numFmtId="5" fontId="12" fillId="0" borderId="0" xfId="0" applyNumberFormat="1" applyFont="1" applyBorder="1" applyAlignment="1"/>
    <xf numFmtId="171" fontId="12" fillId="0" borderId="0" xfId="0" applyNumberFormat="1" applyFont="1" applyBorder="1" applyAlignment="1"/>
    <xf numFmtId="179" fontId="12" fillId="0" borderId="0" xfId="0" applyNumberFormat="1" applyFont="1" applyBorder="1" applyAlignment="1"/>
    <xf numFmtId="180" fontId="12" fillId="0" borderId="0" xfId="1" applyNumberFormat="1" applyFont="1" applyAlignment="1"/>
    <xf numFmtId="44" fontId="12" fillId="0" borderId="0" xfId="0" applyNumberFormat="1" applyFont="1" applyFill="1" applyAlignment="1"/>
    <xf numFmtId="44" fontId="12" fillId="0" borderId="0" xfId="2" applyFont="1" applyFill="1" applyAlignment="1">
      <alignment vertical="center"/>
    </xf>
    <xf numFmtId="44" fontId="12" fillId="0" borderId="0" xfId="4" applyNumberFormat="1" applyFont="1" applyFill="1" applyAlignment="1"/>
    <xf numFmtId="43" fontId="12" fillId="0" borderId="0" xfId="1" applyFont="1" applyFill="1" applyBorder="1" applyAlignment="1"/>
    <xf numFmtId="3" fontId="12" fillId="0" borderId="0" xfId="4" applyNumberFormat="1" applyFont="1" applyFill="1" applyAlignment="1"/>
    <xf numFmtId="179" fontId="12" fillId="0" borderId="0" xfId="4" applyNumberFormat="1" applyFont="1" applyFill="1" applyAlignment="1"/>
    <xf numFmtId="3" fontId="12" fillId="0" borderId="0" xfId="4" applyNumberFormat="1" applyFont="1" applyFill="1" applyBorder="1" applyAlignment="1"/>
    <xf numFmtId="165" fontId="12" fillId="0" borderId="11" xfId="4" applyNumberFormat="1" applyFont="1" applyFill="1" applyBorder="1" applyAlignment="1"/>
    <xf numFmtId="165" fontId="12" fillId="0" borderId="0" xfId="4" applyNumberFormat="1" applyFont="1" applyFill="1" applyBorder="1" applyAlignment="1"/>
    <xf numFmtId="0" fontId="12" fillId="0" borderId="0" xfId="4" applyNumberFormat="1" applyFont="1" applyFill="1" applyAlignment="1"/>
    <xf numFmtId="2" fontId="12" fillId="0" borderId="0" xfId="4" applyNumberFormat="1" applyFont="1" applyFill="1" applyBorder="1" applyAlignment="1"/>
    <xf numFmtId="10" fontId="12" fillId="0" borderId="0" xfId="5" applyNumberFormat="1" applyFont="1" applyFill="1"/>
    <xf numFmtId="0" fontId="12" fillId="0" borderId="0" xfId="5" applyNumberFormat="1" applyFont="1" applyFill="1" applyAlignment="1" applyProtection="1">
      <protection locked="0"/>
    </xf>
    <xf numFmtId="3" fontId="12" fillId="0" borderId="0" xfId="5" applyFont="1" applyFill="1"/>
    <xf numFmtId="165" fontId="12" fillId="0" borderId="0" xfId="5" applyNumberFormat="1" applyFont="1" applyFill="1" applyAlignment="1">
      <alignment horizontal="center"/>
    </xf>
    <xf numFmtId="0" fontId="12" fillId="0" borderId="0" xfId="5" applyNumberFormat="1" applyFont="1" applyFill="1" applyAlignment="1" applyProtection="1">
      <alignment horizontal="center"/>
      <protection locked="0"/>
    </xf>
    <xf numFmtId="38" fontId="12" fillId="0" borderId="0" xfId="5" applyNumberFormat="1" applyFont="1" applyFill="1" applyAlignment="1" applyProtection="1">
      <alignment horizontal="center"/>
      <protection locked="0"/>
    </xf>
    <xf numFmtId="0" fontId="12" fillId="0" borderId="0" xfId="5" applyNumberFormat="1" applyFont="1" applyFill="1" applyAlignment="1">
      <alignment horizontal="center"/>
    </xf>
    <xf numFmtId="10" fontId="12" fillId="0" borderId="0" xfId="5" applyNumberFormat="1" applyFont="1" applyFill="1" applyAlignment="1" applyProtection="1">
      <alignment horizontal="center"/>
      <protection locked="0"/>
    </xf>
    <xf numFmtId="0" fontId="16" fillId="0" borderId="0" xfId="5" applyNumberFormat="1" applyFont="1" applyFill="1" applyAlignment="1" applyProtection="1">
      <alignment horizontal="center"/>
      <protection locked="0"/>
    </xf>
    <xf numFmtId="170" fontId="12" fillId="0" borderId="0" xfId="5" applyNumberFormat="1" applyFont="1" applyFill="1" applyAlignment="1" applyProtection="1">
      <protection locked="0"/>
    </xf>
    <xf numFmtId="170" fontId="12" fillId="0" borderId="0" xfId="5" applyNumberFormat="1" applyFont="1" applyFill="1"/>
    <xf numFmtId="3" fontId="12" fillId="0" borderId="11" xfId="5" applyNumberFormat="1" applyFont="1" applyFill="1" applyBorder="1"/>
    <xf numFmtId="3" fontId="12" fillId="0" borderId="0" xfId="5" applyNumberFormat="1" applyFont="1" applyFill="1"/>
    <xf numFmtId="165" fontId="12" fillId="0" borderId="0" xfId="5" applyNumberFormat="1" applyFont="1" applyFill="1"/>
    <xf numFmtId="0" fontId="12" fillId="0" borderId="0" xfId="5" applyNumberFormat="1" applyFont="1" applyFill="1" applyProtection="1">
      <protection locked="0"/>
    </xf>
    <xf numFmtId="0" fontId="12" fillId="0" borderId="0" xfId="5" applyNumberFormat="1" applyFont="1" applyFill="1" applyAlignment="1"/>
    <xf numFmtId="170" fontId="12" fillId="0" borderId="0" xfId="5" applyNumberFormat="1" applyFont="1" applyFill="1" applyAlignment="1"/>
    <xf numFmtId="0" fontId="12" fillId="0" borderId="11" xfId="5" applyNumberFormat="1" applyFont="1" applyFill="1" applyBorder="1" applyProtection="1">
      <protection locked="0"/>
    </xf>
    <xf numFmtId="171" fontId="12" fillId="0" borderId="0" xfId="5" applyNumberFormat="1" applyFont="1" applyFill="1"/>
    <xf numFmtId="3" fontId="12" fillId="0" borderId="0" xfId="5" applyNumberFormat="1" applyFont="1" applyFill="1" applyProtection="1">
      <protection locked="0"/>
    </xf>
    <xf numFmtId="170" fontId="12" fillId="0" borderId="0" xfId="5" applyNumberFormat="1" applyFont="1" applyFill="1" applyProtection="1">
      <protection locked="0"/>
    </xf>
    <xf numFmtId="165" fontId="12" fillId="0" borderId="0" xfId="5" applyNumberFormat="1" applyFont="1" applyFill="1" applyAlignment="1" applyProtection="1">
      <protection locked="0"/>
    </xf>
    <xf numFmtId="0" fontId="12" fillId="0" borderId="0" xfId="6" applyNumberFormat="1" applyFont="1" applyFill="1" applyBorder="1" applyAlignment="1" applyProtection="1">
      <protection locked="0"/>
    </xf>
    <xf numFmtId="171" fontId="12" fillId="0" borderId="0" xfId="6" applyNumberFormat="1" applyFont="1" applyFill="1" applyAlignment="1" applyProtection="1">
      <protection locked="0"/>
    </xf>
    <xf numFmtId="0" fontId="12" fillId="0" borderId="0" xfId="6" applyNumberFormat="1" applyFont="1" applyFill="1" applyAlignment="1" applyProtection="1">
      <protection locked="0"/>
    </xf>
    <xf numFmtId="171" fontId="12" fillId="0" borderId="0" xfId="6" applyNumberFormat="1" applyFont="1" applyFill="1" applyBorder="1" applyAlignment="1" applyProtection="1">
      <protection locked="0"/>
    </xf>
    <xf numFmtId="3" fontId="12" fillId="0" borderId="0" xfId="6" applyNumberFormat="1" applyFont="1" applyFill="1" applyAlignment="1" applyProtection="1">
      <protection locked="0"/>
    </xf>
    <xf numFmtId="167" fontId="12" fillId="0" borderId="0" xfId="6" applyNumberFormat="1" applyFont="1" applyFill="1" applyBorder="1" applyAlignment="1" applyProtection="1">
      <protection locked="0"/>
    </xf>
    <xf numFmtId="167" fontId="12" fillId="0" borderId="0" xfId="6" applyNumberFormat="1" applyFont="1" applyFill="1" applyAlignment="1" applyProtection="1">
      <protection locked="0"/>
    </xf>
    <xf numFmtId="0" fontId="12" fillId="0" borderId="0" xfId="6" applyNumberFormat="1" applyFont="1" applyFill="1" applyBorder="1" applyAlignment="1" applyProtection="1">
      <alignment horizontal="center"/>
      <protection locked="0"/>
    </xf>
    <xf numFmtId="0" fontId="12" fillId="0" borderId="0" xfId="6" applyNumberFormat="1" applyFont="1" applyFill="1" applyBorder="1" applyProtection="1">
      <protection locked="0"/>
    </xf>
    <xf numFmtId="165" fontId="12" fillId="0" borderId="0" xfId="6" applyNumberFormat="1" applyFont="1" applyFill="1" applyBorder="1" applyAlignment="1" applyProtection="1">
      <protection locked="0"/>
    </xf>
    <xf numFmtId="0" fontId="12" fillId="0" borderId="0" xfId="6" applyNumberFormat="1" applyFont="1" applyFill="1" applyAlignment="1" applyProtection="1">
      <alignment horizontal="center"/>
      <protection locked="0"/>
    </xf>
    <xf numFmtId="3" fontId="12" fillId="0" borderId="0" xfId="6" applyNumberFormat="1" applyFont="1" applyFill="1" applyBorder="1" applyAlignment="1" applyProtection="1">
      <protection locked="0"/>
    </xf>
    <xf numFmtId="10" fontId="12" fillId="0" borderId="0" xfId="6" applyNumberFormat="1" applyFont="1" applyFill="1" applyBorder="1" applyAlignment="1" applyProtection="1">
      <protection locked="0"/>
    </xf>
    <xf numFmtId="10" fontId="12" fillId="0" borderId="0" xfId="6" applyNumberFormat="1" applyFont="1" applyFill="1" applyAlignment="1" applyProtection="1">
      <protection locked="0"/>
    </xf>
    <xf numFmtId="1" fontId="12" fillId="0" borderId="0" xfId="6" applyNumberFormat="1" applyFont="1" applyFill="1" applyBorder="1" applyAlignment="1" applyProtection="1">
      <protection locked="0"/>
    </xf>
    <xf numFmtId="165" fontId="12" fillId="0" borderId="0" xfId="6" applyNumberFormat="1" applyFont="1" applyFill="1" applyAlignment="1" applyProtection="1">
      <protection locked="0"/>
    </xf>
    <xf numFmtId="0" fontId="12" fillId="0" borderId="0" xfId="6" applyNumberFormat="1" applyFont="1" applyFill="1" applyAlignment="1"/>
    <xf numFmtId="3" fontId="12" fillId="0" borderId="11" xfId="6" applyNumberFormat="1" applyFont="1" applyFill="1" applyBorder="1" applyAlignment="1"/>
    <xf numFmtId="167" fontId="12" fillId="0" borderId="0" xfId="6" applyNumberFormat="1" applyFont="1" applyFill="1" applyAlignment="1"/>
    <xf numFmtId="170" fontId="12" fillId="0" borderId="0" xfId="6" applyNumberFormat="1" applyFont="1" applyFill="1" applyAlignment="1" applyProtection="1">
      <protection locked="0"/>
    </xf>
    <xf numFmtId="170" fontId="12" fillId="0" borderId="0" xfId="6" applyNumberFormat="1" applyFont="1" applyFill="1" applyBorder="1" applyAlignment="1" applyProtection="1">
      <protection locked="0"/>
    </xf>
    <xf numFmtId="3" fontId="12" fillId="0" borderId="11" xfId="6" applyNumberFormat="1" applyFont="1" applyFill="1" applyBorder="1" applyAlignment="1" applyProtection="1">
      <protection locked="0"/>
    </xf>
    <xf numFmtId="3" fontId="12" fillId="0" borderId="0" xfId="6" applyNumberFormat="1" applyFont="1" applyFill="1" applyAlignment="1">
      <alignment horizontal="center"/>
    </xf>
    <xf numFmtId="0" fontId="12" fillId="0" borderId="0" xfId="0" applyNumberFormat="1" applyFont="1" applyFill="1" applyAlignment="1" applyProtection="1">
      <protection locked="0"/>
    </xf>
    <xf numFmtId="171" fontId="12" fillId="0" borderId="0" xfId="0" applyNumberFormat="1" applyFont="1" applyFill="1"/>
    <xf numFmtId="173" fontId="12" fillId="0" borderId="0" xfId="0" applyNumberFormat="1" applyFont="1" applyFill="1" applyAlignment="1">
      <alignment horizontal="center"/>
    </xf>
    <xf numFmtId="169" fontId="12" fillId="0" borderId="0" xfId="0" applyNumberFormat="1" applyFont="1" applyFill="1" applyAlignment="1">
      <alignment horizontal="center"/>
    </xf>
    <xf numFmtId="170" fontId="12" fillId="0" borderId="0" xfId="0" applyNumberFormat="1" applyFont="1" applyFill="1"/>
    <xf numFmtId="0" fontId="12" fillId="0" borderId="0" xfId="0" applyFont="1" applyFill="1" applyAlignment="1"/>
    <xf numFmtId="10" fontId="12" fillId="0" borderId="0" xfId="0" applyNumberFormat="1" applyFont="1" applyFill="1" applyAlignment="1"/>
    <xf numFmtId="170" fontId="12" fillId="0" borderId="0" xfId="0" applyNumberFormat="1" applyFont="1" applyFill="1" applyAlignment="1">
      <alignment horizontal="center"/>
    </xf>
    <xf numFmtId="165" fontId="12" fillId="0" borderId="0" xfId="0" applyNumberFormat="1" applyFont="1" applyFill="1"/>
    <xf numFmtId="37" fontId="12" fillId="0" borderId="10" xfId="0" applyNumberFormat="1" applyFont="1" applyFill="1" applyBorder="1"/>
    <xf numFmtId="0" fontId="12" fillId="0" borderId="10" xfId="0" applyFont="1" applyFill="1" applyBorder="1"/>
    <xf numFmtId="9" fontId="12" fillId="0" borderId="0" xfId="0" applyNumberFormat="1" applyFont="1" applyFill="1" applyAlignment="1"/>
    <xf numFmtId="39" fontId="12" fillId="0" borderId="0" xfId="0" applyNumberFormat="1" applyFont="1" applyFill="1" applyAlignment="1">
      <alignment horizontal="center"/>
    </xf>
    <xf numFmtId="172" fontId="12" fillId="0" borderId="0" xfId="0" applyNumberFormat="1" applyFont="1" applyFill="1" applyAlignment="1">
      <alignment horizontal="center"/>
    </xf>
    <xf numFmtId="171" fontId="12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2" fillId="0" borderId="0" xfId="0" applyNumberFormat="1" applyFont="1" applyFill="1" applyAlignment="1" applyProtection="1">
      <alignment horizontal="center"/>
      <protection locked="0"/>
    </xf>
    <xf numFmtId="185" fontId="12" fillId="0" borderId="0" xfId="0" applyNumberFormat="1" applyFont="1" applyFill="1" applyAlignment="1">
      <alignment horizontal="center"/>
    </xf>
    <xf numFmtId="5" fontId="12" fillId="0" borderId="0" xfId="0" applyNumberFormat="1" applyFont="1" applyFill="1"/>
    <xf numFmtId="37" fontId="12" fillId="0" borderId="0" xfId="0" applyNumberFormat="1" applyFont="1" applyFill="1" applyBorder="1"/>
    <xf numFmtId="0" fontId="12" fillId="0" borderId="0" xfId="0" applyFont="1" applyFill="1" applyBorder="1"/>
    <xf numFmtId="0" fontId="12" fillId="0" borderId="0" xfId="0" applyNumberFormat="1" applyFont="1" applyFill="1" applyBorder="1" applyAlignment="1" applyProtection="1">
      <protection locked="0"/>
    </xf>
    <xf numFmtId="3" fontId="12" fillId="0" borderId="0" xfId="0" applyNumberFormat="1" applyFont="1" applyFill="1" applyBorder="1"/>
    <xf numFmtId="5" fontId="12" fillId="0" borderId="0" xfId="0" applyNumberFormat="1" applyFont="1" applyFill="1" applyBorder="1"/>
    <xf numFmtId="165" fontId="12" fillId="0" borderId="0" xfId="0" applyNumberFormat="1" applyFont="1" applyFill="1" applyBorder="1"/>
    <xf numFmtId="0" fontId="12" fillId="0" borderId="0" xfId="186" applyNumberFormat="1" applyFont="1" applyAlignment="1" applyProtection="1">
      <protection locked="0"/>
    </xf>
    <xf numFmtId="0" fontId="12" fillId="0" borderId="0" xfId="186" applyNumberFormat="1" applyFont="1" applyAlignment="1"/>
    <xf numFmtId="4" fontId="12" fillId="0" borderId="0" xfId="186" applyNumberFormat="1" applyFont="1"/>
    <xf numFmtId="170" fontId="12" fillId="0" borderId="0" xfId="186" applyNumberFormat="1" applyFont="1" applyAlignment="1">
      <alignment horizontal="center"/>
    </xf>
    <xf numFmtId="0" fontId="12" fillId="0" borderId="0" xfId="186" applyNumberFormat="1" applyFont="1" applyAlignment="1" applyProtection="1">
      <alignment horizontal="center"/>
      <protection locked="0"/>
    </xf>
    <xf numFmtId="4" fontId="12" fillId="0" borderId="0" xfId="186" applyNumberFormat="1" applyFont="1" applyAlignment="1">
      <alignment horizontal="center"/>
    </xf>
    <xf numFmtId="167" fontId="12" fillId="0" borderId="0" xfId="186" applyNumberFormat="1" applyFont="1" applyAlignment="1">
      <alignment horizontal="center"/>
    </xf>
    <xf numFmtId="3" fontId="12" fillId="0" borderId="0" xfId="186" applyNumberFormat="1" applyFont="1" applyAlignment="1">
      <alignment horizontal="center"/>
    </xf>
    <xf numFmtId="4" fontId="12" fillId="0" borderId="0" xfId="186" applyNumberFormat="1" applyFont="1" applyFill="1" applyAlignment="1">
      <alignment horizontal="center"/>
    </xf>
    <xf numFmtId="0" fontId="12" fillId="0" borderId="0" xfId="186" applyNumberFormat="1" applyFont="1" applyFill="1" applyAlignment="1" applyProtection="1">
      <alignment horizontal="center"/>
      <protection locked="0"/>
    </xf>
    <xf numFmtId="9" fontId="12" fillId="0" borderId="0" xfId="186" applyFont="1" applyFill="1" applyAlignment="1">
      <alignment horizontal="center"/>
    </xf>
    <xf numFmtId="0" fontId="12" fillId="0" borderId="0" xfId="186" applyNumberFormat="1" applyFont="1" applyAlignment="1">
      <alignment horizontal="center"/>
    </xf>
    <xf numFmtId="0" fontId="16" fillId="0" borderId="0" xfId="186" applyNumberFormat="1" applyFont="1" applyAlignment="1">
      <alignment horizontal="center"/>
    </xf>
    <xf numFmtId="0" fontId="16" fillId="0" borderId="10" xfId="186" applyNumberFormat="1" applyFont="1" applyBorder="1" applyAlignment="1">
      <alignment horizontal="center"/>
    </xf>
    <xf numFmtId="0" fontId="12" fillId="0" borderId="0" xfId="186" applyNumberFormat="1" applyFont="1" applyAlignment="1">
      <alignment horizontal="centerContinuous"/>
    </xf>
    <xf numFmtId="169" fontId="12" fillId="0" borderId="0" xfId="0" applyNumberFormat="1" applyFont="1" applyFill="1"/>
    <xf numFmtId="3" fontId="12" fillId="0" borderId="0" xfId="0" applyNumberFormat="1" applyFont="1" applyFill="1"/>
    <xf numFmtId="4" fontId="12" fillId="0" borderId="0" xfId="0" applyNumberFormat="1" applyFont="1" applyFill="1" applyAlignment="1">
      <alignment horizontal="center"/>
    </xf>
    <xf numFmtId="4" fontId="12" fillId="0" borderId="0" xfId="0" applyNumberFormat="1" applyFont="1" applyFill="1"/>
    <xf numFmtId="8" fontId="12" fillId="0" borderId="0" xfId="4" applyNumberFormat="1" applyFont="1" applyFill="1" applyAlignment="1" applyProtection="1">
      <protection locked="0"/>
    </xf>
    <xf numFmtId="8" fontId="13" fillId="0" borderId="0" xfId="4" applyNumberFormat="1" applyFont="1" applyFill="1" applyAlignment="1" applyProtection="1">
      <protection locked="0"/>
    </xf>
    <xf numFmtId="0" fontId="12" fillId="0" borderId="0" xfId="4" applyNumberFormat="1" applyFont="1" applyFill="1" applyAlignment="1" applyProtection="1">
      <protection locked="0"/>
    </xf>
    <xf numFmtId="0" fontId="12" fillId="0" borderId="0" xfId="190" applyNumberFormat="1" applyFont="1" applyAlignment="1" applyProtection="1">
      <protection locked="0"/>
    </xf>
    <xf numFmtId="165" fontId="12" fillId="0" borderId="0" xfId="190" applyNumberFormat="1" applyFont="1" applyFill="1" applyAlignment="1"/>
    <xf numFmtId="3" fontId="40" fillId="0" borderId="0" xfId="190" applyNumberFormat="1" applyFont="1" applyFill="1"/>
    <xf numFmtId="3" fontId="12" fillId="0" borderId="0" xfId="190" applyNumberFormat="1" applyFont="1" applyFill="1"/>
    <xf numFmtId="0" fontId="12" fillId="0" borderId="0" xfId="190" applyFont="1" applyFill="1" applyAlignment="1"/>
    <xf numFmtId="0" fontId="14" fillId="0" borderId="0" xfId="190" applyFont="1" applyFill="1" applyAlignment="1"/>
    <xf numFmtId="0" fontId="12" fillId="0" borderId="0" xfId="190" applyNumberFormat="1" applyFont="1" applyFill="1" applyAlignment="1" applyProtection="1">
      <protection locked="0"/>
    </xf>
    <xf numFmtId="171" fontId="12" fillId="0" borderId="0" xfId="190" applyNumberFormat="1" applyFont="1" applyFill="1"/>
    <xf numFmtId="165" fontId="12" fillId="0" borderId="10" xfId="190" applyNumberFormat="1" applyFont="1" applyFill="1" applyBorder="1" applyAlignment="1"/>
    <xf numFmtId="10" fontId="12" fillId="0" borderId="0" xfId="190" applyNumberFormat="1" applyFont="1" applyFill="1" applyBorder="1" applyAlignment="1"/>
    <xf numFmtId="0" fontId="12" fillId="0" borderId="0" xfId="190" applyFont="1" applyFill="1" applyBorder="1" applyAlignment="1"/>
    <xf numFmtId="10" fontId="12" fillId="0" borderId="0" xfId="190" applyNumberFormat="1" applyFont="1" applyFill="1" applyBorder="1"/>
    <xf numFmtId="0" fontId="40" fillId="0" borderId="0" xfId="190" applyNumberFormat="1" applyFont="1" applyFill="1" applyAlignment="1" applyProtection="1">
      <protection locked="0"/>
    </xf>
    <xf numFmtId="0" fontId="12" fillId="0" borderId="0" xfId="190" applyNumberFormat="1" applyFont="1" applyFill="1" applyBorder="1" applyAlignment="1" applyProtection="1">
      <protection locked="0"/>
    </xf>
    <xf numFmtId="170" fontId="12" fillId="0" borderId="0" xfId="190" applyNumberFormat="1" applyFont="1" applyFill="1" applyAlignment="1"/>
    <xf numFmtId="0" fontId="44" fillId="0" borderId="0" xfId="190" applyFill="1" applyBorder="1" applyAlignment="1"/>
    <xf numFmtId="170" fontId="44" fillId="0" borderId="0" xfId="190" applyNumberFormat="1" applyFont="1" applyFill="1" applyAlignment="1"/>
    <xf numFmtId="3" fontId="44" fillId="0" borderId="0" xfId="190" applyNumberFormat="1" applyFill="1"/>
    <xf numFmtId="0" fontId="49" fillId="0" borderId="11" xfId="187" applyFill="1" applyBorder="1"/>
    <xf numFmtId="0" fontId="49" fillId="0" borderId="0" xfId="187" applyFill="1"/>
    <xf numFmtId="0" fontId="36" fillId="0" borderId="0" xfId="187" applyFont="1" applyFill="1"/>
    <xf numFmtId="0" fontId="58" fillId="0" borderId="0" xfId="187" applyFont="1" applyFill="1"/>
    <xf numFmtId="166" fontId="35" fillId="0" borderId="0" xfId="187" applyNumberFormat="1" applyFont="1" applyFill="1"/>
    <xf numFmtId="166" fontId="36" fillId="0" borderId="0" xfId="187" applyNumberFormat="1" applyFont="1" applyFill="1"/>
    <xf numFmtId="40" fontId="49" fillId="0" borderId="0" xfId="187" applyNumberFormat="1" applyFill="1"/>
    <xf numFmtId="0" fontId="49" fillId="0" borderId="0" xfId="187" applyFill="1" applyAlignment="1">
      <alignment horizontal="center"/>
    </xf>
    <xf numFmtId="0" fontId="10" fillId="0" borderId="0" xfId="192" applyFill="1"/>
    <xf numFmtId="0" fontId="10" fillId="0" borderId="0" xfId="192" quotePrefix="1" applyFill="1"/>
    <xf numFmtId="0" fontId="10" fillId="0" borderId="0" xfId="192" applyFill="1" applyBorder="1"/>
    <xf numFmtId="0" fontId="35" fillId="0" borderId="0" xfId="187" applyFont="1" applyFill="1"/>
    <xf numFmtId="166" fontId="12" fillId="0" borderId="0" xfId="0" applyNumberFormat="1" applyFont="1" applyFill="1"/>
    <xf numFmtId="3" fontId="40" fillId="30" borderId="0" xfId="0" applyNumberFormat="1" applyFont="1" applyFill="1" applyAlignment="1"/>
    <xf numFmtId="3" fontId="40" fillId="30" borderId="11" xfId="0" applyNumberFormat="1" applyFont="1" applyFill="1" applyBorder="1" applyAlignment="1"/>
    <xf numFmtId="165" fontId="12" fillId="30" borderId="0" xfId="0" applyNumberFormat="1" applyFont="1" applyFill="1" applyBorder="1" applyAlignment="1"/>
    <xf numFmtId="165" fontId="12" fillId="30" borderId="11" xfId="0" applyNumberFormat="1" applyFont="1" applyFill="1" applyBorder="1" applyAlignment="1"/>
    <xf numFmtId="0" fontId="12" fillId="0" borderId="10" xfId="0" applyFont="1" applyFill="1" applyBorder="1" applyAlignment="1"/>
    <xf numFmtId="0" fontId="12" fillId="0" borderId="0" xfId="0" applyFont="1" applyFill="1" applyAlignment="1">
      <alignment horizontal="center"/>
    </xf>
    <xf numFmtId="0" fontId="16" fillId="0" borderId="0" xfId="0" applyNumberFormat="1" applyFont="1" applyFill="1" applyAlignment="1" applyProtection="1">
      <protection locked="0"/>
    </xf>
    <xf numFmtId="0" fontId="44" fillId="0" borderId="0" xfId="190" applyNumberFormat="1" applyFill="1" applyAlignment="1" applyProtection="1">
      <protection locked="0"/>
    </xf>
    <xf numFmtId="10" fontId="12" fillId="0" borderId="0" xfId="190" applyNumberFormat="1" applyFont="1" applyFill="1"/>
    <xf numFmtId="165" fontId="44" fillId="0" borderId="0" xfId="190" applyNumberFormat="1" applyFont="1" applyFill="1" applyAlignment="1"/>
    <xf numFmtId="10" fontId="44" fillId="0" borderId="0" xfId="190" applyNumberFormat="1" applyFill="1"/>
    <xf numFmtId="0" fontId="44" fillId="0" borderId="0" xfId="190" applyNumberFormat="1" applyFont="1" applyFill="1" applyAlignment="1" applyProtection="1">
      <protection locked="0"/>
    </xf>
    <xf numFmtId="170" fontId="12" fillId="0" borderId="0" xfId="0" applyNumberFormat="1" applyFont="1" applyFill="1" applyBorder="1" applyAlignment="1"/>
    <xf numFmtId="165" fontId="12" fillId="0" borderId="11" xfId="6" applyNumberFormat="1" applyFont="1" applyFill="1" applyBorder="1" applyAlignment="1" applyProtection="1">
      <protection locked="0"/>
    </xf>
    <xf numFmtId="3" fontId="0" fillId="0" borderId="0" xfId="0" applyNumberFormat="1" applyAlignment="1"/>
    <xf numFmtId="2" fontId="0" fillId="0" borderId="0" xfId="0" applyNumberFormat="1" applyAlignment="1"/>
    <xf numFmtId="177" fontId="0" fillId="0" borderId="0" xfId="2" applyNumberFormat="1" applyFont="1" applyAlignment="1"/>
    <xf numFmtId="177" fontId="0" fillId="0" borderId="0" xfId="0" applyNumberFormat="1" applyAlignment="1"/>
    <xf numFmtId="0" fontId="12" fillId="0" borderId="0" xfId="5" quotePrefix="1" applyNumberFormat="1" applyFont="1" applyFill="1" applyAlignment="1" applyProtection="1">
      <protection locked="0"/>
    </xf>
    <xf numFmtId="177" fontId="0" fillId="0" borderId="11" xfId="2" applyNumberFormat="1" applyFont="1" applyBorder="1" applyAlignment="1"/>
    <xf numFmtId="5" fontId="12" fillId="0" borderId="11" xfId="0" applyNumberFormat="1" applyFont="1" applyBorder="1" applyAlignment="1"/>
    <xf numFmtId="0" fontId="111" fillId="0" borderId="0" xfId="0" applyFont="1" applyFill="1" applyAlignment="1"/>
    <xf numFmtId="3" fontId="12" fillId="30" borderId="0" xfId="0" applyNumberFormat="1" applyFont="1" applyFill="1" applyBorder="1" applyAlignment="1"/>
    <xf numFmtId="3" fontId="12" fillId="30" borderId="11" xfId="0" applyNumberFormat="1" applyFont="1" applyFill="1" applyBorder="1" applyAlignment="1"/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/>
    <xf numFmtId="165" fontId="40" fillId="0" borderId="0" xfId="0" applyNumberFormat="1" applyFont="1" applyFill="1" applyBorder="1" applyAlignment="1"/>
    <xf numFmtId="172" fontId="40" fillId="0" borderId="0" xfId="0" applyNumberFormat="1" applyFont="1" applyFill="1" applyAlignment="1">
      <alignment horizontal="center"/>
    </xf>
    <xf numFmtId="172" fontId="12" fillId="0" borderId="0" xfId="0" applyNumberFormat="1" applyFont="1" applyFill="1"/>
    <xf numFmtId="185" fontId="12" fillId="0" borderId="0" xfId="0" applyNumberFormat="1" applyFont="1" applyFill="1"/>
    <xf numFmtId="2" fontId="12" fillId="0" borderId="0" xfId="0" applyNumberFormat="1" applyFont="1" applyFill="1"/>
    <xf numFmtId="167" fontId="12" fillId="0" borderId="0" xfId="0" applyNumberFormat="1" applyFont="1" applyFill="1"/>
    <xf numFmtId="181" fontId="12" fillId="0" borderId="0" xfId="0" applyNumberFormat="1" applyFont="1" applyFill="1"/>
    <xf numFmtId="0" fontId="4" fillId="0" borderId="0" xfId="192" quotePrefix="1" applyFont="1" applyFill="1"/>
    <xf numFmtId="180" fontId="12" fillId="0" borderId="0" xfId="1" applyNumberFormat="1" applyFont="1" applyBorder="1" applyAlignment="1"/>
    <xf numFmtId="0" fontId="112" fillId="0" borderId="0" xfId="0" applyFont="1" applyAlignment="1"/>
    <xf numFmtId="0" fontId="112" fillId="0" borderId="11" xfId="0" applyFont="1" applyBorder="1" applyAlignment="1"/>
    <xf numFmtId="177" fontId="0" fillId="0" borderId="0" xfId="2" applyNumberFormat="1" applyFont="1" applyFill="1"/>
    <xf numFmtId="165" fontId="40" fillId="0" borderId="0" xfId="5" applyNumberFormat="1" applyFont="1" applyFill="1" applyAlignment="1" applyProtection="1">
      <protection locked="0"/>
    </xf>
    <xf numFmtId="165" fontId="40" fillId="0" borderId="0" xfId="0" applyNumberFormat="1" applyFont="1" applyFill="1"/>
    <xf numFmtId="3" fontId="12" fillId="0" borderId="11" xfId="0" applyNumberFormat="1" applyFont="1" applyFill="1" applyBorder="1" applyAlignment="1"/>
    <xf numFmtId="3" fontId="12" fillId="0" borderId="11" xfId="4" applyNumberFormat="1" applyFont="1" applyFill="1" applyBorder="1" applyAlignment="1"/>
    <xf numFmtId="177" fontId="0" fillId="0" borderId="20" xfId="2" applyNumberFormat="1" applyFont="1" applyFill="1" applyBorder="1"/>
    <xf numFmtId="2" fontId="112" fillId="0" borderId="0" xfId="0" applyNumberFormat="1" applyFont="1" applyAlignment="1"/>
    <xf numFmtId="183" fontId="12" fillId="0" borderId="11" xfId="5" applyNumberFormat="1" applyFont="1" applyFill="1" applyBorder="1"/>
    <xf numFmtId="3" fontId="12" fillId="0" borderId="0" xfId="0" applyNumberFormat="1" applyFont="1" applyFill="1" applyAlignment="1" applyProtection="1">
      <protection locked="0"/>
    </xf>
    <xf numFmtId="3" fontId="12" fillId="0" borderId="11" xfId="5" applyNumberFormat="1" applyFont="1" applyFill="1" applyBorder="1" applyAlignment="1" applyProtection="1">
      <protection locked="0"/>
    </xf>
    <xf numFmtId="177" fontId="12" fillId="0" borderId="11" xfId="0" applyNumberFormat="1" applyFont="1" applyFill="1" applyBorder="1" applyAlignment="1"/>
    <xf numFmtId="0" fontId="12" fillId="0" borderId="0" xfId="187" applyFont="1" applyFill="1" applyBorder="1" applyAlignment="1">
      <alignment horizontal="center"/>
    </xf>
    <xf numFmtId="0" fontId="16" fillId="0" borderId="0" xfId="187" applyFont="1" applyFill="1" applyBorder="1" applyAlignment="1">
      <alignment horizontal="center"/>
    </xf>
    <xf numFmtId="0" fontId="12" fillId="0" borderId="0" xfId="187" applyFont="1" applyFill="1" applyBorder="1"/>
    <xf numFmtId="0" fontId="12" fillId="0" borderId="0" xfId="187" applyFont="1" applyFill="1" applyBorder="1" applyAlignment="1">
      <alignment horizontal="left"/>
    </xf>
    <xf numFmtId="37" fontId="12" fillId="0" borderId="0" xfId="187" applyNumberFormat="1" applyFont="1" applyFill="1" applyBorder="1" applyAlignment="1">
      <alignment horizontal="right"/>
    </xf>
    <xf numFmtId="0" fontId="12" fillId="0" borderId="11" xfId="187" applyFont="1" applyFill="1" applyBorder="1" applyAlignment="1">
      <alignment horizontal="left"/>
    </xf>
    <xf numFmtId="37" fontId="12" fillId="0" borderId="11" xfId="187" quotePrefix="1" applyNumberFormat="1" applyFont="1" applyFill="1" applyBorder="1" applyAlignment="1">
      <alignment horizontal="right"/>
    </xf>
    <xf numFmtId="37" fontId="12" fillId="0" borderId="0" xfId="187" applyNumberFormat="1" applyFont="1" applyFill="1" applyBorder="1"/>
    <xf numFmtId="177" fontId="12" fillId="0" borderId="0" xfId="189" applyNumberFormat="1" applyFont="1" applyFill="1" applyBorder="1"/>
    <xf numFmtId="180" fontId="12" fillId="0" borderId="0" xfId="188" applyNumberFormat="1" applyFont="1" applyFill="1" applyBorder="1"/>
    <xf numFmtId="44" fontId="12" fillId="0" borderId="0" xfId="189" applyFont="1" applyFill="1" applyBorder="1"/>
    <xf numFmtId="0" fontId="12" fillId="0" borderId="0" xfId="187" quotePrefix="1" applyFont="1" applyFill="1" applyBorder="1"/>
    <xf numFmtId="180" fontId="12" fillId="0" borderId="0" xfId="187" applyNumberFormat="1" applyFont="1" applyFill="1" applyBorder="1"/>
    <xf numFmtId="170" fontId="12" fillId="0" borderId="0" xfId="187" applyNumberFormat="1" applyFont="1" applyFill="1" applyBorder="1"/>
    <xf numFmtId="0" fontId="13" fillId="0" borderId="0" xfId="187" applyFont="1" applyFill="1" applyBorder="1"/>
    <xf numFmtId="39" fontId="12" fillId="0" borderId="0" xfId="187" applyNumberFormat="1" applyFont="1" applyFill="1" applyBorder="1"/>
    <xf numFmtId="10" fontId="12" fillId="0" borderId="0" xfId="187" applyNumberFormat="1" applyFont="1" applyFill="1" applyBorder="1"/>
    <xf numFmtId="190" fontId="12" fillId="0" borderId="0" xfId="187" applyNumberFormat="1" applyFont="1" applyFill="1" applyBorder="1"/>
    <xf numFmtId="44" fontId="12" fillId="0" borderId="0" xfId="187" applyNumberFormat="1" applyFont="1" applyFill="1" applyBorder="1"/>
    <xf numFmtId="39" fontId="12" fillId="0" borderId="0" xfId="187" applyNumberFormat="1" applyFont="1" applyFill="1" applyBorder="1" applyAlignment="1">
      <alignment horizontal="right"/>
    </xf>
    <xf numFmtId="43" fontId="12" fillId="0" borderId="0" xfId="187" applyNumberFormat="1" applyFont="1" applyFill="1" applyBorder="1"/>
    <xf numFmtId="180" fontId="12" fillId="0" borderId="11" xfId="187" applyNumberFormat="1" applyFont="1" applyFill="1" applyBorder="1"/>
    <xf numFmtId="189" fontId="12" fillId="0" borderId="0" xfId="187" applyNumberFormat="1" applyFont="1" applyFill="1" applyBorder="1"/>
    <xf numFmtId="185" fontId="16" fillId="0" borderId="0" xfId="187" applyNumberFormat="1" applyFont="1" applyFill="1" applyBorder="1" applyAlignment="1">
      <alignment horizontal="center"/>
    </xf>
    <xf numFmtId="186" fontId="12" fillId="0" borderId="0" xfId="187" quotePrefix="1" applyNumberFormat="1" applyFont="1" applyFill="1" applyBorder="1"/>
    <xf numFmtId="186" fontId="12" fillId="0" borderId="0" xfId="187" applyNumberFormat="1" applyFont="1" applyFill="1" applyBorder="1"/>
    <xf numFmtId="7" fontId="12" fillId="0" borderId="0" xfId="187" applyNumberFormat="1" applyFont="1" applyFill="1" applyBorder="1"/>
    <xf numFmtId="37" fontId="12" fillId="0" borderId="0" xfId="187" quotePrefix="1" applyNumberFormat="1" applyFont="1" applyFill="1" applyBorder="1"/>
    <xf numFmtId="44" fontId="128" fillId="0" borderId="0" xfId="2" applyFont="1" applyFill="1"/>
    <xf numFmtId="0" fontId="0" fillId="0" borderId="0" xfId="0" applyFill="1"/>
    <xf numFmtId="0" fontId="65" fillId="0" borderId="0" xfId="0" applyFont="1" applyFill="1"/>
    <xf numFmtId="0" fontId="0" fillId="0" borderId="0" xfId="0" applyFill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64" fillId="0" borderId="0" xfId="0" applyFont="1" applyFill="1"/>
    <xf numFmtId="0" fontId="0" fillId="0" borderId="1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0" xfId="0" applyFill="1" applyBorder="1"/>
    <xf numFmtId="0" fontId="0" fillId="0" borderId="19" xfId="0" applyFill="1" applyBorder="1"/>
    <xf numFmtId="0" fontId="63" fillId="0" borderId="0" xfId="0" applyFont="1" applyFill="1" applyAlignment="1">
      <alignment horizontal="center"/>
    </xf>
    <xf numFmtId="177" fontId="0" fillId="0" borderId="39" xfId="2" applyNumberFormat="1" applyFont="1" applyFill="1" applyBorder="1"/>
    <xf numFmtId="0" fontId="0" fillId="0" borderId="11" xfId="0" applyFill="1" applyBorder="1"/>
    <xf numFmtId="177" fontId="0" fillId="0" borderId="21" xfId="2" applyNumberFormat="1" applyFont="1" applyFill="1" applyBorder="1"/>
    <xf numFmtId="177" fontId="0" fillId="0" borderId="22" xfId="2" applyNumberFormat="1" applyFont="1" applyFill="1" applyBorder="1"/>
    <xf numFmtId="177" fontId="0" fillId="0" borderId="38" xfId="2" applyNumberFormat="1" applyFont="1" applyFill="1" applyBorder="1"/>
    <xf numFmtId="177" fontId="0" fillId="0" borderId="19" xfId="2" applyNumberFormat="1" applyFont="1" applyFill="1" applyBorder="1"/>
    <xf numFmtId="0" fontId="10" fillId="0" borderId="20" xfId="192" applyFill="1" applyBorder="1"/>
    <xf numFmtId="177" fontId="63" fillId="0" borderId="0" xfId="2" applyNumberFormat="1" applyFont="1" applyFill="1" applyAlignment="1">
      <alignment horizontal="center"/>
    </xf>
    <xf numFmtId="177" fontId="0" fillId="0" borderId="0" xfId="194" applyNumberFormat="1" applyFont="1" applyFill="1"/>
    <xf numFmtId="44" fontId="0" fillId="0" borderId="0" xfId="0" applyNumberFormat="1" applyFill="1"/>
    <xf numFmtId="177" fontId="0" fillId="0" borderId="11" xfId="2" applyNumberFormat="1" applyFont="1" applyFill="1" applyBorder="1"/>
    <xf numFmtId="177" fontId="0" fillId="0" borderId="0" xfId="0" applyNumberFormat="1" applyFill="1"/>
    <xf numFmtId="177" fontId="0" fillId="0" borderId="20" xfId="0" applyNumberFormat="1" applyFill="1" applyBorder="1"/>
    <xf numFmtId="177" fontId="0" fillId="0" borderId="19" xfId="0" applyNumberFormat="1" applyFill="1" applyBorder="1"/>
    <xf numFmtId="43" fontId="0" fillId="0" borderId="0" xfId="1" applyFont="1" applyFill="1"/>
    <xf numFmtId="0" fontId="131" fillId="0" borderId="0" xfId="192" applyFont="1" applyFill="1"/>
    <xf numFmtId="180" fontId="35" fillId="0" borderId="0" xfId="0" applyNumberFormat="1" applyFont="1" applyFill="1"/>
    <xf numFmtId="0" fontId="10" fillId="0" borderId="0" xfId="192" applyFill="1" applyAlignment="1">
      <alignment horizontal="center"/>
    </xf>
    <xf numFmtId="0" fontId="13" fillId="0" borderId="0" xfId="0" applyNumberFormat="1" applyFont="1" applyFill="1" applyAlignment="1"/>
    <xf numFmtId="0" fontId="14" fillId="0" borderId="0" xfId="0" applyNumberFormat="1" applyFont="1" applyFill="1" applyAlignment="1"/>
    <xf numFmtId="0" fontId="12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3" fontId="40" fillId="0" borderId="0" xfId="0" applyNumberFormat="1" applyFont="1" applyFill="1" applyAlignment="1"/>
    <xf numFmtId="5" fontId="12" fillId="0" borderId="0" xfId="0" applyNumberFormat="1" applyFont="1" applyFill="1" applyAlignment="1"/>
    <xf numFmtId="165" fontId="12" fillId="0" borderId="0" xfId="0" applyNumberFormat="1" applyFont="1" applyFill="1" applyAlignment="1"/>
    <xf numFmtId="37" fontId="12" fillId="0" borderId="0" xfId="0" applyNumberFormat="1" applyFont="1" applyFill="1" applyAlignment="1"/>
    <xf numFmtId="0" fontId="12" fillId="0" borderId="10" xfId="0" applyNumberFormat="1" applyFont="1" applyFill="1" applyBorder="1" applyAlignment="1"/>
    <xf numFmtId="165" fontId="12" fillId="0" borderId="10" xfId="0" applyNumberFormat="1" applyFont="1" applyFill="1" applyBorder="1" applyAlignment="1"/>
    <xf numFmtId="5" fontId="40" fillId="0" borderId="10" xfId="0" applyNumberFormat="1" applyFont="1" applyFill="1" applyBorder="1" applyAlignment="1"/>
    <xf numFmtId="0" fontId="11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11" fillId="0" borderId="0" xfId="0" applyNumberFormat="1" applyFont="1" applyFill="1" applyAlignment="1"/>
    <xf numFmtId="183" fontId="12" fillId="0" borderId="0" xfId="0" applyNumberFormat="1" applyFont="1" applyFill="1" applyAlignment="1"/>
    <xf numFmtId="171" fontId="12" fillId="0" borderId="0" xfId="0" applyNumberFormat="1" applyFont="1" applyFill="1" applyAlignment="1"/>
    <xf numFmtId="10" fontId="40" fillId="0" borderId="0" xfId="0" applyNumberFormat="1" applyFont="1" applyFill="1" applyAlignment="1"/>
    <xf numFmtId="168" fontId="12" fillId="0" borderId="0" xfId="0" applyNumberFormat="1" applyFont="1" applyFill="1" applyAlignment="1"/>
    <xf numFmtId="3" fontId="12" fillId="0" borderId="0" xfId="0" applyNumberFormat="1" applyFont="1" applyFill="1" applyAlignment="1">
      <alignment horizontal="center"/>
    </xf>
    <xf numFmtId="3" fontId="11" fillId="0" borderId="0" xfId="0" applyNumberFormat="1" applyFont="1" applyFill="1" applyAlignment="1"/>
    <xf numFmtId="3" fontId="12" fillId="0" borderId="10" xfId="0" applyNumberFormat="1" applyFont="1" applyFill="1" applyBorder="1" applyAlignment="1"/>
    <xf numFmtId="167" fontId="12" fillId="0" borderId="0" xfId="0" applyNumberFormat="1" applyFont="1" applyFill="1" applyAlignment="1"/>
    <xf numFmtId="0" fontId="110" fillId="0" borderId="0" xfId="0" applyNumberFormat="1" applyFont="1" applyFill="1" applyAlignment="1"/>
    <xf numFmtId="37" fontId="12" fillId="0" borderId="0" xfId="0" applyNumberFormat="1" applyFont="1" applyFill="1" applyBorder="1" applyAlignment="1"/>
    <xf numFmtId="170" fontId="40" fillId="0" borderId="0" xfId="0" applyNumberFormat="1" applyFont="1" applyFill="1" applyAlignment="1"/>
    <xf numFmtId="170" fontId="12" fillId="0" borderId="12" xfId="0" applyNumberFormat="1" applyFont="1" applyFill="1" applyBorder="1" applyAlignment="1"/>
    <xf numFmtId="10" fontId="40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right"/>
    </xf>
    <xf numFmtId="170" fontId="12" fillId="0" borderId="11" xfId="0" applyNumberFormat="1" applyFont="1" applyFill="1" applyBorder="1" applyAlignment="1"/>
    <xf numFmtId="3" fontId="12" fillId="0" borderId="0" xfId="0" applyNumberFormat="1" applyFont="1" applyFill="1" applyAlignment="1">
      <alignment horizontal="right"/>
    </xf>
    <xf numFmtId="165" fontId="12" fillId="0" borderId="0" xfId="0" applyNumberFormat="1" applyFont="1" applyFill="1" applyAlignment="1">
      <alignment horizontal="right"/>
    </xf>
    <xf numFmtId="3" fontId="40" fillId="0" borderId="0" xfId="0" applyNumberFormat="1" applyFont="1" applyFill="1" applyBorder="1" applyAlignment="1"/>
    <xf numFmtId="3" fontId="11" fillId="0" borderId="10" xfId="0" applyNumberFormat="1" applyFont="1" applyFill="1" applyBorder="1" applyAlignment="1"/>
    <xf numFmtId="177" fontId="12" fillId="0" borderId="0" xfId="2" applyNumberFormat="1" applyFont="1" applyFill="1" applyAlignment="1"/>
    <xf numFmtId="0" fontId="13" fillId="0" borderId="0" xfId="0" applyNumberFormat="1" applyFont="1" applyFill="1" applyAlignment="1">
      <alignment horizontal="right"/>
    </xf>
    <xf numFmtId="37" fontId="11" fillId="0" borderId="0" xfId="0" applyNumberFormat="1" applyFont="1" applyFill="1" applyAlignment="1"/>
    <xf numFmtId="0" fontId="11" fillId="0" borderId="0" xfId="0" applyNumberFormat="1" applyFont="1" applyAlignment="1"/>
    <xf numFmtId="0" fontId="132" fillId="0" borderId="0" xfId="0" applyNumberFormat="1" applyFont="1" applyAlignment="1"/>
    <xf numFmtId="0" fontId="12" fillId="0" borderId="0" xfId="0" applyFont="1" applyFill="1" applyAlignment="1">
      <alignment horizontal="left"/>
    </xf>
    <xf numFmtId="14" fontId="40" fillId="0" borderId="0" xfId="0" applyNumberFormat="1" applyFont="1" applyFill="1" applyAlignment="1"/>
    <xf numFmtId="0" fontId="40" fillId="0" borderId="0" xfId="0" applyFont="1" applyFill="1" applyAlignment="1"/>
    <xf numFmtId="3" fontId="40" fillId="0" borderId="11" xfId="0" applyNumberFormat="1" applyFont="1" applyFill="1" applyBorder="1" applyAlignment="1"/>
    <xf numFmtId="0" fontId="38" fillId="0" borderId="0" xfId="0" applyFont="1" applyFill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35" fillId="0" borderId="11" xfId="0" quotePrefix="1" applyFont="1" applyFill="1" applyBorder="1" applyAlignment="1">
      <alignment horizontal="center" vertical="center"/>
    </xf>
    <xf numFmtId="0" fontId="37" fillId="0" borderId="0" xfId="0" quotePrefix="1" applyFont="1" applyFill="1" applyAlignment="1">
      <alignment horizontal="center" vertical="center"/>
    </xf>
    <xf numFmtId="0" fontId="42" fillId="0" borderId="0" xfId="0" quotePrefix="1" applyFont="1" applyFill="1" applyAlignment="1">
      <alignment horizontal="center" vertical="center"/>
    </xf>
    <xf numFmtId="10" fontId="42" fillId="0" borderId="0" xfId="3" quotePrefix="1" applyNumberFormat="1" applyFont="1" applyFill="1" applyAlignment="1">
      <alignment horizontal="center" vertical="center"/>
    </xf>
    <xf numFmtId="8" fontId="42" fillId="0" borderId="0" xfId="2" applyNumberFormat="1" applyFont="1" applyFill="1" applyAlignment="1">
      <alignment vertical="center"/>
    </xf>
    <xf numFmtId="0" fontId="42" fillId="0" borderId="11" xfId="0" quotePrefix="1" applyFont="1" applyFill="1" applyBorder="1" applyAlignment="1">
      <alignment horizontal="center" vertical="center"/>
    </xf>
    <xf numFmtId="10" fontId="42" fillId="0" borderId="11" xfId="3" quotePrefix="1" applyNumberFormat="1" applyFont="1" applyFill="1" applyBorder="1" applyAlignment="1">
      <alignment horizontal="center" vertical="center"/>
    </xf>
    <xf numFmtId="8" fontId="42" fillId="0" borderId="11" xfId="2" applyNumberFormat="1" applyFont="1" applyFill="1" applyBorder="1" applyAlignment="1">
      <alignment vertical="center"/>
    </xf>
    <xf numFmtId="0" fontId="12" fillId="0" borderId="0" xfId="0" applyFont="1" applyFill="1" applyAlignment="1">
      <alignment horizontal="right"/>
    </xf>
    <xf numFmtId="10" fontId="12" fillId="0" borderId="0" xfId="3" applyNumberFormat="1" applyFont="1" applyFill="1" applyAlignment="1">
      <alignment horizontal="center" vertical="center"/>
    </xf>
    <xf numFmtId="166" fontId="12" fillId="0" borderId="0" xfId="0" applyNumberFormat="1" applyFont="1" applyFill="1" applyAlignment="1"/>
    <xf numFmtId="167" fontId="41" fillId="0" borderId="0" xfId="0" applyNumberFormat="1" applyFont="1" applyFill="1" applyAlignment="1"/>
    <xf numFmtId="3" fontId="16" fillId="0" borderId="0" xfId="0" applyNumberFormat="1" applyFont="1" applyFill="1" applyAlignment="1">
      <alignment horizontal="center"/>
    </xf>
    <xf numFmtId="0" fontId="12" fillId="0" borderId="0" xfId="4" quotePrefix="1" applyFont="1" applyFill="1" applyAlignment="1"/>
    <xf numFmtId="180" fontId="40" fillId="0" borderId="0" xfId="1" applyNumberFormat="1" applyFont="1" applyFill="1" applyAlignment="1"/>
    <xf numFmtId="180" fontId="12" fillId="0" borderId="0" xfId="1" applyNumberFormat="1" applyFont="1" applyFill="1" applyAlignment="1"/>
    <xf numFmtId="0" fontId="12" fillId="0" borderId="0" xfId="0" quotePrefix="1" applyFont="1" applyFill="1" applyAlignment="1"/>
    <xf numFmtId="180" fontId="40" fillId="0" borderId="11" xfId="1" applyNumberFormat="1" applyFont="1" applyFill="1" applyBorder="1" applyAlignment="1"/>
    <xf numFmtId="180" fontId="12" fillId="0" borderId="11" xfId="1" applyNumberFormat="1" applyFont="1" applyFill="1" applyBorder="1" applyAlignment="1"/>
    <xf numFmtId="10" fontId="12" fillId="0" borderId="0" xfId="3" applyNumberFormat="1" applyFont="1" applyFill="1" applyAlignment="1"/>
    <xf numFmtId="165" fontId="12" fillId="0" borderId="0" xfId="3" applyNumberFormat="1" applyFont="1" applyFill="1" applyAlignment="1"/>
    <xf numFmtId="0" fontId="16" fillId="0" borderId="0" xfId="5" applyNumberFormat="1" applyFont="1" applyFill="1" applyAlignment="1"/>
    <xf numFmtId="0" fontId="16" fillId="0" borderId="0" xfId="5" applyNumberFormat="1" applyFont="1" applyFill="1" applyAlignment="1">
      <alignment horizontal="center"/>
    </xf>
    <xf numFmtId="0" fontId="16" fillId="0" borderId="0" xfId="5" applyNumberFormat="1" applyFont="1" applyFill="1" applyBorder="1" applyAlignment="1" applyProtection="1">
      <alignment horizontal="center"/>
      <protection locked="0"/>
    </xf>
    <xf numFmtId="165" fontId="40" fillId="0" borderId="0" xfId="5" applyNumberFormat="1" applyFont="1" applyFill="1"/>
    <xf numFmtId="5" fontId="12" fillId="0" borderId="0" xfId="5" applyNumberFormat="1" applyFont="1" applyFill="1"/>
    <xf numFmtId="5" fontId="12" fillId="0" borderId="0" xfId="5" applyNumberFormat="1" applyFont="1" applyFill="1" applyProtection="1">
      <protection locked="0"/>
    </xf>
    <xf numFmtId="3" fontId="40" fillId="0" borderId="0" xfId="5" applyFont="1" applyFill="1"/>
    <xf numFmtId="3" fontId="40" fillId="0" borderId="11" xfId="5" applyFont="1" applyFill="1" applyBorder="1"/>
    <xf numFmtId="165" fontId="12" fillId="0" borderId="11" xfId="5" applyNumberFormat="1" applyFont="1" applyFill="1" applyBorder="1"/>
    <xf numFmtId="0" fontId="12" fillId="0" borderId="11" xfId="5" applyNumberFormat="1" applyFont="1" applyFill="1" applyBorder="1" applyAlignment="1" applyProtection="1">
      <protection locked="0"/>
    </xf>
    <xf numFmtId="0" fontId="12" fillId="0" borderId="10" xfId="5" applyNumberFormat="1" applyFont="1" applyFill="1" applyBorder="1" applyAlignment="1"/>
    <xf numFmtId="0" fontId="12" fillId="0" borderId="10" xfId="5" applyNumberFormat="1" applyFont="1" applyFill="1" applyBorder="1" applyProtection="1">
      <protection locked="0"/>
    </xf>
    <xf numFmtId="165" fontId="40" fillId="0" borderId="10" xfId="5" applyNumberFormat="1" applyFont="1" applyFill="1" applyBorder="1"/>
    <xf numFmtId="165" fontId="12" fillId="0" borderId="10" xfId="5" applyNumberFormat="1" applyFont="1" applyFill="1" applyBorder="1"/>
    <xf numFmtId="0" fontId="12" fillId="0" borderId="0" xfId="5" applyNumberFormat="1" applyFont="1" applyFill="1" applyAlignment="1" applyProtection="1">
      <alignment horizontal="right"/>
      <protection locked="0"/>
    </xf>
    <xf numFmtId="4" fontId="12" fillId="0" borderId="0" xfId="5" applyNumberFormat="1" applyFont="1" applyFill="1"/>
    <xf numFmtId="10" fontId="40" fillId="0" borderId="11" xfId="5" applyNumberFormat="1" applyFont="1" applyFill="1" applyBorder="1"/>
    <xf numFmtId="3" fontId="40" fillId="0" borderId="0" xfId="5" applyNumberFormat="1" applyFont="1" applyFill="1"/>
    <xf numFmtId="3" fontId="40" fillId="0" borderId="11" xfId="5" applyNumberFormat="1" applyFont="1" applyFill="1" applyBorder="1"/>
    <xf numFmtId="0" fontId="12" fillId="0" borderId="0" xfId="5" quotePrefix="1" applyNumberFormat="1" applyFont="1" applyFill="1" applyAlignment="1"/>
    <xf numFmtId="0" fontId="12" fillId="0" borderId="0" xfId="5" applyNumberFormat="1" applyFont="1" applyFill="1" applyAlignment="1">
      <alignment horizontal="right"/>
    </xf>
    <xf numFmtId="0" fontId="12" fillId="0" borderId="0" xfId="5" applyNumberFormat="1" applyFont="1" applyFill="1" applyAlignment="1" applyProtection="1"/>
    <xf numFmtId="165" fontId="12" fillId="0" borderId="0" xfId="5" applyNumberFormat="1" applyFont="1" applyFill="1" applyBorder="1" applyAlignment="1">
      <alignment horizontal="center"/>
    </xf>
    <xf numFmtId="165" fontId="16" fillId="0" borderId="0" xfId="5" applyNumberFormat="1" applyFont="1" applyFill="1" applyBorder="1" applyAlignment="1">
      <alignment horizontal="center"/>
    </xf>
    <xf numFmtId="189" fontId="12" fillId="0" borderId="0" xfId="1" applyNumberFormat="1" applyFont="1" applyFill="1"/>
    <xf numFmtId="180" fontId="12" fillId="0" borderId="0" xfId="1" applyNumberFormat="1" applyFont="1" applyFill="1"/>
    <xf numFmtId="182" fontId="12" fillId="0" borderId="0" xfId="1" applyNumberFormat="1" applyFont="1" applyFill="1"/>
    <xf numFmtId="167" fontId="12" fillId="0" borderId="0" xfId="5" applyNumberFormat="1" applyFont="1" applyFill="1"/>
    <xf numFmtId="165" fontId="12" fillId="0" borderId="0" xfId="5" applyNumberFormat="1" applyFont="1" applyFill="1" applyBorder="1"/>
    <xf numFmtId="0" fontId="12" fillId="0" borderId="0" xfId="5" quotePrefix="1" applyNumberFormat="1" applyFont="1" applyFill="1" applyAlignment="1" applyProtection="1">
      <alignment horizontal="center"/>
      <protection locked="0"/>
    </xf>
    <xf numFmtId="171" fontId="12" fillId="0" borderId="0" xfId="5" applyNumberFormat="1" applyFont="1" applyFill="1" applyAlignment="1">
      <alignment horizontal="center"/>
    </xf>
    <xf numFmtId="171" fontId="12" fillId="0" borderId="11" xfId="5" applyNumberFormat="1" applyFont="1" applyFill="1" applyBorder="1" applyAlignment="1">
      <alignment horizontal="center"/>
    </xf>
    <xf numFmtId="3" fontId="16" fillId="0" borderId="0" xfId="5" applyFont="1" applyFill="1" applyAlignment="1">
      <alignment horizontal="center"/>
    </xf>
    <xf numFmtId="0" fontId="110" fillId="0" borderId="0" xfId="5" applyNumberFormat="1" applyFont="1" applyFill="1" applyAlignment="1" applyProtection="1">
      <protection locked="0"/>
    </xf>
    <xf numFmtId="38" fontId="40" fillId="0" borderId="0" xfId="5" applyNumberFormat="1" applyFont="1" applyFill="1" applyAlignment="1" applyProtection="1">
      <protection locked="0"/>
    </xf>
    <xf numFmtId="189" fontId="110" fillId="0" borderId="0" xfId="1" applyNumberFormat="1" applyFont="1" applyFill="1" applyAlignment="1" applyProtection="1">
      <protection locked="0"/>
    </xf>
    <xf numFmtId="0" fontId="12" fillId="0" borderId="10" xfId="5" applyNumberFormat="1" applyFont="1" applyFill="1" applyBorder="1"/>
    <xf numFmtId="3" fontId="12" fillId="0" borderId="10" xfId="5" applyFont="1" applyFill="1" applyBorder="1"/>
    <xf numFmtId="43" fontId="12" fillId="0" borderId="0" xfId="1" applyFont="1" applyFill="1" applyProtection="1">
      <protection locked="0"/>
    </xf>
    <xf numFmtId="169" fontId="12" fillId="0" borderId="0" xfId="5" applyNumberFormat="1" applyFont="1" applyFill="1"/>
    <xf numFmtId="171" fontId="40" fillId="0" borderId="0" xfId="5" applyNumberFormat="1" applyFont="1" applyFill="1"/>
    <xf numFmtId="10" fontId="40" fillId="0" borderId="0" xfId="5" applyNumberFormat="1" applyFont="1" applyFill="1"/>
    <xf numFmtId="0" fontId="12" fillId="0" borderId="11" xfId="5" applyNumberFormat="1" applyFont="1" applyFill="1" applyBorder="1" applyAlignment="1"/>
    <xf numFmtId="3" fontId="12" fillId="0" borderId="11" xfId="5" applyFont="1" applyFill="1" applyBorder="1"/>
    <xf numFmtId="170" fontId="12" fillId="0" borderId="11" xfId="5" applyNumberFormat="1" applyFont="1" applyFill="1" applyBorder="1"/>
    <xf numFmtId="0" fontId="16" fillId="0" borderId="0" xfId="5" applyNumberFormat="1" applyFont="1" applyFill="1" applyAlignment="1" applyProtection="1">
      <protection locked="0"/>
    </xf>
    <xf numFmtId="3" fontId="40" fillId="0" borderId="0" xfId="5" applyNumberFormat="1" applyFont="1" applyFill="1" applyAlignment="1" applyProtection="1">
      <protection locked="0"/>
    </xf>
    <xf numFmtId="171" fontId="12" fillId="0" borderId="0" xfId="5" applyNumberFormat="1" applyFont="1" applyFill="1" applyAlignment="1" applyProtection="1">
      <protection locked="0"/>
    </xf>
    <xf numFmtId="0" fontId="11" fillId="0" borderId="0" xfId="4" applyNumberFormat="1" applyFont="1" applyFill="1" applyAlignment="1">
      <alignment horizontal="centerContinuous"/>
    </xf>
    <xf numFmtId="164" fontId="11" fillId="0" borderId="0" xfId="4" applyNumberFormat="1" applyFont="1" applyFill="1" applyAlignment="1">
      <alignment horizontal="centerContinuous"/>
    </xf>
    <xf numFmtId="0" fontId="12" fillId="0" borderId="0" xfId="4" applyNumberFormat="1" applyFont="1" applyFill="1" applyAlignment="1">
      <alignment horizontal="center"/>
    </xf>
    <xf numFmtId="0" fontId="16" fillId="0" borderId="0" xfId="4" applyNumberFormat="1" applyFont="1" applyFill="1" applyAlignment="1">
      <alignment horizontal="center"/>
    </xf>
    <xf numFmtId="0" fontId="12" fillId="0" borderId="0" xfId="4" quotePrefix="1" applyNumberFormat="1" applyFont="1" applyFill="1" applyAlignment="1">
      <alignment horizontal="center"/>
    </xf>
    <xf numFmtId="2" fontId="12" fillId="0" borderId="0" xfId="4" applyNumberFormat="1" applyFont="1" applyFill="1" applyAlignment="1"/>
    <xf numFmtId="165" fontId="40" fillId="0" borderId="0" xfId="4" applyNumberFormat="1" applyFont="1" applyFill="1"/>
    <xf numFmtId="165" fontId="12" fillId="0" borderId="0" xfId="4" applyNumberFormat="1" applyFont="1" applyFill="1" applyAlignment="1"/>
    <xf numFmtId="181" fontId="12" fillId="0" borderId="0" xfId="4" applyNumberFormat="1" applyFont="1" applyFill="1" applyAlignment="1"/>
    <xf numFmtId="165" fontId="40" fillId="0" borderId="11" xfId="4" applyNumberFormat="1" applyFont="1" applyFill="1" applyBorder="1"/>
    <xf numFmtId="0" fontId="12" fillId="0" borderId="0" xfId="4" applyNumberFormat="1" applyFont="1" applyFill="1" applyBorder="1" applyAlignment="1"/>
    <xf numFmtId="0" fontId="12" fillId="0" borderId="0" xfId="4" applyNumberFormat="1" applyFont="1" applyFill="1" applyAlignment="1">
      <alignment horizontal="center" wrapText="1"/>
    </xf>
    <xf numFmtId="0" fontId="16" fillId="0" borderId="0" xfId="4" applyNumberFormat="1" applyFont="1" applyFill="1" applyAlignment="1"/>
    <xf numFmtId="0" fontId="12" fillId="0" borderId="0" xfId="4" applyNumberFormat="1" applyFont="1" applyFill="1" applyBorder="1" applyAlignment="1">
      <alignment horizontal="center" wrapText="1"/>
    </xf>
    <xf numFmtId="170" fontId="12" fillId="0" borderId="0" xfId="2" applyNumberFormat="1" applyFont="1" applyFill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7" fontId="12" fillId="0" borderId="0" xfId="2" applyNumberFormat="1" applyFont="1" applyFill="1" applyAlignment="1"/>
    <xf numFmtId="170" fontId="12" fillId="0" borderId="0" xfId="4" applyNumberFormat="1" applyFont="1" applyFill="1" applyBorder="1" applyAlignment="1">
      <alignment horizontal="center"/>
    </xf>
    <xf numFmtId="7" fontId="12" fillId="0" borderId="0" xfId="4" applyNumberFormat="1" applyFont="1" applyFill="1" applyAlignment="1">
      <alignment horizontal="center"/>
    </xf>
    <xf numFmtId="10" fontId="12" fillId="0" borderId="0" xfId="3" applyNumberFormat="1" applyFont="1" applyFill="1" applyBorder="1" applyAlignment="1"/>
    <xf numFmtId="44" fontId="12" fillId="0" borderId="0" xfId="2" applyFont="1" applyFill="1" applyAlignment="1"/>
    <xf numFmtId="178" fontId="12" fillId="0" borderId="0" xfId="4" applyNumberFormat="1" applyFont="1" applyFill="1" applyAlignment="1"/>
    <xf numFmtId="0" fontId="16" fillId="0" borderId="0" xfId="4" applyNumberFormat="1" applyFont="1" applyFill="1" applyAlignment="1">
      <alignment horizontal="center" wrapText="1" shrinkToFit="1"/>
    </xf>
    <xf numFmtId="0" fontId="12" fillId="0" borderId="0" xfId="4" applyNumberFormat="1" applyFont="1" applyFill="1" applyAlignment="1">
      <alignment horizontal="center" wrapText="1" shrinkToFit="1"/>
    </xf>
    <xf numFmtId="0" fontId="12" fillId="0" borderId="0" xfId="4" quotePrefix="1" applyNumberFormat="1" applyFont="1" applyFill="1" applyAlignment="1">
      <alignment horizontal="center" wrapText="1" shrinkToFit="1"/>
    </xf>
    <xf numFmtId="0" fontId="12" fillId="0" borderId="0" xfId="4" applyNumberFormat="1" applyFont="1" applyFill="1" applyBorder="1" applyAlignment="1">
      <alignment horizontal="center" wrapText="1" shrinkToFit="1"/>
    </xf>
    <xf numFmtId="167" fontId="12" fillId="0" borderId="0" xfId="4" applyNumberFormat="1" applyFont="1" applyFill="1" applyAlignment="1"/>
    <xf numFmtId="0" fontId="12" fillId="0" borderId="0" xfId="4" applyNumberFormat="1" applyFont="1" applyFill="1" applyAlignment="1">
      <alignment horizontal="right"/>
    </xf>
    <xf numFmtId="10" fontId="12" fillId="0" borderId="0" xfId="4" applyNumberFormat="1" applyFont="1" applyFill="1" applyAlignment="1"/>
    <xf numFmtId="171" fontId="12" fillId="0" borderId="0" xfId="4" applyNumberFormat="1" applyFont="1" applyFill="1" applyAlignment="1"/>
    <xf numFmtId="0" fontId="12" fillId="0" borderId="0" xfId="4" applyNumberFormat="1" applyFont="1" applyFill="1" applyAlignment="1">
      <alignment horizontal="left"/>
    </xf>
    <xf numFmtId="170" fontId="12" fillId="0" borderId="0" xfId="4" applyNumberFormat="1" applyFont="1" applyFill="1" applyAlignment="1"/>
    <xf numFmtId="5" fontId="12" fillId="0" borderId="0" xfId="4" applyNumberFormat="1" applyFont="1" applyFill="1" applyBorder="1" applyAlignment="1"/>
    <xf numFmtId="5" fontId="12" fillId="0" borderId="11" xfId="4" applyNumberFormat="1" applyFont="1" applyFill="1" applyBorder="1" applyAlignment="1"/>
    <xf numFmtId="5" fontId="12" fillId="0" borderId="0" xfId="4" applyNumberFormat="1" applyFont="1" applyFill="1" applyAlignment="1"/>
    <xf numFmtId="0" fontId="12" fillId="0" borderId="0" xfId="4" applyNumberFormat="1" applyFont="1" applyFill="1" applyAlignment="1">
      <alignment horizontal="left" indent="1"/>
    </xf>
    <xf numFmtId="3" fontId="40" fillId="0" borderId="0" xfId="4" applyNumberFormat="1" applyFont="1" applyFill="1" applyAlignment="1"/>
    <xf numFmtId="7" fontId="12" fillId="0" borderId="0" xfId="4" applyNumberFormat="1" applyFont="1" applyFill="1" applyAlignment="1"/>
    <xf numFmtId="0" fontId="12" fillId="0" borderId="0" xfId="4" applyFont="1" applyFill="1" applyAlignment="1"/>
    <xf numFmtId="0" fontId="12" fillId="0" borderId="0" xfId="4" applyFont="1" applyFill="1" applyAlignment="1">
      <alignment horizontal="left"/>
    </xf>
    <xf numFmtId="0" fontId="16" fillId="0" borderId="0" xfId="4" applyFont="1" applyFill="1" applyAlignment="1">
      <alignment horizontal="center"/>
    </xf>
    <xf numFmtId="14" fontId="40" fillId="0" borderId="0" xfId="4" applyNumberFormat="1" applyFont="1" applyFill="1" applyAlignment="1"/>
    <xf numFmtId="0" fontId="40" fillId="0" borderId="0" xfId="4" applyFont="1" applyFill="1" applyAlignment="1"/>
    <xf numFmtId="3" fontId="40" fillId="0" borderId="11" xfId="4" applyNumberFormat="1" applyFont="1" applyFill="1" applyBorder="1" applyAlignment="1"/>
    <xf numFmtId="170" fontId="12" fillId="0" borderId="11" xfId="4" applyNumberFormat="1" applyFont="1" applyFill="1" applyBorder="1" applyAlignment="1"/>
    <xf numFmtId="0" fontId="38" fillId="0" borderId="0" xfId="4" applyFont="1" applyFill="1" applyAlignment="1">
      <alignment horizontal="center" vertical="center"/>
    </xf>
    <xf numFmtId="0" fontId="12" fillId="0" borderId="0" xfId="4" applyFont="1" applyFill="1" applyBorder="1" applyAlignment="1">
      <alignment horizontal="center"/>
    </xf>
    <xf numFmtId="0" fontId="12" fillId="0" borderId="0" xfId="4" applyFont="1" applyFill="1" applyBorder="1" applyAlignment="1"/>
    <xf numFmtId="0" fontId="16" fillId="0" borderId="0" xfId="4" applyFont="1" applyFill="1" applyBorder="1" applyAlignment="1">
      <alignment horizontal="center"/>
    </xf>
    <xf numFmtId="0" fontId="35" fillId="0" borderId="11" xfId="4" applyFont="1" applyFill="1" applyBorder="1" applyAlignment="1">
      <alignment horizontal="center" vertical="center"/>
    </xf>
    <xf numFmtId="0" fontId="35" fillId="0" borderId="11" xfId="4" quotePrefix="1" applyFont="1" applyFill="1" applyBorder="1" applyAlignment="1">
      <alignment horizontal="center" vertical="center"/>
    </xf>
    <xf numFmtId="0" fontId="37" fillId="0" borderId="0" xfId="4" quotePrefix="1" applyFont="1" applyFill="1" applyAlignment="1">
      <alignment horizontal="center" vertical="center"/>
    </xf>
    <xf numFmtId="0" fontId="42" fillId="0" borderId="0" xfId="4" quotePrefix="1" applyFont="1" applyFill="1" applyAlignment="1">
      <alignment horizontal="center" vertical="center"/>
    </xf>
    <xf numFmtId="0" fontId="42" fillId="0" borderId="11" xfId="4" quotePrefix="1" applyFont="1" applyFill="1" applyBorder="1" applyAlignment="1">
      <alignment horizontal="center" vertical="center"/>
    </xf>
    <xf numFmtId="0" fontId="12" fillId="0" borderId="0" xfId="4" applyFont="1" applyFill="1" applyAlignment="1">
      <alignment horizontal="right"/>
    </xf>
    <xf numFmtId="166" fontId="12" fillId="0" borderId="0" xfId="4" applyNumberFormat="1" applyFont="1" applyFill="1" applyAlignment="1"/>
    <xf numFmtId="167" fontId="41" fillId="0" borderId="0" xfId="4" applyNumberFormat="1" applyFont="1" applyFill="1" applyAlignment="1"/>
    <xf numFmtId="43" fontId="12" fillId="0" borderId="0" xfId="1" applyFont="1" applyFill="1" applyAlignment="1"/>
    <xf numFmtId="3" fontId="16" fillId="0" borderId="0" xfId="4" applyNumberFormat="1" applyFont="1" applyFill="1" applyAlignment="1">
      <alignment horizontal="center"/>
    </xf>
    <xf numFmtId="43" fontId="12" fillId="0" borderId="0" xfId="4" applyNumberFormat="1" applyFont="1" applyFill="1" applyAlignment="1"/>
    <xf numFmtId="0" fontId="12" fillId="0" borderId="0" xfId="5" applyNumberFormat="1" applyFont="1" applyFill="1" applyBorder="1" applyProtection="1">
      <protection locked="0"/>
    </xf>
    <xf numFmtId="165" fontId="12" fillId="0" borderId="10" xfId="5" applyNumberFormat="1" applyFont="1" applyFill="1" applyBorder="1" applyProtection="1">
      <protection locked="0"/>
    </xf>
    <xf numFmtId="180" fontId="12" fillId="0" borderId="0" xfId="1" applyNumberFormat="1" applyFont="1" applyFill="1" applyAlignment="1" applyProtection="1">
      <protection locked="0"/>
    </xf>
    <xf numFmtId="3" fontId="12" fillId="0" borderId="0" xfId="5" applyFont="1" applyFill="1" applyAlignment="1">
      <alignment horizontal="center"/>
    </xf>
    <xf numFmtId="165" fontId="16" fillId="0" borderId="0" xfId="5" applyNumberFormat="1" applyFont="1" applyFill="1" applyAlignment="1">
      <alignment horizontal="center"/>
    </xf>
    <xf numFmtId="170" fontId="40" fillId="0" borderId="0" xfId="5" applyNumberFormat="1" applyFont="1" applyFill="1" applyProtection="1">
      <protection locked="0"/>
    </xf>
    <xf numFmtId="4" fontId="12" fillId="0" borderId="0" xfId="5" applyNumberFormat="1" applyFont="1" applyFill="1" applyProtection="1">
      <protection locked="0"/>
    </xf>
    <xf numFmtId="181" fontId="12" fillId="0" borderId="0" xfId="5" applyNumberFormat="1" applyFont="1" applyFill="1"/>
    <xf numFmtId="165" fontId="12" fillId="0" borderId="0" xfId="5" applyNumberFormat="1" applyFont="1" applyFill="1" applyProtection="1">
      <protection locked="0"/>
    </xf>
    <xf numFmtId="3" fontId="12" fillId="0" borderId="11" xfId="5" applyNumberFormat="1" applyFont="1" applyFill="1" applyBorder="1" applyProtection="1">
      <protection locked="0"/>
    </xf>
    <xf numFmtId="165" fontId="12" fillId="0" borderId="0" xfId="5" applyNumberFormat="1" applyFont="1" applyFill="1" applyAlignment="1" applyProtection="1">
      <alignment horizontal="center"/>
      <protection locked="0"/>
    </xf>
    <xf numFmtId="165" fontId="16" fillId="0" borderId="0" xfId="5" applyNumberFormat="1" applyFont="1" applyFill="1" applyAlignment="1" applyProtection="1">
      <alignment horizontal="center"/>
      <protection locked="0"/>
    </xf>
    <xf numFmtId="172" fontId="40" fillId="0" borderId="0" xfId="5" applyNumberFormat="1" applyFont="1" applyFill="1" applyAlignment="1" applyProtection="1">
      <protection locked="0"/>
    </xf>
    <xf numFmtId="172" fontId="12" fillId="0" borderId="0" xfId="5" applyNumberFormat="1" applyFont="1" applyFill="1" applyAlignment="1" applyProtection="1">
      <protection locked="0"/>
    </xf>
    <xf numFmtId="170" fontId="12" fillId="0" borderId="0" xfId="5" applyNumberFormat="1" applyFont="1" applyFill="1" applyAlignment="1">
      <alignment horizontal="center"/>
    </xf>
    <xf numFmtId="38" fontId="12" fillId="0" borderId="0" xfId="5" applyNumberFormat="1" applyFont="1" applyFill="1" applyAlignment="1" applyProtection="1">
      <protection locked="0"/>
    </xf>
    <xf numFmtId="165" fontId="12" fillId="0" borderId="11" xfId="5" applyNumberFormat="1" applyFont="1" applyFill="1" applyBorder="1" applyProtection="1">
      <protection locked="0"/>
    </xf>
    <xf numFmtId="170" fontId="16" fillId="0" borderId="0" xfId="5" applyNumberFormat="1" applyFont="1" applyFill="1" applyAlignment="1">
      <alignment horizontal="center"/>
    </xf>
    <xf numFmtId="37" fontId="12" fillId="0" borderId="0" xfId="5" applyNumberFormat="1" applyFont="1" applyFill="1"/>
    <xf numFmtId="170" fontId="40" fillId="0" borderId="0" xfId="5" applyNumberFormat="1" applyFont="1" applyFill="1"/>
    <xf numFmtId="170" fontId="40" fillId="0" borderId="11" xfId="5" applyNumberFormat="1" applyFont="1" applyFill="1" applyBorder="1"/>
    <xf numFmtId="0" fontId="12" fillId="0" borderId="0" xfId="5" applyNumberFormat="1" applyFont="1" applyFill="1" applyAlignment="1">
      <alignment horizontal="left"/>
    </xf>
    <xf numFmtId="170" fontId="40" fillId="0" borderId="0" xfId="5" applyNumberFormat="1" applyFont="1" applyFill="1" applyAlignment="1"/>
    <xf numFmtId="0" fontId="13" fillId="0" borderId="0" xfId="5" applyNumberFormat="1" applyFont="1" applyFill="1" applyAlignment="1" applyProtection="1">
      <protection locked="0"/>
    </xf>
    <xf numFmtId="0" fontId="13" fillId="0" borderId="0" xfId="5" applyNumberFormat="1" applyFont="1" applyFill="1" applyAlignment="1" applyProtection="1">
      <alignment horizontal="center"/>
      <protection locked="0"/>
    </xf>
    <xf numFmtId="0" fontId="14" fillId="0" borderId="0" xfId="5" applyNumberFormat="1" applyFont="1" applyFill="1" applyAlignment="1">
      <alignment horizontal="center"/>
    </xf>
    <xf numFmtId="0" fontId="13" fillId="0" borderId="0" xfId="5" applyNumberFormat="1" applyFont="1" applyFill="1" applyProtection="1">
      <protection locked="0"/>
    </xf>
    <xf numFmtId="0" fontId="13" fillId="0" borderId="0" xfId="0" applyFont="1" applyFill="1" applyAlignment="1"/>
    <xf numFmtId="0" fontId="12" fillId="0" borderId="0" xfId="6" applyNumberFormat="1" applyFont="1" applyFill="1" applyAlignment="1">
      <alignment horizontal="center"/>
    </xf>
    <xf numFmtId="0" fontId="14" fillId="0" borderId="0" xfId="6" applyNumberFormat="1" applyFont="1" applyFill="1" applyAlignment="1"/>
    <xf numFmtId="0" fontId="16" fillId="0" borderId="0" xfId="6" applyNumberFormat="1" applyFont="1" applyFill="1" applyAlignment="1"/>
    <xf numFmtId="0" fontId="12" fillId="0" borderId="0" xfId="6" applyNumberFormat="1" applyFont="1" applyFill="1" applyProtection="1">
      <protection locked="0"/>
    </xf>
    <xf numFmtId="0" fontId="16" fillId="0" borderId="0" xfId="6" applyNumberFormat="1" applyFont="1" applyFill="1" applyBorder="1" applyAlignment="1" applyProtection="1">
      <alignment horizontal="center"/>
      <protection locked="0"/>
    </xf>
    <xf numFmtId="0" fontId="16" fillId="0" borderId="0" xfId="6" applyNumberFormat="1" applyFont="1" applyFill="1" applyAlignment="1" applyProtection="1">
      <protection locked="0"/>
    </xf>
    <xf numFmtId="0" fontId="12" fillId="0" borderId="11" xfId="0" applyFont="1" applyFill="1" applyBorder="1" applyAlignment="1"/>
    <xf numFmtId="0" fontId="16" fillId="0" borderId="0" xfId="0" applyFont="1" applyFill="1" applyAlignment="1"/>
    <xf numFmtId="5" fontId="12" fillId="0" borderId="11" xfId="0" applyNumberFormat="1" applyFont="1" applyFill="1" applyBorder="1" applyAlignment="1"/>
    <xf numFmtId="0" fontId="14" fillId="0" borderId="0" xfId="0" applyFont="1" applyFill="1" applyAlignment="1"/>
    <xf numFmtId="165" fontId="12" fillId="0" borderId="11" xfId="0" applyNumberFormat="1" applyFont="1" applyFill="1" applyBorder="1" applyAlignment="1"/>
    <xf numFmtId="0" fontId="14" fillId="0" borderId="0" xfId="5" applyNumberFormat="1" applyFont="1" applyFill="1" applyAlignment="1" applyProtection="1">
      <protection locked="0"/>
    </xf>
    <xf numFmtId="38" fontId="40" fillId="0" borderId="0" xfId="0" applyNumberFormat="1" applyFont="1" applyFill="1" applyAlignment="1"/>
    <xf numFmtId="38" fontId="12" fillId="0" borderId="0" xfId="0" applyNumberFormat="1" applyFont="1" applyFill="1" applyAlignment="1"/>
    <xf numFmtId="185" fontId="12" fillId="0" borderId="0" xfId="0" applyNumberFormat="1" applyFont="1" applyFill="1" applyAlignment="1"/>
    <xf numFmtId="9" fontId="12" fillId="0" borderId="0" xfId="3" applyFont="1" applyFill="1" applyAlignment="1"/>
    <xf numFmtId="177" fontId="12" fillId="0" borderId="0" xfId="0" applyNumberFormat="1" applyFont="1" applyFill="1" applyAlignment="1"/>
    <xf numFmtId="198" fontId="12" fillId="0" borderId="0" xfId="5" applyNumberFormat="1" applyFont="1" applyFill="1"/>
    <xf numFmtId="44" fontId="40" fillId="0" borderId="0" xfId="2" applyFont="1" applyFill="1" applyAlignment="1"/>
    <xf numFmtId="177" fontId="12" fillId="0" borderId="0" xfId="0" applyNumberFormat="1" applyFont="1" applyFill="1" applyBorder="1" applyAlignment="1"/>
    <xf numFmtId="177" fontId="12" fillId="0" borderId="11" xfId="2" applyNumberFormat="1" applyFont="1" applyFill="1" applyBorder="1" applyAlignment="1"/>
    <xf numFmtId="199" fontId="12" fillId="0" borderId="0" xfId="1" applyNumberFormat="1" applyFont="1" applyFill="1" applyAlignment="1"/>
    <xf numFmtId="180" fontId="12" fillId="0" borderId="0" xfId="0" applyNumberFormat="1" applyFont="1" applyFill="1" applyAlignment="1"/>
    <xf numFmtId="180" fontId="12" fillId="0" borderId="11" xfId="0" applyNumberFormat="1" applyFont="1" applyFill="1" applyBorder="1" applyAlignment="1"/>
    <xf numFmtId="197" fontId="12" fillId="0" borderId="0" xfId="3" applyNumberFormat="1" applyFont="1" applyFill="1" applyAlignment="1">
      <alignment horizontal="center"/>
    </xf>
    <xf numFmtId="199" fontId="12" fillId="0" borderId="0" xfId="0" applyNumberFormat="1" applyFont="1" applyFill="1" applyAlignment="1"/>
    <xf numFmtId="43" fontId="12" fillId="0" borderId="0" xfId="0" applyNumberFormat="1" applyFont="1" applyFill="1" applyAlignment="1"/>
    <xf numFmtId="177" fontId="12" fillId="0" borderId="0" xfId="2" applyNumberFormat="1" applyFont="1" applyFill="1" applyBorder="1" applyAlignment="1"/>
    <xf numFmtId="3" fontId="40" fillId="0" borderId="0" xfId="0" applyNumberFormat="1" applyFont="1" applyFill="1"/>
    <xf numFmtId="165" fontId="12" fillId="0" borderId="0" xfId="0" applyNumberFormat="1" applyFont="1" applyFill="1" applyAlignment="1" applyProtection="1">
      <protection locked="0"/>
    </xf>
    <xf numFmtId="0" fontId="0" fillId="0" borderId="0" xfId="0" applyNumberFormat="1" applyFont="1" applyFill="1" applyAlignment="1" applyProtection="1">
      <protection locked="0"/>
    </xf>
    <xf numFmtId="170" fontId="12" fillId="0" borderId="0" xfId="0" applyNumberFormat="1" applyFont="1" applyFill="1" applyAlignment="1">
      <alignment horizontal="right"/>
    </xf>
    <xf numFmtId="170" fontId="40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2" fillId="0" borderId="0" xfId="0" applyNumberFormat="1" applyFont="1" applyFill="1" applyAlignment="1" applyProtection="1">
      <alignment horizontal="right"/>
      <protection locked="0"/>
    </xf>
    <xf numFmtId="167" fontId="12" fillId="0" borderId="0" xfId="0" applyNumberFormat="1" applyFont="1" applyFill="1" applyAlignment="1">
      <alignment horizontal="center"/>
    </xf>
    <xf numFmtId="3" fontId="12" fillId="0" borderId="10" xfId="0" applyNumberFormat="1" applyFont="1" applyFill="1" applyBorder="1"/>
    <xf numFmtId="170" fontId="12" fillId="0" borderId="0" xfId="0" applyNumberFormat="1" applyFont="1" applyFill="1" applyAlignment="1" applyProtection="1">
      <protection locked="0"/>
    </xf>
    <xf numFmtId="9" fontId="12" fillId="0" borderId="0" xfId="0" applyNumberFormat="1" applyFont="1" applyFill="1"/>
    <xf numFmtId="169" fontId="40" fillId="0" borderId="0" xfId="0" quotePrefix="1" applyNumberFormat="1" applyFont="1" applyFill="1" applyAlignment="1">
      <alignment horizontal="center"/>
    </xf>
    <xf numFmtId="37" fontId="12" fillId="0" borderId="0" xfId="0" applyNumberFormat="1" applyFont="1" applyFill="1"/>
    <xf numFmtId="173" fontId="40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 applyProtection="1">
      <alignment horizontal="center"/>
      <protection locked="0"/>
    </xf>
    <xf numFmtId="186" fontId="12" fillId="0" borderId="0" xfId="0" applyNumberFormat="1" applyFont="1" applyFill="1" applyAlignment="1">
      <alignment horizontal="center"/>
    </xf>
    <xf numFmtId="171" fontId="12" fillId="0" borderId="0" xfId="0" applyNumberFormat="1" applyFont="1" applyFill="1" applyAlignment="1" applyProtection="1">
      <protection locked="0"/>
    </xf>
    <xf numFmtId="0" fontId="129" fillId="0" borderId="0" xfId="0" applyFont="1" applyFill="1" applyAlignment="1"/>
    <xf numFmtId="0" fontId="130" fillId="0" borderId="0" xfId="0" applyFont="1" applyFill="1" applyAlignment="1">
      <alignment horizontal="center"/>
    </xf>
    <xf numFmtId="0" fontId="129" fillId="0" borderId="0" xfId="0" applyNumberFormat="1" applyFont="1" applyFill="1" applyAlignment="1" applyProtection="1">
      <protection locked="0"/>
    </xf>
    <xf numFmtId="183" fontId="12" fillId="0" borderId="0" xfId="0" applyNumberFormat="1" applyFont="1" applyFill="1"/>
    <xf numFmtId="5" fontId="40" fillId="0" borderId="0" xfId="0" applyNumberFormat="1" applyFont="1" applyFill="1"/>
    <xf numFmtId="0" fontId="16" fillId="0" borderId="0" xfId="0" applyNumberFormat="1" applyFont="1" applyFill="1" applyAlignment="1"/>
    <xf numFmtId="0" fontId="12" fillId="0" borderId="0" xfId="0" applyNumberFormat="1" applyFont="1" applyFill="1"/>
    <xf numFmtId="169" fontId="12" fillId="0" borderId="11" xfId="0" applyNumberFormat="1" applyFont="1" applyFill="1" applyBorder="1"/>
    <xf numFmtId="10" fontId="40" fillId="0" borderId="0" xfId="0" applyNumberFormat="1" applyFont="1" applyFill="1"/>
    <xf numFmtId="3" fontId="12" fillId="0" borderId="11" xfId="0" applyNumberFormat="1" applyFont="1" applyFill="1" applyBorder="1"/>
    <xf numFmtId="0" fontId="12" fillId="0" borderId="0" xfId="0" applyNumberFormat="1" applyFont="1" applyFill="1" applyAlignment="1">
      <alignment horizontal="left"/>
    </xf>
    <xf numFmtId="0" fontId="129" fillId="0" borderId="0" xfId="0" applyNumberFormat="1" applyFont="1" applyFill="1" applyAlignment="1"/>
    <xf numFmtId="0" fontId="130" fillId="0" borderId="0" xfId="0" applyNumberFormat="1" applyFont="1" applyFill="1" applyAlignment="1"/>
    <xf numFmtId="0" fontId="130" fillId="0" borderId="0" xfId="0" applyNumberFormat="1" applyFont="1" applyFill="1" applyAlignment="1">
      <alignment horizontal="center"/>
    </xf>
    <xf numFmtId="0" fontId="129" fillId="0" borderId="0" xfId="0" applyNumberFormat="1" applyFont="1" applyFill="1"/>
    <xf numFmtId="0" fontId="12" fillId="0" borderId="11" xfId="0" applyNumberFormat="1" applyFont="1" applyFill="1" applyBorder="1" applyAlignment="1"/>
    <xf numFmtId="198" fontId="12" fillId="0" borderId="0" xfId="0" applyNumberFormat="1" applyFont="1" applyFill="1" applyAlignment="1"/>
    <xf numFmtId="8" fontId="12" fillId="0" borderId="0" xfId="0" applyNumberFormat="1" applyFont="1" applyFill="1" applyAlignment="1"/>
    <xf numFmtId="0" fontId="40" fillId="0" borderId="0" xfId="0" applyNumberFormat="1" applyFont="1" applyFill="1" applyAlignment="1"/>
    <xf numFmtId="4" fontId="12" fillId="0" borderId="0" xfId="0" applyNumberFormat="1" applyFont="1" applyFill="1" applyBorder="1"/>
    <xf numFmtId="185" fontId="12" fillId="0" borderId="0" xfId="0" applyNumberFormat="1" applyFont="1" applyFill="1" applyBorder="1"/>
    <xf numFmtId="2" fontId="12" fillId="0" borderId="0" xfId="0" applyNumberFormat="1" applyFont="1" applyFill="1" applyBorder="1"/>
    <xf numFmtId="183" fontId="12" fillId="0" borderId="0" xfId="0" applyNumberFormat="1" applyFont="1" applyFill="1" applyBorder="1"/>
    <xf numFmtId="170" fontId="12" fillId="0" borderId="0" xfId="0" applyNumberFormat="1" applyFont="1" applyFill="1" applyBorder="1"/>
    <xf numFmtId="167" fontId="12" fillId="0" borderId="0" xfId="0" applyNumberFormat="1" applyFont="1" applyFill="1" applyBorder="1"/>
    <xf numFmtId="172" fontId="12" fillId="0" borderId="0" xfId="0" applyNumberFormat="1" applyFont="1" applyFill="1" applyBorder="1"/>
    <xf numFmtId="3" fontId="12" fillId="0" borderId="0" xfId="0" applyNumberFormat="1" applyFont="1" applyFill="1" applyBorder="1" applyAlignment="1" applyProtection="1">
      <protection locked="0"/>
    </xf>
    <xf numFmtId="165" fontId="12" fillId="0" borderId="0" xfId="0" applyNumberFormat="1" applyFont="1" applyFill="1" applyBorder="1" applyAlignment="1" applyProtection="1">
      <protection locked="0"/>
    </xf>
    <xf numFmtId="37" fontId="12" fillId="0" borderId="0" xfId="0" applyNumberFormat="1" applyFont="1" applyFill="1" applyBorder="1" applyAlignment="1" applyProtection="1">
      <protection locked="0"/>
    </xf>
    <xf numFmtId="177" fontId="12" fillId="0" borderId="0" xfId="2" applyNumberFormat="1" applyFont="1" applyFill="1" applyBorder="1" applyAlignment="1" applyProtection="1">
      <protection locked="0"/>
    </xf>
    <xf numFmtId="185" fontId="12" fillId="0" borderId="0" xfId="0" applyNumberFormat="1" applyFont="1" applyFill="1" applyAlignment="1" applyProtection="1">
      <protection locked="0"/>
    </xf>
    <xf numFmtId="165" fontId="12" fillId="0" borderId="0" xfId="6" applyNumberFormat="1" applyFont="1" applyFill="1" applyAlignment="1"/>
    <xf numFmtId="3" fontId="12" fillId="0" borderId="0" xfId="6" applyNumberFormat="1" applyFont="1" applyFill="1" applyAlignment="1"/>
    <xf numFmtId="184" fontId="12" fillId="0" borderId="0" xfId="6" applyNumberFormat="1" applyFont="1" applyFill="1" applyAlignment="1" applyProtection="1">
      <protection locked="0"/>
    </xf>
    <xf numFmtId="0" fontId="16" fillId="0" borderId="0" xfId="6" applyNumberFormat="1" applyFont="1" applyFill="1" applyAlignment="1" applyProtection="1">
      <alignment horizontal="center"/>
      <protection locked="0"/>
    </xf>
    <xf numFmtId="10" fontId="40" fillId="0" borderId="0" xfId="6" applyNumberFormat="1" applyFont="1" applyFill="1" applyAlignment="1" applyProtection="1">
      <protection locked="0"/>
    </xf>
    <xf numFmtId="171" fontId="12" fillId="0" borderId="11" xfId="6" applyNumberFormat="1" applyFont="1" applyFill="1" applyBorder="1" applyAlignment="1" applyProtection="1">
      <protection locked="0"/>
    </xf>
    <xf numFmtId="0" fontId="12" fillId="0" borderId="0" xfId="6" applyNumberFormat="1" applyFont="1" applyFill="1" applyAlignment="1" applyProtection="1">
      <alignment horizontal="right"/>
      <protection locked="0"/>
    </xf>
    <xf numFmtId="0" fontId="12" fillId="0" borderId="11" xfId="6" applyNumberFormat="1" applyFont="1" applyFill="1" applyBorder="1" applyAlignment="1" applyProtection="1">
      <alignment horizontal="center"/>
      <protection locked="0"/>
    </xf>
    <xf numFmtId="2" fontId="12" fillId="0" borderId="0" xfId="6" applyNumberFormat="1" applyFont="1" applyFill="1" applyAlignment="1" applyProtection="1">
      <alignment horizontal="center"/>
      <protection locked="0"/>
    </xf>
    <xf numFmtId="2" fontId="12" fillId="0" borderId="0" xfId="6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Alignment="1" applyProtection="1">
      <protection locked="0"/>
    </xf>
    <xf numFmtId="165" fontId="12" fillId="0" borderId="0" xfId="0" applyNumberFormat="1" applyFont="1" applyFill="1" applyAlignment="1">
      <alignment horizontal="center"/>
    </xf>
    <xf numFmtId="37" fontId="12" fillId="0" borderId="0" xfId="0" applyNumberFormat="1" applyFont="1" applyFill="1" applyAlignment="1" applyProtection="1">
      <protection locked="0"/>
    </xf>
    <xf numFmtId="181" fontId="12" fillId="0" borderId="10" xfId="0" applyNumberFormat="1" applyFont="1" applyFill="1" applyBorder="1"/>
    <xf numFmtId="37" fontId="12" fillId="0" borderId="11" xfId="0" applyNumberFormat="1" applyFont="1" applyFill="1" applyBorder="1"/>
    <xf numFmtId="3" fontId="16" fillId="0" borderId="0" xfId="0" applyNumberFormat="1" applyFont="1" applyFill="1" applyBorder="1" applyAlignment="1">
      <alignment horizontal="center"/>
    </xf>
    <xf numFmtId="183" fontId="12" fillId="0" borderId="0" xfId="0" applyNumberFormat="1" applyFont="1" applyFill="1" applyAlignment="1" applyProtection="1">
      <protection locked="0"/>
    </xf>
    <xf numFmtId="1" fontId="12" fillId="0" borderId="0" xfId="0" applyNumberFormat="1" applyFont="1" applyFill="1" applyAlignment="1" applyProtection="1">
      <protection locked="0"/>
    </xf>
    <xf numFmtId="174" fontId="12" fillId="0" borderId="0" xfId="0" applyNumberFormat="1" applyFont="1" applyFill="1" applyAlignment="1" applyProtection="1">
      <protection locked="0"/>
    </xf>
    <xf numFmtId="6" fontId="12" fillId="0" borderId="0" xfId="0" applyNumberFormat="1" applyFont="1" applyFill="1" applyAlignment="1" applyProtection="1">
      <protection locked="0"/>
    </xf>
    <xf numFmtId="0" fontId="12" fillId="0" borderId="0" xfId="0" applyNumberFormat="1" applyFont="1" applyFill="1" applyAlignment="1">
      <alignment horizontal="centerContinuous"/>
    </xf>
    <xf numFmtId="166" fontId="40" fillId="0" borderId="0" xfId="0" applyNumberFormat="1" applyFont="1" applyFill="1"/>
    <xf numFmtId="2" fontId="12" fillId="0" borderId="0" xfId="0" applyNumberFormat="1" applyFont="1" applyFill="1" applyAlignment="1" applyProtection="1">
      <protection locked="0"/>
    </xf>
    <xf numFmtId="4" fontId="13" fillId="0" borderId="0" xfId="0" applyNumberFormat="1" applyFont="1" applyFill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"/>
    </xf>
    <xf numFmtId="0" fontId="12" fillId="0" borderId="0" xfId="186" applyNumberFormat="1" applyFont="1" applyFill="1" applyAlignment="1">
      <alignment horizontal="centerContinuous"/>
    </xf>
    <xf numFmtId="0" fontId="12" fillId="0" borderId="0" xfId="186" applyNumberFormat="1" applyFont="1" applyFill="1" applyAlignment="1" applyProtection="1">
      <protection locked="0"/>
    </xf>
    <xf numFmtId="0" fontId="12" fillId="0" borderId="0" xfId="186" applyNumberFormat="1" applyFont="1" applyFill="1" applyAlignment="1">
      <alignment horizontal="center"/>
    </xf>
    <xf numFmtId="0" fontId="16" fillId="0" borderId="0" xfId="186" applyNumberFormat="1" applyFont="1" applyFill="1" applyAlignment="1">
      <alignment horizontal="center"/>
    </xf>
    <xf numFmtId="0" fontId="12" fillId="0" borderId="0" xfId="186" applyNumberFormat="1" applyFont="1" applyFill="1" applyAlignment="1"/>
    <xf numFmtId="170" fontId="12" fillId="0" borderId="0" xfId="186" applyNumberFormat="1" applyFont="1" applyFill="1" applyAlignment="1">
      <alignment horizontal="center"/>
    </xf>
    <xf numFmtId="3" fontId="12" fillId="0" borderId="0" xfId="186" applyNumberFormat="1" applyFont="1" applyFill="1" applyAlignment="1">
      <alignment horizontal="center"/>
    </xf>
    <xf numFmtId="167" fontId="12" fillId="0" borderId="0" xfId="186" applyNumberFormat="1" applyFont="1" applyFill="1" applyAlignment="1">
      <alignment horizontal="center"/>
    </xf>
    <xf numFmtId="3" fontId="12" fillId="0" borderId="0" xfId="186" applyNumberFormat="1" applyFont="1" applyFill="1"/>
    <xf numFmtId="0" fontId="12" fillId="0" borderId="0" xfId="4" applyNumberFormat="1" applyFont="1" applyFill="1" applyAlignment="1">
      <alignment horizontal="centerContinuous"/>
    </xf>
    <xf numFmtId="0" fontId="17" fillId="0" borderId="0" xfId="4" applyNumberFormat="1" applyFont="1" applyFill="1" applyAlignment="1" applyProtection="1">
      <protection locked="0"/>
    </xf>
    <xf numFmtId="0" fontId="12" fillId="0" borderId="0" xfId="4" applyNumberFormat="1" applyFont="1" applyFill="1" applyAlignment="1" applyProtection="1">
      <alignment horizontal="centerContinuous"/>
      <protection locked="0"/>
    </xf>
    <xf numFmtId="0" fontId="48" fillId="0" borderId="0" xfId="4" applyNumberFormat="1" applyFont="1" applyFill="1" applyAlignment="1">
      <alignment horizontal="centerContinuous"/>
    </xf>
    <xf numFmtId="0" fontId="13" fillId="0" borderId="0" xfId="4" applyNumberFormat="1" applyFont="1" applyFill="1" applyAlignment="1" applyProtection="1">
      <protection locked="0"/>
    </xf>
    <xf numFmtId="6" fontId="40" fillId="0" borderId="0" xfId="4" applyNumberFormat="1" applyFont="1" applyFill="1" applyAlignment="1" applyProtection="1">
      <protection locked="0"/>
    </xf>
    <xf numFmtId="0" fontId="12" fillId="0" borderId="11" xfId="4" applyNumberFormat="1" applyFont="1" applyFill="1" applyBorder="1" applyAlignment="1" applyProtection="1">
      <protection locked="0"/>
    </xf>
    <xf numFmtId="0" fontId="12" fillId="0" borderId="11" xfId="4" applyNumberFormat="1" applyFont="1" applyFill="1" applyBorder="1" applyAlignment="1" applyProtection="1">
      <alignment horizontal="right"/>
      <protection locked="0"/>
    </xf>
    <xf numFmtId="6" fontId="40" fillId="0" borderId="11" xfId="4" applyNumberFormat="1" applyFont="1" applyFill="1" applyBorder="1" applyAlignment="1" applyProtection="1">
      <protection locked="0"/>
    </xf>
    <xf numFmtId="0" fontId="12" fillId="0" borderId="0" xfId="4" applyNumberFormat="1" applyFont="1" applyFill="1" applyAlignment="1" applyProtection="1">
      <alignment horizontal="right"/>
      <protection locked="0"/>
    </xf>
    <xf numFmtId="0" fontId="40" fillId="0" borderId="11" xfId="4" applyNumberFormat="1" applyFont="1" applyFill="1" applyBorder="1" applyAlignment="1" applyProtection="1">
      <protection locked="0"/>
    </xf>
    <xf numFmtId="8" fontId="40" fillId="0" borderId="0" xfId="4" applyNumberFormat="1" applyFont="1" applyFill="1" applyAlignment="1" applyProtection="1">
      <protection locked="0"/>
    </xf>
    <xf numFmtId="187" fontId="12" fillId="0" borderId="0" xfId="4" applyNumberFormat="1" applyFont="1" applyFill="1" applyAlignment="1" applyProtection="1">
      <protection locked="0"/>
    </xf>
    <xf numFmtId="188" fontId="12" fillId="0" borderId="11" xfId="4" applyNumberFormat="1" applyFont="1" applyFill="1" applyBorder="1" applyAlignment="1" applyProtection="1">
      <protection locked="0"/>
    </xf>
    <xf numFmtId="187" fontId="13" fillId="0" borderId="0" xfId="4" applyNumberFormat="1" applyFont="1" applyFill="1" applyAlignment="1" applyProtection="1">
      <protection locked="0"/>
    </xf>
    <xf numFmtId="0" fontId="12" fillId="0" borderId="0" xfId="187" applyFont="1" applyFill="1"/>
    <xf numFmtId="0" fontId="12" fillId="0" borderId="0" xfId="187" applyFont="1" applyFill="1" applyAlignment="1">
      <alignment horizontal="center"/>
    </xf>
    <xf numFmtId="37" fontId="12" fillId="0" borderId="0" xfId="187" applyNumberFormat="1" applyFont="1" applyFill="1"/>
    <xf numFmtId="37" fontId="12" fillId="0" borderId="11" xfId="187" applyNumberFormat="1" applyFont="1" applyFill="1" applyBorder="1"/>
    <xf numFmtId="44" fontId="12" fillId="0" borderId="0" xfId="189" applyNumberFormat="1" applyFont="1" applyFill="1" applyBorder="1"/>
    <xf numFmtId="10" fontId="12" fillId="0" borderId="0" xfId="5" applyNumberFormat="1" applyFont="1" applyFill="1" applyAlignment="1" applyProtection="1">
      <alignment horizontal="right"/>
      <protection locked="0"/>
    </xf>
    <xf numFmtId="0" fontId="12" fillId="0" borderId="0" xfId="190" applyNumberFormat="1" applyFont="1" applyFill="1" applyProtection="1">
      <protection locked="0"/>
    </xf>
    <xf numFmtId="0" fontId="12" fillId="0" borderId="0" xfId="190" applyFont="1" applyFill="1" applyAlignment="1">
      <alignment horizontal="center"/>
    </xf>
    <xf numFmtId="0" fontId="17" fillId="0" borderId="0" xfId="190" applyNumberFormat="1" applyFont="1" applyFill="1" applyAlignment="1" applyProtection="1">
      <protection locked="0"/>
    </xf>
    <xf numFmtId="0" fontId="12" fillId="0" borderId="0" xfId="190" applyNumberFormat="1" applyFont="1" applyFill="1" applyAlignment="1">
      <alignment horizontal="centerContinuous"/>
    </xf>
    <xf numFmtId="0" fontId="12" fillId="0" borderId="0" xfId="190" applyNumberFormat="1" applyFont="1" applyFill="1" applyAlignment="1" applyProtection="1">
      <alignment horizontal="centerContinuous"/>
      <protection locked="0"/>
    </xf>
    <xf numFmtId="0" fontId="12" fillId="0" borderId="0" xfId="190" applyNumberFormat="1" applyFont="1" applyFill="1" applyAlignment="1">
      <alignment horizontal="center"/>
    </xf>
    <xf numFmtId="0" fontId="12" fillId="0" borderId="0" xfId="190" applyNumberFormat="1" applyFont="1" applyFill="1" applyAlignment="1" applyProtection="1">
      <alignment horizontal="center"/>
      <protection locked="0"/>
    </xf>
    <xf numFmtId="0" fontId="13" fillId="0" borderId="0" xfId="190" applyNumberFormat="1" applyFont="1" applyFill="1" applyAlignment="1" applyProtection="1">
      <alignment horizontal="center"/>
      <protection locked="0"/>
    </xf>
    <xf numFmtId="0" fontId="16" fillId="0" borderId="0" xfId="190" applyNumberFormat="1" applyFont="1" applyFill="1" applyAlignment="1">
      <alignment horizontal="center"/>
    </xf>
    <xf numFmtId="0" fontId="16" fillId="0" borderId="10" xfId="190" applyNumberFormat="1" applyFont="1" applyFill="1" applyBorder="1" applyAlignment="1">
      <alignment horizontal="center"/>
    </xf>
    <xf numFmtId="0" fontId="16" fillId="0" borderId="0" xfId="190" applyFont="1" applyFill="1" applyAlignment="1">
      <alignment horizontal="center"/>
    </xf>
    <xf numFmtId="0" fontId="14" fillId="0" borderId="0" xfId="190" applyNumberFormat="1" applyFont="1" applyFill="1" applyAlignment="1" applyProtection="1">
      <alignment horizontal="center"/>
      <protection locked="0"/>
    </xf>
    <xf numFmtId="7" fontId="42" fillId="0" borderId="0" xfId="190" applyNumberFormat="1" applyFont="1" applyFill="1"/>
    <xf numFmtId="44" fontId="12" fillId="0" borderId="0" xfId="2" applyFont="1" applyFill="1" applyAlignment="1" applyProtection="1">
      <protection locked="0"/>
    </xf>
    <xf numFmtId="170" fontId="12" fillId="0" borderId="0" xfId="190" applyNumberFormat="1" applyFont="1" applyFill="1" applyAlignment="1" applyProtection="1">
      <protection locked="0"/>
    </xf>
    <xf numFmtId="165" fontId="12" fillId="0" borderId="0" xfId="190" applyNumberFormat="1" applyFont="1" applyFill="1" applyAlignment="1" applyProtection="1">
      <protection locked="0"/>
    </xf>
    <xf numFmtId="43" fontId="40" fillId="0" borderId="0" xfId="1" applyFont="1" applyFill="1"/>
    <xf numFmtId="170" fontId="12" fillId="0" borderId="0" xfId="190" applyNumberFormat="1" applyFont="1" applyFill="1" applyAlignment="1">
      <alignment horizontal="center"/>
    </xf>
    <xf numFmtId="10" fontId="12" fillId="0" borderId="0" xfId="190" applyNumberFormat="1" applyFont="1" applyFill="1" applyAlignment="1">
      <alignment horizontal="center"/>
    </xf>
    <xf numFmtId="0" fontId="52" fillId="0" borderId="0" xfId="190" applyNumberFormat="1" applyFont="1" applyFill="1" applyAlignment="1" applyProtection="1">
      <protection locked="0"/>
    </xf>
    <xf numFmtId="175" fontId="12" fillId="0" borderId="0" xfId="190" applyNumberFormat="1" applyFont="1" applyFill="1" applyAlignment="1" applyProtection="1">
      <protection locked="0"/>
    </xf>
    <xf numFmtId="0" fontId="12" fillId="0" borderId="0" xfId="190" applyFont="1" applyFill="1"/>
    <xf numFmtId="180" fontId="40" fillId="0" borderId="0" xfId="1" applyNumberFormat="1" applyFont="1" applyFill="1" applyBorder="1"/>
    <xf numFmtId="0" fontId="13" fillId="0" borderId="0" xfId="190" applyFont="1" applyFill="1" applyAlignment="1"/>
    <xf numFmtId="165" fontId="12" fillId="0" borderId="16" xfId="190" applyNumberFormat="1" applyFont="1" applyFill="1" applyBorder="1" applyAlignment="1"/>
    <xf numFmtId="165" fontId="40" fillId="0" borderId="0" xfId="190" applyNumberFormat="1" applyFont="1" applyFill="1" applyAlignment="1"/>
    <xf numFmtId="10" fontId="12" fillId="0" borderId="0" xfId="190" applyNumberFormat="1" applyFont="1" applyFill="1" applyAlignment="1"/>
    <xf numFmtId="174" fontId="12" fillId="0" borderId="0" xfId="190" applyNumberFormat="1" applyFont="1" applyFill="1"/>
    <xf numFmtId="10" fontId="12" fillId="0" borderId="0" xfId="3" applyNumberFormat="1" applyFont="1" applyFill="1"/>
    <xf numFmtId="10" fontId="51" fillId="0" borderId="0" xfId="190" applyNumberFormat="1" applyFont="1" applyFill="1"/>
    <xf numFmtId="174" fontId="12" fillId="0" borderId="0" xfId="190" applyNumberFormat="1" applyFont="1" applyFill="1" applyAlignment="1"/>
    <xf numFmtId="191" fontId="12" fillId="0" borderId="0" xfId="190" applyNumberFormat="1" applyFont="1" applyFill="1"/>
    <xf numFmtId="171" fontId="12" fillId="0" borderId="0" xfId="190" applyNumberFormat="1" applyFont="1" applyFill="1" applyAlignment="1">
      <alignment horizontal="center"/>
    </xf>
    <xf numFmtId="0" fontId="16" fillId="0" borderId="0" xfId="190" applyFont="1" applyFill="1" applyAlignment="1"/>
    <xf numFmtId="0" fontId="16" fillId="0" borderId="10" xfId="190" applyFont="1" applyFill="1" applyBorder="1" applyAlignment="1">
      <alignment horizontal="center"/>
    </xf>
    <xf numFmtId="0" fontId="16" fillId="0" borderId="10" xfId="190" applyFont="1" applyFill="1" applyBorder="1" applyAlignment="1"/>
    <xf numFmtId="170" fontId="40" fillId="0" borderId="0" xfId="190" applyNumberFormat="1" applyFont="1" applyFill="1" applyAlignment="1"/>
    <xf numFmtId="175" fontId="12" fillId="0" borderId="0" xfId="190" applyNumberFormat="1" applyFont="1" applyFill="1" applyAlignment="1" applyProtection="1">
      <alignment horizontal="center"/>
      <protection locked="0"/>
    </xf>
    <xf numFmtId="175" fontId="12" fillId="0" borderId="0" xfId="190" applyNumberFormat="1" applyFont="1" applyFill="1" applyAlignment="1">
      <alignment horizontal="center"/>
    </xf>
    <xf numFmtId="0" fontId="12" fillId="0" borderId="0" xfId="190" applyNumberFormat="1" applyFont="1" applyFill="1" applyAlignment="1">
      <alignment horizontal="left"/>
    </xf>
    <xf numFmtId="0" fontId="54" fillId="0" borderId="0" xfId="190" applyFont="1" applyFill="1" applyAlignment="1"/>
    <xf numFmtId="0" fontId="16" fillId="0" borderId="0" xfId="190" applyNumberFormat="1" applyFont="1" applyFill="1" applyAlignment="1">
      <alignment horizontal="left"/>
    </xf>
    <xf numFmtId="10" fontId="53" fillId="0" borderId="0" xfId="190" applyNumberFormat="1" applyFont="1" applyFill="1"/>
    <xf numFmtId="0" fontId="12" fillId="0" borderId="10" xfId="190" applyFont="1" applyFill="1" applyBorder="1" applyAlignment="1"/>
    <xf numFmtId="10" fontId="12" fillId="0" borderId="10" xfId="190" applyNumberFormat="1" applyFont="1" applyFill="1" applyBorder="1" applyAlignment="1"/>
    <xf numFmtId="3" fontId="40" fillId="0" borderId="0" xfId="190" applyNumberFormat="1" applyFont="1" applyFill="1" applyAlignment="1"/>
    <xf numFmtId="10" fontId="12" fillId="0" borderId="0" xfId="190" applyNumberFormat="1" applyFont="1" applyFill="1" applyAlignment="1" applyProtection="1">
      <protection locked="0"/>
    </xf>
    <xf numFmtId="2" fontId="12" fillId="0" borderId="0" xfId="190" applyNumberFormat="1" applyFont="1" applyFill="1" applyAlignment="1" applyProtection="1">
      <protection locked="0"/>
    </xf>
    <xf numFmtId="2" fontId="12" fillId="0" borderId="11" xfId="190" applyNumberFormat="1" applyFont="1" applyFill="1" applyBorder="1" applyAlignment="1" applyProtection="1">
      <protection locked="0"/>
    </xf>
    <xf numFmtId="2" fontId="40" fillId="0" borderId="0" xfId="190" applyNumberFormat="1" applyFont="1" applyFill="1" applyAlignment="1" applyProtection="1">
      <protection locked="0"/>
    </xf>
    <xf numFmtId="0" fontId="44" fillId="0" borderId="0" xfId="190" applyFill="1"/>
    <xf numFmtId="0" fontId="44" fillId="0" borderId="0" xfId="190" applyFont="1" applyFill="1" applyAlignment="1">
      <alignment horizontal="center"/>
    </xf>
    <xf numFmtId="0" fontId="44" fillId="0" borderId="0" xfId="190" applyNumberFormat="1" applyFont="1" applyFill="1" applyAlignment="1">
      <alignment horizontal="centerContinuous"/>
    </xf>
    <xf numFmtId="0" fontId="44" fillId="0" borderId="0" xfId="190" applyNumberFormat="1" applyFont="1" applyFill="1" applyAlignment="1"/>
    <xf numFmtId="0" fontId="44" fillId="0" borderId="0" xfId="190" applyFill="1" applyAlignment="1">
      <alignment horizontal="center"/>
    </xf>
    <xf numFmtId="0" fontId="44" fillId="0" borderId="10" xfId="190" applyFont="1" applyFill="1" applyBorder="1" applyAlignment="1">
      <alignment horizontal="center"/>
    </xf>
    <xf numFmtId="0" fontId="44" fillId="0" borderId="0" xfId="190" applyNumberFormat="1" applyFont="1" applyFill="1" applyAlignment="1">
      <alignment horizontal="center"/>
    </xf>
    <xf numFmtId="0" fontId="55" fillId="0" borderId="0" xfId="190" applyFont="1" applyFill="1" applyAlignment="1">
      <alignment horizontal="center"/>
    </xf>
    <xf numFmtId="0" fontId="55" fillId="0" borderId="10" xfId="190" applyFont="1" applyFill="1" applyBorder="1" applyAlignment="1">
      <alignment horizontal="center"/>
    </xf>
    <xf numFmtId="0" fontId="55" fillId="0" borderId="0" xfId="190" applyNumberFormat="1" applyFont="1" applyFill="1" applyAlignment="1">
      <alignment horizontal="center"/>
    </xf>
    <xf numFmtId="177" fontId="44" fillId="0" borderId="0" xfId="2" applyNumberFormat="1" applyFont="1" applyFill="1" applyAlignment="1" applyProtection="1">
      <protection locked="0"/>
    </xf>
    <xf numFmtId="0" fontId="56" fillId="0" borderId="0" xfId="190" applyFont="1" applyFill="1" applyAlignment="1"/>
    <xf numFmtId="0" fontId="44" fillId="0" borderId="0" xfId="190" applyFont="1" applyFill="1" applyAlignment="1"/>
    <xf numFmtId="170" fontId="44" fillId="0" borderId="0" xfId="190" applyNumberFormat="1" applyFill="1"/>
    <xf numFmtId="4" fontId="44" fillId="0" borderId="0" xfId="190" applyNumberFormat="1" applyFont="1" applyFill="1" applyAlignment="1"/>
    <xf numFmtId="3" fontId="44" fillId="0" borderId="0" xfId="190" applyNumberFormat="1" applyFont="1" applyFill="1" applyAlignment="1"/>
    <xf numFmtId="170" fontId="44" fillId="0" borderId="0" xfId="190" applyNumberFormat="1" applyFont="1" applyFill="1" applyAlignment="1">
      <alignment horizontal="center"/>
    </xf>
    <xf numFmtId="180" fontId="42" fillId="0" borderId="0" xfId="1" applyNumberFormat="1" applyFont="1" applyFill="1"/>
    <xf numFmtId="170" fontId="44" fillId="0" borderId="0" xfId="190" applyNumberFormat="1" applyFont="1" applyFill="1" applyAlignment="1" applyProtection="1">
      <protection locked="0"/>
    </xf>
    <xf numFmtId="0" fontId="44" fillId="0" borderId="0" xfId="190" applyNumberFormat="1" applyFill="1" applyProtection="1">
      <protection locked="0"/>
    </xf>
    <xf numFmtId="0" fontId="44" fillId="0" borderId="0" xfId="190" applyFont="1" applyFill="1" applyBorder="1" applyAlignment="1"/>
    <xf numFmtId="3" fontId="44" fillId="0" borderId="0" xfId="190" applyNumberFormat="1" applyFont="1" applyFill="1" applyBorder="1" applyAlignment="1"/>
    <xf numFmtId="4" fontId="44" fillId="0" borderId="0" xfId="190" applyNumberFormat="1" applyFont="1" applyFill="1" applyBorder="1" applyAlignment="1"/>
    <xf numFmtId="10" fontId="44" fillId="0" borderId="0" xfId="190" applyNumberFormat="1" applyFill="1" applyBorder="1"/>
    <xf numFmtId="0" fontId="44" fillId="0" borderId="11" xfId="190" applyFont="1" applyFill="1" applyBorder="1" applyAlignment="1"/>
    <xf numFmtId="3" fontId="44" fillId="0" borderId="11" xfId="190" applyNumberFormat="1" applyFill="1" applyBorder="1"/>
    <xf numFmtId="4" fontId="44" fillId="0" borderId="11" xfId="190" applyNumberFormat="1" applyFont="1" applyFill="1" applyBorder="1" applyAlignment="1"/>
    <xf numFmtId="3" fontId="44" fillId="0" borderId="11" xfId="190" applyNumberFormat="1" applyFont="1" applyFill="1" applyBorder="1" applyAlignment="1"/>
    <xf numFmtId="3" fontId="44" fillId="0" borderId="0" xfId="190" applyNumberFormat="1" applyFill="1" applyBorder="1"/>
    <xf numFmtId="170" fontId="44" fillId="0" borderId="0" xfId="190" applyNumberFormat="1" applyFont="1" applyFill="1" applyBorder="1" applyAlignment="1"/>
    <xf numFmtId="165" fontId="44" fillId="0" borderId="0" xfId="190" applyNumberFormat="1" applyFont="1" applyFill="1" applyBorder="1" applyAlignment="1"/>
    <xf numFmtId="165" fontId="53" fillId="0" borderId="0" xfId="190" applyNumberFormat="1" applyFont="1" applyFill="1" applyBorder="1" applyAlignment="1"/>
    <xf numFmtId="165" fontId="44" fillId="0" borderId="17" xfId="190" applyNumberFormat="1" applyFont="1" applyFill="1" applyBorder="1" applyAlignment="1"/>
    <xf numFmtId="0" fontId="44" fillId="0" borderId="16" xfId="190" applyFont="1" applyFill="1" applyBorder="1" applyAlignment="1"/>
    <xf numFmtId="3" fontId="44" fillId="0" borderId="16" xfId="190" applyNumberFormat="1" applyFill="1" applyBorder="1"/>
    <xf numFmtId="170" fontId="44" fillId="0" borderId="16" xfId="190" applyNumberFormat="1" applyFont="1" applyFill="1" applyBorder="1" applyAlignment="1"/>
    <xf numFmtId="165" fontId="44" fillId="0" borderId="16" xfId="190" applyNumberFormat="1" applyFont="1" applyFill="1" applyBorder="1" applyAlignment="1"/>
    <xf numFmtId="165" fontId="53" fillId="0" borderId="0" xfId="190" applyNumberFormat="1" applyFont="1" applyFill="1" applyAlignment="1"/>
    <xf numFmtId="174" fontId="53" fillId="0" borderId="0" xfId="190" applyNumberFormat="1" applyFont="1" applyFill="1"/>
    <xf numFmtId="172" fontId="44" fillId="0" borderId="0" xfId="190" applyNumberFormat="1" applyFill="1"/>
    <xf numFmtId="0" fontId="44" fillId="0" borderId="0" xfId="190" applyNumberFormat="1" applyFont="1" applyFill="1" applyAlignment="1" applyProtection="1">
      <alignment horizontal="center"/>
      <protection locked="0"/>
    </xf>
    <xf numFmtId="0" fontId="55" fillId="0" borderId="0" xfId="190" applyNumberFormat="1" applyFont="1" applyFill="1" applyAlignment="1" applyProtection="1">
      <protection locked="0"/>
    </xf>
    <xf numFmtId="2" fontId="44" fillId="0" borderId="0" xfId="190" applyNumberFormat="1" applyFill="1"/>
    <xf numFmtId="4" fontId="44" fillId="0" borderId="0" xfId="190" applyNumberFormat="1" applyFill="1"/>
    <xf numFmtId="1" fontId="44" fillId="0" borderId="0" xfId="190" applyNumberFormat="1" applyFill="1"/>
    <xf numFmtId="192" fontId="44" fillId="0" borderId="0" xfId="190" applyNumberFormat="1" applyFont="1" applyFill="1" applyAlignment="1">
      <alignment horizontal="center"/>
    </xf>
    <xf numFmtId="171" fontId="44" fillId="0" borderId="0" xfId="190" applyNumberFormat="1" applyFont="1" applyFill="1" applyAlignment="1">
      <alignment horizontal="center"/>
    </xf>
    <xf numFmtId="37" fontId="44" fillId="0" borderId="0" xfId="190" applyNumberFormat="1" applyFont="1" applyFill="1" applyAlignment="1">
      <alignment horizontal="center"/>
    </xf>
    <xf numFmtId="0" fontId="56" fillId="0" borderId="0" xfId="190" applyNumberFormat="1" applyFont="1" applyFill="1" applyAlignment="1"/>
    <xf numFmtId="170" fontId="53" fillId="0" borderId="0" xfId="190" applyNumberFormat="1" applyFont="1" applyFill="1" applyAlignment="1"/>
    <xf numFmtId="176" fontId="44" fillId="0" borderId="0" xfId="190" applyNumberFormat="1" applyFill="1"/>
    <xf numFmtId="3" fontId="44" fillId="0" borderId="0" xfId="190" applyNumberFormat="1" applyFont="1" applyFill="1" applyAlignment="1">
      <alignment horizontal="center"/>
    </xf>
    <xf numFmtId="0" fontId="57" fillId="0" borderId="0" xfId="190" applyNumberFormat="1" applyFont="1" applyFill="1" applyAlignment="1" applyProtection="1">
      <alignment horizontal="center"/>
      <protection locked="0"/>
    </xf>
    <xf numFmtId="0" fontId="44" fillId="0" borderId="0" xfId="190" applyNumberFormat="1" applyFont="1" applyFill="1" applyAlignment="1" applyProtection="1">
      <alignment horizontal="center" vertical="center" wrapText="1"/>
      <protection locked="0"/>
    </xf>
    <xf numFmtId="4" fontId="53" fillId="0" borderId="0" xfId="190" applyNumberFormat="1" applyFont="1" applyFill="1"/>
    <xf numFmtId="165" fontId="53" fillId="0" borderId="0" xfId="190" applyNumberFormat="1" applyFont="1" applyFill="1"/>
    <xf numFmtId="3" fontId="53" fillId="0" borderId="0" xfId="190" applyNumberFormat="1" applyFont="1" applyFill="1"/>
    <xf numFmtId="0" fontId="44" fillId="0" borderId="0" xfId="190" applyFill="1" applyAlignment="1"/>
    <xf numFmtId="0" fontId="44" fillId="0" borderId="10" xfId="190" applyFont="1" applyFill="1" applyBorder="1" applyAlignment="1"/>
    <xf numFmtId="10" fontId="44" fillId="0" borderId="10" xfId="190" applyNumberFormat="1" applyFill="1" applyBorder="1"/>
    <xf numFmtId="3" fontId="53" fillId="0" borderId="0" xfId="1" applyNumberFormat="1" applyFont="1" applyFill="1" applyAlignment="1" applyProtection="1">
      <protection locked="0"/>
    </xf>
    <xf numFmtId="0" fontId="44" fillId="0" borderId="10" xfId="190" applyNumberFormat="1" applyFill="1" applyBorder="1"/>
    <xf numFmtId="165" fontId="44" fillId="0" borderId="10" xfId="190" applyNumberFormat="1" applyFill="1" applyBorder="1"/>
    <xf numFmtId="0" fontId="44" fillId="0" borderId="18" xfId="190" applyNumberFormat="1" applyFont="1" applyFill="1" applyBorder="1" applyAlignment="1"/>
    <xf numFmtId="0" fontId="44" fillId="0" borderId="18" xfId="190" applyNumberFormat="1" applyFill="1" applyBorder="1"/>
    <xf numFmtId="171" fontId="44" fillId="0" borderId="18" xfId="190" applyNumberFormat="1" applyFill="1" applyBorder="1"/>
    <xf numFmtId="0" fontId="38" fillId="0" borderId="0" xfId="187" applyFont="1" applyFill="1"/>
    <xf numFmtId="0" fontId="58" fillId="0" borderId="0" xfId="187" applyFont="1" applyFill="1" applyAlignment="1">
      <alignment horizontal="center"/>
    </xf>
    <xf numFmtId="5" fontId="36" fillId="0" borderId="0" xfId="187" applyNumberFormat="1" applyFont="1" applyFill="1"/>
    <xf numFmtId="10" fontId="36" fillId="0" borderId="0" xfId="187" applyNumberFormat="1" applyFont="1" applyFill="1"/>
    <xf numFmtId="10" fontId="49" fillId="0" borderId="0" xfId="187" applyNumberFormat="1" applyFill="1"/>
    <xf numFmtId="170" fontId="49" fillId="0" borderId="0" xfId="187" applyNumberFormat="1" applyFill="1"/>
    <xf numFmtId="168" fontId="49" fillId="0" borderId="0" xfId="187" applyNumberFormat="1" applyFill="1" applyAlignment="1">
      <alignment horizontal="center"/>
    </xf>
    <xf numFmtId="10" fontId="49" fillId="0" borderId="0" xfId="187" applyNumberFormat="1" applyFill="1" applyAlignment="1">
      <alignment horizontal="center"/>
    </xf>
    <xf numFmtId="0" fontId="38" fillId="0" borderId="0" xfId="187" applyFont="1" applyFill="1" applyAlignment="1">
      <alignment horizontal="center"/>
    </xf>
    <xf numFmtId="174" fontId="49" fillId="0" borderId="0" xfId="187" applyNumberFormat="1" applyFill="1" applyAlignment="1">
      <alignment horizontal="center"/>
    </xf>
    <xf numFmtId="174" fontId="49" fillId="0" borderId="0" xfId="187" applyNumberFormat="1" applyFill="1"/>
    <xf numFmtId="0" fontId="49" fillId="0" borderId="0" xfId="187" applyFill="1" applyAlignment="1">
      <alignment horizontal="right"/>
    </xf>
    <xf numFmtId="7" fontId="49" fillId="0" borderId="0" xfId="187" applyNumberFormat="1" applyFill="1"/>
    <xf numFmtId="7" fontId="35" fillId="0" borderId="0" xfId="187" applyNumberFormat="1" applyFont="1" applyFill="1"/>
    <xf numFmtId="2" fontId="36" fillId="0" borderId="0" xfId="187" applyNumberFormat="1" applyFont="1" applyFill="1"/>
    <xf numFmtId="37" fontId="36" fillId="0" borderId="0" xfId="187" applyNumberFormat="1" applyFont="1" applyFill="1"/>
    <xf numFmtId="10" fontId="36" fillId="0" borderId="11" xfId="187" applyNumberFormat="1" applyFont="1" applyFill="1" applyBorder="1"/>
    <xf numFmtId="165" fontId="49" fillId="0" borderId="0" xfId="187" applyNumberFormat="1" applyFill="1"/>
    <xf numFmtId="0" fontId="49" fillId="0" borderId="14" xfId="187" applyFill="1" applyBorder="1"/>
    <xf numFmtId="37" fontId="49" fillId="0" borderId="14" xfId="187" applyNumberFormat="1" applyFill="1" applyBorder="1"/>
    <xf numFmtId="37" fontId="60" fillId="0" borderId="0" xfId="187" applyNumberFormat="1" applyFont="1" applyFill="1"/>
    <xf numFmtId="10" fontId="60" fillId="0" borderId="11" xfId="187" applyNumberFormat="1" applyFont="1" applyFill="1" applyBorder="1"/>
    <xf numFmtId="2" fontId="49" fillId="0" borderId="14" xfId="187" applyNumberFormat="1" applyFill="1" applyBorder="1"/>
    <xf numFmtId="170" fontId="38" fillId="0" borderId="0" xfId="187" applyNumberFormat="1" applyFont="1" applyFill="1"/>
    <xf numFmtId="0" fontId="35" fillId="0" borderId="11" xfId="187" applyFont="1" applyFill="1" applyBorder="1"/>
    <xf numFmtId="37" fontId="36" fillId="0" borderId="11" xfId="187" applyNumberFormat="1" applyFont="1" applyFill="1" applyBorder="1"/>
    <xf numFmtId="0" fontId="60" fillId="0" borderId="11" xfId="187" applyFont="1" applyFill="1" applyBorder="1"/>
    <xf numFmtId="37" fontId="35" fillId="0" borderId="11" xfId="187" applyNumberFormat="1" applyFont="1" applyFill="1" applyBorder="1"/>
    <xf numFmtId="10" fontId="36" fillId="0" borderId="0" xfId="191" applyNumberFormat="1" applyFont="1" applyFill="1"/>
    <xf numFmtId="10" fontId="38" fillId="0" borderId="0" xfId="187" applyNumberFormat="1" applyFont="1" applyFill="1"/>
    <xf numFmtId="0" fontId="36" fillId="0" borderId="11" xfId="187" applyFont="1" applyFill="1" applyBorder="1"/>
    <xf numFmtId="0" fontId="61" fillId="0" borderId="0" xfId="187" applyFont="1" applyFill="1"/>
    <xf numFmtId="194" fontId="36" fillId="0" borderId="0" xfId="187" applyNumberFormat="1" applyFont="1" applyFill="1"/>
    <xf numFmtId="0" fontId="49" fillId="0" borderId="0" xfId="187" applyFill="1" applyProtection="1"/>
    <xf numFmtId="174" fontId="49" fillId="0" borderId="11" xfId="187" applyNumberFormat="1" applyFill="1" applyBorder="1"/>
    <xf numFmtId="2" fontId="38" fillId="0" borderId="0" xfId="187" applyNumberFormat="1" applyFont="1" applyFill="1"/>
    <xf numFmtId="2" fontId="49" fillId="0" borderId="0" xfId="187" applyNumberFormat="1" applyFill="1"/>
    <xf numFmtId="3" fontId="36" fillId="0" borderId="11" xfId="187" applyNumberFormat="1" applyFont="1" applyFill="1" applyBorder="1"/>
    <xf numFmtId="3" fontId="60" fillId="0" borderId="0" xfId="187" applyNumberFormat="1" applyFont="1" applyFill="1"/>
    <xf numFmtId="3" fontId="49" fillId="0" borderId="0" xfId="187" applyNumberFormat="1" applyFill="1"/>
    <xf numFmtId="3" fontId="49" fillId="0" borderId="14" xfId="187" applyNumberFormat="1" applyFill="1" applyBorder="1"/>
    <xf numFmtId="166" fontId="38" fillId="0" borderId="0" xfId="187" applyNumberFormat="1" applyFont="1" applyFill="1"/>
    <xf numFmtId="166" fontId="49" fillId="0" borderId="11" xfId="187" applyNumberFormat="1" applyFill="1" applyBorder="1"/>
    <xf numFmtId="9" fontId="36" fillId="0" borderId="0" xfId="187" applyNumberFormat="1" applyFont="1" applyFill="1"/>
    <xf numFmtId="9" fontId="36" fillId="0" borderId="11" xfId="187" applyNumberFormat="1" applyFont="1" applyFill="1" applyBorder="1"/>
    <xf numFmtId="9" fontId="38" fillId="0" borderId="0" xfId="187" applyNumberFormat="1" applyFont="1" applyFill="1"/>
    <xf numFmtId="9" fontId="49" fillId="0" borderId="0" xfId="187" applyNumberFormat="1" applyFill="1"/>
    <xf numFmtId="9" fontId="59" fillId="0" borderId="0" xfId="187" applyNumberFormat="1" applyFont="1" applyFill="1"/>
    <xf numFmtId="0" fontId="50" fillId="0" borderId="0" xfId="187" applyFont="1" applyFill="1" applyAlignment="1">
      <alignment horizontal="center"/>
    </xf>
    <xf numFmtId="0" fontId="50" fillId="0" borderId="0" xfId="187" applyFont="1" applyFill="1"/>
    <xf numFmtId="0" fontId="42" fillId="0" borderId="0" xfId="187" applyFont="1" applyFill="1"/>
    <xf numFmtId="0" fontId="42" fillId="0" borderId="11" xfId="187" applyFont="1" applyFill="1" applyBorder="1"/>
    <xf numFmtId="44" fontId="49" fillId="0" borderId="0" xfId="187" applyNumberFormat="1" applyFill="1"/>
    <xf numFmtId="0" fontId="42" fillId="0" borderId="0" xfId="187" applyFont="1" applyFill="1" applyBorder="1"/>
    <xf numFmtId="193" fontId="36" fillId="0" borderId="0" xfId="187" applyNumberFormat="1" applyFont="1" applyFill="1" applyAlignment="1">
      <alignment horizontal="center"/>
    </xf>
    <xf numFmtId="0" fontId="36" fillId="0" borderId="0" xfId="187" applyFont="1" applyFill="1" applyAlignment="1">
      <alignment horizontal="center"/>
    </xf>
    <xf numFmtId="166" fontId="36" fillId="0" borderId="0" xfId="187" applyNumberFormat="1" applyFont="1" applyFill="1" applyAlignment="1">
      <alignment horizontal="center"/>
    </xf>
    <xf numFmtId="185" fontId="49" fillId="0" borderId="0" xfId="187" applyNumberFormat="1" applyFill="1" applyAlignment="1">
      <alignment horizontal="center"/>
    </xf>
    <xf numFmtId="193" fontId="49" fillId="0" borderId="0" xfId="187" applyNumberFormat="1" applyFont="1" applyFill="1" applyAlignment="1">
      <alignment horizontal="center"/>
    </xf>
    <xf numFmtId="193" fontId="49" fillId="0" borderId="0" xfId="187" applyNumberFormat="1" applyFill="1" applyAlignment="1">
      <alignment horizontal="center"/>
    </xf>
    <xf numFmtId="166" fontId="42" fillId="0" borderId="0" xfId="187" applyNumberFormat="1" applyFont="1" applyFill="1" applyAlignment="1">
      <alignment horizontal="center"/>
    </xf>
    <xf numFmtId="166" fontId="49" fillId="0" borderId="0" xfId="187" applyNumberFormat="1" applyFill="1" applyAlignment="1">
      <alignment horizontal="center"/>
    </xf>
    <xf numFmtId="1" fontId="49" fillId="0" borderId="0" xfId="187" applyNumberFormat="1" applyFill="1" applyProtection="1"/>
    <xf numFmtId="185" fontId="49" fillId="0" borderId="0" xfId="187" applyNumberFormat="1" applyFill="1"/>
    <xf numFmtId="3" fontId="36" fillId="0" borderId="0" xfId="187" applyNumberFormat="1" applyFont="1" applyFill="1"/>
    <xf numFmtId="3" fontId="36" fillId="0" borderId="14" xfId="187" applyNumberFormat="1" applyFont="1" applyFill="1" applyBorder="1"/>
    <xf numFmtId="166" fontId="49" fillId="0" borderId="0" xfId="187" applyNumberFormat="1" applyFill="1"/>
    <xf numFmtId="14" fontId="10" fillId="0" borderId="0" xfId="192" quotePrefix="1" applyNumberFormat="1" applyFill="1"/>
    <xf numFmtId="0" fontId="5" fillId="0" borderId="0" xfId="192" applyFont="1" applyFill="1" applyAlignment="1">
      <alignment horizontal="center"/>
    </xf>
    <xf numFmtId="0" fontId="10" fillId="0" borderId="11" xfId="192" applyFill="1" applyBorder="1"/>
    <xf numFmtId="0" fontId="10" fillId="0" borderId="11" xfId="192" applyFill="1" applyBorder="1" applyAlignment="1">
      <alignment horizontal="center"/>
    </xf>
    <xf numFmtId="0" fontId="10" fillId="0" borderId="11" xfId="192" applyFill="1" applyBorder="1" applyProtection="1">
      <protection locked="0"/>
    </xf>
    <xf numFmtId="2" fontId="10" fillId="0" borderId="0" xfId="192" applyNumberFormat="1" applyFill="1"/>
    <xf numFmtId="0" fontId="10" fillId="0" borderId="0" xfId="192" applyFill="1" applyAlignment="1">
      <alignment wrapText="1"/>
    </xf>
    <xf numFmtId="2" fontId="10" fillId="0" borderId="11" xfId="192" applyNumberFormat="1" applyFill="1" applyBorder="1"/>
    <xf numFmtId="9" fontId="10" fillId="0" borderId="0" xfId="195" applyFont="1" applyFill="1"/>
    <xf numFmtId="14" fontId="10" fillId="0" borderId="0" xfId="192" applyNumberFormat="1" applyFill="1"/>
    <xf numFmtId="0" fontId="128" fillId="0" borderId="0" xfId="6022" applyFill="1" applyAlignment="1">
      <alignment horizontal="center"/>
    </xf>
    <xf numFmtId="44" fontId="128" fillId="0" borderId="0" xfId="2" applyFont="1" applyFill="1" applyAlignment="1">
      <alignment horizontal="center"/>
    </xf>
    <xf numFmtId="201" fontId="128" fillId="0" borderId="0" xfId="2" applyNumberFormat="1" applyFont="1" applyFill="1" applyAlignment="1">
      <alignment horizontal="center"/>
    </xf>
    <xf numFmtId="200" fontId="128" fillId="0" borderId="0" xfId="3" applyNumberFormat="1" applyFont="1" applyFill="1" applyAlignment="1">
      <alignment horizontal="center"/>
    </xf>
    <xf numFmtId="0" fontId="0" fillId="0" borderId="0" xfId="0" applyFill="1" applyAlignment="1"/>
    <xf numFmtId="0" fontId="128" fillId="0" borderId="0" xfId="6022" applyFill="1"/>
    <xf numFmtId="201" fontId="128" fillId="0" borderId="0" xfId="2" applyNumberFormat="1" applyFont="1" applyFill="1"/>
    <xf numFmtId="200" fontId="128" fillId="0" borderId="0" xfId="3" applyNumberFormat="1" applyFont="1" applyFill="1"/>
    <xf numFmtId="0" fontId="35" fillId="0" borderId="0" xfId="6022" applyFont="1" applyFill="1"/>
    <xf numFmtId="44" fontId="0" fillId="0" borderId="0" xfId="2" applyFont="1" applyFill="1" applyAlignment="1"/>
    <xf numFmtId="200" fontId="0" fillId="0" borderId="0" xfId="3" applyNumberFormat="1" applyFont="1" applyFill="1" applyAlignment="1"/>
    <xf numFmtId="7" fontId="128" fillId="0" borderId="0" xfId="2" applyNumberFormat="1" applyFont="1" applyFill="1"/>
    <xf numFmtId="8" fontId="128" fillId="0" borderId="0" xfId="2" applyNumberFormat="1" applyFont="1" applyFill="1"/>
    <xf numFmtId="0" fontId="58" fillId="0" borderId="0" xfId="6022" applyFont="1" applyFill="1"/>
    <xf numFmtId="0" fontId="50" fillId="0" borderId="0" xfId="6022" applyFont="1" applyFill="1"/>
    <xf numFmtId="0" fontId="38" fillId="0" borderId="11" xfId="6022" applyFont="1" applyFill="1" applyBorder="1"/>
    <xf numFmtId="201" fontId="0" fillId="0" borderId="0" xfId="2" applyNumberFormat="1" applyFont="1" applyFill="1" applyAlignment="1"/>
    <xf numFmtId="190" fontId="0" fillId="0" borderId="0" xfId="7878" applyNumberFormat="1" applyFont="1"/>
    <xf numFmtId="6" fontId="1" fillId="0" borderId="11" xfId="7875" applyNumberFormat="1" applyBorder="1"/>
    <xf numFmtId="0" fontId="1" fillId="0" borderId="11" xfId="7876" applyFill="1" applyBorder="1"/>
    <xf numFmtId="190" fontId="1" fillId="0" borderId="0" xfId="7876" applyNumberFormat="1"/>
    <xf numFmtId="0" fontId="1" fillId="0" borderId="0" xfId="7875"/>
    <xf numFmtId="0" fontId="1" fillId="0" borderId="0" xfId="7876"/>
    <xf numFmtId="0" fontId="62" fillId="0" borderId="0" xfId="7876" applyFont="1"/>
    <xf numFmtId="177" fontId="1" fillId="0" borderId="0" xfId="7876" applyNumberFormat="1"/>
    <xf numFmtId="177" fontId="1" fillId="0" borderId="0" xfId="7879" applyNumberFormat="1" applyFont="1"/>
    <xf numFmtId="177" fontId="1" fillId="0" borderId="0" xfId="7875" applyNumberFormat="1"/>
    <xf numFmtId="6" fontId="1" fillId="0" borderId="0" xfId="7875" applyNumberFormat="1"/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0" xfId="0" applyNumberFormat="1" applyFont="1" applyAlignment="1">
      <alignment horizontal="left" wrapText="1"/>
    </xf>
    <xf numFmtId="0" fontId="12" fillId="0" borderId="11" xfId="0" applyNumberFormat="1" applyFont="1" applyBorder="1" applyAlignment="1">
      <alignment horizontal="center"/>
    </xf>
    <xf numFmtId="0" fontId="12" fillId="0" borderId="11" xfId="4" applyNumberFormat="1" applyFont="1" applyFill="1" applyBorder="1" applyAlignment="1">
      <alignment horizontal="center"/>
    </xf>
    <xf numFmtId="0" fontId="12" fillId="0" borderId="15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0" fontId="12" fillId="0" borderId="0" xfId="187" applyFont="1" applyFill="1" applyAlignment="1">
      <alignment horizontal="center"/>
    </xf>
    <xf numFmtId="0" fontId="62" fillId="0" borderId="11" xfId="7875" applyFont="1" applyBorder="1" applyAlignment="1">
      <alignment horizontal="left"/>
    </xf>
  </cellXfs>
  <cellStyles count="8090">
    <cellStyle name="20% - Accent1" xfId="2152" builtinId="30" customBuiltin="1"/>
    <cellStyle name="20% - Accent1 10" xfId="6023"/>
    <cellStyle name="20% - Accent1 11" xfId="7880"/>
    <cellStyle name="20% - Accent1 2" xfId="9"/>
    <cellStyle name="20% - Accent1 2 2" xfId="228"/>
    <cellStyle name="20% - Accent1 2 3" xfId="227"/>
    <cellStyle name="20% - Accent1 2 3 2" xfId="5966"/>
    <cellStyle name="20% - Accent1 3" xfId="229"/>
    <cellStyle name="20% - Accent1 3 2" xfId="2333"/>
    <cellStyle name="20% - Accent1 3 2 2" xfId="6101"/>
    <cellStyle name="20% - Accent1 3 2 3" xfId="7956"/>
    <cellStyle name="20% - Accent1 3 3" xfId="2384"/>
    <cellStyle name="20% - Accent1 3 3 2" xfId="6152"/>
    <cellStyle name="20% - Accent1 3 3 3" xfId="8007"/>
    <cellStyle name="20% - Accent1 3 4" xfId="2440"/>
    <cellStyle name="20% - Accent1 3 4 2" xfId="6208"/>
    <cellStyle name="20% - Accent1 3 4 3" xfId="8063"/>
    <cellStyle name="20% - Accent1 3 5" xfId="2195"/>
    <cellStyle name="20% - Accent1 3 5 2" xfId="6282"/>
    <cellStyle name="20% - Accent1 3 6" xfId="6050"/>
    <cellStyle name="20% - Accent1 3 7" xfId="7905"/>
    <cellStyle name="20% - Accent1 4" xfId="230"/>
    <cellStyle name="20% - Accent1 4 2" xfId="2315"/>
    <cellStyle name="20% - Accent1 4 2 2" xfId="6283"/>
    <cellStyle name="20% - Accent1 4 3" xfId="6084"/>
    <cellStyle name="20% - Accent1 4 4" xfId="7939"/>
    <cellStyle name="20% - Accent1 5" xfId="231"/>
    <cellStyle name="20% - Accent1 5 2" xfId="2367"/>
    <cellStyle name="20% - Accent1 5 2 2" xfId="6284"/>
    <cellStyle name="20% - Accent1 5 3" xfId="6135"/>
    <cellStyle name="20% - Accent1 5 4" xfId="7990"/>
    <cellStyle name="20% - Accent1 6" xfId="232"/>
    <cellStyle name="20% - Accent1 6 2" xfId="2412"/>
    <cellStyle name="20% - Accent1 6 2 2" xfId="6285"/>
    <cellStyle name="20% - Accent1 6 3" xfId="6180"/>
    <cellStyle name="20% - Accent1 6 4" xfId="8035"/>
    <cellStyle name="20% - Accent1 7" xfId="233"/>
    <cellStyle name="20% - Accent1 8" xfId="234"/>
    <cellStyle name="20% - Accent1 9" xfId="5942"/>
    <cellStyle name="20% - Accent2" xfId="2156" builtinId="34" customBuiltin="1"/>
    <cellStyle name="20% - Accent2 2" xfId="10"/>
    <cellStyle name="20% - Accent2 2 2" xfId="235"/>
    <cellStyle name="20% - Accent2 3" xfId="236"/>
    <cellStyle name="20% - Accent2 3 2" xfId="2335"/>
    <cellStyle name="20% - Accent2 3 2 2" xfId="6103"/>
    <cellStyle name="20% - Accent2 3 2 3" xfId="7958"/>
    <cellStyle name="20% - Accent2 3 3" xfId="2386"/>
    <cellStyle name="20% - Accent2 3 3 2" xfId="6154"/>
    <cellStyle name="20% - Accent2 3 3 3" xfId="8009"/>
    <cellStyle name="20% - Accent2 3 4" xfId="2442"/>
    <cellStyle name="20% - Accent2 3 4 2" xfId="6210"/>
    <cellStyle name="20% - Accent2 3 4 3" xfId="8065"/>
    <cellStyle name="20% - Accent2 3 5" xfId="2197"/>
    <cellStyle name="20% - Accent2 3 5 2" xfId="6286"/>
    <cellStyle name="20% - Accent2 3 6" xfId="6052"/>
    <cellStyle name="20% - Accent2 3 7" xfId="7907"/>
    <cellStyle name="20% - Accent2 4" xfId="237"/>
    <cellStyle name="20% - Accent2 4 2" xfId="2317"/>
    <cellStyle name="20% - Accent2 4 2 2" xfId="6287"/>
    <cellStyle name="20% - Accent2 4 3" xfId="6086"/>
    <cellStyle name="20% - Accent2 4 4" xfId="7941"/>
    <cellStyle name="20% - Accent2 5" xfId="238"/>
    <cellStyle name="20% - Accent2 5 2" xfId="2369"/>
    <cellStyle name="20% - Accent2 5 2 2" xfId="6288"/>
    <cellStyle name="20% - Accent2 5 3" xfId="6137"/>
    <cellStyle name="20% - Accent2 5 4" xfId="7992"/>
    <cellStyle name="20% - Accent2 6" xfId="239"/>
    <cellStyle name="20% - Accent2 6 2" xfId="2414"/>
    <cellStyle name="20% - Accent2 6 2 2" xfId="6289"/>
    <cellStyle name="20% - Accent2 6 3" xfId="6182"/>
    <cellStyle name="20% - Accent2 6 4" xfId="8037"/>
    <cellStyle name="20% - Accent2 7" xfId="5946"/>
    <cellStyle name="20% - Accent2 8" xfId="6025"/>
    <cellStyle name="20% - Accent2 9" xfId="7882"/>
    <cellStyle name="20% - Accent3" xfId="2160" builtinId="38" customBuiltin="1"/>
    <cellStyle name="20% - Accent3 10" xfId="6027"/>
    <cellStyle name="20% - Accent3 11" xfId="7884"/>
    <cellStyle name="20% - Accent3 2" xfId="11"/>
    <cellStyle name="20% - Accent3 2 2" xfId="241"/>
    <cellStyle name="20% - Accent3 2 3" xfId="240"/>
    <cellStyle name="20% - Accent3 2 3 2" xfId="5967"/>
    <cellStyle name="20% - Accent3 3" xfId="242"/>
    <cellStyle name="20% - Accent3 3 2" xfId="2337"/>
    <cellStyle name="20% - Accent3 3 2 2" xfId="6105"/>
    <cellStyle name="20% - Accent3 3 2 3" xfId="7960"/>
    <cellStyle name="20% - Accent3 3 3" xfId="2388"/>
    <cellStyle name="20% - Accent3 3 3 2" xfId="6156"/>
    <cellStyle name="20% - Accent3 3 3 3" xfId="8011"/>
    <cellStyle name="20% - Accent3 3 4" xfId="2444"/>
    <cellStyle name="20% - Accent3 3 4 2" xfId="6212"/>
    <cellStyle name="20% - Accent3 3 4 3" xfId="8067"/>
    <cellStyle name="20% - Accent3 3 5" xfId="2199"/>
    <cellStyle name="20% - Accent3 3 5 2" xfId="6290"/>
    <cellStyle name="20% - Accent3 3 6" xfId="6054"/>
    <cellStyle name="20% - Accent3 3 7" xfId="7909"/>
    <cellStyle name="20% - Accent3 4" xfId="243"/>
    <cellStyle name="20% - Accent3 4 2" xfId="2319"/>
    <cellStyle name="20% - Accent3 4 2 2" xfId="6291"/>
    <cellStyle name="20% - Accent3 4 3" xfId="6088"/>
    <cellStyle name="20% - Accent3 4 4" xfId="7943"/>
    <cellStyle name="20% - Accent3 5" xfId="244"/>
    <cellStyle name="20% - Accent3 5 2" xfId="2371"/>
    <cellStyle name="20% - Accent3 5 2 2" xfId="6292"/>
    <cellStyle name="20% - Accent3 5 3" xfId="6139"/>
    <cellStyle name="20% - Accent3 5 4" xfId="7994"/>
    <cellStyle name="20% - Accent3 6" xfId="245"/>
    <cellStyle name="20% - Accent3 6 2" xfId="2416"/>
    <cellStyle name="20% - Accent3 6 2 2" xfId="6293"/>
    <cellStyle name="20% - Accent3 6 3" xfId="6184"/>
    <cellStyle name="20% - Accent3 6 4" xfId="8039"/>
    <cellStyle name="20% - Accent3 7" xfId="246"/>
    <cellStyle name="20% - Accent3 8" xfId="247"/>
    <cellStyle name="20% - Accent3 9" xfId="5950"/>
    <cellStyle name="20% - Accent4" xfId="2164" builtinId="42" customBuiltin="1"/>
    <cellStyle name="20% - Accent4 10" xfId="6029"/>
    <cellStyle name="20% - Accent4 11" xfId="7886"/>
    <cellStyle name="20% - Accent4 2" xfId="12"/>
    <cellStyle name="20% - Accent4 2 2" xfId="249"/>
    <cellStyle name="20% - Accent4 2 3" xfId="248"/>
    <cellStyle name="20% - Accent4 2 3 2" xfId="5968"/>
    <cellStyle name="20% - Accent4 3" xfId="250"/>
    <cellStyle name="20% - Accent4 3 2" xfId="2339"/>
    <cellStyle name="20% - Accent4 3 2 2" xfId="6107"/>
    <cellStyle name="20% - Accent4 3 2 3" xfId="7962"/>
    <cellStyle name="20% - Accent4 3 3" xfId="2390"/>
    <cellStyle name="20% - Accent4 3 3 2" xfId="6158"/>
    <cellStyle name="20% - Accent4 3 3 3" xfId="8013"/>
    <cellStyle name="20% - Accent4 3 4" xfId="2446"/>
    <cellStyle name="20% - Accent4 3 4 2" xfId="6214"/>
    <cellStyle name="20% - Accent4 3 4 3" xfId="8069"/>
    <cellStyle name="20% - Accent4 3 5" xfId="2201"/>
    <cellStyle name="20% - Accent4 3 5 2" xfId="6294"/>
    <cellStyle name="20% - Accent4 3 6" xfId="6056"/>
    <cellStyle name="20% - Accent4 3 7" xfId="7911"/>
    <cellStyle name="20% - Accent4 4" xfId="251"/>
    <cellStyle name="20% - Accent4 4 2" xfId="2321"/>
    <cellStyle name="20% - Accent4 4 2 2" xfId="6295"/>
    <cellStyle name="20% - Accent4 4 3" xfId="6090"/>
    <cellStyle name="20% - Accent4 4 4" xfId="7945"/>
    <cellStyle name="20% - Accent4 5" xfId="252"/>
    <cellStyle name="20% - Accent4 5 2" xfId="2373"/>
    <cellStyle name="20% - Accent4 5 2 2" xfId="6296"/>
    <cellStyle name="20% - Accent4 5 3" xfId="6141"/>
    <cellStyle name="20% - Accent4 5 4" xfId="7996"/>
    <cellStyle name="20% - Accent4 6" xfId="253"/>
    <cellStyle name="20% - Accent4 6 2" xfId="2418"/>
    <cellStyle name="20% - Accent4 6 2 2" xfId="6297"/>
    <cellStyle name="20% - Accent4 6 3" xfId="6186"/>
    <cellStyle name="20% - Accent4 6 4" xfId="8041"/>
    <cellStyle name="20% - Accent4 7" xfId="254"/>
    <cellStyle name="20% - Accent4 8" xfId="255"/>
    <cellStyle name="20% - Accent4 9" xfId="5954"/>
    <cellStyle name="20% - Accent5" xfId="2168" builtinId="46" customBuiltin="1"/>
    <cellStyle name="20% - Accent5 2" xfId="13"/>
    <cellStyle name="20% - Accent5 2 2" xfId="256"/>
    <cellStyle name="20% - Accent5 3" xfId="257"/>
    <cellStyle name="20% - Accent5 3 2" xfId="2341"/>
    <cellStyle name="20% - Accent5 3 2 2" xfId="6109"/>
    <cellStyle name="20% - Accent5 3 2 3" xfId="7964"/>
    <cellStyle name="20% - Accent5 3 3" xfId="2392"/>
    <cellStyle name="20% - Accent5 3 3 2" xfId="6160"/>
    <cellStyle name="20% - Accent5 3 3 3" xfId="8015"/>
    <cellStyle name="20% - Accent5 3 4" xfId="2448"/>
    <cellStyle name="20% - Accent5 3 4 2" xfId="6216"/>
    <cellStyle name="20% - Accent5 3 4 3" xfId="8071"/>
    <cellStyle name="20% - Accent5 3 5" xfId="2203"/>
    <cellStyle name="20% - Accent5 3 5 2" xfId="6298"/>
    <cellStyle name="20% - Accent5 3 6" xfId="6058"/>
    <cellStyle name="20% - Accent5 3 7" xfId="7913"/>
    <cellStyle name="20% - Accent5 4" xfId="258"/>
    <cellStyle name="20% - Accent5 4 2" xfId="2323"/>
    <cellStyle name="20% - Accent5 4 2 2" xfId="6299"/>
    <cellStyle name="20% - Accent5 4 3" xfId="6092"/>
    <cellStyle name="20% - Accent5 4 4" xfId="7947"/>
    <cellStyle name="20% - Accent5 5" xfId="259"/>
    <cellStyle name="20% - Accent5 5 2" xfId="2375"/>
    <cellStyle name="20% - Accent5 5 2 2" xfId="6300"/>
    <cellStyle name="20% - Accent5 5 3" xfId="6143"/>
    <cellStyle name="20% - Accent5 5 4" xfId="7998"/>
    <cellStyle name="20% - Accent5 6" xfId="260"/>
    <cellStyle name="20% - Accent5 6 2" xfId="2420"/>
    <cellStyle name="20% - Accent5 6 2 2" xfId="6301"/>
    <cellStyle name="20% - Accent5 6 3" xfId="6188"/>
    <cellStyle name="20% - Accent5 6 4" xfId="8043"/>
    <cellStyle name="20% - Accent5 7" xfId="5958"/>
    <cellStyle name="20% - Accent5 8" xfId="6031"/>
    <cellStyle name="20% - Accent5 9" xfId="7888"/>
    <cellStyle name="20% - Accent6" xfId="2172" builtinId="50" customBuiltin="1"/>
    <cellStyle name="20% - Accent6 2" xfId="14"/>
    <cellStyle name="20% - Accent6 2 2" xfId="261"/>
    <cellStyle name="20% - Accent6 3" xfId="262"/>
    <cellStyle name="20% - Accent6 3 2" xfId="2343"/>
    <cellStyle name="20% - Accent6 3 2 2" xfId="6111"/>
    <cellStyle name="20% - Accent6 3 2 3" xfId="7966"/>
    <cellStyle name="20% - Accent6 3 3" xfId="2394"/>
    <cellStyle name="20% - Accent6 3 3 2" xfId="6162"/>
    <cellStyle name="20% - Accent6 3 3 3" xfId="8017"/>
    <cellStyle name="20% - Accent6 3 4" xfId="2450"/>
    <cellStyle name="20% - Accent6 3 4 2" xfId="6218"/>
    <cellStyle name="20% - Accent6 3 4 3" xfId="8073"/>
    <cellStyle name="20% - Accent6 3 5" xfId="2205"/>
    <cellStyle name="20% - Accent6 3 5 2" xfId="6302"/>
    <cellStyle name="20% - Accent6 3 6" xfId="6060"/>
    <cellStyle name="20% - Accent6 3 7" xfId="7915"/>
    <cellStyle name="20% - Accent6 4" xfId="263"/>
    <cellStyle name="20% - Accent6 4 2" xfId="2325"/>
    <cellStyle name="20% - Accent6 4 2 2" xfId="6303"/>
    <cellStyle name="20% - Accent6 4 3" xfId="6094"/>
    <cellStyle name="20% - Accent6 4 4" xfId="7949"/>
    <cellStyle name="20% - Accent6 5" xfId="264"/>
    <cellStyle name="20% - Accent6 5 2" xfId="2377"/>
    <cellStyle name="20% - Accent6 5 2 2" xfId="6304"/>
    <cellStyle name="20% - Accent6 5 3" xfId="6145"/>
    <cellStyle name="20% - Accent6 5 4" xfId="8000"/>
    <cellStyle name="20% - Accent6 6" xfId="265"/>
    <cellStyle name="20% - Accent6 6 2" xfId="2422"/>
    <cellStyle name="20% - Accent6 6 2 2" xfId="6305"/>
    <cellStyle name="20% - Accent6 6 3" xfId="6190"/>
    <cellStyle name="20% - Accent6 6 4" xfId="8045"/>
    <cellStyle name="20% - Accent6 7" xfId="5962"/>
    <cellStyle name="20% - Accent6 8" xfId="6033"/>
    <cellStyle name="20% - Accent6 9" xfId="7890"/>
    <cellStyle name="40% - Accent1" xfId="2153" builtinId="31" customBuiltin="1"/>
    <cellStyle name="40% - Accent1 10" xfId="6024"/>
    <cellStyle name="40% - Accent1 11" xfId="7881"/>
    <cellStyle name="40% - Accent1 2" xfId="15"/>
    <cellStyle name="40% - Accent1 2 2" xfId="267"/>
    <cellStyle name="40% - Accent1 2 3" xfId="266"/>
    <cellStyle name="40% - Accent1 2 3 2" xfId="5969"/>
    <cellStyle name="40% - Accent1 3" xfId="268"/>
    <cellStyle name="40% - Accent1 3 2" xfId="2334"/>
    <cellStyle name="40% - Accent1 3 2 2" xfId="6102"/>
    <cellStyle name="40% - Accent1 3 2 3" xfId="7957"/>
    <cellStyle name="40% - Accent1 3 3" xfId="2385"/>
    <cellStyle name="40% - Accent1 3 3 2" xfId="6153"/>
    <cellStyle name="40% - Accent1 3 3 3" xfId="8008"/>
    <cellStyle name="40% - Accent1 3 4" xfId="2441"/>
    <cellStyle name="40% - Accent1 3 4 2" xfId="6209"/>
    <cellStyle name="40% - Accent1 3 4 3" xfId="8064"/>
    <cellStyle name="40% - Accent1 3 5" xfId="2196"/>
    <cellStyle name="40% - Accent1 3 5 2" xfId="6306"/>
    <cellStyle name="40% - Accent1 3 6" xfId="6051"/>
    <cellStyle name="40% - Accent1 3 7" xfId="7906"/>
    <cellStyle name="40% - Accent1 4" xfId="269"/>
    <cellStyle name="40% - Accent1 4 2" xfId="2316"/>
    <cellStyle name="40% - Accent1 4 2 2" xfId="6307"/>
    <cellStyle name="40% - Accent1 4 3" xfId="6085"/>
    <cellStyle name="40% - Accent1 4 4" xfId="7940"/>
    <cellStyle name="40% - Accent1 5" xfId="270"/>
    <cellStyle name="40% - Accent1 5 2" xfId="2368"/>
    <cellStyle name="40% - Accent1 5 2 2" xfId="6308"/>
    <cellStyle name="40% - Accent1 5 3" xfId="6136"/>
    <cellStyle name="40% - Accent1 5 4" xfId="7991"/>
    <cellStyle name="40% - Accent1 6" xfId="271"/>
    <cellStyle name="40% - Accent1 6 2" xfId="2413"/>
    <cellStyle name="40% - Accent1 6 2 2" xfId="6309"/>
    <cellStyle name="40% - Accent1 6 3" xfId="6181"/>
    <cellStyle name="40% - Accent1 6 4" xfId="8036"/>
    <cellStyle name="40% - Accent1 7" xfId="272"/>
    <cellStyle name="40% - Accent1 8" xfId="273"/>
    <cellStyle name="40% - Accent1 9" xfId="5943"/>
    <cellStyle name="40% - Accent2" xfId="2157" builtinId="35" customBuiltin="1"/>
    <cellStyle name="40% - Accent2 2" xfId="16"/>
    <cellStyle name="40% - Accent2 2 2" xfId="274"/>
    <cellStyle name="40% - Accent2 3" xfId="275"/>
    <cellStyle name="40% - Accent2 3 2" xfId="2336"/>
    <cellStyle name="40% - Accent2 3 2 2" xfId="6104"/>
    <cellStyle name="40% - Accent2 3 2 3" xfId="7959"/>
    <cellStyle name="40% - Accent2 3 3" xfId="2387"/>
    <cellStyle name="40% - Accent2 3 3 2" xfId="6155"/>
    <cellStyle name="40% - Accent2 3 3 3" xfId="8010"/>
    <cellStyle name="40% - Accent2 3 4" xfId="2443"/>
    <cellStyle name="40% - Accent2 3 4 2" xfId="6211"/>
    <cellStyle name="40% - Accent2 3 4 3" xfId="8066"/>
    <cellStyle name="40% - Accent2 3 5" xfId="2198"/>
    <cellStyle name="40% - Accent2 3 5 2" xfId="6310"/>
    <cellStyle name="40% - Accent2 3 6" xfId="6053"/>
    <cellStyle name="40% - Accent2 3 7" xfId="7908"/>
    <cellStyle name="40% - Accent2 4" xfId="276"/>
    <cellStyle name="40% - Accent2 4 2" xfId="2318"/>
    <cellStyle name="40% - Accent2 4 2 2" xfId="6311"/>
    <cellStyle name="40% - Accent2 4 3" xfId="6087"/>
    <cellStyle name="40% - Accent2 4 4" xfId="7942"/>
    <cellStyle name="40% - Accent2 5" xfId="277"/>
    <cellStyle name="40% - Accent2 5 2" xfId="2370"/>
    <cellStyle name="40% - Accent2 5 2 2" xfId="6312"/>
    <cellStyle name="40% - Accent2 5 3" xfId="6138"/>
    <cellStyle name="40% - Accent2 5 4" xfId="7993"/>
    <cellStyle name="40% - Accent2 6" xfId="278"/>
    <cellStyle name="40% - Accent2 6 2" xfId="2415"/>
    <cellStyle name="40% - Accent2 6 2 2" xfId="6313"/>
    <cellStyle name="40% - Accent2 6 3" xfId="6183"/>
    <cellStyle name="40% - Accent2 6 4" xfId="8038"/>
    <cellStyle name="40% - Accent2 7" xfId="5947"/>
    <cellStyle name="40% - Accent2 8" xfId="6026"/>
    <cellStyle name="40% - Accent2 9" xfId="7883"/>
    <cellStyle name="40% - Accent3" xfId="2161" builtinId="39" customBuiltin="1"/>
    <cellStyle name="40% - Accent3 10" xfId="6028"/>
    <cellStyle name="40% - Accent3 11" xfId="7885"/>
    <cellStyle name="40% - Accent3 2" xfId="17"/>
    <cellStyle name="40% - Accent3 2 2" xfId="280"/>
    <cellStyle name="40% - Accent3 2 3" xfId="279"/>
    <cellStyle name="40% - Accent3 2 3 2" xfId="5970"/>
    <cellStyle name="40% - Accent3 3" xfId="281"/>
    <cellStyle name="40% - Accent3 3 2" xfId="2338"/>
    <cellStyle name="40% - Accent3 3 2 2" xfId="6106"/>
    <cellStyle name="40% - Accent3 3 2 3" xfId="7961"/>
    <cellStyle name="40% - Accent3 3 3" xfId="2389"/>
    <cellStyle name="40% - Accent3 3 3 2" xfId="6157"/>
    <cellStyle name="40% - Accent3 3 3 3" xfId="8012"/>
    <cellStyle name="40% - Accent3 3 4" xfId="2445"/>
    <cellStyle name="40% - Accent3 3 4 2" xfId="6213"/>
    <cellStyle name="40% - Accent3 3 4 3" xfId="8068"/>
    <cellStyle name="40% - Accent3 3 5" xfId="2200"/>
    <cellStyle name="40% - Accent3 3 5 2" xfId="6314"/>
    <cellStyle name="40% - Accent3 3 6" xfId="6055"/>
    <cellStyle name="40% - Accent3 3 7" xfId="7910"/>
    <cellStyle name="40% - Accent3 4" xfId="282"/>
    <cellStyle name="40% - Accent3 4 2" xfId="2320"/>
    <cellStyle name="40% - Accent3 4 2 2" xfId="6315"/>
    <cellStyle name="40% - Accent3 4 3" xfId="6089"/>
    <cellStyle name="40% - Accent3 4 4" xfId="7944"/>
    <cellStyle name="40% - Accent3 5" xfId="283"/>
    <cellStyle name="40% - Accent3 5 2" xfId="2372"/>
    <cellStyle name="40% - Accent3 5 2 2" xfId="6316"/>
    <cellStyle name="40% - Accent3 5 3" xfId="6140"/>
    <cellStyle name="40% - Accent3 5 4" xfId="7995"/>
    <cellStyle name="40% - Accent3 6" xfId="284"/>
    <cellStyle name="40% - Accent3 6 2" xfId="2417"/>
    <cellStyle name="40% - Accent3 6 2 2" xfId="6317"/>
    <cellStyle name="40% - Accent3 6 3" xfId="6185"/>
    <cellStyle name="40% - Accent3 6 4" xfId="8040"/>
    <cellStyle name="40% - Accent3 7" xfId="285"/>
    <cellStyle name="40% - Accent3 8" xfId="286"/>
    <cellStyle name="40% - Accent3 9" xfId="5951"/>
    <cellStyle name="40% - Accent4" xfId="2165" builtinId="43" customBuiltin="1"/>
    <cellStyle name="40% - Accent4 10" xfId="6030"/>
    <cellStyle name="40% - Accent4 11" xfId="7887"/>
    <cellStyle name="40% - Accent4 2" xfId="18"/>
    <cellStyle name="40% - Accent4 2 2" xfId="288"/>
    <cellStyle name="40% - Accent4 2 3" xfId="287"/>
    <cellStyle name="40% - Accent4 2 3 2" xfId="5971"/>
    <cellStyle name="40% - Accent4 3" xfId="289"/>
    <cellStyle name="40% - Accent4 3 2" xfId="2340"/>
    <cellStyle name="40% - Accent4 3 2 2" xfId="6108"/>
    <cellStyle name="40% - Accent4 3 2 3" xfId="7963"/>
    <cellStyle name="40% - Accent4 3 3" xfId="2391"/>
    <cellStyle name="40% - Accent4 3 3 2" xfId="6159"/>
    <cellStyle name="40% - Accent4 3 3 3" xfId="8014"/>
    <cellStyle name="40% - Accent4 3 4" xfId="2447"/>
    <cellStyle name="40% - Accent4 3 4 2" xfId="6215"/>
    <cellStyle name="40% - Accent4 3 4 3" xfId="8070"/>
    <cellStyle name="40% - Accent4 3 5" xfId="2202"/>
    <cellStyle name="40% - Accent4 3 5 2" xfId="6318"/>
    <cellStyle name="40% - Accent4 3 6" xfId="6057"/>
    <cellStyle name="40% - Accent4 3 7" xfId="7912"/>
    <cellStyle name="40% - Accent4 4" xfId="290"/>
    <cellStyle name="40% - Accent4 4 2" xfId="2322"/>
    <cellStyle name="40% - Accent4 4 2 2" xfId="6319"/>
    <cellStyle name="40% - Accent4 4 3" xfId="6091"/>
    <cellStyle name="40% - Accent4 4 4" xfId="7946"/>
    <cellStyle name="40% - Accent4 5" xfId="291"/>
    <cellStyle name="40% - Accent4 5 2" xfId="2374"/>
    <cellStyle name="40% - Accent4 5 2 2" xfId="6320"/>
    <cellStyle name="40% - Accent4 5 3" xfId="6142"/>
    <cellStyle name="40% - Accent4 5 4" xfId="7997"/>
    <cellStyle name="40% - Accent4 6" xfId="292"/>
    <cellStyle name="40% - Accent4 6 2" xfId="2419"/>
    <cellStyle name="40% - Accent4 6 2 2" xfId="6321"/>
    <cellStyle name="40% - Accent4 6 3" xfId="6187"/>
    <cellStyle name="40% - Accent4 6 4" xfId="8042"/>
    <cellStyle name="40% - Accent4 7" xfId="293"/>
    <cellStyle name="40% - Accent4 8" xfId="294"/>
    <cellStyle name="40% - Accent4 9" xfId="5955"/>
    <cellStyle name="40% - Accent5" xfId="2169" builtinId="47" customBuiltin="1"/>
    <cellStyle name="40% - Accent5 2" xfId="19"/>
    <cellStyle name="40% - Accent5 2 2" xfId="295"/>
    <cellStyle name="40% - Accent5 3" xfId="296"/>
    <cellStyle name="40% - Accent5 3 2" xfId="2342"/>
    <cellStyle name="40% - Accent5 3 2 2" xfId="6110"/>
    <cellStyle name="40% - Accent5 3 2 3" xfId="7965"/>
    <cellStyle name="40% - Accent5 3 3" xfId="2393"/>
    <cellStyle name="40% - Accent5 3 3 2" xfId="6161"/>
    <cellStyle name="40% - Accent5 3 3 3" xfId="8016"/>
    <cellStyle name="40% - Accent5 3 4" xfId="2449"/>
    <cellStyle name="40% - Accent5 3 4 2" xfId="6217"/>
    <cellStyle name="40% - Accent5 3 4 3" xfId="8072"/>
    <cellStyle name="40% - Accent5 3 5" xfId="2204"/>
    <cellStyle name="40% - Accent5 3 5 2" xfId="6322"/>
    <cellStyle name="40% - Accent5 3 6" xfId="6059"/>
    <cellStyle name="40% - Accent5 3 7" xfId="7914"/>
    <cellStyle name="40% - Accent5 4" xfId="297"/>
    <cellStyle name="40% - Accent5 4 2" xfId="2324"/>
    <cellStyle name="40% - Accent5 4 2 2" xfId="6323"/>
    <cellStyle name="40% - Accent5 4 3" xfId="6093"/>
    <cellStyle name="40% - Accent5 4 4" xfId="7948"/>
    <cellStyle name="40% - Accent5 5" xfId="298"/>
    <cellStyle name="40% - Accent5 5 2" xfId="2376"/>
    <cellStyle name="40% - Accent5 5 2 2" xfId="6324"/>
    <cellStyle name="40% - Accent5 5 3" xfId="6144"/>
    <cellStyle name="40% - Accent5 5 4" xfId="7999"/>
    <cellStyle name="40% - Accent5 6" xfId="299"/>
    <cellStyle name="40% - Accent5 6 2" xfId="2421"/>
    <cellStyle name="40% - Accent5 6 2 2" xfId="6325"/>
    <cellStyle name="40% - Accent5 6 3" xfId="6189"/>
    <cellStyle name="40% - Accent5 6 4" xfId="8044"/>
    <cellStyle name="40% - Accent5 7" xfId="5959"/>
    <cellStyle name="40% - Accent5 8" xfId="6032"/>
    <cellStyle name="40% - Accent5 9" xfId="7889"/>
    <cellStyle name="40% - Accent6" xfId="2173" builtinId="51" customBuiltin="1"/>
    <cellStyle name="40% - Accent6 10" xfId="6034"/>
    <cellStyle name="40% - Accent6 11" xfId="7891"/>
    <cellStyle name="40% - Accent6 2" xfId="20"/>
    <cellStyle name="40% - Accent6 2 2" xfId="301"/>
    <cellStyle name="40% - Accent6 2 3" xfId="300"/>
    <cellStyle name="40% - Accent6 2 3 2" xfId="5972"/>
    <cellStyle name="40% - Accent6 3" xfId="302"/>
    <cellStyle name="40% - Accent6 3 2" xfId="2344"/>
    <cellStyle name="40% - Accent6 3 2 2" xfId="6112"/>
    <cellStyle name="40% - Accent6 3 2 3" xfId="7967"/>
    <cellStyle name="40% - Accent6 3 3" xfId="2395"/>
    <cellStyle name="40% - Accent6 3 3 2" xfId="6163"/>
    <cellStyle name="40% - Accent6 3 3 3" xfId="8018"/>
    <cellStyle name="40% - Accent6 3 4" xfId="2451"/>
    <cellStyle name="40% - Accent6 3 4 2" xfId="6219"/>
    <cellStyle name="40% - Accent6 3 4 3" xfId="8074"/>
    <cellStyle name="40% - Accent6 3 5" xfId="2206"/>
    <cellStyle name="40% - Accent6 3 5 2" xfId="6326"/>
    <cellStyle name="40% - Accent6 3 6" xfId="6061"/>
    <cellStyle name="40% - Accent6 3 7" xfId="7916"/>
    <cellStyle name="40% - Accent6 4" xfId="303"/>
    <cellStyle name="40% - Accent6 4 2" xfId="2326"/>
    <cellStyle name="40% - Accent6 4 2 2" xfId="6327"/>
    <cellStyle name="40% - Accent6 4 3" xfId="6095"/>
    <cellStyle name="40% - Accent6 4 4" xfId="7950"/>
    <cellStyle name="40% - Accent6 5" xfId="304"/>
    <cellStyle name="40% - Accent6 5 2" xfId="2378"/>
    <cellStyle name="40% - Accent6 5 2 2" xfId="6328"/>
    <cellStyle name="40% - Accent6 5 3" xfId="6146"/>
    <cellStyle name="40% - Accent6 5 4" xfId="8001"/>
    <cellStyle name="40% - Accent6 6" xfId="305"/>
    <cellStyle name="40% - Accent6 6 2" xfId="2423"/>
    <cellStyle name="40% - Accent6 6 2 2" xfId="6329"/>
    <cellStyle name="40% - Accent6 6 3" xfId="6191"/>
    <cellStyle name="40% - Accent6 6 4" xfId="8046"/>
    <cellStyle name="40% - Accent6 7" xfId="306"/>
    <cellStyle name="40% - Accent6 8" xfId="307"/>
    <cellStyle name="40% - Accent6 9" xfId="5963"/>
    <cellStyle name="60% - Accent1" xfId="2154" builtinId="32" customBuiltin="1"/>
    <cellStyle name="60% - Accent1 2" xfId="21"/>
    <cellStyle name="60% - Accent1 2 2" xfId="308"/>
    <cellStyle name="60% - Accent1 2 2 2" xfId="5973"/>
    <cellStyle name="60% - Accent1 3" xfId="309"/>
    <cellStyle name="60% - Accent1 4" xfId="310"/>
    <cellStyle name="60% - Accent1 5" xfId="311"/>
    <cellStyle name="60% - Accent1 6" xfId="312"/>
    <cellStyle name="60% - Accent1 7" xfId="313"/>
    <cellStyle name="60% - Accent1 8" xfId="314"/>
    <cellStyle name="60% - Accent1 9" xfId="5944"/>
    <cellStyle name="60% - Accent2" xfId="2158" builtinId="36" customBuiltin="1"/>
    <cellStyle name="60% - Accent2 2" xfId="22"/>
    <cellStyle name="60% - Accent2 3" xfId="315"/>
    <cellStyle name="60% - Accent2 4" xfId="316"/>
    <cellStyle name="60% - Accent2 5" xfId="317"/>
    <cellStyle name="60% - Accent2 6" xfId="318"/>
    <cellStyle name="60% - Accent2 7" xfId="5948"/>
    <cellStyle name="60% - Accent3" xfId="2162" builtinId="40" customBuiltin="1"/>
    <cellStyle name="60% - Accent3 2" xfId="23"/>
    <cellStyle name="60% - Accent3 2 2" xfId="319"/>
    <cellStyle name="60% - Accent3 2 2 2" xfId="5975"/>
    <cellStyle name="60% - Accent3 3" xfId="320"/>
    <cellStyle name="60% - Accent3 4" xfId="321"/>
    <cellStyle name="60% - Accent3 5" xfId="322"/>
    <cellStyle name="60% - Accent3 6" xfId="323"/>
    <cellStyle name="60% - Accent3 7" xfId="324"/>
    <cellStyle name="60% - Accent3 8" xfId="325"/>
    <cellStyle name="60% - Accent3 9" xfId="5952"/>
    <cellStyle name="60% - Accent4" xfId="2166" builtinId="44" customBuiltin="1"/>
    <cellStyle name="60% - Accent4 2" xfId="24"/>
    <cellStyle name="60% - Accent4 2 2" xfId="326"/>
    <cellStyle name="60% - Accent4 2 2 2" xfId="5976"/>
    <cellStyle name="60% - Accent4 3" xfId="327"/>
    <cellStyle name="60% - Accent4 4" xfId="328"/>
    <cellStyle name="60% - Accent4 5" xfId="329"/>
    <cellStyle name="60% - Accent4 6" xfId="330"/>
    <cellStyle name="60% - Accent4 7" xfId="331"/>
    <cellStyle name="60% - Accent4 8" xfId="332"/>
    <cellStyle name="60% - Accent4 9" xfId="5956"/>
    <cellStyle name="60% - Accent5" xfId="2170" builtinId="48" customBuiltin="1"/>
    <cellStyle name="60% - Accent5 2" xfId="25"/>
    <cellStyle name="60% - Accent5 3" xfId="333"/>
    <cellStyle name="60% - Accent5 4" xfId="334"/>
    <cellStyle name="60% - Accent5 5" xfId="335"/>
    <cellStyle name="60% - Accent5 6" xfId="336"/>
    <cellStyle name="60% - Accent5 7" xfId="5960"/>
    <cellStyle name="60% - Accent6" xfId="2174" builtinId="52" customBuiltin="1"/>
    <cellStyle name="60% - Accent6 2" xfId="26"/>
    <cellStyle name="60% - Accent6 2 2" xfId="337"/>
    <cellStyle name="60% - Accent6 2 2 2" xfId="5977"/>
    <cellStyle name="60% - Accent6 3" xfId="338"/>
    <cellStyle name="60% - Accent6 4" xfId="339"/>
    <cellStyle name="60% - Accent6 5" xfId="340"/>
    <cellStyle name="60% - Accent6 6" xfId="341"/>
    <cellStyle name="60% - Accent6 7" xfId="342"/>
    <cellStyle name="60% - Accent6 8" xfId="343"/>
    <cellStyle name="60% - Accent6 9" xfId="5964"/>
    <cellStyle name="Accent1" xfId="2151" builtinId="29" customBuiltin="1"/>
    <cellStyle name="Accent1 2" xfId="27"/>
    <cellStyle name="Accent1 2 2" xfId="344"/>
    <cellStyle name="Accent1 2 2 2" xfId="5978"/>
    <cellStyle name="Accent1 3" xfId="345"/>
    <cellStyle name="Accent1 4" xfId="346"/>
    <cellStyle name="Accent1 5" xfId="347"/>
    <cellStyle name="Accent1 6" xfId="348"/>
    <cellStyle name="Accent1 7" xfId="349"/>
    <cellStyle name="Accent1 8" xfId="350"/>
    <cellStyle name="Accent1 9" xfId="5941"/>
    <cellStyle name="Accent2" xfId="2155" builtinId="33" customBuiltin="1"/>
    <cellStyle name="Accent2 2" xfId="28"/>
    <cellStyle name="Accent2 3" xfId="351"/>
    <cellStyle name="Accent2 4" xfId="352"/>
    <cellStyle name="Accent2 5" xfId="353"/>
    <cellStyle name="Accent2 6" xfId="354"/>
    <cellStyle name="Accent2 7" xfId="5945"/>
    <cellStyle name="Accent3" xfId="2159" builtinId="37" customBuiltin="1"/>
    <cellStyle name="Accent3 2" xfId="29"/>
    <cellStyle name="Accent3 3" xfId="355"/>
    <cellStyle name="Accent3 4" xfId="356"/>
    <cellStyle name="Accent3 5" xfId="357"/>
    <cellStyle name="Accent3 6" xfId="358"/>
    <cellStyle name="Accent3 7" xfId="5949"/>
    <cellStyle name="Accent4" xfId="2163" builtinId="41" customBuiltin="1"/>
    <cellStyle name="Accent4 2" xfId="30"/>
    <cellStyle name="Accent4 2 2" xfId="359"/>
    <cellStyle name="Accent4 2 2 2" xfId="5979"/>
    <cellStyle name="Accent4 3" xfId="360"/>
    <cellStyle name="Accent4 4" xfId="361"/>
    <cellStyle name="Accent4 5" xfId="362"/>
    <cellStyle name="Accent4 6" xfId="363"/>
    <cellStyle name="Accent4 7" xfId="364"/>
    <cellStyle name="Accent4 8" xfId="365"/>
    <cellStyle name="Accent4 9" xfId="5953"/>
    <cellStyle name="Accent5" xfId="2167" builtinId="45" customBuiltin="1"/>
    <cellStyle name="Accent5 2" xfId="31"/>
    <cellStyle name="Accent5 3" xfId="366"/>
    <cellStyle name="Accent5 4" xfId="367"/>
    <cellStyle name="Accent5 5" xfId="368"/>
    <cellStyle name="Accent5 6" xfId="369"/>
    <cellStyle name="Accent5 7" xfId="5957"/>
    <cellStyle name="Accent6" xfId="2171" builtinId="49" customBuiltin="1"/>
    <cellStyle name="Accent6 2" xfId="32"/>
    <cellStyle name="Accent6 3" xfId="370"/>
    <cellStyle name="Accent6 4" xfId="371"/>
    <cellStyle name="Accent6 5" xfId="372"/>
    <cellStyle name="Accent6 6" xfId="373"/>
    <cellStyle name="Accent6 7" xfId="5961"/>
    <cellStyle name="Bad" xfId="2141" builtinId="27" customBuiltin="1"/>
    <cellStyle name="Bad 2" xfId="33"/>
    <cellStyle name="Bad 2 2" xfId="374"/>
    <cellStyle name="Bad 2 2 2" xfId="5980"/>
    <cellStyle name="Bad 3" xfId="375"/>
    <cellStyle name="Bad 4" xfId="376"/>
    <cellStyle name="Bad 5" xfId="377"/>
    <cellStyle name="Bad 6" xfId="378"/>
    <cellStyle name="Bad 7" xfId="379"/>
    <cellStyle name="Bad 8" xfId="380"/>
    <cellStyle name="Bad 9" xfId="5931"/>
    <cellStyle name="Calculation" xfId="2145" builtinId="22" customBuiltin="1"/>
    <cellStyle name="Calculation 2" xfId="34"/>
    <cellStyle name="Calculation 3" xfId="381"/>
    <cellStyle name="Calculation 4" xfId="382"/>
    <cellStyle name="Calculation 5" xfId="383"/>
    <cellStyle name="Calculation 6" xfId="384"/>
    <cellStyle name="Calculation 7" xfId="5935"/>
    <cellStyle name="Check Cell" xfId="2147" builtinId="23" customBuiltin="1"/>
    <cellStyle name="Check Cell 2" xfId="35"/>
    <cellStyle name="Check Cell 2 2" xfId="385"/>
    <cellStyle name="Check Cell 2 2 2" xfId="5981"/>
    <cellStyle name="Check Cell 3" xfId="386"/>
    <cellStyle name="Check Cell 4" xfId="387"/>
    <cellStyle name="Check Cell 5" xfId="388"/>
    <cellStyle name="Check Cell 6" xfId="389"/>
    <cellStyle name="Check Cell 7" xfId="390"/>
    <cellStyle name="Check Cell 8" xfId="391"/>
    <cellStyle name="Check Cell 9" xfId="5937"/>
    <cellStyle name="Comma" xfId="1" builtinId="3"/>
    <cellStyle name="Comma 10" xfId="392"/>
    <cellStyle name="Comma 11" xfId="393"/>
    <cellStyle name="Comma 12" xfId="394"/>
    <cellStyle name="Comma 13" xfId="395"/>
    <cellStyle name="Comma 14" xfId="396"/>
    <cellStyle name="Comma 15" xfId="397"/>
    <cellStyle name="Comma 16" xfId="224"/>
    <cellStyle name="Comma 17" xfId="398"/>
    <cellStyle name="Comma 17 10" xfId="4923"/>
    <cellStyle name="Comma 17 11" xfId="5421"/>
    <cellStyle name="Comma 17 12" xfId="2186"/>
    <cellStyle name="Comma 17 13" xfId="6330"/>
    <cellStyle name="Comma 17 2" xfId="636"/>
    <cellStyle name="Comma 17 2 10" xfId="2485"/>
    <cellStyle name="Comma 17 2 11" xfId="6381"/>
    <cellStyle name="Comma 17 2 2" xfId="685"/>
    <cellStyle name="Comma 17 2 2 10" xfId="6425"/>
    <cellStyle name="Comma 17 2 2 2" xfId="809"/>
    <cellStyle name="Comma 17 2 2 2 2" xfId="1057"/>
    <cellStyle name="Comma 17 2 2 2 2 2" xfId="1563"/>
    <cellStyle name="Comma 17 2 2 2 2 2 2" xfId="4378"/>
    <cellStyle name="Comma 17 2 2 2 2 2 3" xfId="3368"/>
    <cellStyle name="Comma 17 2 2 2 2 2 4" xfId="7303"/>
    <cellStyle name="Comma 17 2 2 2 2 3" xfId="2071"/>
    <cellStyle name="Comma 17 2 2 2 2 3 2" xfId="3884"/>
    <cellStyle name="Comma 17 2 2 2 2 3 3" xfId="7811"/>
    <cellStyle name="Comma 17 2 2 2 2 4" xfId="4856"/>
    <cellStyle name="Comma 17 2 2 2 2 5" xfId="5354"/>
    <cellStyle name="Comma 17 2 2 2 2 6" xfId="5856"/>
    <cellStyle name="Comma 17 2 2 2 2 7" xfId="2874"/>
    <cellStyle name="Comma 17 2 2 2 2 8" xfId="6797"/>
    <cellStyle name="Comma 17 2 2 2 3" xfId="1315"/>
    <cellStyle name="Comma 17 2 2 2 3 2" xfId="4130"/>
    <cellStyle name="Comma 17 2 2 2 3 3" xfId="3120"/>
    <cellStyle name="Comma 17 2 2 2 3 4" xfId="7055"/>
    <cellStyle name="Comma 17 2 2 2 4" xfId="1823"/>
    <cellStyle name="Comma 17 2 2 2 4 2" xfId="3636"/>
    <cellStyle name="Comma 17 2 2 2 4 3" xfId="7563"/>
    <cellStyle name="Comma 17 2 2 2 5" xfId="4618"/>
    <cellStyle name="Comma 17 2 2 2 6" xfId="5106"/>
    <cellStyle name="Comma 17 2 2 2 7" xfId="5608"/>
    <cellStyle name="Comma 17 2 2 2 8" xfId="2634"/>
    <cellStyle name="Comma 17 2 2 2 9" xfId="6549"/>
    <cellStyle name="Comma 17 2 2 3" xfId="933"/>
    <cellStyle name="Comma 17 2 2 3 2" xfId="1439"/>
    <cellStyle name="Comma 17 2 2 3 2 2" xfId="4254"/>
    <cellStyle name="Comma 17 2 2 3 2 3" xfId="3244"/>
    <cellStyle name="Comma 17 2 2 3 2 4" xfId="7179"/>
    <cellStyle name="Comma 17 2 2 3 3" xfId="1947"/>
    <cellStyle name="Comma 17 2 2 3 3 2" xfId="3760"/>
    <cellStyle name="Comma 17 2 2 3 3 3" xfId="7687"/>
    <cellStyle name="Comma 17 2 2 3 4" xfId="4734"/>
    <cellStyle name="Comma 17 2 2 3 5" xfId="5230"/>
    <cellStyle name="Comma 17 2 2 3 6" xfId="5732"/>
    <cellStyle name="Comma 17 2 2 3 7" xfId="2752"/>
    <cellStyle name="Comma 17 2 2 3 8" xfId="6673"/>
    <cellStyle name="Comma 17 2 2 4" xfId="1191"/>
    <cellStyle name="Comma 17 2 2 4 2" xfId="4008"/>
    <cellStyle name="Comma 17 2 2 4 3" xfId="2998"/>
    <cellStyle name="Comma 17 2 2 4 4" xfId="6931"/>
    <cellStyle name="Comma 17 2 2 5" xfId="1699"/>
    <cellStyle name="Comma 17 2 2 5 2" xfId="3512"/>
    <cellStyle name="Comma 17 2 2 5 3" xfId="7439"/>
    <cellStyle name="Comma 17 2 2 6" xfId="4506"/>
    <cellStyle name="Comma 17 2 2 7" xfId="4982"/>
    <cellStyle name="Comma 17 2 2 8" xfId="5484"/>
    <cellStyle name="Comma 17 2 2 9" xfId="2522"/>
    <cellStyle name="Comma 17 2 3" xfId="768"/>
    <cellStyle name="Comma 17 2 3 2" xfId="1016"/>
    <cellStyle name="Comma 17 2 3 2 2" xfId="1522"/>
    <cellStyle name="Comma 17 2 3 2 2 2" xfId="4337"/>
    <cellStyle name="Comma 17 2 3 2 2 3" xfId="3327"/>
    <cellStyle name="Comma 17 2 3 2 2 4" xfId="7262"/>
    <cellStyle name="Comma 17 2 3 2 3" xfId="2030"/>
    <cellStyle name="Comma 17 2 3 2 3 2" xfId="3843"/>
    <cellStyle name="Comma 17 2 3 2 3 3" xfId="7770"/>
    <cellStyle name="Comma 17 2 3 2 4" xfId="4815"/>
    <cellStyle name="Comma 17 2 3 2 5" xfId="5313"/>
    <cellStyle name="Comma 17 2 3 2 6" xfId="5815"/>
    <cellStyle name="Comma 17 2 3 2 7" xfId="2833"/>
    <cellStyle name="Comma 17 2 3 2 8" xfId="6756"/>
    <cellStyle name="Comma 17 2 3 3" xfId="1274"/>
    <cellStyle name="Comma 17 2 3 3 2" xfId="4089"/>
    <cellStyle name="Comma 17 2 3 3 3" xfId="3079"/>
    <cellStyle name="Comma 17 2 3 3 4" xfId="7014"/>
    <cellStyle name="Comma 17 2 3 4" xfId="1782"/>
    <cellStyle name="Comma 17 2 3 4 2" xfId="3595"/>
    <cellStyle name="Comma 17 2 3 4 3" xfId="7522"/>
    <cellStyle name="Comma 17 2 3 5" xfId="4581"/>
    <cellStyle name="Comma 17 2 3 6" xfId="5065"/>
    <cellStyle name="Comma 17 2 3 7" xfId="5567"/>
    <cellStyle name="Comma 17 2 3 8" xfId="2597"/>
    <cellStyle name="Comma 17 2 3 9" xfId="6508"/>
    <cellStyle name="Comma 17 2 4" xfId="892"/>
    <cellStyle name="Comma 17 2 4 2" xfId="1398"/>
    <cellStyle name="Comma 17 2 4 2 2" xfId="4213"/>
    <cellStyle name="Comma 17 2 4 2 3" xfId="3203"/>
    <cellStyle name="Comma 17 2 4 2 4" xfId="7138"/>
    <cellStyle name="Comma 17 2 4 3" xfId="1906"/>
    <cellStyle name="Comma 17 2 4 3 2" xfId="3719"/>
    <cellStyle name="Comma 17 2 4 3 3" xfId="7646"/>
    <cellStyle name="Comma 17 2 4 4" xfId="4697"/>
    <cellStyle name="Comma 17 2 4 5" xfId="5189"/>
    <cellStyle name="Comma 17 2 4 6" xfId="5691"/>
    <cellStyle name="Comma 17 2 4 7" xfId="2715"/>
    <cellStyle name="Comma 17 2 4 8" xfId="6632"/>
    <cellStyle name="Comma 17 2 5" xfId="1150"/>
    <cellStyle name="Comma 17 2 5 2" xfId="3967"/>
    <cellStyle name="Comma 17 2 5 3" xfId="2957"/>
    <cellStyle name="Comma 17 2 5 4" xfId="6890"/>
    <cellStyle name="Comma 17 2 6" xfId="1658"/>
    <cellStyle name="Comma 17 2 6 2" xfId="3471"/>
    <cellStyle name="Comma 17 2 6 3" xfId="7398"/>
    <cellStyle name="Comma 17 2 7" xfId="4467"/>
    <cellStyle name="Comma 17 2 8" xfId="4943"/>
    <cellStyle name="Comma 17 2 9" xfId="5443"/>
    <cellStyle name="Comma 17 3" xfId="664"/>
    <cellStyle name="Comma 17 3 10" xfId="2503"/>
    <cellStyle name="Comma 17 3 11" xfId="6404"/>
    <cellStyle name="Comma 17 3 2" xfId="686"/>
    <cellStyle name="Comma 17 3 2 10" xfId="6426"/>
    <cellStyle name="Comma 17 3 2 2" xfId="810"/>
    <cellStyle name="Comma 17 3 2 2 2" xfId="1058"/>
    <cellStyle name="Comma 17 3 2 2 2 2" xfId="1564"/>
    <cellStyle name="Comma 17 3 2 2 2 2 2" xfId="4379"/>
    <cellStyle name="Comma 17 3 2 2 2 2 3" xfId="3369"/>
    <cellStyle name="Comma 17 3 2 2 2 2 4" xfId="7304"/>
    <cellStyle name="Comma 17 3 2 2 2 3" xfId="2072"/>
    <cellStyle name="Comma 17 3 2 2 2 3 2" xfId="3885"/>
    <cellStyle name="Comma 17 3 2 2 2 3 3" xfId="7812"/>
    <cellStyle name="Comma 17 3 2 2 2 4" xfId="4857"/>
    <cellStyle name="Comma 17 3 2 2 2 5" xfId="5355"/>
    <cellStyle name="Comma 17 3 2 2 2 6" xfId="5857"/>
    <cellStyle name="Comma 17 3 2 2 2 7" xfId="2875"/>
    <cellStyle name="Comma 17 3 2 2 2 8" xfId="6798"/>
    <cellStyle name="Comma 17 3 2 2 3" xfId="1316"/>
    <cellStyle name="Comma 17 3 2 2 3 2" xfId="4131"/>
    <cellStyle name="Comma 17 3 2 2 3 3" xfId="3121"/>
    <cellStyle name="Comma 17 3 2 2 3 4" xfId="7056"/>
    <cellStyle name="Comma 17 3 2 2 4" xfId="1824"/>
    <cellStyle name="Comma 17 3 2 2 4 2" xfId="3637"/>
    <cellStyle name="Comma 17 3 2 2 4 3" xfId="7564"/>
    <cellStyle name="Comma 17 3 2 2 5" xfId="4619"/>
    <cellStyle name="Comma 17 3 2 2 6" xfId="5107"/>
    <cellStyle name="Comma 17 3 2 2 7" xfId="5609"/>
    <cellStyle name="Comma 17 3 2 2 8" xfId="2635"/>
    <cellStyle name="Comma 17 3 2 2 9" xfId="6550"/>
    <cellStyle name="Comma 17 3 2 3" xfId="934"/>
    <cellStyle name="Comma 17 3 2 3 2" xfId="1440"/>
    <cellStyle name="Comma 17 3 2 3 2 2" xfId="4255"/>
    <cellStyle name="Comma 17 3 2 3 2 3" xfId="3245"/>
    <cellStyle name="Comma 17 3 2 3 2 4" xfId="7180"/>
    <cellStyle name="Comma 17 3 2 3 3" xfId="1948"/>
    <cellStyle name="Comma 17 3 2 3 3 2" xfId="3761"/>
    <cellStyle name="Comma 17 3 2 3 3 3" xfId="7688"/>
    <cellStyle name="Comma 17 3 2 3 4" xfId="4735"/>
    <cellStyle name="Comma 17 3 2 3 5" xfId="5231"/>
    <cellStyle name="Comma 17 3 2 3 6" xfId="5733"/>
    <cellStyle name="Comma 17 3 2 3 7" xfId="2753"/>
    <cellStyle name="Comma 17 3 2 3 8" xfId="6674"/>
    <cellStyle name="Comma 17 3 2 4" xfId="1192"/>
    <cellStyle name="Comma 17 3 2 4 2" xfId="4009"/>
    <cellStyle name="Comma 17 3 2 4 3" xfId="2999"/>
    <cellStyle name="Comma 17 3 2 4 4" xfId="6932"/>
    <cellStyle name="Comma 17 3 2 5" xfId="1700"/>
    <cellStyle name="Comma 17 3 2 5 2" xfId="3513"/>
    <cellStyle name="Comma 17 3 2 5 3" xfId="7440"/>
    <cellStyle name="Comma 17 3 2 6" xfId="4507"/>
    <cellStyle name="Comma 17 3 2 7" xfId="4983"/>
    <cellStyle name="Comma 17 3 2 8" xfId="5485"/>
    <cellStyle name="Comma 17 3 2 9" xfId="2523"/>
    <cellStyle name="Comma 17 3 3" xfId="788"/>
    <cellStyle name="Comma 17 3 3 2" xfId="1036"/>
    <cellStyle name="Comma 17 3 3 2 2" xfId="1542"/>
    <cellStyle name="Comma 17 3 3 2 2 2" xfId="4357"/>
    <cellStyle name="Comma 17 3 3 2 2 3" xfId="3347"/>
    <cellStyle name="Comma 17 3 3 2 2 4" xfId="7282"/>
    <cellStyle name="Comma 17 3 3 2 3" xfId="2050"/>
    <cellStyle name="Comma 17 3 3 2 3 2" xfId="3863"/>
    <cellStyle name="Comma 17 3 3 2 3 3" xfId="7790"/>
    <cellStyle name="Comma 17 3 3 2 4" xfId="4835"/>
    <cellStyle name="Comma 17 3 3 2 5" xfId="5333"/>
    <cellStyle name="Comma 17 3 3 2 6" xfId="5835"/>
    <cellStyle name="Comma 17 3 3 2 7" xfId="2853"/>
    <cellStyle name="Comma 17 3 3 2 8" xfId="6776"/>
    <cellStyle name="Comma 17 3 3 3" xfId="1294"/>
    <cellStyle name="Comma 17 3 3 3 2" xfId="4109"/>
    <cellStyle name="Comma 17 3 3 3 3" xfId="3099"/>
    <cellStyle name="Comma 17 3 3 3 4" xfId="7034"/>
    <cellStyle name="Comma 17 3 3 4" xfId="1802"/>
    <cellStyle name="Comma 17 3 3 4 2" xfId="3615"/>
    <cellStyle name="Comma 17 3 3 4 3" xfId="7542"/>
    <cellStyle name="Comma 17 3 3 5" xfId="4599"/>
    <cellStyle name="Comma 17 3 3 6" xfId="5085"/>
    <cellStyle name="Comma 17 3 3 7" xfId="5587"/>
    <cellStyle name="Comma 17 3 3 8" xfId="2615"/>
    <cellStyle name="Comma 17 3 3 9" xfId="6528"/>
    <cellStyle name="Comma 17 3 4" xfId="912"/>
    <cellStyle name="Comma 17 3 4 2" xfId="1418"/>
    <cellStyle name="Comma 17 3 4 2 2" xfId="4233"/>
    <cellStyle name="Comma 17 3 4 2 3" xfId="3223"/>
    <cellStyle name="Comma 17 3 4 2 4" xfId="7158"/>
    <cellStyle name="Comma 17 3 4 3" xfId="1926"/>
    <cellStyle name="Comma 17 3 4 3 2" xfId="3739"/>
    <cellStyle name="Comma 17 3 4 3 3" xfId="7666"/>
    <cellStyle name="Comma 17 3 4 4" xfId="4715"/>
    <cellStyle name="Comma 17 3 4 5" xfId="5209"/>
    <cellStyle name="Comma 17 3 4 6" xfId="5711"/>
    <cellStyle name="Comma 17 3 4 7" xfId="2733"/>
    <cellStyle name="Comma 17 3 4 8" xfId="6652"/>
    <cellStyle name="Comma 17 3 5" xfId="1170"/>
    <cellStyle name="Comma 17 3 5 2" xfId="3987"/>
    <cellStyle name="Comma 17 3 5 3" xfId="2977"/>
    <cellStyle name="Comma 17 3 5 4" xfId="6910"/>
    <cellStyle name="Comma 17 3 6" xfId="1678"/>
    <cellStyle name="Comma 17 3 6 2" xfId="3491"/>
    <cellStyle name="Comma 17 3 6 3" xfId="7418"/>
    <cellStyle name="Comma 17 3 7" xfId="4487"/>
    <cellStyle name="Comma 17 3 8" xfId="4961"/>
    <cellStyle name="Comma 17 3 9" xfId="5463"/>
    <cellStyle name="Comma 17 4" xfId="684"/>
    <cellStyle name="Comma 17 4 10" xfId="6424"/>
    <cellStyle name="Comma 17 4 2" xfId="808"/>
    <cellStyle name="Comma 17 4 2 2" xfId="1056"/>
    <cellStyle name="Comma 17 4 2 2 2" xfId="1562"/>
    <cellStyle name="Comma 17 4 2 2 2 2" xfId="4377"/>
    <cellStyle name="Comma 17 4 2 2 2 3" xfId="3367"/>
    <cellStyle name="Comma 17 4 2 2 2 4" xfId="7302"/>
    <cellStyle name="Comma 17 4 2 2 3" xfId="2070"/>
    <cellStyle name="Comma 17 4 2 2 3 2" xfId="3883"/>
    <cellStyle name="Comma 17 4 2 2 3 3" xfId="7810"/>
    <cellStyle name="Comma 17 4 2 2 4" xfId="4855"/>
    <cellStyle name="Comma 17 4 2 2 5" xfId="5353"/>
    <cellStyle name="Comma 17 4 2 2 6" xfId="5855"/>
    <cellStyle name="Comma 17 4 2 2 7" xfId="2873"/>
    <cellStyle name="Comma 17 4 2 2 8" xfId="6796"/>
    <cellStyle name="Comma 17 4 2 3" xfId="1314"/>
    <cellStyle name="Comma 17 4 2 3 2" xfId="4129"/>
    <cellStyle name="Comma 17 4 2 3 3" xfId="3119"/>
    <cellStyle name="Comma 17 4 2 3 4" xfId="7054"/>
    <cellStyle name="Comma 17 4 2 4" xfId="1822"/>
    <cellStyle name="Comma 17 4 2 4 2" xfId="3635"/>
    <cellStyle name="Comma 17 4 2 4 3" xfId="7562"/>
    <cellStyle name="Comma 17 4 2 5" xfId="4617"/>
    <cellStyle name="Comma 17 4 2 6" xfId="5105"/>
    <cellStyle name="Comma 17 4 2 7" xfId="5607"/>
    <cellStyle name="Comma 17 4 2 8" xfId="2633"/>
    <cellStyle name="Comma 17 4 2 9" xfId="6548"/>
    <cellStyle name="Comma 17 4 3" xfId="932"/>
    <cellStyle name="Comma 17 4 3 2" xfId="1438"/>
    <cellStyle name="Comma 17 4 3 2 2" xfId="4253"/>
    <cellStyle name="Comma 17 4 3 2 3" xfId="3243"/>
    <cellStyle name="Comma 17 4 3 2 4" xfId="7178"/>
    <cellStyle name="Comma 17 4 3 3" xfId="1946"/>
    <cellStyle name="Comma 17 4 3 3 2" xfId="3759"/>
    <cellStyle name="Comma 17 4 3 3 3" xfId="7686"/>
    <cellStyle name="Comma 17 4 3 4" xfId="4733"/>
    <cellStyle name="Comma 17 4 3 5" xfId="5229"/>
    <cellStyle name="Comma 17 4 3 6" xfId="5731"/>
    <cellStyle name="Comma 17 4 3 7" xfId="2751"/>
    <cellStyle name="Comma 17 4 3 8" xfId="6672"/>
    <cellStyle name="Comma 17 4 4" xfId="1190"/>
    <cellStyle name="Comma 17 4 4 2" xfId="4007"/>
    <cellStyle name="Comma 17 4 4 3" xfId="2997"/>
    <cellStyle name="Comma 17 4 4 4" xfId="6930"/>
    <cellStyle name="Comma 17 4 5" xfId="1698"/>
    <cellStyle name="Comma 17 4 5 2" xfId="3511"/>
    <cellStyle name="Comma 17 4 5 3" xfId="7438"/>
    <cellStyle name="Comma 17 4 6" xfId="4505"/>
    <cellStyle name="Comma 17 4 7" xfId="4981"/>
    <cellStyle name="Comma 17 4 8" xfId="5483"/>
    <cellStyle name="Comma 17 4 9" xfId="2521"/>
    <cellStyle name="Comma 17 5" xfId="746"/>
    <cellStyle name="Comma 17 5 2" xfId="994"/>
    <cellStyle name="Comma 17 5 2 2" xfId="1500"/>
    <cellStyle name="Comma 17 5 2 2 2" xfId="4315"/>
    <cellStyle name="Comma 17 5 2 2 3" xfId="3305"/>
    <cellStyle name="Comma 17 5 2 2 4" xfId="7240"/>
    <cellStyle name="Comma 17 5 2 3" xfId="2008"/>
    <cellStyle name="Comma 17 5 2 3 2" xfId="3821"/>
    <cellStyle name="Comma 17 5 2 3 3" xfId="7748"/>
    <cellStyle name="Comma 17 5 2 4" xfId="4793"/>
    <cellStyle name="Comma 17 5 2 5" xfId="5291"/>
    <cellStyle name="Comma 17 5 2 6" xfId="5793"/>
    <cellStyle name="Comma 17 5 2 7" xfId="2811"/>
    <cellStyle name="Comma 17 5 2 8" xfId="6734"/>
    <cellStyle name="Comma 17 5 3" xfId="1252"/>
    <cellStyle name="Comma 17 5 3 2" xfId="4067"/>
    <cellStyle name="Comma 17 5 3 3" xfId="3057"/>
    <cellStyle name="Comma 17 5 3 4" xfId="6992"/>
    <cellStyle name="Comma 17 5 4" xfId="1760"/>
    <cellStyle name="Comma 17 5 4 2" xfId="3573"/>
    <cellStyle name="Comma 17 5 4 3" xfId="7500"/>
    <cellStyle name="Comma 17 5 5" xfId="4561"/>
    <cellStyle name="Comma 17 5 6" xfId="5043"/>
    <cellStyle name="Comma 17 5 7" xfId="5545"/>
    <cellStyle name="Comma 17 5 8" xfId="2577"/>
    <cellStyle name="Comma 17 5 9" xfId="6486"/>
    <cellStyle name="Comma 17 6" xfId="870"/>
    <cellStyle name="Comma 17 6 2" xfId="1376"/>
    <cellStyle name="Comma 17 6 2 2" xfId="4191"/>
    <cellStyle name="Comma 17 6 2 3" xfId="3181"/>
    <cellStyle name="Comma 17 6 2 4" xfId="7116"/>
    <cellStyle name="Comma 17 6 3" xfId="1884"/>
    <cellStyle name="Comma 17 6 3 2" xfId="3697"/>
    <cellStyle name="Comma 17 6 3 3" xfId="7624"/>
    <cellStyle name="Comma 17 6 4" xfId="4677"/>
    <cellStyle name="Comma 17 6 5" xfId="5167"/>
    <cellStyle name="Comma 17 6 6" xfId="5669"/>
    <cellStyle name="Comma 17 6 7" xfId="2693"/>
    <cellStyle name="Comma 17 6 8" xfId="6610"/>
    <cellStyle name="Comma 17 7" xfId="1128"/>
    <cellStyle name="Comma 17 7 2" xfId="3945"/>
    <cellStyle name="Comma 17 7 3" xfId="2935"/>
    <cellStyle name="Comma 17 7 4" xfId="6868"/>
    <cellStyle name="Comma 17 8" xfId="1635"/>
    <cellStyle name="Comma 17 8 2" xfId="3449"/>
    <cellStyle name="Comma 17 8 3" xfId="7375"/>
    <cellStyle name="Comma 17 9" xfId="4445"/>
    <cellStyle name="Comma 18" xfId="399"/>
    <cellStyle name="Comma 19" xfId="225"/>
    <cellStyle name="Comma 2" xfId="7"/>
    <cellStyle name="Comma 2 10" xfId="6237"/>
    <cellStyle name="Comma 2 2" xfId="36"/>
    <cellStyle name="Comma 2 2 2" xfId="37"/>
    <cellStyle name="Comma 2 2 2 2" xfId="38"/>
    <cellStyle name="Comma 2 2 2 2 2" xfId="2264"/>
    <cellStyle name="Comma 2 2 2 3" xfId="2211"/>
    <cellStyle name="Comma 2 2 3" xfId="39"/>
    <cellStyle name="Comma 2 2 3 2" xfId="40"/>
    <cellStyle name="Comma 2 2 3 2 2" xfId="2265"/>
    <cellStyle name="Comma 2 2 3 3" xfId="637"/>
    <cellStyle name="Comma 2 2 3 3 2" xfId="2212"/>
    <cellStyle name="Comma 2 2 3 3 2 2" xfId="6382"/>
    <cellStyle name="Comma 2 2 4" xfId="41"/>
    <cellStyle name="Comma 2 2 4 2" xfId="42"/>
    <cellStyle name="Comma 2 2 4 2 2" xfId="2266"/>
    <cellStyle name="Comma 2 2 4 3" xfId="2213"/>
    <cellStyle name="Comma 2 2 5" xfId="43"/>
    <cellStyle name="Comma 2 2 5 2" xfId="3440"/>
    <cellStyle name="Comma 2 2 6" xfId="400"/>
    <cellStyle name="Comma 2 3" xfId="44"/>
    <cellStyle name="Comma 2 3 2" xfId="45"/>
    <cellStyle name="Comma 2 3 2 2" xfId="46"/>
    <cellStyle name="Comma 2 3 2 2 2" xfId="2267"/>
    <cellStyle name="Comma 2 3 2 3" xfId="2215"/>
    <cellStyle name="Comma 2 3 3" xfId="47"/>
    <cellStyle name="Comma 2 3 3 2" xfId="48"/>
    <cellStyle name="Comma 2 3 3 2 2" xfId="2268"/>
    <cellStyle name="Comma 2 3 3 3" xfId="2216"/>
    <cellStyle name="Comma 2 3 4" xfId="49"/>
    <cellStyle name="Comma 2 3 4 2" xfId="50"/>
    <cellStyle name="Comma 2 3 4 2 2" xfId="2269"/>
    <cellStyle name="Comma 2 3 4 3" xfId="2217"/>
    <cellStyle name="Comma 2 3 5" xfId="2214"/>
    <cellStyle name="Comma 2 4" xfId="51"/>
    <cellStyle name="Comma 2 4 2" xfId="52"/>
    <cellStyle name="Comma 2 4 2 2" xfId="2270"/>
    <cellStyle name="Comma 2 4 3" xfId="401"/>
    <cellStyle name="Comma 2 4 3 2" xfId="2218"/>
    <cellStyle name="Comma 2 4 3 2 2" xfId="6331"/>
    <cellStyle name="Comma 2 5" xfId="53"/>
    <cellStyle name="Comma 2 5 2" xfId="54"/>
    <cellStyle name="Comma 2 5 2 2" xfId="2271"/>
    <cellStyle name="Comma 2 5 3" xfId="2219"/>
    <cellStyle name="Comma 2 6" xfId="55"/>
    <cellStyle name="Comma 2 6 2" xfId="56"/>
    <cellStyle name="Comma 2 6 2 2" xfId="2272"/>
    <cellStyle name="Comma 2 6 3" xfId="2220"/>
    <cellStyle name="Comma 2 7" xfId="57"/>
    <cellStyle name="Comma 2 7 2" xfId="3436"/>
    <cellStyle name="Comma 2 8" xfId="58"/>
    <cellStyle name="Comma 2 8 2" xfId="2258"/>
    <cellStyle name="Comma 2 9" xfId="210"/>
    <cellStyle name="Comma 2 9 2" xfId="6276"/>
    <cellStyle name="Comma 2 9 3" xfId="6036"/>
    <cellStyle name="Comma 2_Allocators" xfId="402"/>
    <cellStyle name="Comma 20" xfId="403"/>
    <cellStyle name="Comma 20 10" xfId="4924"/>
    <cellStyle name="Comma 20 11" xfId="5422"/>
    <cellStyle name="Comma 20 12" xfId="2188"/>
    <cellStyle name="Comma 20 13" xfId="6332"/>
    <cellStyle name="Comma 20 2" xfId="638"/>
    <cellStyle name="Comma 20 2 10" xfId="2486"/>
    <cellStyle name="Comma 20 2 11" xfId="6383"/>
    <cellStyle name="Comma 20 2 2" xfId="688"/>
    <cellStyle name="Comma 20 2 2 10" xfId="6428"/>
    <cellStyle name="Comma 20 2 2 2" xfId="812"/>
    <cellStyle name="Comma 20 2 2 2 2" xfId="1060"/>
    <cellStyle name="Comma 20 2 2 2 2 2" xfId="1566"/>
    <cellStyle name="Comma 20 2 2 2 2 2 2" xfId="4381"/>
    <cellStyle name="Comma 20 2 2 2 2 2 3" xfId="3371"/>
    <cellStyle name="Comma 20 2 2 2 2 2 4" xfId="7306"/>
    <cellStyle name="Comma 20 2 2 2 2 3" xfId="2074"/>
    <cellStyle name="Comma 20 2 2 2 2 3 2" xfId="3887"/>
    <cellStyle name="Comma 20 2 2 2 2 3 3" xfId="7814"/>
    <cellStyle name="Comma 20 2 2 2 2 4" xfId="4859"/>
    <cellStyle name="Comma 20 2 2 2 2 5" xfId="5357"/>
    <cellStyle name="Comma 20 2 2 2 2 6" xfId="5859"/>
    <cellStyle name="Comma 20 2 2 2 2 7" xfId="2877"/>
    <cellStyle name="Comma 20 2 2 2 2 8" xfId="6800"/>
    <cellStyle name="Comma 20 2 2 2 3" xfId="1318"/>
    <cellStyle name="Comma 20 2 2 2 3 2" xfId="4133"/>
    <cellStyle name="Comma 20 2 2 2 3 3" xfId="3123"/>
    <cellStyle name="Comma 20 2 2 2 3 4" xfId="7058"/>
    <cellStyle name="Comma 20 2 2 2 4" xfId="1826"/>
    <cellStyle name="Comma 20 2 2 2 4 2" xfId="3639"/>
    <cellStyle name="Comma 20 2 2 2 4 3" xfId="7566"/>
    <cellStyle name="Comma 20 2 2 2 5" xfId="4621"/>
    <cellStyle name="Comma 20 2 2 2 6" xfId="5109"/>
    <cellStyle name="Comma 20 2 2 2 7" xfId="5611"/>
    <cellStyle name="Comma 20 2 2 2 8" xfId="2637"/>
    <cellStyle name="Comma 20 2 2 2 9" xfId="6552"/>
    <cellStyle name="Comma 20 2 2 3" xfId="936"/>
    <cellStyle name="Comma 20 2 2 3 2" xfId="1442"/>
    <cellStyle name="Comma 20 2 2 3 2 2" xfId="4257"/>
    <cellStyle name="Comma 20 2 2 3 2 3" xfId="3247"/>
    <cellStyle name="Comma 20 2 2 3 2 4" xfId="7182"/>
    <cellStyle name="Comma 20 2 2 3 3" xfId="1950"/>
    <cellStyle name="Comma 20 2 2 3 3 2" xfId="3763"/>
    <cellStyle name="Comma 20 2 2 3 3 3" xfId="7690"/>
    <cellStyle name="Comma 20 2 2 3 4" xfId="4737"/>
    <cellStyle name="Comma 20 2 2 3 5" xfId="5233"/>
    <cellStyle name="Comma 20 2 2 3 6" xfId="5735"/>
    <cellStyle name="Comma 20 2 2 3 7" xfId="2755"/>
    <cellStyle name="Comma 20 2 2 3 8" xfId="6676"/>
    <cellStyle name="Comma 20 2 2 4" xfId="1194"/>
    <cellStyle name="Comma 20 2 2 4 2" xfId="4011"/>
    <cellStyle name="Comma 20 2 2 4 3" xfId="3001"/>
    <cellStyle name="Comma 20 2 2 4 4" xfId="6934"/>
    <cellStyle name="Comma 20 2 2 5" xfId="1702"/>
    <cellStyle name="Comma 20 2 2 5 2" xfId="3515"/>
    <cellStyle name="Comma 20 2 2 5 3" xfId="7442"/>
    <cellStyle name="Comma 20 2 2 6" xfId="4509"/>
    <cellStyle name="Comma 20 2 2 7" xfId="4985"/>
    <cellStyle name="Comma 20 2 2 8" xfId="5487"/>
    <cellStyle name="Comma 20 2 2 9" xfId="2525"/>
    <cellStyle name="Comma 20 2 3" xfId="769"/>
    <cellStyle name="Comma 20 2 3 2" xfId="1017"/>
    <cellStyle name="Comma 20 2 3 2 2" xfId="1523"/>
    <cellStyle name="Comma 20 2 3 2 2 2" xfId="4338"/>
    <cellStyle name="Comma 20 2 3 2 2 3" xfId="3328"/>
    <cellStyle name="Comma 20 2 3 2 2 4" xfId="7263"/>
    <cellStyle name="Comma 20 2 3 2 3" xfId="2031"/>
    <cellStyle name="Comma 20 2 3 2 3 2" xfId="3844"/>
    <cellStyle name="Comma 20 2 3 2 3 3" xfId="7771"/>
    <cellStyle name="Comma 20 2 3 2 4" xfId="4816"/>
    <cellStyle name="Comma 20 2 3 2 5" xfId="5314"/>
    <cellStyle name="Comma 20 2 3 2 6" xfId="5816"/>
    <cellStyle name="Comma 20 2 3 2 7" xfId="2834"/>
    <cellStyle name="Comma 20 2 3 2 8" xfId="6757"/>
    <cellStyle name="Comma 20 2 3 3" xfId="1275"/>
    <cellStyle name="Comma 20 2 3 3 2" xfId="4090"/>
    <cellStyle name="Comma 20 2 3 3 3" xfId="3080"/>
    <cellStyle name="Comma 20 2 3 3 4" xfId="7015"/>
    <cellStyle name="Comma 20 2 3 4" xfId="1783"/>
    <cellStyle name="Comma 20 2 3 4 2" xfId="3596"/>
    <cellStyle name="Comma 20 2 3 4 3" xfId="7523"/>
    <cellStyle name="Comma 20 2 3 5" xfId="4582"/>
    <cellStyle name="Comma 20 2 3 6" xfId="5066"/>
    <cellStyle name="Comma 20 2 3 7" xfId="5568"/>
    <cellStyle name="Comma 20 2 3 8" xfId="2598"/>
    <cellStyle name="Comma 20 2 3 9" xfId="6509"/>
    <cellStyle name="Comma 20 2 4" xfId="893"/>
    <cellStyle name="Comma 20 2 4 2" xfId="1399"/>
    <cellStyle name="Comma 20 2 4 2 2" xfId="4214"/>
    <cellStyle name="Comma 20 2 4 2 3" xfId="3204"/>
    <cellStyle name="Comma 20 2 4 2 4" xfId="7139"/>
    <cellStyle name="Comma 20 2 4 3" xfId="1907"/>
    <cellStyle name="Comma 20 2 4 3 2" xfId="3720"/>
    <cellStyle name="Comma 20 2 4 3 3" xfId="7647"/>
    <cellStyle name="Comma 20 2 4 4" xfId="4698"/>
    <cellStyle name="Comma 20 2 4 5" xfId="5190"/>
    <cellStyle name="Comma 20 2 4 6" xfId="5692"/>
    <cellStyle name="Comma 20 2 4 7" xfId="2716"/>
    <cellStyle name="Comma 20 2 4 8" xfId="6633"/>
    <cellStyle name="Comma 20 2 5" xfId="1151"/>
    <cellStyle name="Comma 20 2 5 2" xfId="3968"/>
    <cellStyle name="Comma 20 2 5 3" xfId="2958"/>
    <cellStyle name="Comma 20 2 5 4" xfId="6891"/>
    <cellStyle name="Comma 20 2 6" xfId="1659"/>
    <cellStyle name="Comma 20 2 6 2" xfId="3472"/>
    <cellStyle name="Comma 20 2 6 3" xfId="7399"/>
    <cellStyle name="Comma 20 2 7" xfId="4468"/>
    <cellStyle name="Comma 20 2 8" xfId="4944"/>
    <cellStyle name="Comma 20 2 9" xfId="5444"/>
    <cellStyle name="Comma 20 3" xfId="665"/>
    <cellStyle name="Comma 20 3 10" xfId="2504"/>
    <cellStyle name="Comma 20 3 11" xfId="6405"/>
    <cellStyle name="Comma 20 3 2" xfId="689"/>
    <cellStyle name="Comma 20 3 2 10" xfId="6429"/>
    <cellStyle name="Comma 20 3 2 2" xfId="813"/>
    <cellStyle name="Comma 20 3 2 2 2" xfId="1061"/>
    <cellStyle name="Comma 20 3 2 2 2 2" xfId="1567"/>
    <cellStyle name="Comma 20 3 2 2 2 2 2" xfId="4382"/>
    <cellStyle name="Comma 20 3 2 2 2 2 3" xfId="3372"/>
    <cellStyle name="Comma 20 3 2 2 2 2 4" xfId="7307"/>
    <cellStyle name="Comma 20 3 2 2 2 3" xfId="2075"/>
    <cellStyle name="Comma 20 3 2 2 2 3 2" xfId="3888"/>
    <cellStyle name="Comma 20 3 2 2 2 3 3" xfId="7815"/>
    <cellStyle name="Comma 20 3 2 2 2 4" xfId="4860"/>
    <cellStyle name="Comma 20 3 2 2 2 5" xfId="5358"/>
    <cellStyle name="Comma 20 3 2 2 2 6" xfId="5860"/>
    <cellStyle name="Comma 20 3 2 2 2 7" xfId="2878"/>
    <cellStyle name="Comma 20 3 2 2 2 8" xfId="6801"/>
    <cellStyle name="Comma 20 3 2 2 3" xfId="1319"/>
    <cellStyle name="Comma 20 3 2 2 3 2" xfId="4134"/>
    <cellStyle name="Comma 20 3 2 2 3 3" xfId="3124"/>
    <cellStyle name="Comma 20 3 2 2 3 4" xfId="7059"/>
    <cellStyle name="Comma 20 3 2 2 4" xfId="1827"/>
    <cellStyle name="Comma 20 3 2 2 4 2" xfId="3640"/>
    <cellStyle name="Comma 20 3 2 2 4 3" xfId="7567"/>
    <cellStyle name="Comma 20 3 2 2 5" xfId="4622"/>
    <cellStyle name="Comma 20 3 2 2 6" xfId="5110"/>
    <cellStyle name="Comma 20 3 2 2 7" xfId="5612"/>
    <cellStyle name="Comma 20 3 2 2 8" xfId="2638"/>
    <cellStyle name="Comma 20 3 2 2 9" xfId="6553"/>
    <cellStyle name="Comma 20 3 2 3" xfId="937"/>
    <cellStyle name="Comma 20 3 2 3 2" xfId="1443"/>
    <cellStyle name="Comma 20 3 2 3 2 2" xfId="4258"/>
    <cellStyle name="Comma 20 3 2 3 2 3" xfId="3248"/>
    <cellStyle name="Comma 20 3 2 3 2 4" xfId="7183"/>
    <cellStyle name="Comma 20 3 2 3 3" xfId="1951"/>
    <cellStyle name="Comma 20 3 2 3 3 2" xfId="3764"/>
    <cellStyle name="Comma 20 3 2 3 3 3" xfId="7691"/>
    <cellStyle name="Comma 20 3 2 3 4" xfId="4738"/>
    <cellStyle name="Comma 20 3 2 3 5" xfId="5234"/>
    <cellStyle name="Comma 20 3 2 3 6" xfId="5736"/>
    <cellStyle name="Comma 20 3 2 3 7" xfId="2756"/>
    <cellStyle name="Comma 20 3 2 3 8" xfId="6677"/>
    <cellStyle name="Comma 20 3 2 4" xfId="1195"/>
    <cellStyle name="Comma 20 3 2 4 2" xfId="4012"/>
    <cellStyle name="Comma 20 3 2 4 3" xfId="3002"/>
    <cellStyle name="Comma 20 3 2 4 4" xfId="6935"/>
    <cellStyle name="Comma 20 3 2 5" xfId="1703"/>
    <cellStyle name="Comma 20 3 2 5 2" xfId="3516"/>
    <cellStyle name="Comma 20 3 2 5 3" xfId="7443"/>
    <cellStyle name="Comma 20 3 2 6" xfId="4510"/>
    <cellStyle name="Comma 20 3 2 7" xfId="4986"/>
    <cellStyle name="Comma 20 3 2 8" xfId="5488"/>
    <cellStyle name="Comma 20 3 2 9" xfId="2526"/>
    <cellStyle name="Comma 20 3 3" xfId="789"/>
    <cellStyle name="Comma 20 3 3 2" xfId="1037"/>
    <cellStyle name="Comma 20 3 3 2 2" xfId="1543"/>
    <cellStyle name="Comma 20 3 3 2 2 2" xfId="4358"/>
    <cellStyle name="Comma 20 3 3 2 2 3" xfId="3348"/>
    <cellStyle name="Comma 20 3 3 2 2 4" xfId="7283"/>
    <cellStyle name="Comma 20 3 3 2 3" xfId="2051"/>
    <cellStyle name="Comma 20 3 3 2 3 2" xfId="3864"/>
    <cellStyle name="Comma 20 3 3 2 3 3" xfId="7791"/>
    <cellStyle name="Comma 20 3 3 2 4" xfId="4836"/>
    <cellStyle name="Comma 20 3 3 2 5" xfId="5334"/>
    <cellStyle name="Comma 20 3 3 2 6" xfId="5836"/>
    <cellStyle name="Comma 20 3 3 2 7" xfId="2854"/>
    <cellStyle name="Comma 20 3 3 2 8" xfId="6777"/>
    <cellStyle name="Comma 20 3 3 3" xfId="1295"/>
    <cellStyle name="Comma 20 3 3 3 2" xfId="4110"/>
    <cellStyle name="Comma 20 3 3 3 3" xfId="3100"/>
    <cellStyle name="Comma 20 3 3 3 4" xfId="7035"/>
    <cellStyle name="Comma 20 3 3 4" xfId="1803"/>
    <cellStyle name="Comma 20 3 3 4 2" xfId="3616"/>
    <cellStyle name="Comma 20 3 3 4 3" xfId="7543"/>
    <cellStyle name="Comma 20 3 3 5" xfId="4600"/>
    <cellStyle name="Comma 20 3 3 6" xfId="5086"/>
    <cellStyle name="Comma 20 3 3 7" xfId="5588"/>
    <cellStyle name="Comma 20 3 3 8" xfId="2616"/>
    <cellStyle name="Comma 20 3 3 9" xfId="6529"/>
    <cellStyle name="Comma 20 3 4" xfId="913"/>
    <cellStyle name="Comma 20 3 4 2" xfId="1419"/>
    <cellStyle name="Comma 20 3 4 2 2" xfId="4234"/>
    <cellStyle name="Comma 20 3 4 2 3" xfId="3224"/>
    <cellStyle name="Comma 20 3 4 2 4" xfId="7159"/>
    <cellStyle name="Comma 20 3 4 3" xfId="1927"/>
    <cellStyle name="Comma 20 3 4 3 2" xfId="3740"/>
    <cellStyle name="Comma 20 3 4 3 3" xfId="7667"/>
    <cellStyle name="Comma 20 3 4 4" xfId="4716"/>
    <cellStyle name="Comma 20 3 4 5" xfId="5210"/>
    <cellStyle name="Comma 20 3 4 6" xfId="5712"/>
    <cellStyle name="Comma 20 3 4 7" xfId="2734"/>
    <cellStyle name="Comma 20 3 4 8" xfId="6653"/>
    <cellStyle name="Comma 20 3 5" xfId="1171"/>
    <cellStyle name="Comma 20 3 5 2" xfId="3988"/>
    <cellStyle name="Comma 20 3 5 3" xfId="2978"/>
    <cellStyle name="Comma 20 3 5 4" xfId="6911"/>
    <cellStyle name="Comma 20 3 6" xfId="1679"/>
    <cellStyle name="Comma 20 3 6 2" xfId="3492"/>
    <cellStyle name="Comma 20 3 6 3" xfId="7419"/>
    <cellStyle name="Comma 20 3 7" xfId="4488"/>
    <cellStyle name="Comma 20 3 8" xfId="4962"/>
    <cellStyle name="Comma 20 3 9" xfId="5464"/>
    <cellStyle name="Comma 20 4" xfId="687"/>
    <cellStyle name="Comma 20 4 10" xfId="6427"/>
    <cellStyle name="Comma 20 4 2" xfId="811"/>
    <cellStyle name="Comma 20 4 2 2" xfId="1059"/>
    <cellStyle name="Comma 20 4 2 2 2" xfId="1565"/>
    <cellStyle name="Comma 20 4 2 2 2 2" xfId="4380"/>
    <cellStyle name="Comma 20 4 2 2 2 3" xfId="3370"/>
    <cellStyle name="Comma 20 4 2 2 2 4" xfId="7305"/>
    <cellStyle name="Comma 20 4 2 2 3" xfId="2073"/>
    <cellStyle name="Comma 20 4 2 2 3 2" xfId="3886"/>
    <cellStyle name="Comma 20 4 2 2 3 3" xfId="7813"/>
    <cellStyle name="Comma 20 4 2 2 4" xfId="4858"/>
    <cellStyle name="Comma 20 4 2 2 5" xfId="5356"/>
    <cellStyle name="Comma 20 4 2 2 6" xfId="5858"/>
    <cellStyle name="Comma 20 4 2 2 7" xfId="2876"/>
    <cellStyle name="Comma 20 4 2 2 8" xfId="6799"/>
    <cellStyle name="Comma 20 4 2 3" xfId="1317"/>
    <cellStyle name="Comma 20 4 2 3 2" xfId="4132"/>
    <cellStyle name="Comma 20 4 2 3 3" xfId="3122"/>
    <cellStyle name="Comma 20 4 2 3 4" xfId="7057"/>
    <cellStyle name="Comma 20 4 2 4" xfId="1825"/>
    <cellStyle name="Comma 20 4 2 4 2" xfId="3638"/>
    <cellStyle name="Comma 20 4 2 4 3" xfId="7565"/>
    <cellStyle name="Comma 20 4 2 5" xfId="4620"/>
    <cellStyle name="Comma 20 4 2 6" xfId="5108"/>
    <cellStyle name="Comma 20 4 2 7" xfId="5610"/>
    <cellStyle name="Comma 20 4 2 8" xfId="2636"/>
    <cellStyle name="Comma 20 4 2 9" xfId="6551"/>
    <cellStyle name="Comma 20 4 3" xfId="935"/>
    <cellStyle name="Comma 20 4 3 2" xfId="1441"/>
    <cellStyle name="Comma 20 4 3 2 2" xfId="4256"/>
    <cellStyle name="Comma 20 4 3 2 3" xfId="3246"/>
    <cellStyle name="Comma 20 4 3 2 4" xfId="7181"/>
    <cellStyle name="Comma 20 4 3 3" xfId="1949"/>
    <cellStyle name="Comma 20 4 3 3 2" xfId="3762"/>
    <cellStyle name="Comma 20 4 3 3 3" xfId="7689"/>
    <cellStyle name="Comma 20 4 3 4" xfId="4736"/>
    <cellStyle name="Comma 20 4 3 5" xfId="5232"/>
    <cellStyle name="Comma 20 4 3 6" xfId="5734"/>
    <cellStyle name="Comma 20 4 3 7" xfId="2754"/>
    <cellStyle name="Comma 20 4 3 8" xfId="6675"/>
    <cellStyle name="Comma 20 4 4" xfId="1193"/>
    <cellStyle name="Comma 20 4 4 2" xfId="4010"/>
    <cellStyle name="Comma 20 4 4 3" xfId="3000"/>
    <cellStyle name="Comma 20 4 4 4" xfId="6933"/>
    <cellStyle name="Comma 20 4 5" xfId="1701"/>
    <cellStyle name="Comma 20 4 5 2" xfId="3514"/>
    <cellStyle name="Comma 20 4 5 3" xfId="7441"/>
    <cellStyle name="Comma 20 4 6" xfId="4508"/>
    <cellStyle name="Comma 20 4 7" xfId="4984"/>
    <cellStyle name="Comma 20 4 8" xfId="5486"/>
    <cellStyle name="Comma 20 4 9" xfId="2524"/>
    <cellStyle name="Comma 20 5" xfId="747"/>
    <cellStyle name="Comma 20 5 2" xfId="995"/>
    <cellStyle name="Comma 20 5 2 2" xfId="1501"/>
    <cellStyle name="Comma 20 5 2 2 2" xfId="4316"/>
    <cellStyle name="Comma 20 5 2 2 3" xfId="3306"/>
    <cellStyle name="Comma 20 5 2 2 4" xfId="7241"/>
    <cellStyle name="Comma 20 5 2 3" xfId="2009"/>
    <cellStyle name="Comma 20 5 2 3 2" xfId="3822"/>
    <cellStyle name="Comma 20 5 2 3 3" xfId="7749"/>
    <cellStyle name="Comma 20 5 2 4" xfId="4794"/>
    <cellStyle name="Comma 20 5 2 5" xfId="5292"/>
    <cellStyle name="Comma 20 5 2 6" xfId="5794"/>
    <cellStyle name="Comma 20 5 2 7" xfId="2812"/>
    <cellStyle name="Comma 20 5 2 8" xfId="6735"/>
    <cellStyle name="Comma 20 5 3" xfId="1253"/>
    <cellStyle name="Comma 20 5 3 2" xfId="4068"/>
    <cellStyle name="Comma 20 5 3 3" xfId="3058"/>
    <cellStyle name="Comma 20 5 3 4" xfId="6993"/>
    <cellStyle name="Comma 20 5 4" xfId="1761"/>
    <cellStyle name="Comma 20 5 4 2" xfId="3574"/>
    <cellStyle name="Comma 20 5 4 3" xfId="7501"/>
    <cellStyle name="Comma 20 5 5" xfId="4562"/>
    <cellStyle name="Comma 20 5 6" xfId="5044"/>
    <cellStyle name="Comma 20 5 7" xfId="5546"/>
    <cellStyle name="Comma 20 5 8" xfId="2578"/>
    <cellStyle name="Comma 20 5 9" xfId="6487"/>
    <cellStyle name="Comma 20 6" xfId="871"/>
    <cellStyle name="Comma 20 6 2" xfId="1377"/>
    <cellStyle name="Comma 20 6 2 2" xfId="4192"/>
    <cellStyle name="Comma 20 6 2 3" xfId="3182"/>
    <cellStyle name="Comma 20 6 2 4" xfId="7117"/>
    <cellStyle name="Comma 20 6 3" xfId="1885"/>
    <cellStyle name="Comma 20 6 3 2" xfId="3698"/>
    <cellStyle name="Comma 20 6 3 3" xfId="7625"/>
    <cellStyle name="Comma 20 6 4" xfId="4678"/>
    <cellStyle name="Comma 20 6 5" xfId="5168"/>
    <cellStyle name="Comma 20 6 6" xfId="5670"/>
    <cellStyle name="Comma 20 6 7" xfId="2694"/>
    <cellStyle name="Comma 20 6 8" xfId="6611"/>
    <cellStyle name="Comma 20 7" xfId="1129"/>
    <cellStyle name="Comma 20 7 2" xfId="3946"/>
    <cellStyle name="Comma 20 7 3" xfId="2936"/>
    <cellStyle name="Comma 20 7 4" xfId="6869"/>
    <cellStyle name="Comma 20 8" xfId="1636"/>
    <cellStyle name="Comma 20 8 2" xfId="3450"/>
    <cellStyle name="Comma 20 8 3" xfId="7376"/>
    <cellStyle name="Comma 20 9" xfId="4446"/>
    <cellStyle name="Comma 21" xfId="5924"/>
    <cellStyle name="Comma 22" xfId="6002"/>
    <cellStyle name="Comma 23" xfId="6000"/>
    <cellStyle name="Comma 24" xfId="6018"/>
    <cellStyle name="Comma 25" xfId="5992"/>
    <cellStyle name="Comma 26" xfId="6017"/>
    <cellStyle name="Comma 27" xfId="5974"/>
    <cellStyle name="Comma 28" xfId="5983"/>
    <cellStyle name="Comma 29" xfId="6021"/>
    <cellStyle name="Comma 3" xfId="59"/>
    <cellStyle name="Comma 3 10" xfId="632"/>
    <cellStyle name="Comma 3 10 10" xfId="4939"/>
    <cellStyle name="Comma 3 10 11" xfId="5439"/>
    <cellStyle name="Comma 3 10 12" xfId="2481"/>
    <cellStyle name="Comma 3 10 13" xfId="6377"/>
    <cellStyle name="Comma 3 10 2" xfId="662"/>
    <cellStyle name="Comma 3 10 2 10" xfId="2501"/>
    <cellStyle name="Comma 3 10 2 11" xfId="6402"/>
    <cellStyle name="Comma 3 10 2 2" xfId="691"/>
    <cellStyle name="Comma 3 10 2 2 10" xfId="6431"/>
    <cellStyle name="Comma 3 10 2 2 2" xfId="815"/>
    <cellStyle name="Comma 3 10 2 2 2 2" xfId="1063"/>
    <cellStyle name="Comma 3 10 2 2 2 2 2" xfId="1569"/>
    <cellStyle name="Comma 3 10 2 2 2 2 2 2" xfId="4384"/>
    <cellStyle name="Comma 3 10 2 2 2 2 2 3" xfId="3374"/>
    <cellStyle name="Comma 3 10 2 2 2 2 2 4" xfId="7309"/>
    <cellStyle name="Comma 3 10 2 2 2 2 3" xfId="2077"/>
    <cellStyle name="Comma 3 10 2 2 2 2 3 2" xfId="3890"/>
    <cellStyle name="Comma 3 10 2 2 2 2 3 3" xfId="7817"/>
    <cellStyle name="Comma 3 10 2 2 2 2 4" xfId="4862"/>
    <cellStyle name="Comma 3 10 2 2 2 2 5" xfId="5360"/>
    <cellStyle name="Comma 3 10 2 2 2 2 6" xfId="5862"/>
    <cellStyle name="Comma 3 10 2 2 2 2 7" xfId="2880"/>
    <cellStyle name="Comma 3 10 2 2 2 2 8" xfId="6803"/>
    <cellStyle name="Comma 3 10 2 2 2 3" xfId="1321"/>
    <cellStyle name="Comma 3 10 2 2 2 3 2" xfId="4136"/>
    <cellStyle name="Comma 3 10 2 2 2 3 3" xfId="3126"/>
    <cellStyle name="Comma 3 10 2 2 2 3 4" xfId="7061"/>
    <cellStyle name="Comma 3 10 2 2 2 4" xfId="1829"/>
    <cellStyle name="Comma 3 10 2 2 2 4 2" xfId="3642"/>
    <cellStyle name="Comma 3 10 2 2 2 4 3" xfId="7569"/>
    <cellStyle name="Comma 3 10 2 2 2 5" xfId="4624"/>
    <cellStyle name="Comma 3 10 2 2 2 6" xfId="5112"/>
    <cellStyle name="Comma 3 10 2 2 2 7" xfId="5614"/>
    <cellStyle name="Comma 3 10 2 2 2 8" xfId="2640"/>
    <cellStyle name="Comma 3 10 2 2 2 9" xfId="6555"/>
    <cellStyle name="Comma 3 10 2 2 3" xfId="939"/>
    <cellStyle name="Comma 3 10 2 2 3 2" xfId="1445"/>
    <cellStyle name="Comma 3 10 2 2 3 2 2" xfId="4260"/>
    <cellStyle name="Comma 3 10 2 2 3 2 3" xfId="3250"/>
    <cellStyle name="Comma 3 10 2 2 3 2 4" xfId="7185"/>
    <cellStyle name="Comma 3 10 2 2 3 3" xfId="1953"/>
    <cellStyle name="Comma 3 10 2 2 3 3 2" xfId="3766"/>
    <cellStyle name="Comma 3 10 2 2 3 3 3" xfId="7693"/>
    <cellStyle name="Comma 3 10 2 2 3 4" xfId="4740"/>
    <cellStyle name="Comma 3 10 2 2 3 5" xfId="5236"/>
    <cellStyle name="Comma 3 10 2 2 3 6" xfId="5738"/>
    <cellStyle name="Comma 3 10 2 2 3 7" xfId="2758"/>
    <cellStyle name="Comma 3 10 2 2 3 8" xfId="6679"/>
    <cellStyle name="Comma 3 10 2 2 4" xfId="1197"/>
    <cellStyle name="Comma 3 10 2 2 4 2" xfId="4014"/>
    <cellStyle name="Comma 3 10 2 2 4 3" xfId="3004"/>
    <cellStyle name="Comma 3 10 2 2 4 4" xfId="6937"/>
    <cellStyle name="Comma 3 10 2 2 5" xfId="1705"/>
    <cellStyle name="Comma 3 10 2 2 5 2" xfId="3518"/>
    <cellStyle name="Comma 3 10 2 2 5 3" xfId="7445"/>
    <cellStyle name="Comma 3 10 2 2 6" xfId="4512"/>
    <cellStyle name="Comma 3 10 2 2 7" xfId="4988"/>
    <cellStyle name="Comma 3 10 2 2 8" xfId="5490"/>
    <cellStyle name="Comma 3 10 2 2 9" xfId="2528"/>
    <cellStyle name="Comma 3 10 2 3" xfId="786"/>
    <cellStyle name="Comma 3 10 2 3 2" xfId="1034"/>
    <cellStyle name="Comma 3 10 2 3 2 2" xfId="1540"/>
    <cellStyle name="Comma 3 10 2 3 2 2 2" xfId="4355"/>
    <cellStyle name="Comma 3 10 2 3 2 2 3" xfId="3345"/>
    <cellStyle name="Comma 3 10 2 3 2 2 4" xfId="7280"/>
    <cellStyle name="Comma 3 10 2 3 2 3" xfId="2048"/>
    <cellStyle name="Comma 3 10 2 3 2 3 2" xfId="3861"/>
    <cellStyle name="Comma 3 10 2 3 2 3 3" xfId="7788"/>
    <cellStyle name="Comma 3 10 2 3 2 4" xfId="4833"/>
    <cellStyle name="Comma 3 10 2 3 2 5" xfId="5331"/>
    <cellStyle name="Comma 3 10 2 3 2 6" xfId="5833"/>
    <cellStyle name="Comma 3 10 2 3 2 7" xfId="2851"/>
    <cellStyle name="Comma 3 10 2 3 2 8" xfId="6774"/>
    <cellStyle name="Comma 3 10 2 3 3" xfId="1292"/>
    <cellStyle name="Comma 3 10 2 3 3 2" xfId="4107"/>
    <cellStyle name="Comma 3 10 2 3 3 3" xfId="3097"/>
    <cellStyle name="Comma 3 10 2 3 3 4" xfId="7032"/>
    <cellStyle name="Comma 3 10 2 3 4" xfId="1800"/>
    <cellStyle name="Comma 3 10 2 3 4 2" xfId="3613"/>
    <cellStyle name="Comma 3 10 2 3 4 3" xfId="7540"/>
    <cellStyle name="Comma 3 10 2 3 5" xfId="4597"/>
    <cellStyle name="Comma 3 10 2 3 6" xfId="5083"/>
    <cellStyle name="Comma 3 10 2 3 7" xfId="5585"/>
    <cellStyle name="Comma 3 10 2 3 8" xfId="2613"/>
    <cellStyle name="Comma 3 10 2 3 9" xfId="6526"/>
    <cellStyle name="Comma 3 10 2 4" xfId="910"/>
    <cellStyle name="Comma 3 10 2 4 2" xfId="1416"/>
    <cellStyle name="Comma 3 10 2 4 2 2" xfId="4231"/>
    <cellStyle name="Comma 3 10 2 4 2 3" xfId="3221"/>
    <cellStyle name="Comma 3 10 2 4 2 4" xfId="7156"/>
    <cellStyle name="Comma 3 10 2 4 3" xfId="1924"/>
    <cellStyle name="Comma 3 10 2 4 3 2" xfId="3737"/>
    <cellStyle name="Comma 3 10 2 4 3 3" xfId="7664"/>
    <cellStyle name="Comma 3 10 2 4 4" xfId="4713"/>
    <cellStyle name="Comma 3 10 2 4 5" xfId="5207"/>
    <cellStyle name="Comma 3 10 2 4 6" xfId="5709"/>
    <cellStyle name="Comma 3 10 2 4 7" xfId="2731"/>
    <cellStyle name="Comma 3 10 2 4 8" xfId="6650"/>
    <cellStyle name="Comma 3 10 2 5" xfId="1168"/>
    <cellStyle name="Comma 3 10 2 5 2" xfId="3985"/>
    <cellStyle name="Comma 3 10 2 5 3" xfId="2975"/>
    <cellStyle name="Comma 3 10 2 5 4" xfId="6908"/>
    <cellStyle name="Comma 3 10 2 6" xfId="1676"/>
    <cellStyle name="Comma 3 10 2 6 2" xfId="3489"/>
    <cellStyle name="Comma 3 10 2 6 3" xfId="7416"/>
    <cellStyle name="Comma 3 10 2 7" xfId="4485"/>
    <cellStyle name="Comma 3 10 2 8" xfId="4959"/>
    <cellStyle name="Comma 3 10 2 9" xfId="5461"/>
    <cellStyle name="Comma 3 10 3" xfId="682"/>
    <cellStyle name="Comma 3 10 3 10" xfId="2519"/>
    <cellStyle name="Comma 3 10 3 11" xfId="6422"/>
    <cellStyle name="Comma 3 10 3 2" xfId="692"/>
    <cellStyle name="Comma 3 10 3 2 10" xfId="6432"/>
    <cellStyle name="Comma 3 10 3 2 2" xfId="816"/>
    <cellStyle name="Comma 3 10 3 2 2 2" xfId="1064"/>
    <cellStyle name="Comma 3 10 3 2 2 2 2" xfId="1570"/>
    <cellStyle name="Comma 3 10 3 2 2 2 2 2" xfId="4385"/>
    <cellStyle name="Comma 3 10 3 2 2 2 2 3" xfId="3375"/>
    <cellStyle name="Comma 3 10 3 2 2 2 2 4" xfId="7310"/>
    <cellStyle name="Comma 3 10 3 2 2 2 3" xfId="2078"/>
    <cellStyle name="Comma 3 10 3 2 2 2 3 2" xfId="3891"/>
    <cellStyle name="Comma 3 10 3 2 2 2 3 3" xfId="7818"/>
    <cellStyle name="Comma 3 10 3 2 2 2 4" xfId="4863"/>
    <cellStyle name="Comma 3 10 3 2 2 2 5" xfId="5361"/>
    <cellStyle name="Comma 3 10 3 2 2 2 6" xfId="5863"/>
    <cellStyle name="Comma 3 10 3 2 2 2 7" xfId="2881"/>
    <cellStyle name="Comma 3 10 3 2 2 2 8" xfId="6804"/>
    <cellStyle name="Comma 3 10 3 2 2 3" xfId="1322"/>
    <cellStyle name="Comma 3 10 3 2 2 3 2" xfId="4137"/>
    <cellStyle name="Comma 3 10 3 2 2 3 3" xfId="3127"/>
    <cellStyle name="Comma 3 10 3 2 2 3 4" xfId="7062"/>
    <cellStyle name="Comma 3 10 3 2 2 4" xfId="1830"/>
    <cellStyle name="Comma 3 10 3 2 2 4 2" xfId="3643"/>
    <cellStyle name="Comma 3 10 3 2 2 4 3" xfId="7570"/>
    <cellStyle name="Comma 3 10 3 2 2 5" xfId="4625"/>
    <cellStyle name="Comma 3 10 3 2 2 6" xfId="5113"/>
    <cellStyle name="Comma 3 10 3 2 2 7" xfId="5615"/>
    <cellStyle name="Comma 3 10 3 2 2 8" xfId="2641"/>
    <cellStyle name="Comma 3 10 3 2 2 9" xfId="6556"/>
    <cellStyle name="Comma 3 10 3 2 3" xfId="940"/>
    <cellStyle name="Comma 3 10 3 2 3 2" xfId="1446"/>
    <cellStyle name="Comma 3 10 3 2 3 2 2" xfId="4261"/>
    <cellStyle name="Comma 3 10 3 2 3 2 3" xfId="3251"/>
    <cellStyle name="Comma 3 10 3 2 3 2 4" xfId="7186"/>
    <cellStyle name="Comma 3 10 3 2 3 3" xfId="1954"/>
    <cellStyle name="Comma 3 10 3 2 3 3 2" xfId="3767"/>
    <cellStyle name="Comma 3 10 3 2 3 3 3" xfId="7694"/>
    <cellStyle name="Comma 3 10 3 2 3 4" xfId="4741"/>
    <cellStyle name="Comma 3 10 3 2 3 5" xfId="5237"/>
    <cellStyle name="Comma 3 10 3 2 3 6" xfId="5739"/>
    <cellStyle name="Comma 3 10 3 2 3 7" xfId="2759"/>
    <cellStyle name="Comma 3 10 3 2 3 8" xfId="6680"/>
    <cellStyle name="Comma 3 10 3 2 4" xfId="1198"/>
    <cellStyle name="Comma 3 10 3 2 4 2" xfId="4015"/>
    <cellStyle name="Comma 3 10 3 2 4 3" xfId="3005"/>
    <cellStyle name="Comma 3 10 3 2 4 4" xfId="6938"/>
    <cellStyle name="Comma 3 10 3 2 5" xfId="1706"/>
    <cellStyle name="Comma 3 10 3 2 5 2" xfId="3519"/>
    <cellStyle name="Comma 3 10 3 2 5 3" xfId="7446"/>
    <cellStyle name="Comma 3 10 3 2 6" xfId="4513"/>
    <cellStyle name="Comma 3 10 3 2 7" xfId="4989"/>
    <cellStyle name="Comma 3 10 3 2 8" xfId="5491"/>
    <cellStyle name="Comma 3 10 3 2 9" xfId="2529"/>
    <cellStyle name="Comma 3 10 3 3" xfId="806"/>
    <cellStyle name="Comma 3 10 3 3 2" xfId="1054"/>
    <cellStyle name="Comma 3 10 3 3 2 2" xfId="1560"/>
    <cellStyle name="Comma 3 10 3 3 2 2 2" xfId="4375"/>
    <cellStyle name="Comma 3 10 3 3 2 2 3" xfId="3365"/>
    <cellStyle name="Comma 3 10 3 3 2 2 4" xfId="7300"/>
    <cellStyle name="Comma 3 10 3 3 2 3" xfId="2068"/>
    <cellStyle name="Comma 3 10 3 3 2 3 2" xfId="3881"/>
    <cellStyle name="Comma 3 10 3 3 2 3 3" xfId="7808"/>
    <cellStyle name="Comma 3 10 3 3 2 4" xfId="4853"/>
    <cellStyle name="Comma 3 10 3 3 2 5" xfId="5351"/>
    <cellStyle name="Comma 3 10 3 3 2 6" xfId="5853"/>
    <cellStyle name="Comma 3 10 3 3 2 7" xfId="2871"/>
    <cellStyle name="Comma 3 10 3 3 2 8" xfId="6794"/>
    <cellStyle name="Comma 3 10 3 3 3" xfId="1312"/>
    <cellStyle name="Comma 3 10 3 3 3 2" xfId="4127"/>
    <cellStyle name="Comma 3 10 3 3 3 3" xfId="3117"/>
    <cellStyle name="Comma 3 10 3 3 3 4" xfId="7052"/>
    <cellStyle name="Comma 3 10 3 3 4" xfId="1820"/>
    <cellStyle name="Comma 3 10 3 3 4 2" xfId="3633"/>
    <cellStyle name="Comma 3 10 3 3 4 3" xfId="7560"/>
    <cellStyle name="Comma 3 10 3 3 5" xfId="4615"/>
    <cellStyle name="Comma 3 10 3 3 6" xfId="5103"/>
    <cellStyle name="Comma 3 10 3 3 7" xfId="5605"/>
    <cellStyle name="Comma 3 10 3 3 8" xfId="2631"/>
    <cellStyle name="Comma 3 10 3 3 9" xfId="6546"/>
    <cellStyle name="Comma 3 10 3 4" xfId="930"/>
    <cellStyle name="Comma 3 10 3 4 2" xfId="1436"/>
    <cellStyle name="Comma 3 10 3 4 2 2" xfId="4251"/>
    <cellStyle name="Comma 3 10 3 4 2 3" xfId="3241"/>
    <cellStyle name="Comma 3 10 3 4 2 4" xfId="7176"/>
    <cellStyle name="Comma 3 10 3 4 3" xfId="1944"/>
    <cellStyle name="Comma 3 10 3 4 3 2" xfId="3757"/>
    <cellStyle name="Comma 3 10 3 4 3 3" xfId="7684"/>
    <cellStyle name="Comma 3 10 3 4 4" xfId="4731"/>
    <cellStyle name="Comma 3 10 3 4 5" xfId="5227"/>
    <cellStyle name="Comma 3 10 3 4 6" xfId="5729"/>
    <cellStyle name="Comma 3 10 3 4 7" xfId="2749"/>
    <cellStyle name="Comma 3 10 3 4 8" xfId="6670"/>
    <cellStyle name="Comma 3 10 3 5" xfId="1188"/>
    <cellStyle name="Comma 3 10 3 5 2" xfId="4005"/>
    <cellStyle name="Comma 3 10 3 5 3" xfId="2995"/>
    <cellStyle name="Comma 3 10 3 5 4" xfId="6928"/>
    <cellStyle name="Comma 3 10 3 6" xfId="1696"/>
    <cellStyle name="Comma 3 10 3 6 2" xfId="3509"/>
    <cellStyle name="Comma 3 10 3 6 3" xfId="7436"/>
    <cellStyle name="Comma 3 10 3 7" xfId="4503"/>
    <cellStyle name="Comma 3 10 3 8" xfId="4979"/>
    <cellStyle name="Comma 3 10 3 9" xfId="5481"/>
    <cellStyle name="Comma 3 10 4" xfId="690"/>
    <cellStyle name="Comma 3 10 4 10" xfId="6430"/>
    <cellStyle name="Comma 3 10 4 2" xfId="814"/>
    <cellStyle name="Comma 3 10 4 2 2" xfId="1062"/>
    <cellStyle name="Comma 3 10 4 2 2 2" xfId="1568"/>
    <cellStyle name="Comma 3 10 4 2 2 2 2" xfId="4383"/>
    <cellStyle name="Comma 3 10 4 2 2 2 3" xfId="3373"/>
    <cellStyle name="Comma 3 10 4 2 2 2 4" xfId="7308"/>
    <cellStyle name="Comma 3 10 4 2 2 3" xfId="2076"/>
    <cellStyle name="Comma 3 10 4 2 2 3 2" xfId="3889"/>
    <cellStyle name="Comma 3 10 4 2 2 3 3" xfId="7816"/>
    <cellStyle name="Comma 3 10 4 2 2 4" xfId="4861"/>
    <cellStyle name="Comma 3 10 4 2 2 5" xfId="5359"/>
    <cellStyle name="Comma 3 10 4 2 2 6" xfId="5861"/>
    <cellStyle name="Comma 3 10 4 2 2 7" xfId="2879"/>
    <cellStyle name="Comma 3 10 4 2 2 8" xfId="6802"/>
    <cellStyle name="Comma 3 10 4 2 3" xfId="1320"/>
    <cellStyle name="Comma 3 10 4 2 3 2" xfId="4135"/>
    <cellStyle name="Comma 3 10 4 2 3 3" xfId="3125"/>
    <cellStyle name="Comma 3 10 4 2 3 4" xfId="7060"/>
    <cellStyle name="Comma 3 10 4 2 4" xfId="1828"/>
    <cellStyle name="Comma 3 10 4 2 4 2" xfId="3641"/>
    <cellStyle name="Comma 3 10 4 2 4 3" xfId="7568"/>
    <cellStyle name="Comma 3 10 4 2 5" xfId="4623"/>
    <cellStyle name="Comma 3 10 4 2 6" xfId="5111"/>
    <cellStyle name="Comma 3 10 4 2 7" xfId="5613"/>
    <cellStyle name="Comma 3 10 4 2 8" xfId="2639"/>
    <cellStyle name="Comma 3 10 4 2 9" xfId="6554"/>
    <cellStyle name="Comma 3 10 4 3" xfId="938"/>
    <cellStyle name="Comma 3 10 4 3 2" xfId="1444"/>
    <cellStyle name="Comma 3 10 4 3 2 2" xfId="4259"/>
    <cellStyle name="Comma 3 10 4 3 2 3" xfId="3249"/>
    <cellStyle name="Comma 3 10 4 3 2 4" xfId="7184"/>
    <cellStyle name="Comma 3 10 4 3 3" xfId="1952"/>
    <cellStyle name="Comma 3 10 4 3 3 2" xfId="3765"/>
    <cellStyle name="Comma 3 10 4 3 3 3" xfId="7692"/>
    <cellStyle name="Comma 3 10 4 3 4" xfId="4739"/>
    <cellStyle name="Comma 3 10 4 3 5" xfId="5235"/>
    <cellStyle name="Comma 3 10 4 3 6" xfId="5737"/>
    <cellStyle name="Comma 3 10 4 3 7" xfId="2757"/>
    <cellStyle name="Comma 3 10 4 3 8" xfId="6678"/>
    <cellStyle name="Comma 3 10 4 4" xfId="1196"/>
    <cellStyle name="Comma 3 10 4 4 2" xfId="4013"/>
    <cellStyle name="Comma 3 10 4 4 3" xfId="3003"/>
    <cellStyle name="Comma 3 10 4 4 4" xfId="6936"/>
    <cellStyle name="Comma 3 10 4 5" xfId="1704"/>
    <cellStyle name="Comma 3 10 4 5 2" xfId="3517"/>
    <cellStyle name="Comma 3 10 4 5 3" xfId="7444"/>
    <cellStyle name="Comma 3 10 4 6" xfId="4511"/>
    <cellStyle name="Comma 3 10 4 7" xfId="4987"/>
    <cellStyle name="Comma 3 10 4 8" xfId="5489"/>
    <cellStyle name="Comma 3 10 4 9" xfId="2527"/>
    <cellStyle name="Comma 3 10 5" xfId="764"/>
    <cellStyle name="Comma 3 10 5 2" xfId="1012"/>
    <cellStyle name="Comma 3 10 5 2 2" xfId="1518"/>
    <cellStyle name="Comma 3 10 5 2 2 2" xfId="4333"/>
    <cellStyle name="Comma 3 10 5 2 2 3" xfId="3323"/>
    <cellStyle name="Comma 3 10 5 2 2 4" xfId="7258"/>
    <cellStyle name="Comma 3 10 5 2 3" xfId="2026"/>
    <cellStyle name="Comma 3 10 5 2 3 2" xfId="3839"/>
    <cellStyle name="Comma 3 10 5 2 3 3" xfId="7766"/>
    <cellStyle name="Comma 3 10 5 2 4" xfId="4811"/>
    <cellStyle name="Comma 3 10 5 2 5" xfId="5309"/>
    <cellStyle name="Comma 3 10 5 2 6" xfId="5811"/>
    <cellStyle name="Comma 3 10 5 2 7" xfId="2829"/>
    <cellStyle name="Comma 3 10 5 2 8" xfId="6752"/>
    <cellStyle name="Comma 3 10 5 3" xfId="1270"/>
    <cellStyle name="Comma 3 10 5 3 2" xfId="4085"/>
    <cellStyle name="Comma 3 10 5 3 3" xfId="3075"/>
    <cellStyle name="Comma 3 10 5 3 4" xfId="7010"/>
    <cellStyle name="Comma 3 10 5 4" xfId="1778"/>
    <cellStyle name="Comma 3 10 5 4 2" xfId="3591"/>
    <cellStyle name="Comma 3 10 5 4 3" xfId="7518"/>
    <cellStyle name="Comma 3 10 5 5" xfId="4577"/>
    <cellStyle name="Comma 3 10 5 6" xfId="5061"/>
    <cellStyle name="Comma 3 10 5 7" xfId="5563"/>
    <cellStyle name="Comma 3 10 5 8" xfId="2593"/>
    <cellStyle name="Comma 3 10 5 9" xfId="6504"/>
    <cellStyle name="Comma 3 10 6" xfId="888"/>
    <cellStyle name="Comma 3 10 6 2" xfId="1394"/>
    <cellStyle name="Comma 3 10 6 2 2" xfId="4209"/>
    <cellStyle name="Comma 3 10 6 2 3" xfId="3199"/>
    <cellStyle name="Comma 3 10 6 2 4" xfId="7134"/>
    <cellStyle name="Comma 3 10 6 3" xfId="1902"/>
    <cellStyle name="Comma 3 10 6 3 2" xfId="3715"/>
    <cellStyle name="Comma 3 10 6 3 3" xfId="7642"/>
    <cellStyle name="Comma 3 10 6 4" xfId="4693"/>
    <cellStyle name="Comma 3 10 6 5" xfId="5185"/>
    <cellStyle name="Comma 3 10 6 6" xfId="5687"/>
    <cellStyle name="Comma 3 10 6 7" xfId="2711"/>
    <cellStyle name="Comma 3 10 6 8" xfId="6628"/>
    <cellStyle name="Comma 3 10 7" xfId="1146"/>
    <cellStyle name="Comma 3 10 7 2" xfId="3963"/>
    <cellStyle name="Comma 3 10 7 3" xfId="2953"/>
    <cellStyle name="Comma 3 10 7 4" xfId="6886"/>
    <cellStyle name="Comma 3 10 8" xfId="1654"/>
    <cellStyle name="Comma 3 10 8 2" xfId="3467"/>
    <cellStyle name="Comma 3 10 8 3" xfId="7394"/>
    <cellStyle name="Comma 3 10 9" xfId="4463"/>
    <cellStyle name="Comma 3 11" xfId="639"/>
    <cellStyle name="Comma 3 12" xfId="634"/>
    <cellStyle name="Comma 3 12 10" xfId="2483"/>
    <cellStyle name="Comma 3 12 11" xfId="6379"/>
    <cellStyle name="Comma 3 12 2" xfId="693"/>
    <cellStyle name="Comma 3 12 2 10" xfId="6433"/>
    <cellStyle name="Comma 3 12 2 2" xfId="817"/>
    <cellStyle name="Comma 3 12 2 2 2" xfId="1065"/>
    <cellStyle name="Comma 3 12 2 2 2 2" xfId="1571"/>
    <cellStyle name="Comma 3 12 2 2 2 2 2" xfId="4386"/>
    <cellStyle name="Comma 3 12 2 2 2 2 3" xfId="3376"/>
    <cellStyle name="Comma 3 12 2 2 2 2 4" xfId="7311"/>
    <cellStyle name="Comma 3 12 2 2 2 3" xfId="2079"/>
    <cellStyle name="Comma 3 12 2 2 2 3 2" xfId="3892"/>
    <cellStyle name="Comma 3 12 2 2 2 3 3" xfId="7819"/>
    <cellStyle name="Comma 3 12 2 2 2 4" xfId="4864"/>
    <cellStyle name="Comma 3 12 2 2 2 5" xfId="5362"/>
    <cellStyle name="Comma 3 12 2 2 2 6" xfId="5864"/>
    <cellStyle name="Comma 3 12 2 2 2 7" xfId="2882"/>
    <cellStyle name="Comma 3 12 2 2 2 8" xfId="6805"/>
    <cellStyle name="Comma 3 12 2 2 3" xfId="1323"/>
    <cellStyle name="Comma 3 12 2 2 3 2" xfId="4138"/>
    <cellStyle name="Comma 3 12 2 2 3 3" xfId="3128"/>
    <cellStyle name="Comma 3 12 2 2 3 4" xfId="7063"/>
    <cellStyle name="Comma 3 12 2 2 4" xfId="1831"/>
    <cellStyle name="Comma 3 12 2 2 4 2" xfId="3644"/>
    <cellStyle name="Comma 3 12 2 2 4 3" xfId="7571"/>
    <cellStyle name="Comma 3 12 2 2 5" xfId="4626"/>
    <cellStyle name="Comma 3 12 2 2 6" xfId="5114"/>
    <cellStyle name="Comma 3 12 2 2 7" xfId="5616"/>
    <cellStyle name="Comma 3 12 2 2 8" xfId="2642"/>
    <cellStyle name="Comma 3 12 2 2 9" xfId="6557"/>
    <cellStyle name="Comma 3 12 2 3" xfId="941"/>
    <cellStyle name="Comma 3 12 2 3 2" xfId="1447"/>
    <cellStyle name="Comma 3 12 2 3 2 2" xfId="4262"/>
    <cellStyle name="Comma 3 12 2 3 2 3" xfId="3252"/>
    <cellStyle name="Comma 3 12 2 3 2 4" xfId="7187"/>
    <cellStyle name="Comma 3 12 2 3 3" xfId="1955"/>
    <cellStyle name="Comma 3 12 2 3 3 2" xfId="3768"/>
    <cellStyle name="Comma 3 12 2 3 3 3" xfId="7695"/>
    <cellStyle name="Comma 3 12 2 3 4" xfId="4742"/>
    <cellStyle name="Comma 3 12 2 3 5" xfId="5238"/>
    <cellStyle name="Comma 3 12 2 3 6" xfId="5740"/>
    <cellStyle name="Comma 3 12 2 3 7" xfId="2760"/>
    <cellStyle name="Comma 3 12 2 3 8" xfId="6681"/>
    <cellStyle name="Comma 3 12 2 4" xfId="1199"/>
    <cellStyle name="Comma 3 12 2 4 2" xfId="4016"/>
    <cellStyle name="Comma 3 12 2 4 3" xfId="3006"/>
    <cellStyle name="Comma 3 12 2 4 4" xfId="6939"/>
    <cellStyle name="Comma 3 12 2 5" xfId="1707"/>
    <cellStyle name="Comma 3 12 2 5 2" xfId="3520"/>
    <cellStyle name="Comma 3 12 2 5 3" xfId="7447"/>
    <cellStyle name="Comma 3 12 2 6" xfId="4514"/>
    <cellStyle name="Comma 3 12 2 7" xfId="4990"/>
    <cellStyle name="Comma 3 12 2 8" xfId="5492"/>
    <cellStyle name="Comma 3 12 2 9" xfId="2530"/>
    <cellStyle name="Comma 3 12 3" xfId="766"/>
    <cellStyle name="Comma 3 12 3 2" xfId="1014"/>
    <cellStyle name="Comma 3 12 3 2 2" xfId="1520"/>
    <cellStyle name="Comma 3 12 3 2 2 2" xfId="4335"/>
    <cellStyle name="Comma 3 12 3 2 2 3" xfId="3325"/>
    <cellStyle name="Comma 3 12 3 2 2 4" xfId="7260"/>
    <cellStyle name="Comma 3 12 3 2 3" xfId="2028"/>
    <cellStyle name="Comma 3 12 3 2 3 2" xfId="3841"/>
    <cellStyle name="Comma 3 12 3 2 3 3" xfId="7768"/>
    <cellStyle name="Comma 3 12 3 2 4" xfId="4813"/>
    <cellStyle name="Comma 3 12 3 2 5" xfId="5311"/>
    <cellStyle name="Comma 3 12 3 2 6" xfId="5813"/>
    <cellStyle name="Comma 3 12 3 2 7" xfId="2831"/>
    <cellStyle name="Comma 3 12 3 2 8" xfId="6754"/>
    <cellStyle name="Comma 3 12 3 3" xfId="1272"/>
    <cellStyle name="Comma 3 12 3 3 2" xfId="4087"/>
    <cellStyle name="Comma 3 12 3 3 3" xfId="3077"/>
    <cellStyle name="Comma 3 12 3 3 4" xfId="7012"/>
    <cellStyle name="Comma 3 12 3 4" xfId="1780"/>
    <cellStyle name="Comma 3 12 3 4 2" xfId="3593"/>
    <cellStyle name="Comma 3 12 3 4 3" xfId="7520"/>
    <cellStyle name="Comma 3 12 3 5" xfId="4579"/>
    <cellStyle name="Comma 3 12 3 6" xfId="5063"/>
    <cellStyle name="Comma 3 12 3 7" xfId="5565"/>
    <cellStyle name="Comma 3 12 3 8" xfId="2595"/>
    <cellStyle name="Comma 3 12 3 9" xfId="6506"/>
    <cellStyle name="Comma 3 12 4" xfId="890"/>
    <cellStyle name="Comma 3 12 4 2" xfId="1396"/>
    <cellStyle name="Comma 3 12 4 2 2" xfId="4211"/>
    <cellStyle name="Comma 3 12 4 2 3" xfId="3201"/>
    <cellStyle name="Comma 3 12 4 2 4" xfId="7136"/>
    <cellStyle name="Comma 3 12 4 3" xfId="1904"/>
    <cellStyle name="Comma 3 12 4 3 2" xfId="3717"/>
    <cellStyle name="Comma 3 12 4 3 3" xfId="7644"/>
    <cellStyle name="Comma 3 12 4 4" xfId="4695"/>
    <cellStyle name="Comma 3 12 4 5" xfId="5187"/>
    <cellStyle name="Comma 3 12 4 6" xfId="5689"/>
    <cellStyle name="Comma 3 12 4 7" xfId="2713"/>
    <cellStyle name="Comma 3 12 4 8" xfId="6630"/>
    <cellStyle name="Comma 3 12 5" xfId="1148"/>
    <cellStyle name="Comma 3 12 5 2" xfId="3965"/>
    <cellStyle name="Comma 3 12 5 3" xfId="2955"/>
    <cellStyle name="Comma 3 12 5 4" xfId="6888"/>
    <cellStyle name="Comma 3 12 6" xfId="1656"/>
    <cellStyle name="Comma 3 12 6 2" xfId="3469"/>
    <cellStyle name="Comma 3 12 6 3" xfId="7396"/>
    <cellStyle name="Comma 3 12 7" xfId="4465"/>
    <cellStyle name="Comma 3 12 8" xfId="4941"/>
    <cellStyle name="Comma 3 12 9" xfId="5441"/>
    <cellStyle name="Comma 3 13" xfId="3429"/>
    <cellStyle name="Comma 3 13 2" xfId="4439"/>
    <cellStyle name="Comma 3 13 3" xfId="4917"/>
    <cellStyle name="Comma 3 13 4" xfId="5415"/>
    <cellStyle name="Comma 3 13 5" xfId="5917"/>
    <cellStyle name="Comma 3 2" xfId="60"/>
    <cellStyle name="Comma 3 2 2" xfId="61"/>
    <cellStyle name="Comma 3 2 2 2" xfId="2273"/>
    <cellStyle name="Comma 3 2 3" xfId="2222"/>
    <cellStyle name="Comma 3 3" xfId="62"/>
    <cellStyle name="Comma 3 3 2" xfId="63"/>
    <cellStyle name="Comma 3 3 2 2" xfId="2274"/>
    <cellStyle name="Comma 3 3 3" xfId="2223"/>
    <cellStyle name="Comma 3 4" xfId="64"/>
    <cellStyle name="Comma 3 4 10" xfId="4929"/>
    <cellStyle name="Comma 3 4 11" xfId="5427"/>
    <cellStyle name="Comma 3 4 2" xfId="65"/>
    <cellStyle name="Comma 3 4 2 2" xfId="695"/>
    <cellStyle name="Comma 3 4 2 2 10" xfId="2532"/>
    <cellStyle name="Comma 3 4 2 2 2" xfId="819"/>
    <cellStyle name="Comma 3 4 2 2 2 2" xfId="1067"/>
    <cellStyle name="Comma 3 4 2 2 2 2 2" xfId="1573"/>
    <cellStyle name="Comma 3 4 2 2 2 2 2 2" xfId="4388"/>
    <cellStyle name="Comma 3 4 2 2 2 2 2 3" xfId="3378"/>
    <cellStyle name="Comma 3 4 2 2 2 2 2 4" xfId="7313"/>
    <cellStyle name="Comma 3 4 2 2 2 2 3" xfId="2081"/>
    <cellStyle name="Comma 3 4 2 2 2 2 3 2" xfId="3894"/>
    <cellStyle name="Comma 3 4 2 2 2 2 3 3" xfId="7821"/>
    <cellStyle name="Comma 3 4 2 2 2 2 4" xfId="4866"/>
    <cellStyle name="Comma 3 4 2 2 2 2 5" xfId="5364"/>
    <cellStyle name="Comma 3 4 2 2 2 2 6" xfId="5866"/>
    <cellStyle name="Comma 3 4 2 2 2 2 7" xfId="2884"/>
    <cellStyle name="Comma 3 4 2 2 2 2 8" xfId="6807"/>
    <cellStyle name="Comma 3 4 2 2 2 3" xfId="1325"/>
    <cellStyle name="Comma 3 4 2 2 2 3 2" xfId="4140"/>
    <cellStyle name="Comma 3 4 2 2 2 3 3" xfId="3130"/>
    <cellStyle name="Comma 3 4 2 2 2 3 4" xfId="7065"/>
    <cellStyle name="Comma 3 4 2 2 2 4" xfId="1833"/>
    <cellStyle name="Comma 3 4 2 2 2 4 2" xfId="3646"/>
    <cellStyle name="Comma 3 4 2 2 2 4 3" xfId="7573"/>
    <cellStyle name="Comma 3 4 2 2 2 5" xfId="4628"/>
    <cellStyle name="Comma 3 4 2 2 2 6" xfId="5116"/>
    <cellStyle name="Comma 3 4 2 2 2 7" xfId="5618"/>
    <cellStyle name="Comma 3 4 2 2 2 8" xfId="2644"/>
    <cellStyle name="Comma 3 4 2 2 2 9" xfId="6559"/>
    <cellStyle name="Comma 3 4 2 2 3" xfId="943"/>
    <cellStyle name="Comma 3 4 2 2 3 2" xfId="1449"/>
    <cellStyle name="Comma 3 4 2 2 3 2 2" xfId="4264"/>
    <cellStyle name="Comma 3 4 2 2 3 2 3" xfId="3254"/>
    <cellStyle name="Comma 3 4 2 2 3 2 4" xfId="7189"/>
    <cellStyle name="Comma 3 4 2 2 3 3" xfId="1957"/>
    <cellStyle name="Comma 3 4 2 2 3 3 2" xfId="3770"/>
    <cellStyle name="Comma 3 4 2 2 3 3 3" xfId="7697"/>
    <cellStyle name="Comma 3 4 2 2 3 4" xfId="4744"/>
    <cellStyle name="Comma 3 4 2 2 3 5" xfId="5240"/>
    <cellStyle name="Comma 3 4 2 2 3 6" xfId="5742"/>
    <cellStyle name="Comma 3 4 2 2 3 7" xfId="2762"/>
    <cellStyle name="Comma 3 4 2 2 3 8" xfId="6683"/>
    <cellStyle name="Comma 3 4 2 2 4" xfId="1201"/>
    <cellStyle name="Comma 3 4 2 2 4 2" xfId="4018"/>
    <cellStyle name="Comma 3 4 2 2 4 3" xfId="3008"/>
    <cellStyle name="Comma 3 4 2 2 4 4" xfId="6941"/>
    <cellStyle name="Comma 3 4 2 2 5" xfId="1709"/>
    <cellStyle name="Comma 3 4 2 2 5 2" xfId="3522"/>
    <cellStyle name="Comma 3 4 2 2 5 3" xfId="7449"/>
    <cellStyle name="Comma 3 4 2 2 6" xfId="2275"/>
    <cellStyle name="Comma 3 4 2 2 6 2" xfId="4516"/>
    <cellStyle name="Comma 3 4 2 2 6 3" xfId="6435"/>
    <cellStyle name="Comma 3 4 2 2 7" xfId="4992"/>
    <cellStyle name="Comma 3 4 2 2 8" xfId="5494"/>
    <cellStyle name="Comma 3 4 2 2 9" xfId="6009"/>
    <cellStyle name="Comma 3 4 2 3" xfId="774"/>
    <cellStyle name="Comma 3 4 2 3 2" xfId="1022"/>
    <cellStyle name="Comma 3 4 2 3 2 2" xfId="1528"/>
    <cellStyle name="Comma 3 4 2 3 2 2 2" xfId="4343"/>
    <cellStyle name="Comma 3 4 2 3 2 2 3" xfId="3333"/>
    <cellStyle name="Comma 3 4 2 3 2 2 4" xfId="7268"/>
    <cellStyle name="Comma 3 4 2 3 2 3" xfId="2036"/>
    <cellStyle name="Comma 3 4 2 3 2 3 2" xfId="3849"/>
    <cellStyle name="Comma 3 4 2 3 2 3 3" xfId="7776"/>
    <cellStyle name="Comma 3 4 2 3 2 4" xfId="4821"/>
    <cellStyle name="Comma 3 4 2 3 2 5" xfId="5319"/>
    <cellStyle name="Comma 3 4 2 3 2 6" xfId="5821"/>
    <cellStyle name="Comma 3 4 2 3 2 7" xfId="2839"/>
    <cellStyle name="Comma 3 4 2 3 2 8" xfId="6762"/>
    <cellStyle name="Comma 3 4 2 3 3" xfId="1280"/>
    <cellStyle name="Comma 3 4 2 3 3 2" xfId="4095"/>
    <cellStyle name="Comma 3 4 2 3 3 3" xfId="3085"/>
    <cellStyle name="Comma 3 4 2 3 3 4" xfId="7020"/>
    <cellStyle name="Comma 3 4 2 3 4" xfId="1788"/>
    <cellStyle name="Comma 3 4 2 3 4 2" xfId="3601"/>
    <cellStyle name="Comma 3 4 2 3 4 3" xfId="7528"/>
    <cellStyle name="Comma 3 4 2 3 5" xfId="4587"/>
    <cellStyle name="Comma 3 4 2 3 6" xfId="5071"/>
    <cellStyle name="Comma 3 4 2 3 7" xfId="5573"/>
    <cellStyle name="Comma 3 4 2 3 8" xfId="2603"/>
    <cellStyle name="Comma 3 4 2 3 9" xfId="6514"/>
    <cellStyle name="Comma 3 4 2 4" xfId="650"/>
    <cellStyle name="Comma 3 4 2 4 2" xfId="1156"/>
    <cellStyle name="Comma 3 4 2 4 2 2" xfId="4219"/>
    <cellStyle name="Comma 3 4 2 4 2 3" xfId="3209"/>
    <cellStyle name="Comma 3 4 2 4 2 4" xfId="6896"/>
    <cellStyle name="Comma 3 4 2 4 3" xfId="1664"/>
    <cellStyle name="Comma 3 4 2 4 3 2" xfId="3477"/>
    <cellStyle name="Comma 3 4 2 4 3 3" xfId="7404"/>
    <cellStyle name="Comma 3 4 2 4 4" xfId="4703"/>
    <cellStyle name="Comma 3 4 2 4 5" xfId="5195"/>
    <cellStyle name="Comma 3 4 2 4 6" xfId="5697"/>
    <cellStyle name="Comma 3 4 2 4 7" xfId="2491"/>
    <cellStyle name="Comma 3 4 2 4 8" xfId="6390"/>
    <cellStyle name="Comma 3 4 2 5" xfId="898"/>
    <cellStyle name="Comma 3 4 2 5 2" xfId="1404"/>
    <cellStyle name="Comma 3 4 2 5 2 2" xfId="3725"/>
    <cellStyle name="Comma 3 4 2 5 2 3" xfId="7144"/>
    <cellStyle name="Comma 3 4 2 5 3" xfId="1912"/>
    <cellStyle name="Comma 3 4 2 5 3 2" xfId="7652"/>
    <cellStyle name="Comma 3 4 2 5 4" xfId="2721"/>
    <cellStyle name="Comma 3 4 2 5 5" xfId="6638"/>
    <cellStyle name="Comma 3 4 2 6" xfId="2963"/>
    <cellStyle name="Comma 3 4 2 6 2" xfId="3973"/>
    <cellStyle name="Comma 3 4 2 7" xfId="4473"/>
    <cellStyle name="Comma 3 4 2 8" xfId="4949"/>
    <cellStyle name="Comma 3 4 2 9" xfId="5449"/>
    <cellStyle name="Comma 3 4 3" xfId="670"/>
    <cellStyle name="Comma 3 4 3 10" xfId="6005"/>
    <cellStyle name="Comma 3 4 3 11" xfId="2509"/>
    <cellStyle name="Comma 3 4 3 2" xfId="696"/>
    <cellStyle name="Comma 3 4 3 2 10" xfId="6436"/>
    <cellStyle name="Comma 3 4 3 2 2" xfId="820"/>
    <cellStyle name="Comma 3 4 3 2 2 2" xfId="1068"/>
    <cellStyle name="Comma 3 4 3 2 2 2 2" xfId="1574"/>
    <cellStyle name="Comma 3 4 3 2 2 2 2 2" xfId="4389"/>
    <cellStyle name="Comma 3 4 3 2 2 2 2 3" xfId="3379"/>
    <cellStyle name="Comma 3 4 3 2 2 2 2 4" xfId="7314"/>
    <cellStyle name="Comma 3 4 3 2 2 2 3" xfId="2082"/>
    <cellStyle name="Comma 3 4 3 2 2 2 3 2" xfId="3895"/>
    <cellStyle name="Comma 3 4 3 2 2 2 3 3" xfId="7822"/>
    <cellStyle name="Comma 3 4 3 2 2 2 4" xfId="4867"/>
    <cellStyle name="Comma 3 4 3 2 2 2 5" xfId="5365"/>
    <cellStyle name="Comma 3 4 3 2 2 2 6" xfId="5867"/>
    <cellStyle name="Comma 3 4 3 2 2 2 7" xfId="2885"/>
    <cellStyle name="Comma 3 4 3 2 2 2 8" xfId="6808"/>
    <cellStyle name="Comma 3 4 3 2 2 3" xfId="1326"/>
    <cellStyle name="Comma 3 4 3 2 2 3 2" xfId="4141"/>
    <cellStyle name="Comma 3 4 3 2 2 3 3" xfId="3131"/>
    <cellStyle name="Comma 3 4 3 2 2 3 4" xfId="7066"/>
    <cellStyle name="Comma 3 4 3 2 2 4" xfId="1834"/>
    <cellStyle name="Comma 3 4 3 2 2 4 2" xfId="3647"/>
    <cellStyle name="Comma 3 4 3 2 2 4 3" xfId="7574"/>
    <cellStyle name="Comma 3 4 3 2 2 5" xfId="4629"/>
    <cellStyle name="Comma 3 4 3 2 2 6" xfId="5117"/>
    <cellStyle name="Comma 3 4 3 2 2 7" xfId="5619"/>
    <cellStyle name="Comma 3 4 3 2 2 8" xfId="2645"/>
    <cellStyle name="Comma 3 4 3 2 2 9" xfId="6560"/>
    <cellStyle name="Comma 3 4 3 2 3" xfId="944"/>
    <cellStyle name="Comma 3 4 3 2 3 2" xfId="1450"/>
    <cellStyle name="Comma 3 4 3 2 3 2 2" xfId="4265"/>
    <cellStyle name="Comma 3 4 3 2 3 2 3" xfId="3255"/>
    <cellStyle name="Comma 3 4 3 2 3 2 4" xfId="7190"/>
    <cellStyle name="Comma 3 4 3 2 3 3" xfId="1958"/>
    <cellStyle name="Comma 3 4 3 2 3 3 2" xfId="3771"/>
    <cellStyle name="Comma 3 4 3 2 3 3 3" xfId="7698"/>
    <cellStyle name="Comma 3 4 3 2 3 4" xfId="4745"/>
    <cellStyle name="Comma 3 4 3 2 3 5" xfId="5241"/>
    <cellStyle name="Comma 3 4 3 2 3 6" xfId="5743"/>
    <cellStyle name="Comma 3 4 3 2 3 7" xfId="2763"/>
    <cellStyle name="Comma 3 4 3 2 3 8" xfId="6684"/>
    <cellStyle name="Comma 3 4 3 2 4" xfId="1202"/>
    <cellStyle name="Comma 3 4 3 2 4 2" xfId="4019"/>
    <cellStyle name="Comma 3 4 3 2 4 3" xfId="3009"/>
    <cellStyle name="Comma 3 4 3 2 4 4" xfId="6942"/>
    <cellStyle name="Comma 3 4 3 2 5" xfId="1710"/>
    <cellStyle name="Comma 3 4 3 2 5 2" xfId="3523"/>
    <cellStyle name="Comma 3 4 3 2 5 3" xfId="7450"/>
    <cellStyle name="Comma 3 4 3 2 6" xfId="4517"/>
    <cellStyle name="Comma 3 4 3 2 7" xfId="4993"/>
    <cellStyle name="Comma 3 4 3 2 8" xfId="5495"/>
    <cellStyle name="Comma 3 4 3 2 9" xfId="2533"/>
    <cellStyle name="Comma 3 4 3 3" xfId="794"/>
    <cellStyle name="Comma 3 4 3 3 2" xfId="1042"/>
    <cellStyle name="Comma 3 4 3 3 2 2" xfId="1548"/>
    <cellStyle name="Comma 3 4 3 3 2 2 2" xfId="4363"/>
    <cellStyle name="Comma 3 4 3 3 2 2 3" xfId="3353"/>
    <cellStyle name="Comma 3 4 3 3 2 2 4" xfId="7288"/>
    <cellStyle name="Comma 3 4 3 3 2 3" xfId="2056"/>
    <cellStyle name="Comma 3 4 3 3 2 3 2" xfId="3869"/>
    <cellStyle name="Comma 3 4 3 3 2 3 3" xfId="7796"/>
    <cellStyle name="Comma 3 4 3 3 2 4" xfId="4841"/>
    <cellStyle name="Comma 3 4 3 3 2 5" xfId="5339"/>
    <cellStyle name="Comma 3 4 3 3 2 6" xfId="5841"/>
    <cellStyle name="Comma 3 4 3 3 2 7" xfId="2859"/>
    <cellStyle name="Comma 3 4 3 3 2 8" xfId="6782"/>
    <cellStyle name="Comma 3 4 3 3 3" xfId="1300"/>
    <cellStyle name="Comma 3 4 3 3 3 2" xfId="4115"/>
    <cellStyle name="Comma 3 4 3 3 3 3" xfId="3105"/>
    <cellStyle name="Comma 3 4 3 3 3 4" xfId="7040"/>
    <cellStyle name="Comma 3 4 3 3 4" xfId="1808"/>
    <cellStyle name="Comma 3 4 3 3 4 2" xfId="3621"/>
    <cellStyle name="Comma 3 4 3 3 4 3" xfId="7548"/>
    <cellStyle name="Comma 3 4 3 3 5" xfId="4605"/>
    <cellStyle name="Comma 3 4 3 3 6" xfId="5091"/>
    <cellStyle name="Comma 3 4 3 3 7" xfId="5593"/>
    <cellStyle name="Comma 3 4 3 3 8" xfId="2621"/>
    <cellStyle name="Comma 3 4 3 3 9" xfId="6534"/>
    <cellStyle name="Comma 3 4 3 4" xfId="918"/>
    <cellStyle name="Comma 3 4 3 4 2" xfId="1424"/>
    <cellStyle name="Comma 3 4 3 4 2 2" xfId="4239"/>
    <cellStyle name="Comma 3 4 3 4 2 3" xfId="3229"/>
    <cellStyle name="Comma 3 4 3 4 2 4" xfId="7164"/>
    <cellStyle name="Comma 3 4 3 4 3" xfId="1932"/>
    <cellStyle name="Comma 3 4 3 4 3 2" xfId="3745"/>
    <cellStyle name="Comma 3 4 3 4 3 3" xfId="7672"/>
    <cellStyle name="Comma 3 4 3 4 4" xfId="4721"/>
    <cellStyle name="Comma 3 4 3 4 5" xfId="5215"/>
    <cellStyle name="Comma 3 4 3 4 6" xfId="5717"/>
    <cellStyle name="Comma 3 4 3 4 7" xfId="2739"/>
    <cellStyle name="Comma 3 4 3 4 8" xfId="6658"/>
    <cellStyle name="Comma 3 4 3 5" xfId="1176"/>
    <cellStyle name="Comma 3 4 3 5 2" xfId="3993"/>
    <cellStyle name="Comma 3 4 3 5 3" xfId="2983"/>
    <cellStyle name="Comma 3 4 3 5 4" xfId="6916"/>
    <cellStyle name="Comma 3 4 3 6" xfId="1684"/>
    <cellStyle name="Comma 3 4 3 6 2" xfId="3497"/>
    <cellStyle name="Comma 3 4 3 6 3" xfId="7424"/>
    <cellStyle name="Comma 3 4 3 7" xfId="2224"/>
    <cellStyle name="Comma 3 4 3 7 2" xfId="4493"/>
    <cellStyle name="Comma 3 4 3 7 3" xfId="6410"/>
    <cellStyle name="Comma 3 4 3 8" xfId="4967"/>
    <cellStyle name="Comma 3 4 3 9" xfId="5469"/>
    <cellStyle name="Comma 3 4 4" xfId="694"/>
    <cellStyle name="Comma 3 4 4 10" xfId="6434"/>
    <cellStyle name="Comma 3 4 4 2" xfId="818"/>
    <cellStyle name="Comma 3 4 4 2 2" xfId="1066"/>
    <cellStyle name="Comma 3 4 4 2 2 2" xfId="1572"/>
    <cellStyle name="Comma 3 4 4 2 2 2 2" xfId="4387"/>
    <cellStyle name="Comma 3 4 4 2 2 2 3" xfId="3377"/>
    <cellStyle name="Comma 3 4 4 2 2 2 4" xfId="7312"/>
    <cellStyle name="Comma 3 4 4 2 2 3" xfId="2080"/>
    <cellStyle name="Comma 3 4 4 2 2 3 2" xfId="3893"/>
    <cellStyle name="Comma 3 4 4 2 2 3 3" xfId="7820"/>
    <cellStyle name="Comma 3 4 4 2 2 4" xfId="4865"/>
    <cellStyle name="Comma 3 4 4 2 2 5" xfId="5363"/>
    <cellStyle name="Comma 3 4 4 2 2 6" xfId="5865"/>
    <cellStyle name="Comma 3 4 4 2 2 7" xfId="2883"/>
    <cellStyle name="Comma 3 4 4 2 2 8" xfId="6806"/>
    <cellStyle name="Comma 3 4 4 2 3" xfId="1324"/>
    <cellStyle name="Comma 3 4 4 2 3 2" xfId="4139"/>
    <cellStyle name="Comma 3 4 4 2 3 3" xfId="3129"/>
    <cellStyle name="Comma 3 4 4 2 3 4" xfId="7064"/>
    <cellStyle name="Comma 3 4 4 2 4" xfId="1832"/>
    <cellStyle name="Comma 3 4 4 2 4 2" xfId="3645"/>
    <cellStyle name="Comma 3 4 4 2 4 3" xfId="7572"/>
    <cellStyle name="Comma 3 4 4 2 5" xfId="4627"/>
    <cellStyle name="Comma 3 4 4 2 6" xfId="5115"/>
    <cellStyle name="Comma 3 4 4 2 7" xfId="5617"/>
    <cellStyle name="Comma 3 4 4 2 8" xfId="2643"/>
    <cellStyle name="Comma 3 4 4 2 9" xfId="6558"/>
    <cellStyle name="Comma 3 4 4 3" xfId="942"/>
    <cellStyle name="Comma 3 4 4 3 2" xfId="1448"/>
    <cellStyle name="Comma 3 4 4 3 2 2" xfId="4263"/>
    <cellStyle name="Comma 3 4 4 3 2 3" xfId="3253"/>
    <cellStyle name="Comma 3 4 4 3 2 4" xfId="7188"/>
    <cellStyle name="Comma 3 4 4 3 3" xfId="1956"/>
    <cellStyle name="Comma 3 4 4 3 3 2" xfId="3769"/>
    <cellStyle name="Comma 3 4 4 3 3 3" xfId="7696"/>
    <cellStyle name="Comma 3 4 4 3 4" xfId="4743"/>
    <cellStyle name="Comma 3 4 4 3 5" xfId="5239"/>
    <cellStyle name="Comma 3 4 4 3 6" xfId="5741"/>
    <cellStyle name="Comma 3 4 4 3 7" xfId="2761"/>
    <cellStyle name="Comma 3 4 4 3 8" xfId="6682"/>
    <cellStyle name="Comma 3 4 4 4" xfId="1200"/>
    <cellStyle name="Comma 3 4 4 4 2" xfId="4017"/>
    <cellStyle name="Comma 3 4 4 4 3" xfId="3007"/>
    <cellStyle name="Comma 3 4 4 4 4" xfId="6940"/>
    <cellStyle name="Comma 3 4 4 5" xfId="1708"/>
    <cellStyle name="Comma 3 4 4 5 2" xfId="3521"/>
    <cellStyle name="Comma 3 4 4 5 3" xfId="7448"/>
    <cellStyle name="Comma 3 4 4 6" xfId="4515"/>
    <cellStyle name="Comma 3 4 4 7" xfId="4991"/>
    <cellStyle name="Comma 3 4 4 8" xfId="5493"/>
    <cellStyle name="Comma 3 4 4 9" xfId="2531"/>
    <cellStyle name="Comma 3 4 5" xfId="752"/>
    <cellStyle name="Comma 3 4 5 2" xfId="1000"/>
    <cellStyle name="Comma 3 4 5 2 2" xfId="1506"/>
    <cellStyle name="Comma 3 4 5 2 2 2" xfId="4321"/>
    <cellStyle name="Comma 3 4 5 2 2 3" xfId="3311"/>
    <cellStyle name="Comma 3 4 5 2 2 4" xfId="7246"/>
    <cellStyle name="Comma 3 4 5 2 3" xfId="2014"/>
    <cellStyle name="Comma 3 4 5 2 3 2" xfId="3827"/>
    <cellStyle name="Comma 3 4 5 2 3 3" xfId="7754"/>
    <cellStyle name="Comma 3 4 5 2 4" xfId="4799"/>
    <cellStyle name="Comma 3 4 5 2 5" xfId="5297"/>
    <cellStyle name="Comma 3 4 5 2 6" xfId="5799"/>
    <cellStyle name="Comma 3 4 5 2 7" xfId="2817"/>
    <cellStyle name="Comma 3 4 5 2 8" xfId="6740"/>
    <cellStyle name="Comma 3 4 5 3" xfId="1258"/>
    <cellStyle name="Comma 3 4 5 3 2" xfId="4073"/>
    <cellStyle name="Comma 3 4 5 3 3" xfId="3063"/>
    <cellStyle name="Comma 3 4 5 3 4" xfId="6998"/>
    <cellStyle name="Comma 3 4 5 4" xfId="1766"/>
    <cellStyle name="Comma 3 4 5 4 2" xfId="3579"/>
    <cellStyle name="Comma 3 4 5 4 3" xfId="7506"/>
    <cellStyle name="Comma 3 4 5 5" xfId="4567"/>
    <cellStyle name="Comma 3 4 5 6" xfId="5049"/>
    <cellStyle name="Comma 3 4 5 7" xfId="5551"/>
    <cellStyle name="Comma 3 4 5 8" xfId="2583"/>
    <cellStyle name="Comma 3 4 5 9" xfId="6492"/>
    <cellStyle name="Comma 3 4 6" xfId="617"/>
    <cellStyle name="Comma 3 4 6 2" xfId="1134"/>
    <cellStyle name="Comma 3 4 6 2 2" xfId="4197"/>
    <cellStyle name="Comma 3 4 6 2 3" xfId="3187"/>
    <cellStyle name="Comma 3 4 6 2 4" xfId="6874"/>
    <cellStyle name="Comma 3 4 6 3" xfId="1642"/>
    <cellStyle name="Comma 3 4 6 3 2" xfId="3455"/>
    <cellStyle name="Comma 3 4 6 3 3" xfId="7382"/>
    <cellStyle name="Comma 3 4 6 4" xfId="4683"/>
    <cellStyle name="Comma 3 4 6 5" xfId="5173"/>
    <cellStyle name="Comma 3 4 6 6" xfId="5675"/>
    <cellStyle name="Comma 3 4 6 7" xfId="2471"/>
    <cellStyle name="Comma 3 4 6 8" xfId="6364"/>
    <cellStyle name="Comma 3 4 7" xfId="876"/>
    <cellStyle name="Comma 3 4 7 2" xfId="1382"/>
    <cellStyle name="Comma 3 4 7 2 2" xfId="3703"/>
    <cellStyle name="Comma 3 4 7 2 3" xfId="7122"/>
    <cellStyle name="Comma 3 4 7 3" xfId="1890"/>
    <cellStyle name="Comma 3 4 7 3 2" xfId="7630"/>
    <cellStyle name="Comma 3 4 7 4" xfId="2699"/>
    <cellStyle name="Comma 3 4 7 5" xfId="6616"/>
    <cellStyle name="Comma 3 4 8" xfId="2941"/>
    <cellStyle name="Comma 3 4 8 2" xfId="3951"/>
    <cellStyle name="Comma 3 4 9" xfId="4451"/>
    <cellStyle name="Comma 3 5" xfId="66"/>
    <cellStyle name="Comma 3 5 10" xfId="1627"/>
    <cellStyle name="Comma 3 5 10 2" xfId="4453"/>
    <cellStyle name="Comma 3 5 10 3" xfId="7367"/>
    <cellStyle name="Comma 3 5 11" xfId="2179"/>
    <cellStyle name="Comma 3 5 11 2" xfId="6239"/>
    <cellStyle name="Comma 3 5 12" xfId="5429"/>
    <cellStyle name="Comma 3 5 13" xfId="5995"/>
    <cellStyle name="Comma 3 5 14" xfId="6039"/>
    <cellStyle name="Comma 3 5 15" xfId="7894"/>
    <cellStyle name="Comma 3 5 2" xfId="67"/>
    <cellStyle name="Comma 3 5 2 10" xfId="5451"/>
    <cellStyle name="Comma 3 5 2 11" xfId="5998"/>
    <cellStyle name="Comma 3 5 2 12" xfId="6043"/>
    <cellStyle name="Comma 3 5 2 13" xfId="7898"/>
    <cellStyle name="Comma 3 5 2 2" xfId="698"/>
    <cellStyle name="Comma 3 5 2 2 10" xfId="6071"/>
    <cellStyle name="Comma 3 5 2 2 11" xfId="7926"/>
    <cellStyle name="Comma 3 5 2 2 2" xfId="822"/>
    <cellStyle name="Comma 3 5 2 2 2 2" xfId="1070"/>
    <cellStyle name="Comma 3 5 2 2 2 2 2" xfId="1576"/>
    <cellStyle name="Comma 3 5 2 2 2 2 2 2" xfId="4391"/>
    <cellStyle name="Comma 3 5 2 2 2 2 2 3" xfId="3381"/>
    <cellStyle name="Comma 3 5 2 2 2 2 2 4" xfId="7316"/>
    <cellStyle name="Comma 3 5 2 2 2 2 3" xfId="2084"/>
    <cellStyle name="Comma 3 5 2 2 2 2 3 2" xfId="3897"/>
    <cellStyle name="Comma 3 5 2 2 2 2 3 3" xfId="7824"/>
    <cellStyle name="Comma 3 5 2 2 2 2 4" xfId="4869"/>
    <cellStyle name="Comma 3 5 2 2 2 2 5" xfId="5367"/>
    <cellStyle name="Comma 3 5 2 2 2 2 6" xfId="5869"/>
    <cellStyle name="Comma 3 5 2 2 2 2 7" xfId="2887"/>
    <cellStyle name="Comma 3 5 2 2 2 2 8" xfId="6810"/>
    <cellStyle name="Comma 3 5 2 2 2 3" xfId="1328"/>
    <cellStyle name="Comma 3 5 2 2 2 3 2" xfId="4143"/>
    <cellStyle name="Comma 3 5 2 2 2 3 3" xfId="3133"/>
    <cellStyle name="Comma 3 5 2 2 2 3 4" xfId="7068"/>
    <cellStyle name="Comma 3 5 2 2 2 4" xfId="1836"/>
    <cellStyle name="Comma 3 5 2 2 2 4 2" xfId="3649"/>
    <cellStyle name="Comma 3 5 2 2 2 4 3" xfId="7576"/>
    <cellStyle name="Comma 3 5 2 2 2 5" xfId="2354"/>
    <cellStyle name="Comma 3 5 2 2 2 5 2" xfId="6562"/>
    <cellStyle name="Comma 3 5 2 2 2 6" xfId="5119"/>
    <cellStyle name="Comma 3 5 2 2 2 7" xfId="5621"/>
    <cellStyle name="Comma 3 5 2 2 2 8" xfId="6122"/>
    <cellStyle name="Comma 3 5 2 2 2 9" xfId="7977"/>
    <cellStyle name="Comma 3 5 2 2 3" xfId="946"/>
    <cellStyle name="Comma 3 5 2 2 3 2" xfId="1452"/>
    <cellStyle name="Comma 3 5 2 2 3 2 2" xfId="4267"/>
    <cellStyle name="Comma 3 5 2 2 3 2 3" xfId="3257"/>
    <cellStyle name="Comma 3 5 2 2 3 2 4" xfId="7192"/>
    <cellStyle name="Comma 3 5 2 2 3 3" xfId="1960"/>
    <cellStyle name="Comma 3 5 2 2 3 3 2" xfId="3773"/>
    <cellStyle name="Comma 3 5 2 2 3 3 3" xfId="7700"/>
    <cellStyle name="Comma 3 5 2 2 3 4" xfId="2405"/>
    <cellStyle name="Comma 3 5 2 2 3 4 2" xfId="6686"/>
    <cellStyle name="Comma 3 5 2 2 3 5" xfId="5243"/>
    <cellStyle name="Comma 3 5 2 2 3 6" xfId="5745"/>
    <cellStyle name="Comma 3 5 2 2 3 7" xfId="6173"/>
    <cellStyle name="Comma 3 5 2 2 3 8" xfId="8028"/>
    <cellStyle name="Comma 3 5 2 2 4" xfId="1204"/>
    <cellStyle name="Comma 3 5 2 2 4 2" xfId="2461"/>
    <cellStyle name="Comma 3 5 2 2 4 2 2" xfId="6944"/>
    <cellStyle name="Comma 3 5 2 2 4 3" xfId="6229"/>
    <cellStyle name="Comma 3 5 2 2 4 4" xfId="8084"/>
    <cellStyle name="Comma 3 5 2 2 5" xfId="1712"/>
    <cellStyle name="Comma 3 5 2 2 5 2" xfId="3525"/>
    <cellStyle name="Comma 3 5 2 2 5 3" xfId="7452"/>
    <cellStyle name="Comma 3 5 2 2 6" xfId="2302"/>
    <cellStyle name="Comma 3 5 2 2 6 2" xfId="6438"/>
    <cellStyle name="Comma 3 5 2 2 7" xfId="4995"/>
    <cellStyle name="Comma 3 5 2 2 8" xfId="5497"/>
    <cellStyle name="Comma 3 5 2 2 9" xfId="6010"/>
    <cellStyle name="Comma 3 5 2 3" xfId="776"/>
    <cellStyle name="Comma 3 5 2 3 2" xfId="1024"/>
    <cellStyle name="Comma 3 5 2 3 2 2" xfId="1530"/>
    <cellStyle name="Comma 3 5 2 3 2 2 2" xfId="4345"/>
    <cellStyle name="Comma 3 5 2 3 2 2 3" xfId="3335"/>
    <cellStyle name="Comma 3 5 2 3 2 2 4" xfId="7270"/>
    <cellStyle name="Comma 3 5 2 3 2 3" xfId="2038"/>
    <cellStyle name="Comma 3 5 2 3 2 3 2" xfId="3851"/>
    <cellStyle name="Comma 3 5 2 3 2 3 3" xfId="7778"/>
    <cellStyle name="Comma 3 5 2 3 2 4" xfId="4823"/>
    <cellStyle name="Comma 3 5 2 3 2 5" xfId="5321"/>
    <cellStyle name="Comma 3 5 2 3 2 6" xfId="5823"/>
    <cellStyle name="Comma 3 5 2 3 2 7" xfId="2841"/>
    <cellStyle name="Comma 3 5 2 3 2 8" xfId="6764"/>
    <cellStyle name="Comma 3 5 2 3 3" xfId="1282"/>
    <cellStyle name="Comma 3 5 2 3 3 2" xfId="4097"/>
    <cellStyle name="Comma 3 5 2 3 3 3" xfId="3087"/>
    <cellStyle name="Comma 3 5 2 3 3 4" xfId="7022"/>
    <cellStyle name="Comma 3 5 2 3 4" xfId="1790"/>
    <cellStyle name="Comma 3 5 2 3 4 2" xfId="3603"/>
    <cellStyle name="Comma 3 5 2 3 4 3" xfId="7530"/>
    <cellStyle name="Comma 3 5 2 3 5" xfId="2313"/>
    <cellStyle name="Comma 3 5 2 3 5 2" xfId="6516"/>
    <cellStyle name="Comma 3 5 2 3 6" xfId="5073"/>
    <cellStyle name="Comma 3 5 2 3 7" xfId="5575"/>
    <cellStyle name="Comma 3 5 2 3 8" xfId="6082"/>
    <cellStyle name="Comma 3 5 2 3 9" xfId="7937"/>
    <cellStyle name="Comma 3 5 2 4" xfId="652"/>
    <cellStyle name="Comma 3 5 2 4 2" xfId="1158"/>
    <cellStyle name="Comma 3 5 2 4 2 2" xfId="4221"/>
    <cellStyle name="Comma 3 5 2 4 2 3" xfId="3211"/>
    <cellStyle name="Comma 3 5 2 4 2 4" xfId="6898"/>
    <cellStyle name="Comma 3 5 2 4 3" xfId="1666"/>
    <cellStyle name="Comma 3 5 2 4 3 2" xfId="3479"/>
    <cellStyle name="Comma 3 5 2 4 3 3" xfId="7406"/>
    <cellStyle name="Comma 3 5 2 4 4" xfId="2365"/>
    <cellStyle name="Comma 3 5 2 4 4 2" xfId="6392"/>
    <cellStyle name="Comma 3 5 2 4 5" xfId="5197"/>
    <cellStyle name="Comma 3 5 2 4 6" xfId="5699"/>
    <cellStyle name="Comma 3 5 2 4 7" xfId="6133"/>
    <cellStyle name="Comma 3 5 2 4 8" xfId="7988"/>
    <cellStyle name="Comma 3 5 2 5" xfId="900"/>
    <cellStyle name="Comma 3 5 2 5 2" xfId="1406"/>
    <cellStyle name="Comma 3 5 2 5 2 2" xfId="3727"/>
    <cellStyle name="Comma 3 5 2 5 2 3" xfId="7146"/>
    <cellStyle name="Comma 3 5 2 5 3" xfId="1914"/>
    <cellStyle name="Comma 3 5 2 5 3 2" xfId="7654"/>
    <cellStyle name="Comma 3 5 2 5 4" xfId="2433"/>
    <cellStyle name="Comma 3 5 2 5 4 2" xfId="6640"/>
    <cellStyle name="Comma 3 5 2 5 5" xfId="6201"/>
    <cellStyle name="Comma 3 5 2 5 6" xfId="8056"/>
    <cellStyle name="Comma 3 5 2 6" xfId="205"/>
    <cellStyle name="Comma 3 5 2 6 2" xfId="3975"/>
    <cellStyle name="Comma 3 5 2 6 3" xfId="2965"/>
    <cellStyle name="Comma 3 5 2 6 4" xfId="6274"/>
    <cellStyle name="Comma 3 5 2 7" xfId="1124"/>
    <cellStyle name="Comma 3 5 2 7 2" xfId="3445"/>
    <cellStyle name="Comma 3 5 2 7 3" xfId="6864"/>
    <cellStyle name="Comma 3 5 2 8" xfId="1631"/>
    <cellStyle name="Comma 3 5 2 8 2" xfId="4475"/>
    <cellStyle name="Comma 3 5 2 8 3" xfId="7371"/>
    <cellStyle name="Comma 3 5 2 9" xfId="2184"/>
    <cellStyle name="Comma 3 5 2 9 2" xfId="6240"/>
    <cellStyle name="Comma 3 5 3" xfId="672"/>
    <cellStyle name="Comma 3 5 3 10" xfId="6007"/>
    <cellStyle name="Comma 3 5 3 11" xfId="6067"/>
    <cellStyle name="Comma 3 5 3 12" xfId="7922"/>
    <cellStyle name="Comma 3 5 3 2" xfId="699"/>
    <cellStyle name="Comma 3 5 3 2 10" xfId="7973"/>
    <cellStyle name="Comma 3 5 3 2 2" xfId="823"/>
    <cellStyle name="Comma 3 5 3 2 2 2" xfId="1071"/>
    <cellStyle name="Comma 3 5 3 2 2 2 2" xfId="1577"/>
    <cellStyle name="Comma 3 5 3 2 2 2 2 2" xfId="4392"/>
    <cellStyle name="Comma 3 5 3 2 2 2 2 3" xfId="3382"/>
    <cellStyle name="Comma 3 5 3 2 2 2 2 4" xfId="7317"/>
    <cellStyle name="Comma 3 5 3 2 2 2 3" xfId="2085"/>
    <cellStyle name="Comma 3 5 3 2 2 2 3 2" xfId="3898"/>
    <cellStyle name="Comma 3 5 3 2 2 2 3 3" xfId="7825"/>
    <cellStyle name="Comma 3 5 3 2 2 2 4" xfId="4870"/>
    <cellStyle name="Comma 3 5 3 2 2 2 5" xfId="5368"/>
    <cellStyle name="Comma 3 5 3 2 2 2 6" xfId="5870"/>
    <cellStyle name="Comma 3 5 3 2 2 2 7" xfId="2888"/>
    <cellStyle name="Comma 3 5 3 2 2 2 8" xfId="6811"/>
    <cellStyle name="Comma 3 5 3 2 2 3" xfId="1329"/>
    <cellStyle name="Comma 3 5 3 2 2 3 2" xfId="4144"/>
    <cellStyle name="Comma 3 5 3 2 2 3 3" xfId="3134"/>
    <cellStyle name="Comma 3 5 3 2 2 3 4" xfId="7069"/>
    <cellStyle name="Comma 3 5 3 2 2 4" xfId="1837"/>
    <cellStyle name="Comma 3 5 3 2 2 4 2" xfId="3650"/>
    <cellStyle name="Comma 3 5 3 2 2 4 3" xfId="7577"/>
    <cellStyle name="Comma 3 5 3 2 2 5" xfId="4631"/>
    <cellStyle name="Comma 3 5 3 2 2 6" xfId="5120"/>
    <cellStyle name="Comma 3 5 3 2 2 7" xfId="5622"/>
    <cellStyle name="Comma 3 5 3 2 2 8" xfId="2647"/>
    <cellStyle name="Comma 3 5 3 2 2 9" xfId="6563"/>
    <cellStyle name="Comma 3 5 3 2 3" xfId="947"/>
    <cellStyle name="Comma 3 5 3 2 3 2" xfId="1453"/>
    <cellStyle name="Comma 3 5 3 2 3 2 2" xfId="4268"/>
    <cellStyle name="Comma 3 5 3 2 3 2 3" xfId="3258"/>
    <cellStyle name="Comma 3 5 3 2 3 2 4" xfId="7193"/>
    <cellStyle name="Comma 3 5 3 2 3 3" xfId="1961"/>
    <cellStyle name="Comma 3 5 3 2 3 3 2" xfId="3774"/>
    <cellStyle name="Comma 3 5 3 2 3 3 3" xfId="7701"/>
    <cellStyle name="Comma 3 5 3 2 3 4" xfId="4747"/>
    <cellStyle name="Comma 3 5 3 2 3 5" xfId="5244"/>
    <cellStyle name="Comma 3 5 3 2 3 6" xfId="5746"/>
    <cellStyle name="Comma 3 5 3 2 3 7" xfId="2765"/>
    <cellStyle name="Comma 3 5 3 2 3 8" xfId="6687"/>
    <cellStyle name="Comma 3 5 3 2 4" xfId="1205"/>
    <cellStyle name="Comma 3 5 3 2 4 2" xfId="4021"/>
    <cellStyle name="Comma 3 5 3 2 4 3" xfId="3011"/>
    <cellStyle name="Comma 3 5 3 2 4 4" xfId="6945"/>
    <cellStyle name="Comma 3 5 3 2 5" xfId="1713"/>
    <cellStyle name="Comma 3 5 3 2 5 2" xfId="3526"/>
    <cellStyle name="Comma 3 5 3 2 5 3" xfId="7453"/>
    <cellStyle name="Comma 3 5 3 2 6" xfId="2350"/>
    <cellStyle name="Comma 3 5 3 2 6 2" xfId="6439"/>
    <cellStyle name="Comma 3 5 3 2 7" xfId="4996"/>
    <cellStyle name="Comma 3 5 3 2 8" xfId="5498"/>
    <cellStyle name="Comma 3 5 3 2 9" xfId="6118"/>
    <cellStyle name="Comma 3 5 3 3" xfId="796"/>
    <cellStyle name="Comma 3 5 3 3 2" xfId="1044"/>
    <cellStyle name="Comma 3 5 3 3 2 2" xfId="1550"/>
    <cellStyle name="Comma 3 5 3 3 2 2 2" xfId="4365"/>
    <cellStyle name="Comma 3 5 3 3 2 2 3" xfId="3355"/>
    <cellStyle name="Comma 3 5 3 3 2 2 4" xfId="7290"/>
    <cellStyle name="Comma 3 5 3 3 2 3" xfId="2058"/>
    <cellStyle name="Comma 3 5 3 3 2 3 2" xfId="3871"/>
    <cellStyle name="Comma 3 5 3 3 2 3 3" xfId="7798"/>
    <cellStyle name="Comma 3 5 3 3 2 4" xfId="4843"/>
    <cellStyle name="Comma 3 5 3 3 2 5" xfId="5341"/>
    <cellStyle name="Comma 3 5 3 3 2 6" xfId="5843"/>
    <cellStyle name="Comma 3 5 3 3 2 7" xfId="2861"/>
    <cellStyle name="Comma 3 5 3 3 2 8" xfId="6784"/>
    <cellStyle name="Comma 3 5 3 3 3" xfId="1302"/>
    <cellStyle name="Comma 3 5 3 3 3 2" xfId="4117"/>
    <cellStyle name="Comma 3 5 3 3 3 3" xfId="3107"/>
    <cellStyle name="Comma 3 5 3 3 3 4" xfId="7042"/>
    <cellStyle name="Comma 3 5 3 3 4" xfId="1810"/>
    <cellStyle name="Comma 3 5 3 3 4 2" xfId="3623"/>
    <cellStyle name="Comma 3 5 3 3 4 3" xfId="7550"/>
    <cellStyle name="Comma 3 5 3 3 5" xfId="2401"/>
    <cellStyle name="Comma 3 5 3 3 5 2" xfId="6536"/>
    <cellStyle name="Comma 3 5 3 3 6" xfId="5093"/>
    <cellStyle name="Comma 3 5 3 3 7" xfId="5595"/>
    <cellStyle name="Comma 3 5 3 3 8" xfId="6169"/>
    <cellStyle name="Comma 3 5 3 3 9" xfId="8024"/>
    <cellStyle name="Comma 3 5 3 4" xfId="920"/>
    <cellStyle name="Comma 3 5 3 4 2" xfId="1426"/>
    <cellStyle name="Comma 3 5 3 4 2 2" xfId="4241"/>
    <cellStyle name="Comma 3 5 3 4 2 3" xfId="3231"/>
    <cellStyle name="Comma 3 5 3 4 2 4" xfId="7166"/>
    <cellStyle name="Comma 3 5 3 4 3" xfId="1934"/>
    <cellStyle name="Comma 3 5 3 4 3 2" xfId="3747"/>
    <cellStyle name="Comma 3 5 3 4 3 3" xfId="7674"/>
    <cellStyle name="Comma 3 5 3 4 4" xfId="2457"/>
    <cellStyle name="Comma 3 5 3 4 4 2" xfId="6660"/>
    <cellStyle name="Comma 3 5 3 4 5" xfId="5217"/>
    <cellStyle name="Comma 3 5 3 4 6" xfId="5719"/>
    <cellStyle name="Comma 3 5 3 4 7" xfId="6225"/>
    <cellStyle name="Comma 3 5 3 4 8" xfId="8080"/>
    <cellStyle name="Comma 3 5 3 5" xfId="1178"/>
    <cellStyle name="Comma 3 5 3 5 2" xfId="3995"/>
    <cellStyle name="Comma 3 5 3 5 3" xfId="2985"/>
    <cellStyle name="Comma 3 5 3 5 4" xfId="6918"/>
    <cellStyle name="Comma 3 5 3 6" xfId="1686"/>
    <cellStyle name="Comma 3 5 3 6 2" xfId="3499"/>
    <cellStyle name="Comma 3 5 3 6 3" xfId="7426"/>
    <cellStyle name="Comma 3 5 3 7" xfId="2260"/>
    <cellStyle name="Comma 3 5 3 7 2" xfId="6412"/>
    <cellStyle name="Comma 3 5 3 8" xfId="4969"/>
    <cellStyle name="Comma 3 5 3 9" xfId="5471"/>
    <cellStyle name="Comma 3 5 4" xfId="697"/>
    <cellStyle name="Comma 3 5 4 10" xfId="7933"/>
    <cellStyle name="Comma 3 5 4 2" xfId="821"/>
    <cellStyle name="Comma 3 5 4 2 2" xfId="1069"/>
    <cellStyle name="Comma 3 5 4 2 2 2" xfId="1575"/>
    <cellStyle name="Comma 3 5 4 2 2 2 2" xfId="4390"/>
    <cellStyle name="Comma 3 5 4 2 2 2 3" xfId="3380"/>
    <cellStyle name="Comma 3 5 4 2 2 2 4" xfId="7315"/>
    <cellStyle name="Comma 3 5 4 2 2 3" xfId="2083"/>
    <cellStyle name="Comma 3 5 4 2 2 3 2" xfId="3896"/>
    <cellStyle name="Comma 3 5 4 2 2 3 3" xfId="7823"/>
    <cellStyle name="Comma 3 5 4 2 2 4" xfId="4868"/>
    <cellStyle name="Comma 3 5 4 2 2 5" xfId="5366"/>
    <cellStyle name="Comma 3 5 4 2 2 6" xfId="5868"/>
    <cellStyle name="Comma 3 5 4 2 2 7" xfId="2886"/>
    <cellStyle name="Comma 3 5 4 2 2 8" xfId="6809"/>
    <cellStyle name="Comma 3 5 4 2 3" xfId="1327"/>
    <cellStyle name="Comma 3 5 4 2 3 2" xfId="4142"/>
    <cellStyle name="Comma 3 5 4 2 3 3" xfId="3132"/>
    <cellStyle name="Comma 3 5 4 2 3 4" xfId="7067"/>
    <cellStyle name="Comma 3 5 4 2 4" xfId="1835"/>
    <cellStyle name="Comma 3 5 4 2 4 2" xfId="3648"/>
    <cellStyle name="Comma 3 5 4 2 4 3" xfId="7575"/>
    <cellStyle name="Comma 3 5 4 2 5" xfId="4630"/>
    <cellStyle name="Comma 3 5 4 2 6" xfId="5118"/>
    <cellStyle name="Comma 3 5 4 2 7" xfId="5620"/>
    <cellStyle name="Comma 3 5 4 2 8" xfId="2646"/>
    <cellStyle name="Comma 3 5 4 2 9" xfId="6561"/>
    <cellStyle name="Comma 3 5 4 3" xfId="945"/>
    <cellStyle name="Comma 3 5 4 3 2" xfId="1451"/>
    <cellStyle name="Comma 3 5 4 3 2 2" xfId="4266"/>
    <cellStyle name="Comma 3 5 4 3 2 3" xfId="3256"/>
    <cellStyle name="Comma 3 5 4 3 2 4" xfId="7191"/>
    <cellStyle name="Comma 3 5 4 3 3" xfId="1959"/>
    <cellStyle name="Comma 3 5 4 3 3 2" xfId="3772"/>
    <cellStyle name="Comma 3 5 4 3 3 3" xfId="7699"/>
    <cellStyle name="Comma 3 5 4 3 4" xfId="4746"/>
    <cellStyle name="Comma 3 5 4 3 5" xfId="5242"/>
    <cellStyle name="Comma 3 5 4 3 6" xfId="5744"/>
    <cellStyle name="Comma 3 5 4 3 7" xfId="2764"/>
    <cellStyle name="Comma 3 5 4 3 8" xfId="6685"/>
    <cellStyle name="Comma 3 5 4 4" xfId="1203"/>
    <cellStyle name="Comma 3 5 4 4 2" xfId="4020"/>
    <cellStyle name="Comma 3 5 4 4 3" xfId="3010"/>
    <cellStyle name="Comma 3 5 4 4 4" xfId="6943"/>
    <cellStyle name="Comma 3 5 4 5" xfId="1711"/>
    <cellStyle name="Comma 3 5 4 5 2" xfId="3524"/>
    <cellStyle name="Comma 3 5 4 5 3" xfId="7451"/>
    <cellStyle name="Comma 3 5 4 6" xfId="2309"/>
    <cellStyle name="Comma 3 5 4 6 2" xfId="6437"/>
    <cellStyle name="Comma 3 5 4 7" xfId="4994"/>
    <cellStyle name="Comma 3 5 4 8" xfId="5496"/>
    <cellStyle name="Comma 3 5 4 9" xfId="6078"/>
    <cellStyle name="Comma 3 5 5" xfId="754"/>
    <cellStyle name="Comma 3 5 5 2" xfId="1002"/>
    <cellStyle name="Comma 3 5 5 2 2" xfId="1508"/>
    <cellStyle name="Comma 3 5 5 2 2 2" xfId="4323"/>
    <cellStyle name="Comma 3 5 5 2 2 3" xfId="3313"/>
    <cellStyle name="Comma 3 5 5 2 2 4" xfId="7248"/>
    <cellStyle name="Comma 3 5 5 2 3" xfId="2016"/>
    <cellStyle name="Comma 3 5 5 2 3 2" xfId="3829"/>
    <cellStyle name="Comma 3 5 5 2 3 3" xfId="7756"/>
    <cellStyle name="Comma 3 5 5 2 4" xfId="4801"/>
    <cellStyle name="Comma 3 5 5 2 5" xfId="5299"/>
    <cellStyle name="Comma 3 5 5 2 6" xfId="5801"/>
    <cellStyle name="Comma 3 5 5 2 7" xfId="2819"/>
    <cellStyle name="Comma 3 5 5 2 8" xfId="6742"/>
    <cellStyle name="Comma 3 5 5 3" xfId="1260"/>
    <cellStyle name="Comma 3 5 5 3 2" xfId="4075"/>
    <cellStyle name="Comma 3 5 5 3 3" xfId="3065"/>
    <cellStyle name="Comma 3 5 5 3 4" xfId="7000"/>
    <cellStyle name="Comma 3 5 5 4" xfId="1768"/>
    <cellStyle name="Comma 3 5 5 4 2" xfId="3581"/>
    <cellStyle name="Comma 3 5 5 4 3" xfId="7508"/>
    <cellStyle name="Comma 3 5 5 5" xfId="2361"/>
    <cellStyle name="Comma 3 5 5 5 2" xfId="6494"/>
    <cellStyle name="Comma 3 5 5 6" xfId="5051"/>
    <cellStyle name="Comma 3 5 5 7" xfId="5553"/>
    <cellStyle name="Comma 3 5 5 8" xfId="6129"/>
    <cellStyle name="Comma 3 5 5 9" xfId="7984"/>
    <cellStyle name="Comma 3 5 6" xfId="622"/>
    <cellStyle name="Comma 3 5 6 2" xfId="1136"/>
    <cellStyle name="Comma 3 5 6 2 2" xfId="4199"/>
    <cellStyle name="Comma 3 5 6 2 3" xfId="3189"/>
    <cellStyle name="Comma 3 5 6 2 4" xfId="6876"/>
    <cellStyle name="Comma 3 5 6 3" xfId="1644"/>
    <cellStyle name="Comma 3 5 6 3 2" xfId="3457"/>
    <cellStyle name="Comma 3 5 6 3 3" xfId="7384"/>
    <cellStyle name="Comma 3 5 6 4" xfId="2429"/>
    <cellStyle name="Comma 3 5 6 4 2" xfId="6367"/>
    <cellStyle name="Comma 3 5 6 5" xfId="5175"/>
    <cellStyle name="Comma 3 5 6 6" xfId="5677"/>
    <cellStyle name="Comma 3 5 6 7" xfId="6197"/>
    <cellStyle name="Comma 3 5 6 8" xfId="8052"/>
    <cellStyle name="Comma 3 5 7" xfId="878"/>
    <cellStyle name="Comma 3 5 7 2" xfId="1384"/>
    <cellStyle name="Comma 3 5 7 2 2" xfId="3705"/>
    <cellStyle name="Comma 3 5 7 2 3" xfId="7124"/>
    <cellStyle name="Comma 3 5 7 3" xfId="1892"/>
    <cellStyle name="Comma 3 5 7 3 2" xfId="7632"/>
    <cellStyle name="Comma 3 5 7 4" xfId="2701"/>
    <cellStyle name="Comma 3 5 7 5" xfId="6618"/>
    <cellStyle name="Comma 3 5 8" xfId="201"/>
    <cellStyle name="Comma 3 5 8 2" xfId="3953"/>
    <cellStyle name="Comma 3 5 8 3" xfId="2943"/>
    <cellStyle name="Comma 3 5 8 4" xfId="6270"/>
    <cellStyle name="Comma 3 5 9" xfId="1120"/>
    <cellStyle name="Comma 3 5 9 2" xfId="3441"/>
    <cellStyle name="Comma 3 5 9 3" xfId="6860"/>
    <cellStyle name="Comma 3 6" xfId="212"/>
    <cellStyle name="Comma 3 6 10" xfId="2221"/>
    <cellStyle name="Comma 3 6 10 2" xfId="4455"/>
    <cellStyle name="Comma 3 6 10 3" xfId="6277"/>
    <cellStyle name="Comma 3 6 11" xfId="4931"/>
    <cellStyle name="Comma 3 6 12" xfId="5431"/>
    <cellStyle name="Comma 3 6 13" xfId="6004"/>
    <cellStyle name="Comma 3 6 14" xfId="2467"/>
    <cellStyle name="Comma 3 6 2" xfId="654"/>
    <cellStyle name="Comma 3 6 2 10" xfId="2493"/>
    <cellStyle name="Comma 3 6 2 11" xfId="6394"/>
    <cellStyle name="Comma 3 6 2 2" xfId="701"/>
    <cellStyle name="Comma 3 6 2 2 10" xfId="6441"/>
    <cellStyle name="Comma 3 6 2 2 2" xfId="825"/>
    <cellStyle name="Comma 3 6 2 2 2 2" xfId="1073"/>
    <cellStyle name="Comma 3 6 2 2 2 2 2" xfId="1579"/>
    <cellStyle name="Comma 3 6 2 2 2 2 2 2" xfId="4394"/>
    <cellStyle name="Comma 3 6 2 2 2 2 2 3" xfId="3384"/>
    <cellStyle name="Comma 3 6 2 2 2 2 2 4" xfId="7319"/>
    <cellStyle name="Comma 3 6 2 2 2 2 3" xfId="2087"/>
    <cellStyle name="Comma 3 6 2 2 2 2 3 2" xfId="3900"/>
    <cellStyle name="Comma 3 6 2 2 2 2 3 3" xfId="7827"/>
    <cellStyle name="Comma 3 6 2 2 2 2 4" xfId="4872"/>
    <cellStyle name="Comma 3 6 2 2 2 2 5" xfId="5370"/>
    <cellStyle name="Comma 3 6 2 2 2 2 6" xfId="5872"/>
    <cellStyle name="Comma 3 6 2 2 2 2 7" xfId="2890"/>
    <cellStyle name="Comma 3 6 2 2 2 2 8" xfId="6813"/>
    <cellStyle name="Comma 3 6 2 2 2 3" xfId="1331"/>
    <cellStyle name="Comma 3 6 2 2 2 3 2" xfId="4146"/>
    <cellStyle name="Comma 3 6 2 2 2 3 3" xfId="3136"/>
    <cellStyle name="Comma 3 6 2 2 2 3 4" xfId="7071"/>
    <cellStyle name="Comma 3 6 2 2 2 4" xfId="1839"/>
    <cellStyle name="Comma 3 6 2 2 2 4 2" xfId="3652"/>
    <cellStyle name="Comma 3 6 2 2 2 4 3" xfId="7579"/>
    <cellStyle name="Comma 3 6 2 2 2 5" xfId="4633"/>
    <cellStyle name="Comma 3 6 2 2 2 6" xfId="5122"/>
    <cellStyle name="Comma 3 6 2 2 2 7" xfId="5624"/>
    <cellStyle name="Comma 3 6 2 2 2 8" xfId="2649"/>
    <cellStyle name="Comma 3 6 2 2 2 9" xfId="6565"/>
    <cellStyle name="Comma 3 6 2 2 3" xfId="949"/>
    <cellStyle name="Comma 3 6 2 2 3 2" xfId="1455"/>
    <cellStyle name="Comma 3 6 2 2 3 2 2" xfId="4270"/>
    <cellStyle name="Comma 3 6 2 2 3 2 3" xfId="3260"/>
    <cellStyle name="Comma 3 6 2 2 3 2 4" xfId="7195"/>
    <cellStyle name="Comma 3 6 2 2 3 3" xfId="1963"/>
    <cellStyle name="Comma 3 6 2 2 3 3 2" xfId="3776"/>
    <cellStyle name="Comma 3 6 2 2 3 3 3" xfId="7703"/>
    <cellStyle name="Comma 3 6 2 2 3 4" xfId="4749"/>
    <cellStyle name="Comma 3 6 2 2 3 5" xfId="5246"/>
    <cellStyle name="Comma 3 6 2 2 3 6" xfId="5748"/>
    <cellStyle name="Comma 3 6 2 2 3 7" xfId="2767"/>
    <cellStyle name="Comma 3 6 2 2 3 8" xfId="6689"/>
    <cellStyle name="Comma 3 6 2 2 4" xfId="1207"/>
    <cellStyle name="Comma 3 6 2 2 4 2" xfId="4023"/>
    <cellStyle name="Comma 3 6 2 2 4 3" xfId="3013"/>
    <cellStyle name="Comma 3 6 2 2 4 4" xfId="6947"/>
    <cellStyle name="Comma 3 6 2 2 5" xfId="1715"/>
    <cellStyle name="Comma 3 6 2 2 5 2" xfId="3528"/>
    <cellStyle name="Comma 3 6 2 2 5 3" xfId="7455"/>
    <cellStyle name="Comma 3 6 2 2 6" xfId="4519"/>
    <cellStyle name="Comma 3 6 2 2 7" xfId="4998"/>
    <cellStyle name="Comma 3 6 2 2 8" xfId="5500"/>
    <cellStyle name="Comma 3 6 2 2 9" xfId="2535"/>
    <cellStyle name="Comma 3 6 2 3" xfId="778"/>
    <cellStyle name="Comma 3 6 2 3 2" xfId="1026"/>
    <cellStyle name="Comma 3 6 2 3 2 2" xfId="1532"/>
    <cellStyle name="Comma 3 6 2 3 2 2 2" xfId="4347"/>
    <cellStyle name="Comma 3 6 2 3 2 2 3" xfId="3337"/>
    <cellStyle name="Comma 3 6 2 3 2 2 4" xfId="7272"/>
    <cellStyle name="Comma 3 6 2 3 2 3" xfId="2040"/>
    <cellStyle name="Comma 3 6 2 3 2 3 2" xfId="3853"/>
    <cellStyle name="Comma 3 6 2 3 2 3 3" xfId="7780"/>
    <cellStyle name="Comma 3 6 2 3 2 4" xfId="4825"/>
    <cellStyle name="Comma 3 6 2 3 2 5" xfId="5323"/>
    <cellStyle name="Comma 3 6 2 3 2 6" xfId="5825"/>
    <cellStyle name="Comma 3 6 2 3 2 7" xfId="2843"/>
    <cellStyle name="Comma 3 6 2 3 2 8" xfId="6766"/>
    <cellStyle name="Comma 3 6 2 3 3" xfId="1284"/>
    <cellStyle name="Comma 3 6 2 3 3 2" xfId="4099"/>
    <cellStyle name="Comma 3 6 2 3 3 3" xfId="3089"/>
    <cellStyle name="Comma 3 6 2 3 3 4" xfId="7024"/>
    <cellStyle name="Comma 3 6 2 3 4" xfId="1792"/>
    <cellStyle name="Comma 3 6 2 3 4 2" xfId="3605"/>
    <cellStyle name="Comma 3 6 2 3 4 3" xfId="7532"/>
    <cellStyle name="Comma 3 6 2 3 5" xfId="4589"/>
    <cellStyle name="Comma 3 6 2 3 6" xfId="5075"/>
    <cellStyle name="Comma 3 6 2 3 7" xfId="5577"/>
    <cellStyle name="Comma 3 6 2 3 8" xfId="2605"/>
    <cellStyle name="Comma 3 6 2 3 9" xfId="6518"/>
    <cellStyle name="Comma 3 6 2 4" xfId="902"/>
    <cellStyle name="Comma 3 6 2 4 2" xfId="1408"/>
    <cellStyle name="Comma 3 6 2 4 2 2" xfId="4223"/>
    <cellStyle name="Comma 3 6 2 4 2 3" xfId="3213"/>
    <cellStyle name="Comma 3 6 2 4 2 4" xfId="7148"/>
    <cellStyle name="Comma 3 6 2 4 3" xfId="1916"/>
    <cellStyle name="Comma 3 6 2 4 3 2" xfId="3729"/>
    <cellStyle name="Comma 3 6 2 4 3 3" xfId="7656"/>
    <cellStyle name="Comma 3 6 2 4 4" xfId="4705"/>
    <cellStyle name="Comma 3 6 2 4 5" xfId="5199"/>
    <cellStyle name="Comma 3 6 2 4 6" xfId="5701"/>
    <cellStyle name="Comma 3 6 2 4 7" xfId="2723"/>
    <cellStyle name="Comma 3 6 2 4 8" xfId="6642"/>
    <cellStyle name="Comma 3 6 2 5" xfId="1160"/>
    <cellStyle name="Comma 3 6 2 5 2" xfId="3977"/>
    <cellStyle name="Comma 3 6 2 5 3" xfId="2967"/>
    <cellStyle name="Comma 3 6 2 5 4" xfId="6900"/>
    <cellStyle name="Comma 3 6 2 6" xfId="1668"/>
    <cellStyle name="Comma 3 6 2 6 2" xfId="3481"/>
    <cellStyle name="Comma 3 6 2 6 3" xfId="7408"/>
    <cellStyle name="Comma 3 6 2 7" xfId="4477"/>
    <cellStyle name="Comma 3 6 2 8" xfId="4951"/>
    <cellStyle name="Comma 3 6 2 9" xfId="5453"/>
    <cellStyle name="Comma 3 6 3" xfId="674"/>
    <cellStyle name="Comma 3 6 3 10" xfId="2511"/>
    <cellStyle name="Comma 3 6 3 11" xfId="6414"/>
    <cellStyle name="Comma 3 6 3 2" xfId="702"/>
    <cellStyle name="Comma 3 6 3 2 10" xfId="6442"/>
    <cellStyle name="Comma 3 6 3 2 2" xfId="826"/>
    <cellStyle name="Comma 3 6 3 2 2 2" xfId="1074"/>
    <cellStyle name="Comma 3 6 3 2 2 2 2" xfId="1580"/>
    <cellStyle name="Comma 3 6 3 2 2 2 2 2" xfId="4395"/>
    <cellStyle name="Comma 3 6 3 2 2 2 2 3" xfId="3385"/>
    <cellStyle name="Comma 3 6 3 2 2 2 2 4" xfId="7320"/>
    <cellStyle name="Comma 3 6 3 2 2 2 3" xfId="2088"/>
    <cellStyle name="Comma 3 6 3 2 2 2 3 2" xfId="3901"/>
    <cellStyle name="Comma 3 6 3 2 2 2 3 3" xfId="7828"/>
    <cellStyle name="Comma 3 6 3 2 2 2 4" xfId="4873"/>
    <cellStyle name="Comma 3 6 3 2 2 2 5" xfId="5371"/>
    <cellStyle name="Comma 3 6 3 2 2 2 6" xfId="5873"/>
    <cellStyle name="Comma 3 6 3 2 2 2 7" xfId="2891"/>
    <cellStyle name="Comma 3 6 3 2 2 2 8" xfId="6814"/>
    <cellStyle name="Comma 3 6 3 2 2 3" xfId="1332"/>
    <cellStyle name="Comma 3 6 3 2 2 3 2" xfId="4147"/>
    <cellStyle name="Comma 3 6 3 2 2 3 3" xfId="3137"/>
    <cellStyle name="Comma 3 6 3 2 2 3 4" xfId="7072"/>
    <cellStyle name="Comma 3 6 3 2 2 4" xfId="1840"/>
    <cellStyle name="Comma 3 6 3 2 2 4 2" xfId="3653"/>
    <cellStyle name="Comma 3 6 3 2 2 4 3" xfId="7580"/>
    <cellStyle name="Comma 3 6 3 2 2 5" xfId="4634"/>
    <cellStyle name="Comma 3 6 3 2 2 6" xfId="5123"/>
    <cellStyle name="Comma 3 6 3 2 2 7" xfId="5625"/>
    <cellStyle name="Comma 3 6 3 2 2 8" xfId="2650"/>
    <cellStyle name="Comma 3 6 3 2 2 9" xfId="6566"/>
    <cellStyle name="Comma 3 6 3 2 3" xfId="950"/>
    <cellStyle name="Comma 3 6 3 2 3 2" xfId="1456"/>
    <cellStyle name="Comma 3 6 3 2 3 2 2" xfId="4271"/>
    <cellStyle name="Comma 3 6 3 2 3 2 3" xfId="3261"/>
    <cellStyle name="Comma 3 6 3 2 3 2 4" xfId="7196"/>
    <cellStyle name="Comma 3 6 3 2 3 3" xfId="1964"/>
    <cellStyle name="Comma 3 6 3 2 3 3 2" xfId="3777"/>
    <cellStyle name="Comma 3 6 3 2 3 3 3" xfId="7704"/>
    <cellStyle name="Comma 3 6 3 2 3 4" xfId="4750"/>
    <cellStyle name="Comma 3 6 3 2 3 5" xfId="5247"/>
    <cellStyle name="Comma 3 6 3 2 3 6" xfId="5749"/>
    <cellStyle name="Comma 3 6 3 2 3 7" xfId="2768"/>
    <cellStyle name="Comma 3 6 3 2 3 8" xfId="6690"/>
    <cellStyle name="Comma 3 6 3 2 4" xfId="1208"/>
    <cellStyle name="Comma 3 6 3 2 4 2" xfId="4024"/>
    <cellStyle name="Comma 3 6 3 2 4 3" xfId="3014"/>
    <cellStyle name="Comma 3 6 3 2 4 4" xfId="6948"/>
    <cellStyle name="Comma 3 6 3 2 5" xfId="1716"/>
    <cellStyle name="Comma 3 6 3 2 5 2" xfId="3529"/>
    <cellStyle name="Comma 3 6 3 2 5 3" xfId="7456"/>
    <cellStyle name="Comma 3 6 3 2 6" xfId="4520"/>
    <cellStyle name="Comma 3 6 3 2 7" xfId="4999"/>
    <cellStyle name="Comma 3 6 3 2 8" xfId="5501"/>
    <cellStyle name="Comma 3 6 3 2 9" xfId="2536"/>
    <cellStyle name="Comma 3 6 3 3" xfId="798"/>
    <cellStyle name="Comma 3 6 3 3 2" xfId="1046"/>
    <cellStyle name="Comma 3 6 3 3 2 2" xfId="1552"/>
    <cellStyle name="Comma 3 6 3 3 2 2 2" xfId="4367"/>
    <cellStyle name="Comma 3 6 3 3 2 2 3" xfId="3357"/>
    <cellStyle name="Comma 3 6 3 3 2 2 4" xfId="7292"/>
    <cellStyle name="Comma 3 6 3 3 2 3" xfId="2060"/>
    <cellStyle name="Comma 3 6 3 3 2 3 2" xfId="3873"/>
    <cellStyle name="Comma 3 6 3 3 2 3 3" xfId="7800"/>
    <cellStyle name="Comma 3 6 3 3 2 4" xfId="4845"/>
    <cellStyle name="Comma 3 6 3 3 2 5" xfId="5343"/>
    <cellStyle name="Comma 3 6 3 3 2 6" xfId="5845"/>
    <cellStyle name="Comma 3 6 3 3 2 7" xfId="2863"/>
    <cellStyle name="Comma 3 6 3 3 2 8" xfId="6786"/>
    <cellStyle name="Comma 3 6 3 3 3" xfId="1304"/>
    <cellStyle name="Comma 3 6 3 3 3 2" xfId="4119"/>
    <cellStyle name="Comma 3 6 3 3 3 3" xfId="3109"/>
    <cellStyle name="Comma 3 6 3 3 3 4" xfId="7044"/>
    <cellStyle name="Comma 3 6 3 3 4" xfId="1812"/>
    <cellStyle name="Comma 3 6 3 3 4 2" xfId="3625"/>
    <cellStyle name="Comma 3 6 3 3 4 3" xfId="7552"/>
    <cellStyle name="Comma 3 6 3 3 5" xfId="4607"/>
    <cellStyle name="Comma 3 6 3 3 6" xfId="5095"/>
    <cellStyle name="Comma 3 6 3 3 7" xfId="5597"/>
    <cellStyle name="Comma 3 6 3 3 8" xfId="2623"/>
    <cellStyle name="Comma 3 6 3 3 9" xfId="6538"/>
    <cellStyle name="Comma 3 6 3 4" xfId="922"/>
    <cellStyle name="Comma 3 6 3 4 2" xfId="1428"/>
    <cellStyle name="Comma 3 6 3 4 2 2" xfId="4243"/>
    <cellStyle name="Comma 3 6 3 4 2 3" xfId="3233"/>
    <cellStyle name="Comma 3 6 3 4 2 4" xfId="7168"/>
    <cellStyle name="Comma 3 6 3 4 3" xfId="1936"/>
    <cellStyle name="Comma 3 6 3 4 3 2" xfId="3749"/>
    <cellStyle name="Comma 3 6 3 4 3 3" xfId="7676"/>
    <cellStyle name="Comma 3 6 3 4 4" xfId="4723"/>
    <cellStyle name="Comma 3 6 3 4 5" xfId="5219"/>
    <cellStyle name="Comma 3 6 3 4 6" xfId="5721"/>
    <cellStyle name="Comma 3 6 3 4 7" xfId="2741"/>
    <cellStyle name="Comma 3 6 3 4 8" xfId="6662"/>
    <cellStyle name="Comma 3 6 3 5" xfId="1180"/>
    <cellStyle name="Comma 3 6 3 5 2" xfId="3997"/>
    <cellStyle name="Comma 3 6 3 5 3" xfId="2987"/>
    <cellStyle name="Comma 3 6 3 5 4" xfId="6920"/>
    <cellStyle name="Comma 3 6 3 6" xfId="1688"/>
    <cellStyle name="Comma 3 6 3 6 2" xfId="3501"/>
    <cellStyle name="Comma 3 6 3 6 3" xfId="7428"/>
    <cellStyle name="Comma 3 6 3 7" xfId="4495"/>
    <cellStyle name="Comma 3 6 3 8" xfId="4971"/>
    <cellStyle name="Comma 3 6 3 9" xfId="5473"/>
    <cellStyle name="Comma 3 6 4" xfId="700"/>
    <cellStyle name="Comma 3 6 4 10" xfId="6440"/>
    <cellStyle name="Comma 3 6 4 2" xfId="824"/>
    <cellStyle name="Comma 3 6 4 2 2" xfId="1072"/>
    <cellStyle name="Comma 3 6 4 2 2 2" xfId="1578"/>
    <cellStyle name="Comma 3 6 4 2 2 2 2" xfId="4393"/>
    <cellStyle name="Comma 3 6 4 2 2 2 3" xfId="3383"/>
    <cellStyle name="Comma 3 6 4 2 2 2 4" xfId="7318"/>
    <cellStyle name="Comma 3 6 4 2 2 3" xfId="2086"/>
    <cellStyle name="Comma 3 6 4 2 2 3 2" xfId="3899"/>
    <cellStyle name="Comma 3 6 4 2 2 3 3" xfId="7826"/>
    <cellStyle name="Comma 3 6 4 2 2 4" xfId="4871"/>
    <cellStyle name="Comma 3 6 4 2 2 5" xfId="5369"/>
    <cellStyle name="Comma 3 6 4 2 2 6" xfId="5871"/>
    <cellStyle name="Comma 3 6 4 2 2 7" xfId="2889"/>
    <cellStyle name="Comma 3 6 4 2 2 8" xfId="6812"/>
    <cellStyle name="Comma 3 6 4 2 3" xfId="1330"/>
    <cellStyle name="Comma 3 6 4 2 3 2" xfId="4145"/>
    <cellStyle name="Comma 3 6 4 2 3 3" xfId="3135"/>
    <cellStyle name="Comma 3 6 4 2 3 4" xfId="7070"/>
    <cellStyle name="Comma 3 6 4 2 4" xfId="1838"/>
    <cellStyle name="Comma 3 6 4 2 4 2" xfId="3651"/>
    <cellStyle name="Comma 3 6 4 2 4 3" xfId="7578"/>
    <cellStyle name="Comma 3 6 4 2 5" xfId="4632"/>
    <cellStyle name="Comma 3 6 4 2 6" xfId="5121"/>
    <cellStyle name="Comma 3 6 4 2 7" xfId="5623"/>
    <cellStyle name="Comma 3 6 4 2 8" xfId="2648"/>
    <cellStyle name="Comma 3 6 4 2 9" xfId="6564"/>
    <cellStyle name="Comma 3 6 4 3" xfId="948"/>
    <cellStyle name="Comma 3 6 4 3 2" xfId="1454"/>
    <cellStyle name="Comma 3 6 4 3 2 2" xfId="4269"/>
    <cellStyle name="Comma 3 6 4 3 2 3" xfId="3259"/>
    <cellStyle name="Comma 3 6 4 3 2 4" xfId="7194"/>
    <cellStyle name="Comma 3 6 4 3 3" xfId="1962"/>
    <cellStyle name="Comma 3 6 4 3 3 2" xfId="3775"/>
    <cellStyle name="Comma 3 6 4 3 3 3" xfId="7702"/>
    <cellStyle name="Comma 3 6 4 3 4" xfId="4748"/>
    <cellStyle name="Comma 3 6 4 3 5" xfId="5245"/>
    <cellStyle name="Comma 3 6 4 3 6" xfId="5747"/>
    <cellStyle name="Comma 3 6 4 3 7" xfId="2766"/>
    <cellStyle name="Comma 3 6 4 3 8" xfId="6688"/>
    <cellStyle name="Comma 3 6 4 4" xfId="1206"/>
    <cellStyle name="Comma 3 6 4 4 2" xfId="4022"/>
    <cellStyle name="Comma 3 6 4 4 3" xfId="3012"/>
    <cellStyle name="Comma 3 6 4 4 4" xfId="6946"/>
    <cellStyle name="Comma 3 6 4 5" xfId="1714"/>
    <cellStyle name="Comma 3 6 4 5 2" xfId="3527"/>
    <cellStyle name="Comma 3 6 4 5 3" xfId="7454"/>
    <cellStyle name="Comma 3 6 4 6" xfId="4518"/>
    <cellStyle name="Comma 3 6 4 7" xfId="4997"/>
    <cellStyle name="Comma 3 6 4 8" xfId="5499"/>
    <cellStyle name="Comma 3 6 4 9" xfId="2534"/>
    <cellStyle name="Comma 3 6 5" xfId="756"/>
    <cellStyle name="Comma 3 6 5 2" xfId="1004"/>
    <cellStyle name="Comma 3 6 5 2 2" xfId="1510"/>
    <cellStyle name="Comma 3 6 5 2 2 2" xfId="4325"/>
    <cellStyle name="Comma 3 6 5 2 2 3" xfId="3315"/>
    <cellStyle name="Comma 3 6 5 2 2 4" xfId="7250"/>
    <cellStyle name="Comma 3 6 5 2 3" xfId="2018"/>
    <cellStyle name="Comma 3 6 5 2 3 2" xfId="3831"/>
    <cellStyle name="Comma 3 6 5 2 3 3" xfId="7758"/>
    <cellStyle name="Comma 3 6 5 2 4" xfId="4803"/>
    <cellStyle name="Comma 3 6 5 2 5" xfId="5301"/>
    <cellStyle name="Comma 3 6 5 2 6" xfId="5803"/>
    <cellStyle name="Comma 3 6 5 2 7" xfId="2821"/>
    <cellStyle name="Comma 3 6 5 2 8" xfId="6744"/>
    <cellStyle name="Comma 3 6 5 3" xfId="1262"/>
    <cellStyle name="Comma 3 6 5 3 2" xfId="4077"/>
    <cellStyle name="Comma 3 6 5 3 3" xfId="3067"/>
    <cellStyle name="Comma 3 6 5 3 4" xfId="7002"/>
    <cellStyle name="Comma 3 6 5 4" xfId="1770"/>
    <cellStyle name="Comma 3 6 5 4 2" xfId="3583"/>
    <cellStyle name="Comma 3 6 5 4 3" xfId="7510"/>
    <cellStyle name="Comma 3 6 5 5" xfId="4569"/>
    <cellStyle name="Comma 3 6 5 6" xfId="5053"/>
    <cellStyle name="Comma 3 6 5 7" xfId="5555"/>
    <cellStyle name="Comma 3 6 5 8" xfId="2585"/>
    <cellStyle name="Comma 3 6 5 9" xfId="6496"/>
    <cellStyle name="Comma 3 6 6" xfId="624"/>
    <cellStyle name="Comma 3 6 6 2" xfId="1138"/>
    <cellStyle name="Comma 3 6 6 2 2" xfId="4201"/>
    <cellStyle name="Comma 3 6 6 2 3" xfId="3191"/>
    <cellStyle name="Comma 3 6 6 2 4" xfId="6878"/>
    <cellStyle name="Comma 3 6 6 3" xfId="1646"/>
    <cellStyle name="Comma 3 6 6 3 2" xfId="3459"/>
    <cellStyle name="Comma 3 6 6 3 3" xfId="7386"/>
    <cellStyle name="Comma 3 6 6 4" xfId="4685"/>
    <cellStyle name="Comma 3 6 6 5" xfId="5177"/>
    <cellStyle name="Comma 3 6 6 6" xfId="5679"/>
    <cellStyle name="Comma 3 6 6 7" xfId="2473"/>
    <cellStyle name="Comma 3 6 6 8" xfId="6369"/>
    <cellStyle name="Comma 3 6 7" xfId="880"/>
    <cellStyle name="Comma 3 6 7 2" xfId="1386"/>
    <cellStyle name="Comma 3 6 7 2 2" xfId="3707"/>
    <cellStyle name="Comma 3 6 7 2 3" xfId="7126"/>
    <cellStyle name="Comma 3 6 7 3" xfId="1894"/>
    <cellStyle name="Comma 3 6 7 3 2" xfId="7634"/>
    <cellStyle name="Comma 3 6 7 4" xfId="2703"/>
    <cellStyle name="Comma 3 6 7 5" xfId="6620"/>
    <cellStyle name="Comma 3 6 8" xfId="1126"/>
    <cellStyle name="Comma 3 6 8 2" xfId="3955"/>
    <cellStyle name="Comma 3 6 8 3" xfId="2945"/>
    <cellStyle name="Comma 3 6 8 4" xfId="6866"/>
    <cellStyle name="Comma 3 6 9" xfId="1633"/>
    <cellStyle name="Comma 3 6 9 2" xfId="3447"/>
    <cellStyle name="Comma 3 6 9 3" xfId="7373"/>
    <cellStyle name="Comma 3 7" xfId="626"/>
    <cellStyle name="Comma 3 7 10" xfId="4933"/>
    <cellStyle name="Comma 3 7 11" xfId="5433"/>
    <cellStyle name="Comma 3 7 12" xfId="2475"/>
    <cellStyle name="Comma 3 7 13" xfId="6371"/>
    <cellStyle name="Comma 3 7 2" xfId="656"/>
    <cellStyle name="Comma 3 7 2 10" xfId="2495"/>
    <cellStyle name="Comma 3 7 2 11" xfId="6396"/>
    <cellStyle name="Comma 3 7 2 2" xfId="704"/>
    <cellStyle name="Comma 3 7 2 2 10" xfId="6444"/>
    <cellStyle name="Comma 3 7 2 2 2" xfId="828"/>
    <cellStyle name="Comma 3 7 2 2 2 2" xfId="1076"/>
    <cellStyle name="Comma 3 7 2 2 2 2 2" xfId="1582"/>
    <cellStyle name="Comma 3 7 2 2 2 2 2 2" xfId="4397"/>
    <cellStyle name="Comma 3 7 2 2 2 2 2 3" xfId="3387"/>
    <cellStyle name="Comma 3 7 2 2 2 2 2 4" xfId="7322"/>
    <cellStyle name="Comma 3 7 2 2 2 2 3" xfId="2090"/>
    <cellStyle name="Comma 3 7 2 2 2 2 3 2" xfId="3903"/>
    <cellStyle name="Comma 3 7 2 2 2 2 3 3" xfId="7830"/>
    <cellStyle name="Comma 3 7 2 2 2 2 4" xfId="4875"/>
    <cellStyle name="Comma 3 7 2 2 2 2 5" xfId="5373"/>
    <cellStyle name="Comma 3 7 2 2 2 2 6" xfId="5875"/>
    <cellStyle name="Comma 3 7 2 2 2 2 7" xfId="2893"/>
    <cellStyle name="Comma 3 7 2 2 2 2 8" xfId="6816"/>
    <cellStyle name="Comma 3 7 2 2 2 3" xfId="1334"/>
    <cellStyle name="Comma 3 7 2 2 2 3 2" xfId="4149"/>
    <cellStyle name="Comma 3 7 2 2 2 3 3" xfId="3139"/>
    <cellStyle name="Comma 3 7 2 2 2 3 4" xfId="7074"/>
    <cellStyle name="Comma 3 7 2 2 2 4" xfId="1842"/>
    <cellStyle name="Comma 3 7 2 2 2 4 2" xfId="3655"/>
    <cellStyle name="Comma 3 7 2 2 2 4 3" xfId="7582"/>
    <cellStyle name="Comma 3 7 2 2 2 5" xfId="4636"/>
    <cellStyle name="Comma 3 7 2 2 2 6" xfId="5125"/>
    <cellStyle name="Comma 3 7 2 2 2 7" xfId="5627"/>
    <cellStyle name="Comma 3 7 2 2 2 8" xfId="2652"/>
    <cellStyle name="Comma 3 7 2 2 2 9" xfId="6568"/>
    <cellStyle name="Comma 3 7 2 2 3" xfId="952"/>
    <cellStyle name="Comma 3 7 2 2 3 2" xfId="1458"/>
    <cellStyle name="Comma 3 7 2 2 3 2 2" xfId="4273"/>
    <cellStyle name="Comma 3 7 2 2 3 2 3" xfId="3263"/>
    <cellStyle name="Comma 3 7 2 2 3 2 4" xfId="7198"/>
    <cellStyle name="Comma 3 7 2 2 3 3" xfId="1966"/>
    <cellStyle name="Comma 3 7 2 2 3 3 2" xfId="3779"/>
    <cellStyle name="Comma 3 7 2 2 3 3 3" xfId="7706"/>
    <cellStyle name="Comma 3 7 2 2 3 4" xfId="4752"/>
    <cellStyle name="Comma 3 7 2 2 3 5" xfId="5249"/>
    <cellStyle name="Comma 3 7 2 2 3 6" xfId="5751"/>
    <cellStyle name="Comma 3 7 2 2 3 7" xfId="2770"/>
    <cellStyle name="Comma 3 7 2 2 3 8" xfId="6692"/>
    <cellStyle name="Comma 3 7 2 2 4" xfId="1210"/>
    <cellStyle name="Comma 3 7 2 2 4 2" xfId="4026"/>
    <cellStyle name="Comma 3 7 2 2 4 3" xfId="3016"/>
    <cellStyle name="Comma 3 7 2 2 4 4" xfId="6950"/>
    <cellStyle name="Comma 3 7 2 2 5" xfId="1718"/>
    <cellStyle name="Comma 3 7 2 2 5 2" xfId="3531"/>
    <cellStyle name="Comma 3 7 2 2 5 3" xfId="7458"/>
    <cellStyle name="Comma 3 7 2 2 6" xfId="4522"/>
    <cellStyle name="Comma 3 7 2 2 7" xfId="5001"/>
    <cellStyle name="Comma 3 7 2 2 8" xfId="5503"/>
    <cellStyle name="Comma 3 7 2 2 9" xfId="2538"/>
    <cellStyle name="Comma 3 7 2 3" xfId="780"/>
    <cellStyle name="Comma 3 7 2 3 2" xfId="1028"/>
    <cellStyle name="Comma 3 7 2 3 2 2" xfId="1534"/>
    <cellStyle name="Comma 3 7 2 3 2 2 2" xfId="4349"/>
    <cellStyle name="Comma 3 7 2 3 2 2 3" xfId="3339"/>
    <cellStyle name="Comma 3 7 2 3 2 2 4" xfId="7274"/>
    <cellStyle name="Comma 3 7 2 3 2 3" xfId="2042"/>
    <cellStyle name="Comma 3 7 2 3 2 3 2" xfId="3855"/>
    <cellStyle name="Comma 3 7 2 3 2 3 3" xfId="7782"/>
    <cellStyle name="Comma 3 7 2 3 2 4" xfId="4827"/>
    <cellStyle name="Comma 3 7 2 3 2 5" xfId="5325"/>
    <cellStyle name="Comma 3 7 2 3 2 6" xfId="5827"/>
    <cellStyle name="Comma 3 7 2 3 2 7" xfId="2845"/>
    <cellStyle name="Comma 3 7 2 3 2 8" xfId="6768"/>
    <cellStyle name="Comma 3 7 2 3 3" xfId="1286"/>
    <cellStyle name="Comma 3 7 2 3 3 2" xfId="4101"/>
    <cellStyle name="Comma 3 7 2 3 3 3" xfId="3091"/>
    <cellStyle name="Comma 3 7 2 3 3 4" xfId="7026"/>
    <cellStyle name="Comma 3 7 2 3 4" xfId="1794"/>
    <cellStyle name="Comma 3 7 2 3 4 2" xfId="3607"/>
    <cellStyle name="Comma 3 7 2 3 4 3" xfId="7534"/>
    <cellStyle name="Comma 3 7 2 3 5" xfId="4591"/>
    <cellStyle name="Comma 3 7 2 3 6" xfId="5077"/>
    <cellStyle name="Comma 3 7 2 3 7" xfId="5579"/>
    <cellStyle name="Comma 3 7 2 3 8" xfId="2607"/>
    <cellStyle name="Comma 3 7 2 3 9" xfId="6520"/>
    <cellStyle name="Comma 3 7 2 4" xfId="904"/>
    <cellStyle name="Comma 3 7 2 4 2" xfId="1410"/>
    <cellStyle name="Comma 3 7 2 4 2 2" xfId="4225"/>
    <cellStyle name="Comma 3 7 2 4 2 3" xfId="3215"/>
    <cellStyle name="Comma 3 7 2 4 2 4" xfId="7150"/>
    <cellStyle name="Comma 3 7 2 4 3" xfId="1918"/>
    <cellStyle name="Comma 3 7 2 4 3 2" xfId="3731"/>
    <cellStyle name="Comma 3 7 2 4 3 3" xfId="7658"/>
    <cellStyle name="Comma 3 7 2 4 4" xfId="4707"/>
    <cellStyle name="Comma 3 7 2 4 5" xfId="5201"/>
    <cellStyle name="Comma 3 7 2 4 6" xfId="5703"/>
    <cellStyle name="Comma 3 7 2 4 7" xfId="2725"/>
    <cellStyle name="Comma 3 7 2 4 8" xfId="6644"/>
    <cellStyle name="Comma 3 7 2 5" xfId="1162"/>
    <cellStyle name="Comma 3 7 2 5 2" xfId="3979"/>
    <cellStyle name="Comma 3 7 2 5 3" xfId="2969"/>
    <cellStyle name="Comma 3 7 2 5 4" xfId="6902"/>
    <cellStyle name="Comma 3 7 2 6" xfId="1670"/>
    <cellStyle name="Comma 3 7 2 6 2" xfId="3483"/>
    <cellStyle name="Comma 3 7 2 6 3" xfId="7410"/>
    <cellStyle name="Comma 3 7 2 7" xfId="4479"/>
    <cellStyle name="Comma 3 7 2 8" xfId="4953"/>
    <cellStyle name="Comma 3 7 2 9" xfId="5455"/>
    <cellStyle name="Comma 3 7 3" xfId="676"/>
    <cellStyle name="Comma 3 7 3 10" xfId="2513"/>
    <cellStyle name="Comma 3 7 3 11" xfId="6416"/>
    <cellStyle name="Comma 3 7 3 2" xfId="705"/>
    <cellStyle name="Comma 3 7 3 2 10" xfId="6445"/>
    <cellStyle name="Comma 3 7 3 2 2" xfId="829"/>
    <cellStyle name="Comma 3 7 3 2 2 2" xfId="1077"/>
    <cellStyle name="Comma 3 7 3 2 2 2 2" xfId="1583"/>
    <cellStyle name="Comma 3 7 3 2 2 2 2 2" xfId="4398"/>
    <cellStyle name="Comma 3 7 3 2 2 2 2 3" xfId="3388"/>
    <cellStyle name="Comma 3 7 3 2 2 2 2 4" xfId="7323"/>
    <cellStyle name="Comma 3 7 3 2 2 2 3" xfId="2091"/>
    <cellStyle name="Comma 3 7 3 2 2 2 3 2" xfId="3904"/>
    <cellStyle name="Comma 3 7 3 2 2 2 3 3" xfId="7831"/>
    <cellStyle name="Comma 3 7 3 2 2 2 4" xfId="4876"/>
    <cellStyle name="Comma 3 7 3 2 2 2 5" xfId="5374"/>
    <cellStyle name="Comma 3 7 3 2 2 2 6" xfId="5876"/>
    <cellStyle name="Comma 3 7 3 2 2 2 7" xfId="2894"/>
    <cellStyle name="Comma 3 7 3 2 2 2 8" xfId="6817"/>
    <cellStyle name="Comma 3 7 3 2 2 3" xfId="1335"/>
    <cellStyle name="Comma 3 7 3 2 2 3 2" xfId="4150"/>
    <cellStyle name="Comma 3 7 3 2 2 3 3" xfId="3140"/>
    <cellStyle name="Comma 3 7 3 2 2 3 4" xfId="7075"/>
    <cellStyle name="Comma 3 7 3 2 2 4" xfId="1843"/>
    <cellStyle name="Comma 3 7 3 2 2 4 2" xfId="3656"/>
    <cellStyle name="Comma 3 7 3 2 2 4 3" xfId="7583"/>
    <cellStyle name="Comma 3 7 3 2 2 5" xfId="4637"/>
    <cellStyle name="Comma 3 7 3 2 2 6" xfId="5126"/>
    <cellStyle name="Comma 3 7 3 2 2 7" xfId="5628"/>
    <cellStyle name="Comma 3 7 3 2 2 8" xfId="2653"/>
    <cellStyle name="Comma 3 7 3 2 2 9" xfId="6569"/>
    <cellStyle name="Comma 3 7 3 2 3" xfId="953"/>
    <cellStyle name="Comma 3 7 3 2 3 2" xfId="1459"/>
    <cellStyle name="Comma 3 7 3 2 3 2 2" xfId="4274"/>
    <cellStyle name="Comma 3 7 3 2 3 2 3" xfId="3264"/>
    <cellStyle name="Comma 3 7 3 2 3 2 4" xfId="7199"/>
    <cellStyle name="Comma 3 7 3 2 3 3" xfId="1967"/>
    <cellStyle name="Comma 3 7 3 2 3 3 2" xfId="3780"/>
    <cellStyle name="Comma 3 7 3 2 3 3 3" xfId="7707"/>
    <cellStyle name="Comma 3 7 3 2 3 4" xfId="4753"/>
    <cellStyle name="Comma 3 7 3 2 3 5" xfId="5250"/>
    <cellStyle name="Comma 3 7 3 2 3 6" xfId="5752"/>
    <cellStyle name="Comma 3 7 3 2 3 7" xfId="2771"/>
    <cellStyle name="Comma 3 7 3 2 3 8" xfId="6693"/>
    <cellStyle name="Comma 3 7 3 2 4" xfId="1211"/>
    <cellStyle name="Comma 3 7 3 2 4 2" xfId="4027"/>
    <cellStyle name="Comma 3 7 3 2 4 3" xfId="3017"/>
    <cellStyle name="Comma 3 7 3 2 4 4" xfId="6951"/>
    <cellStyle name="Comma 3 7 3 2 5" xfId="1719"/>
    <cellStyle name="Comma 3 7 3 2 5 2" xfId="3532"/>
    <cellStyle name="Comma 3 7 3 2 5 3" xfId="7459"/>
    <cellStyle name="Comma 3 7 3 2 6" xfId="4523"/>
    <cellStyle name="Comma 3 7 3 2 7" xfId="5002"/>
    <cellStyle name="Comma 3 7 3 2 8" xfId="5504"/>
    <cellStyle name="Comma 3 7 3 2 9" xfId="2539"/>
    <cellStyle name="Comma 3 7 3 3" xfId="800"/>
    <cellStyle name="Comma 3 7 3 3 2" xfId="1048"/>
    <cellStyle name="Comma 3 7 3 3 2 2" xfId="1554"/>
    <cellStyle name="Comma 3 7 3 3 2 2 2" xfId="4369"/>
    <cellStyle name="Comma 3 7 3 3 2 2 3" xfId="3359"/>
    <cellStyle name="Comma 3 7 3 3 2 2 4" xfId="7294"/>
    <cellStyle name="Comma 3 7 3 3 2 3" xfId="2062"/>
    <cellStyle name="Comma 3 7 3 3 2 3 2" xfId="3875"/>
    <cellStyle name="Comma 3 7 3 3 2 3 3" xfId="7802"/>
    <cellStyle name="Comma 3 7 3 3 2 4" xfId="4847"/>
    <cellStyle name="Comma 3 7 3 3 2 5" xfId="5345"/>
    <cellStyle name="Comma 3 7 3 3 2 6" xfId="5847"/>
    <cellStyle name="Comma 3 7 3 3 2 7" xfId="2865"/>
    <cellStyle name="Comma 3 7 3 3 2 8" xfId="6788"/>
    <cellStyle name="Comma 3 7 3 3 3" xfId="1306"/>
    <cellStyle name="Comma 3 7 3 3 3 2" xfId="4121"/>
    <cellStyle name="Comma 3 7 3 3 3 3" xfId="3111"/>
    <cellStyle name="Comma 3 7 3 3 3 4" xfId="7046"/>
    <cellStyle name="Comma 3 7 3 3 4" xfId="1814"/>
    <cellStyle name="Comma 3 7 3 3 4 2" xfId="3627"/>
    <cellStyle name="Comma 3 7 3 3 4 3" xfId="7554"/>
    <cellStyle name="Comma 3 7 3 3 5" xfId="4609"/>
    <cellStyle name="Comma 3 7 3 3 6" xfId="5097"/>
    <cellStyle name="Comma 3 7 3 3 7" xfId="5599"/>
    <cellStyle name="Comma 3 7 3 3 8" xfId="2625"/>
    <cellStyle name="Comma 3 7 3 3 9" xfId="6540"/>
    <cellStyle name="Comma 3 7 3 4" xfId="924"/>
    <cellStyle name="Comma 3 7 3 4 2" xfId="1430"/>
    <cellStyle name="Comma 3 7 3 4 2 2" xfId="4245"/>
    <cellStyle name="Comma 3 7 3 4 2 3" xfId="3235"/>
    <cellStyle name="Comma 3 7 3 4 2 4" xfId="7170"/>
    <cellStyle name="Comma 3 7 3 4 3" xfId="1938"/>
    <cellStyle name="Comma 3 7 3 4 3 2" xfId="3751"/>
    <cellStyle name="Comma 3 7 3 4 3 3" xfId="7678"/>
    <cellStyle name="Comma 3 7 3 4 4" xfId="4725"/>
    <cellStyle name="Comma 3 7 3 4 5" xfId="5221"/>
    <cellStyle name="Comma 3 7 3 4 6" xfId="5723"/>
    <cellStyle name="Comma 3 7 3 4 7" xfId="2743"/>
    <cellStyle name="Comma 3 7 3 4 8" xfId="6664"/>
    <cellStyle name="Comma 3 7 3 5" xfId="1182"/>
    <cellStyle name="Comma 3 7 3 5 2" xfId="3999"/>
    <cellStyle name="Comma 3 7 3 5 3" xfId="2989"/>
    <cellStyle name="Comma 3 7 3 5 4" xfId="6922"/>
    <cellStyle name="Comma 3 7 3 6" xfId="1690"/>
    <cellStyle name="Comma 3 7 3 6 2" xfId="3503"/>
    <cellStyle name="Comma 3 7 3 6 3" xfId="7430"/>
    <cellStyle name="Comma 3 7 3 7" xfId="4497"/>
    <cellStyle name="Comma 3 7 3 8" xfId="4973"/>
    <cellStyle name="Comma 3 7 3 9" xfId="5475"/>
    <cellStyle name="Comma 3 7 4" xfId="703"/>
    <cellStyle name="Comma 3 7 4 10" xfId="6443"/>
    <cellStyle name="Comma 3 7 4 2" xfId="827"/>
    <cellStyle name="Comma 3 7 4 2 2" xfId="1075"/>
    <cellStyle name="Comma 3 7 4 2 2 2" xfId="1581"/>
    <cellStyle name="Comma 3 7 4 2 2 2 2" xfId="4396"/>
    <cellStyle name="Comma 3 7 4 2 2 2 3" xfId="3386"/>
    <cellStyle name="Comma 3 7 4 2 2 2 4" xfId="7321"/>
    <cellStyle name="Comma 3 7 4 2 2 3" xfId="2089"/>
    <cellStyle name="Comma 3 7 4 2 2 3 2" xfId="3902"/>
    <cellStyle name="Comma 3 7 4 2 2 3 3" xfId="7829"/>
    <cellStyle name="Comma 3 7 4 2 2 4" xfId="4874"/>
    <cellStyle name="Comma 3 7 4 2 2 5" xfId="5372"/>
    <cellStyle name="Comma 3 7 4 2 2 6" xfId="5874"/>
    <cellStyle name="Comma 3 7 4 2 2 7" xfId="2892"/>
    <cellStyle name="Comma 3 7 4 2 2 8" xfId="6815"/>
    <cellStyle name="Comma 3 7 4 2 3" xfId="1333"/>
    <cellStyle name="Comma 3 7 4 2 3 2" xfId="4148"/>
    <cellStyle name="Comma 3 7 4 2 3 3" xfId="3138"/>
    <cellStyle name="Comma 3 7 4 2 3 4" xfId="7073"/>
    <cellStyle name="Comma 3 7 4 2 4" xfId="1841"/>
    <cellStyle name="Comma 3 7 4 2 4 2" xfId="3654"/>
    <cellStyle name="Comma 3 7 4 2 4 3" xfId="7581"/>
    <cellStyle name="Comma 3 7 4 2 5" xfId="4635"/>
    <cellStyle name="Comma 3 7 4 2 6" xfId="5124"/>
    <cellStyle name="Comma 3 7 4 2 7" xfId="5626"/>
    <cellStyle name="Comma 3 7 4 2 8" xfId="2651"/>
    <cellStyle name="Comma 3 7 4 2 9" xfId="6567"/>
    <cellStyle name="Comma 3 7 4 3" xfId="951"/>
    <cellStyle name="Comma 3 7 4 3 2" xfId="1457"/>
    <cellStyle name="Comma 3 7 4 3 2 2" xfId="4272"/>
    <cellStyle name="Comma 3 7 4 3 2 3" xfId="3262"/>
    <cellStyle name="Comma 3 7 4 3 2 4" xfId="7197"/>
    <cellStyle name="Comma 3 7 4 3 3" xfId="1965"/>
    <cellStyle name="Comma 3 7 4 3 3 2" xfId="3778"/>
    <cellStyle name="Comma 3 7 4 3 3 3" xfId="7705"/>
    <cellStyle name="Comma 3 7 4 3 4" xfId="4751"/>
    <cellStyle name="Comma 3 7 4 3 5" xfId="5248"/>
    <cellStyle name="Comma 3 7 4 3 6" xfId="5750"/>
    <cellStyle name="Comma 3 7 4 3 7" xfId="2769"/>
    <cellStyle name="Comma 3 7 4 3 8" xfId="6691"/>
    <cellStyle name="Comma 3 7 4 4" xfId="1209"/>
    <cellStyle name="Comma 3 7 4 4 2" xfId="4025"/>
    <cellStyle name="Comma 3 7 4 4 3" xfId="3015"/>
    <cellStyle name="Comma 3 7 4 4 4" xfId="6949"/>
    <cellStyle name="Comma 3 7 4 5" xfId="1717"/>
    <cellStyle name="Comma 3 7 4 5 2" xfId="3530"/>
    <cellStyle name="Comma 3 7 4 5 3" xfId="7457"/>
    <cellStyle name="Comma 3 7 4 6" xfId="4521"/>
    <cellStyle name="Comma 3 7 4 7" xfId="5000"/>
    <cellStyle name="Comma 3 7 4 8" xfId="5502"/>
    <cellStyle name="Comma 3 7 4 9" xfId="2537"/>
    <cellStyle name="Comma 3 7 5" xfId="758"/>
    <cellStyle name="Comma 3 7 5 2" xfId="1006"/>
    <cellStyle name="Comma 3 7 5 2 2" xfId="1512"/>
    <cellStyle name="Comma 3 7 5 2 2 2" xfId="4327"/>
    <cellStyle name="Comma 3 7 5 2 2 3" xfId="3317"/>
    <cellStyle name="Comma 3 7 5 2 2 4" xfId="7252"/>
    <cellStyle name="Comma 3 7 5 2 3" xfId="2020"/>
    <cellStyle name="Comma 3 7 5 2 3 2" xfId="3833"/>
    <cellStyle name="Comma 3 7 5 2 3 3" xfId="7760"/>
    <cellStyle name="Comma 3 7 5 2 4" xfId="4805"/>
    <cellStyle name="Comma 3 7 5 2 5" xfId="5303"/>
    <cellStyle name="Comma 3 7 5 2 6" xfId="5805"/>
    <cellStyle name="Comma 3 7 5 2 7" xfId="2823"/>
    <cellStyle name="Comma 3 7 5 2 8" xfId="6746"/>
    <cellStyle name="Comma 3 7 5 3" xfId="1264"/>
    <cellStyle name="Comma 3 7 5 3 2" xfId="4079"/>
    <cellStyle name="Comma 3 7 5 3 3" xfId="3069"/>
    <cellStyle name="Comma 3 7 5 3 4" xfId="7004"/>
    <cellStyle name="Comma 3 7 5 4" xfId="1772"/>
    <cellStyle name="Comma 3 7 5 4 2" xfId="3585"/>
    <cellStyle name="Comma 3 7 5 4 3" xfId="7512"/>
    <cellStyle name="Comma 3 7 5 5" xfId="4571"/>
    <cellStyle name="Comma 3 7 5 6" xfId="5055"/>
    <cellStyle name="Comma 3 7 5 7" xfId="5557"/>
    <cellStyle name="Comma 3 7 5 8" xfId="2587"/>
    <cellStyle name="Comma 3 7 5 9" xfId="6498"/>
    <cellStyle name="Comma 3 7 6" xfId="882"/>
    <cellStyle name="Comma 3 7 6 2" xfId="1388"/>
    <cellStyle name="Comma 3 7 6 2 2" xfId="4203"/>
    <cellStyle name="Comma 3 7 6 2 3" xfId="3193"/>
    <cellStyle name="Comma 3 7 6 2 4" xfId="7128"/>
    <cellStyle name="Comma 3 7 6 3" xfId="1896"/>
    <cellStyle name="Comma 3 7 6 3 2" xfId="3709"/>
    <cellStyle name="Comma 3 7 6 3 3" xfId="7636"/>
    <cellStyle name="Comma 3 7 6 4" xfId="4687"/>
    <cellStyle name="Comma 3 7 6 5" xfId="5179"/>
    <cellStyle name="Comma 3 7 6 6" xfId="5681"/>
    <cellStyle name="Comma 3 7 6 7" xfId="2705"/>
    <cellStyle name="Comma 3 7 6 8" xfId="6622"/>
    <cellStyle name="Comma 3 7 7" xfId="1140"/>
    <cellStyle name="Comma 3 7 7 2" xfId="3957"/>
    <cellStyle name="Comma 3 7 7 3" xfId="2947"/>
    <cellStyle name="Comma 3 7 7 4" xfId="6880"/>
    <cellStyle name="Comma 3 7 8" xfId="1648"/>
    <cellStyle name="Comma 3 7 8 2" xfId="3461"/>
    <cellStyle name="Comma 3 7 8 3" xfId="7388"/>
    <cellStyle name="Comma 3 7 9" xfId="4457"/>
    <cellStyle name="Comma 3 8" xfId="628"/>
    <cellStyle name="Comma 3 8 10" xfId="4935"/>
    <cellStyle name="Comma 3 8 11" xfId="5435"/>
    <cellStyle name="Comma 3 8 12" xfId="2477"/>
    <cellStyle name="Comma 3 8 13" xfId="6373"/>
    <cellStyle name="Comma 3 8 2" xfId="658"/>
    <cellStyle name="Comma 3 8 2 10" xfId="2497"/>
    <cellStyle name="Comma 3 8 2 11" xfId="6398"/>
    <cellStyle name="Comma 3 8 2 2" xfId="707"/>
    <cellStyle name="Comma 3 8 2 2 10" xfId="6447"/>
    <cellStyle name="Comma 3 8 2 2 2" xfId="831"/>
    <cellStyle name="Comma 3 8 2 2 2 2" xfId="1079"/>
    <cellStyle name="Comma 3 8 2 2 2 2 2" xfId="1585"/>
    <cellStyle name="Comma 3 8 2 2 2 2 2 2" xfId="4400"/>
    <cellStyle name="Comma 3 8 2 2 2 2 2 3" xfId="3390"/>
    <cellStyle name="Comma 3 8 2 2 2 2 2 4" xfId="7325"/>
    <cellStyle name="Comma 3 8 2 2 2 2 3" xfId="2093"/>
    <cellStyle name="Comma 3 8 2 2 2 2 3 2" xfId="3906"/>
    <cellStyle name="Comma 3 8 2 2 2 2 3 3" xfId="7833"/>
    <cellStyle name="Comma 3 8 2 2 2 2 4" xfId="4878"/>
    <cellStyle name="Comma 3 8 2 2 2 2 5" xfId="5376"/>
    <cellStyle name="Comma 3 8 2 2 2 2 6" xfId="5878"/>
    <cellStyle name="Comma 3 8 2 2 2 2 7" xfId="2896"/>
    <cellStyle name="Comma 3 8 2 2 2 2 8" xfId="6819"/>
    <cellStyle name="Comma 3 8 2 2 2 3" xfId="1337"/>
    <cellStyle name="Comma 3 8 2 2 2 3 2" xfId="4152"/>
    <cellStyle name="Comma 3 8 2 2 2 3 3" xfId="3142"/>
    <cellStyle name="Comma 3 8 2 2 2 3 4" xfId="7077"/>
    <cellStyle name="Comma 3 8 2 2 2 4" xfId="1845"/>
    <cellStyle name="Comma 3 8 2 2 2 4 2" xfId="3658"/>
    <cellStyle name="Comma 3 8 2 2 2 4 3" xfId="7585"/>
    <cellStyle name="Comma 3 8 2 2 2 5" xfId="4639"/>
    <cellStyle name="Comma 3 8 2 2 2 6" xfId="5128"/>
    <cellStyle name="Comma 3 8 2 2 2 7" xfId="5630"/>
    <cellStyle name="Comma 3 8 2 2 2 8" xfId="2655"/>
    <cellStyle name="Comma 3 8 2 2 2 9" xfId="6571"/>
    <cellStyle name="Comma 3 8 2 2 3" xfId="955"/>
    <cellStyle name="Comma 3 8 2 2 3 2" xfId="1461"/>
    <cellStyle name="Comma 3 8 2 2 3 2 2" xfId="4276"/>
    <cellStyle name="Comma 3 8 2 2 3 2 3" xfId="3266"/>
    <cellStyle name="Comma 3 8 2 2 3 2 4" xfId="7201"/>
    <cellStyle name="Comma 3 8 2 2 3 3" xfId="1969"/>
    <cellStyle name="Comma 3 8 2 2 3 3 2" xfId="3782"/>
    <cellStyle name="Comma 3 8 2 2 3 3 3" xfId="7709"/>
    <cellStyle name="Comma 3 8 2 2 3 4" xfId="4755"/>
    <cellStyle name="Comma 3 8 2 2 3 5" xfId="5252"/>
    <cellStyle name="Comma 3 8 2 2 3 6" xfId="5754"/>
    <cellStyle name="Comma 3 8 2 2 3 7" xfId="2773"/>
    <cellStyle name="Comma 3 8 2 2 3 8" xfId="6695"/>
    <cellStyle name="Comma 3 8 2 2 4" xfId="1213"/>
    <cellStyle name="Comma 3 8 2 2 4 2" xfId="4029"/>
    <cellStyle name="Comma 3 8 2 2 4 3" xfId="3019"/>
    <cellStyle name="Comma 3 8 2 2 4 4" xfId="6953"/>
    <cellStyle name="Comma 3 8 2 2 5" xfId="1721"/>
    <cellStyle name="Comma 3 8 2 2 5 2" xfId="3534"/>
    <cellStyle name="Comma 3 8 2 2 5 3" xfId="7461"/>
    <cellStyle name="Comma 3 8 2 2 6" xfId="4525"/>
    <cellStyle name="Comma 3 8 2 2 7" xfId="5004"/>
    <cellStyle name="Comma 3 8 2 2 8" xfId="5506"/>
    <cellStyle name="Comma 3 8 2 2 9" xfId="2541"/>
    <cellStyle name="Comma 3 8 2 3" xfId="782"/>
    <cellStyle name="Comma 3 8 2 3 2" xfId="1030"/>
    <cellStyle name="Comma 3 8 2 3 2 2" xfId="1536"/>
    <cellStyle name="Comma 3 8 2 3 2 2 2" xfId="4351"/>
    <cellStyle name="Comma 3 8 2 3 2 2 3" xfId="3341"/>
    <cellStyle name="Comma 3 8 2 3 2 2 4" xfId="7276"/>
    <cellStyle name="Comma 3 8 2 3 2 3" xfId="2044"/>
    <cellStyle name="Comma 3 8 2 3 2 3 2" xfId="3857"/>
    <cellStyle name="Comma 3 8 2 3 2 3 3" xfId="7784"/>
    <cellStyle name="Comma 3 8 2 3 2 4" xfId="4829"/>
    <cellStyle name="Comma 3 8 2 3 2 5" xfId="5327"/>
    <cellStyle name="Comma 3 8 2 3 2 6" xfId="5829"/>
    <cellStyle name="Comma 3 8 2 3 2 7" xfId="2847"/>
    <cellStyle name="Comma 3 8 2 3 2 8" xfId="6770"/>
    <cellStyle name="Comma 3 8 2 3 3" xfId="1288"/>
    <cellStyle name="Comma 3 8 2 3 3 2" xfId="4103"/>
    <cellStyle name="Comma 3 8 2 3 3 3" xfId="3093"/>
    <cellStyle name="Comma 3 8 2 3 3 4" xfId="7028"/>
    <cellStyle name="Comma 3 8 2 3 4" xfId="1796"/>
    <cellStyle name="Comma 3 8 2 3 4 2" xfId="3609"/>
    <cellStyle name="Comma 3 8 2 3 4 3" xfId="7536"/>
    <cellStyle name="Comma 3 8 2 3 5" xfId="4593"/>
    <cellStyle name="Comma 3 8 2 3 6" xfId="5079"/>
    <cellStyle name="Comma 3 8 2 3 7" xfId="5581"/>
    <cellStyle name="Comma 3 8 2 3 8" xfId="2609"/>
    <cellStyle name="Comma 3 8 2 3 9" xfId="6522"/>
    <cellStyle name="Comma 3 8 2 4" xfId="906"/>
    <cellStyle name="Comma 3 8 2 4 2" xfId="1412"/>
    <cellStyle name="Comma 3 8 2 4 2 2" xfId="4227"/>
    <cellStyle name="Comma 3 8 2 4 2 3" xfId="3217"/>
    <cellStyle name="Comma 3 8 2 4 2 4" xfId="7152"/>
    <cellStyle name="Comma 3 8 2 4 3" xfId="1920"/>
    <cellStyle name="Comma 3 8 2 4 3 2" xfId="3733"/>
    <cellStyle name="Comma 3 8 2 4 3 3" xfId="7660"/>
    <cellStyle name="Comma 3 8 2 4 4" xfId="4709"/>
    <cellStyle name="Comma 3 8 2 4 5" xfId="5203"/>
    <cellStyle name="Comma 3 8 2 4 6" xfId="5705"/>
    <cellStyle name="Comma 3 8 2 4 7" xfId="2727"/>
    <cellStyle name="Comma 3 8 2 4 8" xfId="6646"/>
    <cellStyle name="Comma 3 8 2 5" xfId="1164"/>
    <cellStyle name="Comma 3 8 2 5 2" xfId="3981"/>
    <cellStyle name="Comma 3 8 2 5 3" xfId="2971"/>
    <cellStyle name="Comma 3 8 2 5 4" xfId="6904"/>
    <cellStyle name="Comma 3 8 2 6" xfId="1672"/>
    <cellStyle name="Comma 3 8 2 6 2" xfId="3485"/>
    <cellStyle name="Comma 3 8 2 6 3" xfId="7412"/>
    <cellStyle name="Comma 3 8 2 7" xfId="4481"/>
    <cellStyle name="Comma 3 8 2 8" xfId="4955"/>
    <cellStyle name="Comma 3 8 2 9" xfId="5457"/>
    <cellStyle name="Comma 3 8 3" xfId="678"/>
    <cellStyle name="Comma 3 8 3 10" xfId="2515"/>
    <cellStyle name="Comma 3 8 3 11" xfId="6418"/>
    <cellStyle name="Comma 3 8 3 2" xfId="708"/>
    <cellStyle name="Comma 3 8 3 2 10" xfId="6448"/>
    <cellStyle name="Comma 3 8 3 2 2" xfId="832"/>
    <cellStyle name="Comma 3 8 3 2 2 2" xfId="1080"/>
    <cellStyle name="Comma 3 8 3 2 2 2 2" xfId="1586"/>
    <cellStyle name="Comma 3 8 3 2 2 2 2 2" xfId="4401"/>
    <cellStyle name="Comma 3 8 3 2 2 2 2 3" xfId="3391"/>
    <cellStyle name="Comma 3 8 3 2 2 2 2 4" xfId="7326"/>
    <cellStyle name="Comma 3 8 3 2 2 2 3" xfId="2094"/>
    <cellStyle name="Comma 3 8 3 2 2 2 3 2" xfId="3907"/>
    <cellStyle name="Comma 3 8 3 2 2 2 3 3" xfId="7834"/>
    <cellStyle name="Comma 3 8 3 2 2 2 4" xfId="4879"/>
    <cellStyle name="Comma 3 8 3 2 2 2 5" xfId="5377"/>
    <cellStyle name="Comma 3 8 3 2 2 2 6" xfId="5879"/>
    <cellStyle name="Comma 3 8 3 2 2 2 7" xfId="2897"/>
    <cellStyle name="Comma 3 8 3 2 2 2 8" xfId="6820"/>
    <cellStyle name="Comma 3 8 3 2 2 3" xfId="1338"/>
    <cellStyle name="Comma 3 8 3 2 2 3 2" xfId="4153"/>
    <cellStyle name="Comma 3 8 3 2 2 3 3" xfId="3143"/>
    <cellStyle name="Comma 3 8 3 2 2 3 4" xfId="7078"/>
    <cellStyle name="Comma 3 8 3 2 2 4" xfId="1846"/>
    <cellStyle name="Comma 3 8 3 2 2 4 2" xfId="3659"/>
    <cellStyle name="Comma 3 8 3 2 2 4 3" xfId="7586"/>
    <cellStyle name="Comma 3 8 3 2 2 5" xfId="4640"/>
    <cellStyle name="Comma 3 8 3 2 2 6" xfId="5129"/>
    <cellStyle name="Comma 3 8 3 2 2 7" xfId="5631"/>
    <cellStyle name="Comma 3 8 3 2 2 8" xfId="2656"/>
    <cellStyle name="Comma 3 8 3 2 2 9" xfId="6572"/>
    <cellStyle name="Comma 3 8 3 2 3" xfId="956"/>
    <cellStyle name="Comma 3 8 3 2 3 2" xfId="1462"/>
    <cellStyle name="Comma 3 8 3 2 3 2 2" xfId="4277"/>
    <cellStyle name="Comma 3 8 3 2 3 2 3" xfId="3267"/>
    <cellStyle name="Comma 3 8 3 2 3 2 4" xfId="7202"/>
    <cellStyle name="Comma 3 8 3 2 3 3" xfId="1970"/>
    <cellStyle name="Comma 3 8 3 2 3 3 2" xfId="3783"/>
    <cellStyle name="Comma 3 8 3 2 3 3 3" xfId="7710"/>
    <cellStyle name="Comma 3 8 3 2 3 4" xfId="4756"/>
    <cellStyle name="Comma 3 8 3 2 3 5" xfId="5253"/>
    <cellStyle name="Comma 3 8 3 2 3 6" xfId="5755"/>
    <cellStyle name="Comma 3 8 3 2 3 7" xfId="2774"/>
    <cellStyle name="Comma 3 8 3 2 3 8" xfId="6696"/>
    <cellStyle name="Comma 3 8 3 2 4" xfId="1214"/>
    <cellStyle name="Comma 3 8 3 2 4 2" xfId="4030"/>
    <cellStyle name="Comma 3 8 3 2 4 3" xfId="3020"/>
    <cellStyle name="Comma 3 8 3 2 4 4" xfId="6954"/>
    <cellStyle name="Comma 3 8 3 2 5" xfId="1722"/>
    <cellStyle name="Comma 3 8 3 2 5 2" xfId="3535"/>
    <cellStyle name="Comma 3 8 3 2 5 3" xfId="7462"/>
    <cellStyle name="Comma 3 8 3 2 6" xfId="4526"/>
    <cellStyle name="Comma 3 8 3 2 7" xfId="5005"/>
    <cellStyle name="Comma 3 8 3 2 8" xfId="5507"/>
    <cellStyle name="Comma 3 8 3 2 9" xfId="2542"/>
    <cellStyle name="Comma 3 8 3 3" xfId="802"/>
    <cellStyle name="Comma 3 8 3 3 2" xfId="1050"/>
    <cellStyle name="Comma 3 8 3 3 2 2" xfId="1556"/>
    <cellStyle name="Comma 3 8 3 3 2 2 2" xfId="4371"/>
    <cellStyle name="Comma 3 8 3 3 2 2 3" xfId="3361"/>
    <cellStyle name="Comma 3 8 3 3 2 2 4" xfId="7296"/>
    <cellStyle name="Comma 3 8 3 3 2 3" xfId="2064"/>
    <cellStyle name="Comma 3 8 3 3 2 3 2" xfId="3877"/>
    <cellStyle name="Comma 3 8 3 3 2 3 3" xfId="7804"/>
    <cellStyle name="Comma 3 8 3 3 2 4" xfId="4849"/>
    <cellStyle name="Comma 3 8 3 3 2 5" xfId="5347"/>
    <cellStyle name="Comma 3 8 3 3 2 6" xfId="5849"/>
    <cellStyle name="Comma 3 8 3 3 2 7" xfId="2867"/>
    <cellStyle name="Comma 3 8 3 3 2 8" xfId="6790"/>
    <cellStyle name="Comma 3 8 3 3 3" xfId="1308"/>
    <cellStyle name="Comma 3 8 3 3 3 2" xfId="4123"/>
    <cellStyle name="Comma 3 8 3 3 3 3" xfId="3113"/>
    <cellStyle name="Comma 3 8 3 3 3 4" xfId="7048"/>
    <cellStyle name="Comma 3 8 3 3 4" xfId="1816"/>
    <cellStyle name="Comma 3 8 3 3 4 2" xfId="3629"/>
    <cellStyle name="Comma 3 8 3 3 4 3" xfId="7556"/>
    <cellStyle name="Comma 3 8 3 3 5" xfId="4611"/>
    <cellStyle name="Comma 3 8 3 3 6" xfId="5099"/>
    <cellStyle name="Comma 3 8 3 3 7" xfId="5601"/>
    <cellStyle name="Comma 3 8 3 3 8" xfId="2627"/>
    <cellStyle name="Comma 3 8 3 3 9" xfId="6542"/>
    <cellStyle name="Comma 3 8 3 4" xfId="926"/>
    <cellStyle name="Comma 3 8 3 4 2" xfId="1432"/>
    <cellStyle name="Comma 3 8 3 4 2 2" xfId="4247"/>
    <cellStyle name="Comma 3 8 3 4 2 3" xfId="3237"/>
    <cellStyle name="Comma 3 8 3 4 2 4" xfId="7172"/>
    <cellStyle name="Comma 3 8 3 4 3" xfId="1940"/>
    <cellStyle name="Comma 3 8 3 4 3 2" xfId="3753"/>
    <cellStyle name="Comma 3 8 3 4 3 3" xfId="7680"/>
    <cellStyle name="Comma 3 8 3 4 4" xfId="4727"/>
    <cellStyle name="Comma 3 8 3 4 5" xfId="5223"/>
    <cellStyle name="Comma 3 8 3 4 6" xfId="5725"/>
    <cellStyle name="Comma 3 8 3 4 7" xfId="2745"/>
    <cellStyle name="Comma 3 8 3 4 8" xfId="6666"/>
    <cellStyle name="Comma 3 8 3 5" xfId="1184"/>
    <cellStyle name="Comma 3 8 3 5 2" xfId="4001"/>
    <cellStyle name="Comma 3 8 3 5 3" xfId="2991"/>
    <cellStyle name="Comma 3 8 3 5 4" xfId="6924"/>
    <cellStyle name="Comma 3 8 3 6" xfId="1692"/>
    <cellStyle name="Comma 3 8 3 6 2" xfId="3505"/>
    <cellStyle name="Comma 3 8 3 6 3" xfId="7432"/>
    <cellStyle name="Comma 3 8 3 7" xfId="4499"/>
    <cellStyle name="Comma 3 8 3 8" xfId="4975"/>
    <cellStyle name="Comma 3 8 3 9" xfId="5477"/>
    <cellStyle name="Comma 3 8 4" xfId="706"/>
    <cellStyle name="Comma 3 8 4 10" xfId="6446"/>
    <cellStyle name="Comma 3 8 4 2" xfId="830"/>
    <cellStyle name="Comma 3 8 4 2 2" xfId="1078"/>
    <cellStyle name="Comma 3 8 4 2 2 2" xfId="1584"/>
    <cellStyle name="Comma 3 8 4 2 2 2 2" xfId="4399"/>
    <cellStyle name="Comma 3 8 4 2 2 2 3" xfId="3389"/>
    <cellStyle name="Comma 3 8 4 2 2 2 4" xfId="7324"/>
    <cellStyle name="Comma 3 8 4 2 2 3" xfId="2092"/>
    <cellStyle name="Comma 3 8 4 2 2 3 2" xfId="3905"/>
    <cellStyle name="Comma 3 8 4 2 2 3 3" xfId="7832"/>
    <cellStyle name="Comma 3 8 4 2 2 4" xfId="4877"/>
    <cellStyle name="Comma 3 8 4 2 2 5" xfId="5375"/>
    <cellStyle name="Comma 3 8 4 2 2 6" xfId="5877"/>
    <cellStyle name="Comma 3 8 4 2 2 7" xfId="2895"/>
    <cellStyle name="Comma 3 8 4 2 2 8" xfId="6818"/>
    <cellStyle name="Comma 3 8 4 2 3" xfId="1336"/>
    <cellStyle name="Comma 3 8 4 2 3 2" xfId="4151"/>
    <cellStyle name="Comma 3 8 4 2 3 3" xfId="3141"/>
    <cellStyle name="Comma 3 8 4 2 3 4" xfId="7076"/>
    <cellStyle name="Comma 3 8 4 2 4" xfId="1844"/>
    <cellStyle name="Comma 3 8 4 2 4 2" xfId="3657"/>
    <cellStyle name="Comma 3 8 4 2 4 3" xfId="7584"/>
    <cellStyle name="Comma 3 8 4 2 5" xfId="4638"/>
    <cellStyle name="Comma 3 8 4 2 6" xfId="5127"/>
    <cellStyle name="Comma 3 8 4 2 7" xfId="5629"/>
    <cellStyle name="Comma 3 8 4 2 8" xfId="2654"/>
    <cellStyle name="Comma 3 8 4 2 9" xfId="6570"/>
    <cellStyle name="Comma 3 8 4 3" xfId="954"/>
    <cellStyle name="Comma 3 8 4 3 2" xfId="1460"/>
    <cellStyle name="Comma 3 8 4 3 2 2" xfId="4275"/>
    <cellStyle name="Comma 3 8 4 3 2 3" xfId="3265"/>
    <cellStyle name="Comma 3 8 4 3 2 4" xfId="7200"/>
    <cellStyle name="Comma 3 8 4 3 3" xfId="1968"/>
    <cellStyle name="Comma 3 8 4 3 3 2" xfId="3781"/>
    <cellStyle name="Comma 3 8 4 3 3 3" xfId="7708"/>
    <cellStyle name="Comma 3 8 4 3 4" xfId="4754"/>
    <cellStyle name="Comma 3 8 4 3 5" xfId="5251"/>
    <cellStyle name="Comma 3 8 4 3 6" xfId="5753"/>
    <cellStyle name="Comma 3 8 4 3 7" xfId="2772"/>
    <cellStyle name="Comma 3 8 4 3 8" xfId="6694"/>
    <cellStyle name="Comma 3 8 4 4" xfId="1212"/>
    <cellStyle name="Comma 3 8 4 4 2" xfId="4028"/>
    <cellStyle name="Comma 3 8 4 4 3" xfId="3018"/>
    <cellStyle name="Comma 3 8 4 4 4" xfId="6952"/>
    <cellStyle name="Comma 3 8 4 5" xfId="1720"/>
    <cellStyle name="Comma 3 8 4 5 2" xfId="3533"/>
    <cellStyle name="Comma 3 8 4 5 3" xfId="7460"/>
    <cellStyle name="Comma 3 8 4 6" xfId="4524"/>
    <cellStyle name="Comma 3 8 4 7" xfId="5003"/>
    <cellStyle name="Comma 3 8 4 8" xfId="5505"/>
    <cellStyle name="Comma 3 8 4 9" xfId="2540"/>
    <cellStyle name="Comma 3 8 5" xfId="760"/>
    <cellStyle name="Comma 3 8 5 2" xfId="1008"/>
    <cellStyle name="Comma 3 8 5 2 2" xfId="1514"/>
    <cellStyle name="Comma 3 8 5 2 2 2" xfId="4329"/>
    <cellStyle name="Comma 3 8 5 2 2 3" xfId="3319"/>
    <cellStyle name="Comma 3 8 5 2 2 4" xfId="7254"/>
    <cellStyle name="Comma 3 8 5 2 3" xfId="2022"/>
    <cellStyle name="Comma 3 8 5 2 3 2" xfId="3835"/>
    <cellStyle name="Comma 3 8 5 2 3 3" xfId="7762"/>
    <cellStyle name="Comma 3 8 5 2 4" xfId="4807"/>
    <cellStyle name="Comma 3 8 5 2 5" xfId="5305"/>
    <cellStyle name="Comma 3 8 5 2 6" xfId="5807"/>
    <cellStyle name="Comma 3 8 5 2 7" xfId="2825"/>
    <cellStyle name="Comma 3 8 5 2 8" xfId="6748"/>
    <cellStyle name="Comma 3 8 5 3" xfId="1266"/>
    <cellStyle name="Comma 3 8 5 3 2" xfId="4081"/>
    <cellStyle name="Comma 3 8 5 3 3" xfId="3071"/>
    <cellStyle name="Comma 3 8 5 3 4" xfId="7006"/>
    <cellStyle name="Comma 3 8 5 4" xfId="1774"/>
    <cellStyle name="Comma 3 8 5 4 2" xfId="3587"/>
    <cellStyle name="Comma 3 8 5 4 3" xfId="7514"/>
    <cellStyle name="Comma 3 8 5 5" xfId="4573"/>
    <cellStyle name="Comma 3 8 5 6" xfId="5057"/>
    <cellStyle name="Comma 3 8 5 7" xfId="5559"/>
    <cellStyle name="Comma 3 8 5 8" xfId="2589"/>
    <cellStyle name="Comma 3 8 5 9" xfId="6500"/>
    <cellStyle name="Comma 3 8 6" xfId="884"/>
    <cellStyle name="Comma 3 8 6 2" xfId="1390"/>
    <cellStyle name="Comma 3 8 6 2 2" xfId="4205"/>
    <cellStyle name="Comma 3 8 6 2 3" xfId="3195"/>
    <cellStyle name="Comma 3 8 6 2 4" xfId="7130"/>
    <cellStyle name="Comma 3 8 6 3" xfId="1898"/>
    <cellStyle name="Comma 3 8 6 3 2" xfId="3711"/>
    <cellStyle name="Comma 3 8 6 3 3" xfId="7638"/>
    <cellStyle name="Comma 3 8 6 4" xfId="4689"/>
    <cellStyle name="Comma 3 8 6 5" xfId="5181"/>
    <cellStyle name="Comma 3 8 6 6" xfId="5683"/>
    <cellStyle name="Comma 3 8 6 7" xfId="2707"/>
    <cellStyle name="Comma 3 8 6 8" xfId="6624"/>
    <cellStyle name="Comma 3 8 7" xfId="1142"/>
    <cellStyle name="Comma 3 8 7 2" xfId="3959"/>
    <cellStyle name="Comma 3 8 7 3" xfId="2949"/>
    <cellStyle name="Comma 3 8 7 4" xfId="6882"/>
    <cellStyle name="Comma 3 8 8" xfId="1650"/>
    <cellStyle name="Comma 3 8 8 2" xfId="3463"/>
    <cellStyle name="Comma 3 8 8 3" xfId="7390"/>
    <cellStyle name="Comma 3 8 9" xfId="4459"/>
    <cellStyle name="Comma 3 9" xfId="630"/>
    <cellStyle name="Comma 3 9 10" xfId="4937"/>
    <cellStyle name="Comma 3 9 11" xfId="5437"/>
    <cellStyle name="Comma 3 9 12" xfId="2479"/>
    <cellStyle name="Comma 3 9 13" xfId="6375"/>
    <cellStyle name="Comma 3 9 2" xfId="660"/>
    <cellStyle name="Comma 3 9 2 10" xfId="2499"/>
    <cellStyle name="Comma 3 9 2 11" xfId="6400"/>
    <cellStyle name="Comma 3 9 2 2" xfId="710"/>
    <cellStyle name="Comma 3 9 2 2 10" xfId="6450"/>
    <cellStyle name="Comma 3 9 2 2 2" xfId="834"/>
    <cellStyle name="Comma 3 9 2 2 2 2" xfId="1082"/>
    <cellStyle name="Comma 3 9 2 2 2 2 2" xfId="1588"/>
    <cellStyle name="Comma 3 9 2 2 2 2 2 2" xfId="4403"/>
    <cellStyle name="Comma 3 9 2 2 2 2 2 3" xfId="3393"/>
    <cellStyle name="Comma 3 9 2 2 2 2 2 4" xfId="7328"/>
    <cellStyle name="Comma 3 9 2 2 2 2 3" xfId="2096"/>
    <cellStyle name="Comma 3 9 2 2 2 2 3 2" xfId="3909"/>
    <cellStyle name="Comma 3 9 2 2 2 2 3 3" xfId="7836"/>
    <cellStyle name="Comma 3 9 2 2 2 2 4" xfId="4881"/>
    <cellStyle name="Comma 3 9 2 2 2 2 5" xfId="5379"/>
    <cellStyle name="Comma 3 9 2 2 2 2 6" xfId="5881"/>
    <cellStyle name="Comma 3 9 2 2 2 2 7" xfId="2899"/>
    <cellStyle name="Comma 3 9 2 2 2 2 8" xfId="6822"/>
    <cellStyle name="Comma 3 9 2 2 2 3" xfId="1340"/>
    <cellStyle name="Comma 3 9 2 2 2 3 2" xfId="4155"/>
    <cellStyle name="Comma 3 9 2 2 2 3 3" xfId="3145"/>
    <cellStyle name="Comma 3 9 2 2 2 3 4" xfId="7080"/>
    <cellStyle name="Comma 3 9 2 2 2 4" xfId="1848"/>
    <cellStyle name="Comma 3 9 2 2 2 4 2" xfId="3661"/>
    <cellStyle name="Comma 3 9 2 2 2 4 3" xfId="7588"/>
    <cellStyle name="Comma 3 9 2 2 2 5" xfId="4642"/>
    <cellStyle name="Comma 3 9 2 2 2 6" xfId="5131"/>
    <cellStyle name="Comma 3 9 2 2 2 7" xfId="5633"/>
    <cellStyle name="Comma 3 9 2 2 2 8" xfId="2658"/>
    <cellStyle name="Comma 3 9 2 2 2 9" xfId="6574"/>
    <cellStyle name="Comma 3 9 2 2 3" xfId="958"/>
    <cellStyle name="Comma 3 9 2 2 3 2" xfId="1464"/>
    <cellStyle name="Comma 3 9 2 2 3 2 2" xfId="4279"/>
    <cellStyle name="Comma 3 9 2 2 3 2 3" xfId="3269"/>
    <cellStyle name="Comma 3 9 2 2 3 2 4" xfId="7204"/>
    <cellStyle name="Comma 3 9 2 2 3 3" xfId="1972"/>
    <cellStyle name="Comma 3 9 2 2 3 3 2" xfId="3785"/>
    <cellStyle name="Comma 3 9 2 2 3 3 3" xfId="7712"/>
    <cellStyle name="Comma 3 9 2 2 3 4" xfId="4758"/>
    <cellStyle name="Comma 3 9 2 2 3 5" xfId="5255"/>
    <cellStyle name="Comma 3 9 2 2 3 6" xfId="5757"/>
    <cellStyle name="Comma 3 9 2 2 3 7" xfId="2776"/>
    <cellStyle name="Comma 3 9 2 2 3 8" xfId="6698"/>
    <cellStyle name="Comma 3 9 2 2 4" xfId="1216"/>
    <cellStyle name="Comma 3 9 2 2 4 2" xfId="4032"/>
    <cellStyle name="Comma 3 9 2 2 4 3" xfId="3022"/>
    <cellStyle name="Comma 3 9 2 2 4 4" xfId="6956"/>
    <cellStyle name="Comma 3 9 2 2 5" xfId="1724"/>
    <cellStyle name="Comma 3 9 2 2 5 2" xfId="3537"/>
    <cellStyle name="Comma 3 9 2 2 5 3" xfId="7464"/>
    <cellStyle name="Comma 3 9 2 2 6" xfId="4528"/>
    <cellStyle name="Comma 3 9 2 2 7" xfId="5007"/>
    <cellStyle name="Comma 3 9 2 2 8" xfId="5509"/>
    <cellStyle name="Comma 3 9 2 2 9" xfId="2544"/>
    <cellStyle name="Comma 3 9 2 3" xfId="784"/>
    <cellStyle name="Comma 3 9 2 3 2" xfId="1032"/>
    <cellStyle name="Comma 3 9 2 3 2 2" xfId="1538"/>
    <cellStyle name="Comma 3 9 2 3 2 2 2" xfId="4353"/>
    <cellStyle name="Comma 3 9 2 3 2 2 3" xfId="3343"/>
    <cellStyle name="Comma 3 9 2 3 2 2 4" xfId="7278"/>
    <cellStyle name="Comma 3 9 2 3 2 3" xfId="2046"/>
    <cellStyle name="Comma 3 9 2 3 2 3 2" xfId="3859"/>
    <cellStyle name="Comma 3 9 2 3 2 3 3" xfId="7786"/>
    <cellStyle name="Comma 3 9 2 3 2 4" xfId="4831"/>
    <cellStyle name="Comma 3 9 2 3 2 5" xfId="5329"/>
    <cellStyle name="Comma 3 9 2 3 2 6" xfId="5831"/>
    <cellStyle name="Comma 3 9 2 3 2 7" xfId="2849"/>
    <cellStyle name="Comma 3 9 2 3 2 8" xfId="6772"/>
    <cellStyle name="Comma 3 9 2 3 3" xfId="1290"/>
    <cellStyle name="Comma 3 9 2 3 3 2" xfId="4105"/>
    <cellStyle name="Comma 3 9 2 3 3 3" xfId="3095"/>
    <cellStyle name="Comma 3 9 2 3 3 4" xfId="7030"/>
    <cellStyle name="Comma 3 9 2 3 4" xfId="1798"/>
    <cellStyle name="Comma 3 9 2 3 4 2" xfId="3611"/>
    <cellStyle name="Comma 3 9 2 3 4 3" xfId="7538"/>
    <cellStyle name="Comma 3 9 2 3 5" xfId="4595"/>
    <cellStyle name="Comma 3 9 2 3 6" xfId="5081"/>
    <cellStyle name="Comma 3 9 2 3 7" xfId="5583"/>
    <cellStyle name="Comma 3 9 2 3 8" xfId="2611"/>
    <cellStyle name="Comma 3 9 2 3 9" xfId="6524"/>
    <cellStyle name="Comma 3 9 2 4" xfId="908"/>
    <cellStyle name="Comma 3 9 2 4 2" xfId="1414"/>
    <cellStyle name="Comma 3 9 2 4 2 2" xfId="4229"/>
    <cellStyle name="Comma 3 9 2 4 2 3" xfId="3219"/>
    <cellStyle name="Comma 3 9 2 4 2 4" xfId="7154"/>
    <cellStyle name="Comma 3 9 2 4 3" xfId="1922"/>
    <cellStyle name="Comma 3 9 2 4 3 2" xfId="3735"/>
    <cellStyle name="Comma 3 9 2 4 3 3" xfId="7662"/>
    <cellStyle name="Comma 3 9 2 4 4" xfId="4711"/>
    <cellStyle name="Comma 3 9 2 4 5" xfId="5205"/>
    <cellStyle name="Comma 3 9 2 4 6" xfId="5707"/>
    <cellStyle name="Comma 3 9 2 4 7" xfId="2729"/>
    <cellStyle name="Comma 3 9 2 4 8" xfId="6648"/>
    <cellStyle name="Comma 3 9 2 5" xfId="1166"/>
    <cellStyle name="Comma 3 9 2 5 2" xfId="3983"/>
    <cellStyle name="Comma 3 9 2 5 3" xfId="2973"/>
    <cellStyle name="Comma 3 9 2 5 4" xfId="6906"/>
    <cellStyle name="Comma 3 9 2 6" xfId="1674"/>
    <cellStyle name="Comma 3 9 2 6 2" xfId="3487"/>
    <cellStyle name="Comma 3 9 2 6 3" xfId="7414"/>
    <cellStyle name="Comma 3 9 2 7" xfId="4483"/>
    <cellStyle name="Comma 3 9 2 8" xfId="4957"/>
    <cellStyle name="Comma 3 9 2 9" xfId="5459"/>
    <cellStyle name="Comma 3 9 3" xfId="680"/>
    <cellStyle name="Comma 3 9 3 10" xfId="2517"/>
    <cellStyle name="Comma 3 9 3 11" xfId="6420"/>
    <cellStyle name="Comma 3 9 3 2" xfId="711"/>
    <cellStyle name="Comma 3 9 3 2 10" xfId="6451"/>
    <cellStyle name="Comma 3 9 3 2 2" xfId="835"/>
    <cellStyle name="Comma 3 9 3 2 2 2" xfId="1083"/>
    <cellStyle name="Comma 3 9 3 2 2 2 2" xfId="1589"/>
    <cellStyle name="Comma 3 9 3 2 2 2 2 2" xfId="4404"/>
    <cellStyle name="Comma 3 9 3 2 2 2 2 3" xfId="3394"/>
    <cellStyle name="Comma 3 9 3 2 2 2 2 4" xfId="7329"/>
    <cellStyle name="Comma 3 9 3 2 2 2 3" xfId="2097"/>
    <cellStyle name="Comma 3 9 3 2 2 2 3 2" xfId="3910"/>
    <cellStyle name="Comma 3 9 3 2 2 2 3 3" xfId="7837"/>
    <cellStyle name="Comma 3 9 3 2 2 2 4" xfId="4882"/>
    <cellStyle name="Comma 3 9 3 2 2 2 5" xfId="5380"/>
    <cellStyle name="Comma 3 9 3 2 2 2 6" xfId="5882"/>
    <cellStyle name="Comma 3 9 3 2 2 2 7" xfId="2900"/>
    <cellStyle name="Comma 3 9 3 2 2 2 8" xfId="6823"/>
    <cellStyle name="Comma 3 9 3 2 2 3" xfId="1341"/>
    <cellStyle name="Comma 3 9 3 2 2 3 2" xfId="4156"/>
    <cellStyle name="Comma 3 9 3 2 2 3 3" xfId="3146"/>
    <cellStyle name="Comma 3 9 3 2 2 3 4" xfId="7081"/>
    <cellStyle name="Comma 3 9 3 2 2 4" xfId="1849"/>
    <cellStyle name="Comma 3 9 3 2 2 4 2" xfId="3662"/>
    <cellStyle name="Comma 3 9 3 2 2 4 3" xfId="7589"/>
    <cellStyle name="Comma 3 9 3 2 2 5" xfId="4643"/>
    <cellStyle name="Comma 3 9 3 2 2 6" xfId="5132"/>
    <cellStyle name="Comma 3 9 3 2 2 7" xfId="5634"/>
    <cellStyle name="Comma 3 9 3 2 2 8" xfId="2659"/>
    <cellStyle name="Comma 3 9 3 2 2 9" xfId="6575"/>
    <cellStyle name="Comma 3 9 3 2 3" xfId="959"/>
    <cellStyle name="Comma 3 9 3 2 3 2" xfId="1465"/>
    <cellStyle name="Comma 3 9 3 2 3 2 2" xfId="4280"/>
    <cellStyle name="Comma 3 9 3 2 3 2 3" xfId="3270"/>
    <cellStyle name="Comma 3 9 3 2 3 2 4" xfId="7205"/>
    <cellStyle name="Comma 3 9 3 2 3 3" xfId="1973"/>
    <cellStyle name="Comma 3 9 3 2 3 3 2" xfId="3786"/>
    <cellStyle name="Comma 3 9 3 2 3 3 3" xfId="7713"/>
    <cellStyle name="Comma 3 9 3 2 3 4" xfId="4759"/>
    <cellStyle name="Comma 3 9 3 2 3 5" xfId="5256"/>
    <cellStyle name="Comma 3 9 3 2 3 6" xfId="5758"/>
    <cellStyle name="Comma 3 9 3 2 3 7" xfId="2777"/>
    <cellStyle name="Comma 3 9 3 2 3 8" xfId="6699"/>
    <cellStyle name="Comma 3 9 3 2 4" xfId="1217"/>
    <cellStyle name="Comma 3 9 3 2 4 2" xfId="4033"/>
    <cellStyle name="Comma 3 9 3 2 4 3" xfId="3023"/>
    <cellStyle name="Comma 3 9 3 2 4 4" xfId="6957"/>
    <cellStyle name="Comma 3 9 3 2 5" xfId="1725"/>
    <cellStyle name="Comma 3 9 3 2 5 2" xfId="3538"/>
    <cellStyle name="Comma 3 9 3 2 5 3" xfId="7465"/>
    <cellStyle name="Comma 3 9 3 2 6" xfId="4529"/>
    <cellStyle name="Comma 3 9 3 2 7" xfId="5008"/>
    <cellStyle name="Comma 3 9 3 2 8" xfId="5510"/>
    <cellStyle name="Comma 3 9 3 2 9" xfId="2545"/>
    <cellStyle name="Comma 3 9 3 3" xfId="804"/>
    <cellStyle name="Comma 3 9 3 3 2" xfId="1052"/>
    <cellStyle name="Comma 3 9 3 3 2 2" xfId="1558"/>
    <cellStyle name="Comma 3 9 3 3 2 2 2" xfId="4373"/>
    <cellStyle name="Comma 3 9 3 3 2 2 3" xfId="3363"/>
    <cellStyle name="Comma 3 9 3 3 2 2 4" xfId="7298"/>
    <cellStyle name="Comma 3 9 3 3 2 3" xfId="2066"/>
    <cellStyle name="Comma 3 9 3 3 2 3 2" xfId="3879"/>
    <cellStyle name="Comma 3 9 3 3 2 3 3" xfId="7806"/>
    <cellStyle name="Comma 3 9 3 3 2 4" xfId="4851"/>
    <cellStyle name="Comma 3 9 3 3 2 5" xfId="5349"/>
    <cellStyle name="Comma 3 9 3 3 2 6" xfId="5851"/>
    <cellStyle name="Comma 3 9 3 3 2 7" xfId="2869"/>
    <cellStyle name="Comma 3 9 3 3 2 8" xfId="6792"/>
    <cellStyle name="Comma 3 9 3 3 3" xfId="1310"/>
    <cellStyle name="Comma 3 9 3 3 3 2" xfId="4125"/>
    <cellStyle name="Comma 3 9 3 3 3 3" xfId="3115"/>
    <cellStyle name="Comma 3 9 3 3 3 4" xfId="7050"/>
    <cellStyle name="Comma 3 9 3 3 4" xfId="1818"/>
    <cellStyle name="Comma 3 9 3 3 4 2" xfId="3631"/>
    <cellStyle name="Comma 3 9 3 3 4 3" xfId="7558"/>
    <cellStyle name="Comma 3 9 3 3 5" xfId="4613"/>
    <cellStyle name="Comma 3 9 3 3 6" xfId="5101"/>
    <cellStyle name="Comma 3 9 3 3 7" xfId="5603"/>
    <cellStyle name="Comma 3 9 3 3 8" xfId="2629"/>
    <cellStyle name="Comma 3 9 3 3 9" xfId="6544"/>
    <cellStyle name="Comma 3 9 3 4" xfId="928"/>
    <cellStyle name="Comma 3 9 3 4 2" xfId="1434"/>
    <cellStyle name="Comma 3 9 3 4 2 2" xfId="4249"/>
    <cellStyle name="Comma 3 9 3 4 2 3" xfId="3239"/>
    <cellStyle name="Comma 3 9 3 4 2 4" xfId="7174"/>
    <cellStyle name="Comma 3 9 3 4 3" xfId="1942"/>
    <cellStyle name="Comma 3 9 3 4 3 2" xfId="3755"/>
    <cellStyle name="Comma 3 9 3 4 3 3" xfId="7682"/>
    <cellStyle name="Comma 3 9 3 4 4" xfId="4729"/>
    <cellStyle name="Comma 3 9 3 4 5" xfId="5225"/>
    <cellStyle name="Comma 3 9 3 4 6" xfId="5727"/>
    <cellStyle name="Comma 3 9 3 4 7" xfId="2747"/>
    <cellStyle name="Comma 3 9 3 4 8" xfId="6668"/>
    <cellStyle name="Comma 3 9 3 5" xfId="1186"/>
    <cellStyle name="Comma 3 9 3 5 2" xfId="4003"/>
    <cellStyle name="Comma 3 9 3 5 3" xfId="2993"/>
    <cellStyle name="Comma 3 9 3 5 4" xfId="6926"/>
    <cellStyle name="Comma 3 9 3 6" xfId="1694"/>
    <cellStyle name="Comma 3 9 3 6 2" xfId="3507"/>
    <cellStyle name="Comma 3 9 3 6 3" xfId="7434"/>
    <cellStyle name="Comma 3 9 3 7" xfId="4501"/>
    <cellStyle name="Comma 3 9 3 8" xfId="4977"/>
    <cellStyle name="Comma 3 9 3 9" xfId="5479"/>
    <cellStyle name="Comma 3 9 4" xfId="709"/>
    <cellStyle name="Comma 3 9 4 10" xfId="6449"/>
    <cellStyle name="Comma 3 9 4 2" xfId="833"/>
    <cellStyle name="Comma 3 9 4 2 2" xfId="1081"/>
    <cellStyle name="Comma 3 9 4 2 2 2" xfId="1587"/>
    <cellStyle name="Comma 3 9 4 2 2 2 2" xfId="4402"/>
    <cellStyle name="Comma 3 9 4 2 2 2 3" xfId="3392"/>
    <cellStyle name="Comma 3 9 4 2 2 2 4" xfId="7327"/>
    <cellStyle name="Comma 3 9 4 2 2 3" xfId="2095"/>
    <cellStyle name="Comma 3 9 4 2 2 3 2" xfId="3908"/>
    <cellStyle name="Comma 3 9 4 2 2 3 3" xfId="7835"/>
    <cellStyle name="Comma 3 9 4 2 2 4" xfId="4880"/>
    <cellStyle name="Comma 3 9 4 2 2 5" xfId="5378"/>
    <cellStyle name="Comma 3 9 4 2 2 6" xfId="5880"/>
    <cellStyle name="Comma 3 9 4 2 2 7" xfId="2898"/>
    <cellStyle name="Comma 3 9 4 2 2 8" xfId="6821"/>
    <cellStyle name="Comma 3 9 4 2 3" xfId="1339"/>
    <cellStyle name="Comma 3 9 4 2 3 2" xfId="4154"/>
    <cellStyle name="Comma 3 9 4 2 3 3" xfId="3144"/>
    <cellStyle name="Comma 3 9 4 2 3 4" xfId="7079"/>
    <cellStyle name="Comma 3 9 4 2 4" xfId="1847"/>
    <cellStyle name="Comma 3 9 4 2 4 2" xfId="3660"/>
    <cellStyle name="Comma 3 9 4 2 4 3" xfId="7587"/>
    <cellStyle name="Comma 3 9 4 2 5" xfId="4641"/>
    <cellStyle name="Comma 3 9 4 2 6" xfId="5130"/>
    <cellStyle name="Comma 3 9 4 2 7" xfId="5632"/>
    <cellStyle name="Comma 3 9 4 2 8" xfId="2657"/>
    <cellStyle name="Comma 3 9 4 2 9" xfId="6573"/>
    <cellStyle name="Comma 3 9 4 3" xfId="957"/>
    <cellStyle name="Comma 3 9 4 3 2" xfId="1463"/>
    <cellStyle name="Comma 3 9 4 3 2 2" xfId="4278"/>
    <cellStyle name="Comma 3 9 4 3 2 3" xfId="3268"/>
    <cellStyle name="Comma 3 9 4 3 2 4" xfId="7203"/>
    <cellStyle name="Comma 3 9 4 3 3" xfId="1971"/>
    <cellStyle name="Comma 3 9 4 3 3 2" xfId="3784"/>
    <cellStyle name="Comma 3 9 4 3 3 3" xfId="7711"/>
    <cellStyle name="Comma 3 9 4 3 4" xfId="4757"/>
    <cellStyle name="Comma 3 9 4 3 5" xfId="5254"/>
    <cellStyle name="Comma 3 9 4 3 6" xfId="5756"/>
    <cellStyle name="Comma 3 9 4 3 7" xfId="2775"/>
    <cellStyle name="Comma 3 9 4 3 8" xfId="6697"/>
    <cellStyle name="Comma 3 9 4 4" xfId="1215"/>
    <cellStyle name="Comma 3 9 4 4 2" xfId="4031"/>
    <cellStyle name="Comma 3 9 4 4 3" xfId="3021"/>
    <cellStyle name="Comma 3 9 4 4 4" xfId="6955"/>
    <cellStyle name="Comma 3 9 4 5" xfId="1723"/>
    <cellStyle name="Comma 3 9 4 5 2" xfId="3536"/>
    <cellStyle name="Comma 3 9 4 5 3" xfId="7463"/>
    <cellStyle name="Comma 3 9 4 6" xfId="4527"/>
    <cellStyle name="Comma 3 9 4 7" xfId="5006"/>
    <cellStyle name="Comma 3 9 4 8" xfId="5508"/>
    <cellStyle name="Comma 3 9 4 9" xfId="2543"/>
    <cellStyle name="Comma 3 9 5" xfId="762"/>
    <cellStyle name="Comma 3 9 5 2" xfId="1010"/>
    <cellStyle name="Comma 3 9 5 2 2" xfId="1516"/>
    <cellStyle name="Comma 3 9 5 2 2 2" xfId="4331"/>
    <cellStyle name="Comma 3 9 5 2 2 3" xfId="3321"/>
    <cellStyle name="Comma 3 9 5 2 2 4" xfId="7256"/>
    <cellStyle name="Comma 3 9 5 2 3" xfId="2024"/>
    <cellStyle name="Comma 3 9 5 2 3 2" xfId="3837"/>
    <cellStyle name="Comma 3 9 5 2 3 3" xfId="7764"/>
    <cellStyle name="Comma 3 9 5 2 4" xfId="4809"/>
    <cellStyle name="Comma 3 9 5 2 5" xfId="5307"/>
    <cellStyle name="Comma 3 9 5 2 6" xfId="5809"/>
    <cellStyle name="Comma 3 9 5 2 7" xfId="2827"/>
    <cellStyle name="Comma 3 9 5 2 8" xfId="6750"/>
    <cellStyle name="Comma 3 9 5 3" xfId="1268"/>
    <cellStyle name="Comma 3 9 5 3 2" xfId="4083"/>
    <cellStyle name="Comma 3 9 5 3 3" xfId="3073"/>
    <cellStyle name="Comma 3 9 5 3 4" xfId="7008"/>
    <cellStyle name="Comma 3 9 5 4" xfId="1776"/>
    <cellStyle name="Comma 3 9 5 4 2" xfId="3589"/>
    <cellStyle name="Comma 3 9 5 4 3" xfId="7516"/>
    <cellStyle name="Comma 3 9 5 5" xfId="4575"/>
    <cellStyle name="Comma 3 9 5 6" xfId="5059"/>
    <cellStyle name="Comma 3 9 5 7" xfId="5561"/>
    <cellStyle name="Comma 3 9 5 8" xfId="2591"/>
    <cellStyle name="Comma 3 9 5 9" xfId="6502"/>
    <cellStyle name="Comma 3 9 6" xfId="886"/>
    <cellStyle name="Comma 3 9 6 2" xfId="1392"/>
    <cellStyle name="Comma 3 9 6 2 2" xfId="4207"/>
    <cellStyle name="Comma 3 9 6 2 3" xfId="3197"/>
    <cellStyle name="Comma 3 9 6 2 4" xfId="7132"/>
    <cellStyle name="Comma 3 9 6 3" xfId="1900"/>
    <cellStyle name="Comma 3 9 6 3 2" xfId="3713"/>
    <cellStyle name="Comma 3 9 6 3 3" xfId="7640"/>
    <cellStyle name="Comma 3 9 6 4" xfId="4691"/>
    <cellStyle name="Comma 3 9 6 5" xfId="5183"/>
    <cellStyle name="Comma 3 9 6 6" xfId="5685"/>
    <cellStyle name="Comma 3 9 6 7" xfId="2709"/>
    <cellStyle name="Comma 3 9 6 8" xfId="6626"/>
    <cellStyle name="Comma 3 9 7" xfId="1144"/>
    <cellStyle name="Comma 3 9 7 2" xfId="3961"/>
    <cellStyle name="Comma 3 9 7 3" xfId="2951"/>
    <cellStyle name="Comma 3 9 7 4" xfId="6884"/>
    <cellStyle name="Comma 3 9 8" xfId="1652"/>
    <cellStyle name="Comma 3 9 8 2" xfId="3465"/>
    <cellStyle name="Comma 3 9 8 3" xfId="7392"/>
    <cellStyle name="Comma 3 9 9" xfId="4461"/>
    <cellStyle name="Comma 30" xfId="5997"/>
    <cellStyle name="Comma 31" xfId="6020"/>
    <cellStyle name="Comma 32" xfId="5991"/>
    <cellStyle name="Comma 33" xfId="6015"/>
    <cellStyle name="Comma 34" xfId="6019"/>
    <cellStyle name="Comma 35" xfId="6016"/>
    <cellStyle name="Comma 4" xfId="68"/>
    <cellStyle name="Comma 4 2" xfId="69"/>
    <cellStyle name="Comma 4 2 2" xfId="226"/>
    <cellStyle name="Comma 4 3" xfId="213"/>
    <cellStyle name="Comma 5" xfId="70"/>
    <cellStyle name="Comma 5 2" xfId="404"/>
    <cellStyle name="Comma 5 2 2" xfId="2210"/>
    <cellStyle name="Comma 5 2 2 2" xfId="6333"/>
    <cellStyle name="Comma 5 3" xfId="5982"/>
    <cellStyle name="Comma 6" xfId="71"/>
    <cellStyle name="Comma 6 2" xfId="405"/>
    <cellStyle name="Comma 6 2 2" xfId="2346"/>
    <cellStyle name="Comma 6 2 2 2" xfId="6334"/>
    <cellStyle name="Comma 6 2 3" xfId="6114"/>
    <cellStyle name="Comma 6 2 4" xfId="7969"/>
    <cellStyle name="Comma 6 3" xfId="2397"/>
    <cellStyle name="Comma 6 3 2" xfId="6165"/>
    <cellStyle name="Comma 6 3 3" xfId="8020"/>
    <cellStyle name="Comma 6 4" xfId="2453"/>
    <cellStyle name="Comma 6 4 2" xfId="6221"/>
    <cellStyle name="Comma 6 4 3" xfId="8076"/>
    <cellStyle name="Comma 6 5" xfId="2208"/>
    <cellStyle name="Comma 6 5 2" xfId="6241"/>
    <cellStyle name="Comma 6 6" xfId="6063"/>
    <cellStyle name="Comma 6 7" xfId="7918"/>
    <cellStyle name="Comma 7" xfId="72"/>
    <cellStyle name="Comma 7 2" xfId="73"/>
    <cellStyle name="Comma 7 2 2" xfId="407"/>
    <cellStyle name="Comma 7 2 2 2" xfId="2353"/>
    <cellStyle name="Comma 7 2 2 2 2" xfId="6121"/>
    <cellStyle name="Comma 7 2 2 2 3" xfId="7976"/>
    <cellStyle name="Comma 7 2 2 3" xfId="2404"/>
    <cellStyle name="Comma 7 2 2 3 2" xfId="6172"/>
    <cellStyle name="Comma 7 2 2 3 3" xfId="8027"/>
    <cellStyle name="Comma 7 2 2 4" xfId="2460"/>
    <cellStyle name="Comma 7 2 2 4 2" xfId="6228"/>
    <cellStyle name="Comma 7 2 2 4 3" xfId="8083"/>
    <cellStyle name="Comma 7 2 2 5" xfId="2301"/>
    <cellStyle name="Comma 7 2 2 5 2" xfId="6336"/>
    <cellStyle name="Comma 7 2 2 6" xfId="6070"/>
    <cellStyle name="Comma 7 2 2 7" xfId="7925"/>
    <cellStyle name="Comma 7 2 3" xfId="204"/>
    <cellStyle name="Comma 7 2 3 2" xfId="2312"/>
    <cellStyle name="Comma 7 2 3 2 2" xfId="6273"/>
    <cellStyle name="Comma 7 2 3 3" xfId="6081"/>
    <cellStyle name="Comma 7 2 3 4" xfId="7936"/>
    <cellStyle name="Comma 7 2 4" xfId="1123"/>
    <cellStyle name="Comma 7 2 4 2" xfId="2364"/>
    <cellStyle name="Comma 7 2 4 2 2" xfId="6863"/>
    <cellStyle name="Comma 7 2 4 3" xfId="6132"/>
    <cellStyle name="Comma 7 2 4 4" xfId="7987"/>
    <cellStyle name="Comma 7 2 5" xfId="1630"/>
    <cellStyle name="Comma 7 2 5 2" xfId="2432"/>
    <cellStyle name="Comma 7 2 5 2 2" xfId="7370"/>
    <cellStyle name="Comma 7 2 5 3" xfId="6200"/>
    <cellStyle name="Comma 7 2 5 4" xfId="8055"/>
    <cellStyle name="Comma 7 2 6" xfId="2183"/>
    <cellStyle name="Comma 7 2 6 2" xfId="6243"/>
    <cellStyle name="Comma 7 2 7" xfId="6042"/>
    <cellStyle name="Comma 7 2 8" xfId="7897"/>
    <cellStyle name="Comma 7 3" xfId="406"/>
    <cellStyle name="Comma 7 3 2" xfId="2349"/>
    <cellStyle name="Comma 7 3 2 2" xfId="6117"/>
    <cellStyle name="Comma 7 3 2 3" xfId="7972"/>
    <cellStyle name="Comma 7 3 3" xfId="2400"/>
    <cellStyle name="Comma 7 3 3 2" xfId="6168"/>
    <cellStyle name="Comma 7 3 3 3" xfId="8023"/>
    <cellStyle name="Comma 7 3 4" xfId="2456"/>
    <cellStyle name="Comma 7 3 4 2" xfId="6224"/>
    <cellStyle name="Comma 7 3 4 3" xfId="8079"/>
    <cellStyle name="Comma 7 3 5" xfId="2256"/>
    <cellStyle name="Comma 7 3 5 2" xfId="6335"/>
    <cellStyle name="Comma 7 3 6" xfId="6066"/>
    <cellStyle name="Comma 7 3 7" xfId="7921"/>
    <cellStyle name="Comma 7 4" xfId="200"/>
    <cellStyle name="Comma 7 4 2" xfId="2308"/>
    <cellStyle name="Comma 7 4 2 2" xfId="6269"/>
    <cellStyle name="Comma 7 4 3" xfId="6077"/>
    <cellStyle name="Comma 7 4 4" xfId="7932"/>
    <cellStyle name="Comma 7 5" xfId="1119"/>
    <cellStyle name="Comma 7 5 2" xfId="2360"/>
    <cellStyle name="Comma 7 5 2 2" xfId="6859"/>
    <cellStyle name="Comma 7 5 3" xfId="6128"/>
    <cellStyle name="Comma 7 5 4" xfId="7983"/>
    <cellStyle name="Comma 7 6" xfId="1626"/>
    <cellStyle name="Comma 7 6 2" xfId="2428"/>
    <cellStyle name="Comma 7 6 2 2" xfId="7366"/>
    <cellStyle name="Comma 7 6 3" xfId="6196"/>
    <cellStyle name="Comma 7 6 4" xfId="8051"/>
    <cellStyle name="Comma 7 7" xfId="2178"/>
    <cellStyle name="Comma 7 7 2" xfId="6242"/>
    <cellStyle name="Comma 7 8" xfId="6038"/>
    <cellStyle name="Comma 7 9" xfId="7893"/>
    <cellStyle name="Comma 8" xfId="188"/>
    <cellStyle name="Comma 8 2" xfId="409"/>
    <cellStyle name="Comma 8 3" xfId="408"/>
    <cellStyle name="Comma 8 4" xfId="2425"/>
    <cellStyle name="Comma 8 4 2" xfId="6258"/>
    <cellStyle name="Comma 8 5" xfId="6193"/>
    <cellStyle name="Comma 8 6" xfId="8048"/>
    <cellStyle name="Comma 9" xfId="193"/>
    <cellStyle name="Comma 9 2" xfId="410"/>
    <cellStyle name="Comma 9 3" xfId="6262"/>
    <cellStyle name="CommaBlank" xfId="411"/>
    <cellStyle name="CommaBlank 2" xfId="412"/>
    <cellStyle name="Currency" xfId="2" builtinId="4"/>
    <cellStyle name="Currency 10" xfId="413"/>
    <cellStyle name="Currency 10 10" xfId="4925"/>
    <cellStyle name="Currency 10 11" xfId="5423"/>
    <cellStyle name="Currency 10 12" xfId="2180"/>
    <cellStyle name="Currency 10 13" xfId="6337"/>
    <cellStyle name="Currency 10 2" xfId="640"/>
    <cellStyle name="Currency 10 2 10" xfId="2487"/>
    <cellStyle name="Currency 10 2 11" xfId="6384"/>
    <cellStyle name="Currency 10 2 2" xfId="713"/>
    <cellStyle name="Currency 10 2 2 10" xfId="6453"/>
    <cellStyle name="Currency 10 2 2 2" xfId="837"/>
    <cellStyle name="Currency 10 2 2 2 2" xfId="1085"/>
    <cellStyle name="Currency 10 2 2 2 2 2" xfId="1591"/>
    <cellStyle name="Currency 10 2 2 2 2 2 2" xfId="4406"/>
    <cellStyle name="Currency 10 2 2 2 2 2 3" xfId="3396"/>
    <cellStyle name="Currency 10 2 2 2 2 2 4" xfId="7331"/>
    <cellStyle name="Currency 10 2 2 2 2 3" xfId="2099"/>
    <cellStyle name="Currency 10 2 2 2 2 3 2" xfId="3912"/>
    <cellStyle name="Currency 10 2 2 2 2 3 3" xfId="7839"/>
    <cellStyle name="Currency 10 2 2 2 2 4" xfId="4884"/>
    <cellStyle name="Currency 10 2 2 2 2 5" xfId="5382"/>
    <cellStyle name="Currency 10 2 2 2 2 6" xfId="5884"/>
    <cellStyle name="Currency 10 2 2 2 2 7" xfId="2902"/>
    <cellStyle name="Currency 10 2 2 2 2 8" xfId="6825"/>
    <cellStyle name="Currency 10 2 2 2 3" xfId="1343"/>
    <cellStyle name="Currency 10 2 2 2 3 2" xfId="4158"/>
    <cellStyle name="Currency 10 2 2 2 3 3" xfId="3148"/>
    <cellStyle name="Currency 10 2 2 2 3 4" xfId="7083"/>
    <cellStyle name="Currency 10 2 2 2 4" xfId="1851"/>
    <cellStyle name="Currency 10 2 2 2 4 2" xfId="3664"/>
    <cellStyle name="Currency 10 2 2 2 4 3" xfId="7591"/>
    <cellStyle name="Currency 10 2 2 2 5" xfId="4645"/>
    <cellStyle name="Currency 10 2 2 2 6" xfId="5134"/>
    <cellStyle name="Currency 10 2 2 2 7" xfId="5636"/>
    <cellStyle name="Currency 10 2 2 2 8" xfId="2661"/>
    <cellStyle name="Currency 10 2 2 2 9" xfId="6577"/>
    <cellStyle name="Currency 10 2 2 3" xfId="961"/>
    <cellStyle name="Currency 10 2 2 3 2" xfId="1467"/>
    <cellStyle name="Currency 10 2 2 3 2 2" xfId="4282"/>
    <cellStyle name="Currency 10 2 2 3 2 3" xfId="3272"/>
    <cellStyle name="Currency 10 2 2 3 2 4" xfId="7207"/>
    <cellStyle name="Currency 10 2 2 3 3" xfId="1975"/>
    <cellStyle name="Currency 10 2 2 3 3 2" xfId="3788"/>
    <cellStyle name="Currency 10 2 2 3 3 3" xfId="7715"/>
    <cellStyle name="Currency 10 2 2 3 4" xfId="4761"/>
    <cellStyle name="Currency 10 2 2 3 5" xfId="5258"/>
    <cellStyle name="Currency 10 2 2 3 6" xfId="5760"/>
    <cellStyle name="Currency 10 2 2 3 7" xfId="2779"/>
    <cellStyle name="Currency 10 2 2 3 8" xfId="6701"/>
    <cellStyle name="Currency 10 2 2 4" xfId="1219"/>
    <cellStyle name="Currency 10 2 2 4 2" xfId="4035"/>
    <cellStyle name="Currency 10 2 2 4 3" xfId="3025"/>
    <cellStyle name="Currency 10 2 2 4 4" xfId="6959"/>
    <cellStyle name="Currency 10 2 2 5" xfId="1727"/>
    <cellStyle name="Currency 10 2 2 5 2" xfId="3540"/>
    <cellStyle name="Currency 10 2 2 5 3" xfId="7467"/>
    <cellStyle name="Currency 10 2 2 6" xfId="4531"/>
    <cellStyle name="Currency 10 2 2 7" xfId="5010"/>
    <cellStyle name="Currency 10 2 2 8" xfId="5512"/>
    <cellStyle name="Currency 10 2 2 9" xfId="2547"/>
    <cellStyle name="Currency 10 2 3" xfId="770"/>
    <cellStyle name="Currency 10 2 3 2" xfId="1018"/>
    <cellStyle name="Currency 10 2 3 2 2" xfId="1524"/>
    <cellStyle name="Currency 10 2 3 2 2 2" xfId="4339"/>
    <cellStyle name="Currency 10 2 3 2 2 3" xfId="3329"/>
    <cellStyle name="Currency 10 2 3 2 2 4" xfId="7264"/>
    <cellStyle name="Currency 10 2 3 2 3" xfId="2032"/>
    <cellStyle name="Currency 10 2 3 2 3 2" xfId="3845"/>
    <cellStyle name="Currency 10 2 3 2 3 3" xfId="7772"/>
    <cellStyle name="Currency 10 2 3 2 4" xfId="4817"/>
    <cellStyle name="Currency 10 2 3 2 5" xfId="5315"/>
    <cellStyle name="Currency 10 2 3 2 6" xfId="5817"/>
    <cellStyle name="Currency 10 2 3 2 7" xfId="2835"/>
    <cellStyle name="Currency 10 2 3 2 8" xfId="6758"/>
    <cellStyle name="Currency 10 2 3 3" xfId="1276"/>
    <cellStyle name="Currency 10 2 3 3 2" xfId="4091"/>
    <cellStyle name="Currency 10 2 3 3 3" xfId="3081"/>
    <cellStyle name="Currency 10 2 3 3 4" xfId="7016"/>
    <cellStyle name="Currency 10 2 3 4" xfId="1784"/>
    <cellStyle name="Currency 10 2 3 4 2" xfId="3597"/>
    <cellStyle name="Currency 10 2 3 4 3" xfId="7524"/>
    <cellStyle name="Currency 10 2 3 5" xfId="4583"/>
    <cellStyle name="Currency 10 2 3 6" xfId="5067"/>
    <cellStyle name="Currency 10 2 3 7" xfId="5569"/>
    <cellStyle name="Currency 10 2 3 8" xfId="2599"/>
    <cellStyle name="Currency 10 2 3 9" xfId="6510"/>
    <cellStyle name="Currency 10 2 4" xfId="894"/>
    <cellStyle name="Currency 10 2 4 2" xfId="1400"/>
    <cellStyle name="Currency 10 2 4 2 2" xfId="4215"/>
    <cellStyle name="Currency 10 2 4 2 3" xfId="3205"/>
    <cellStyle name="Currency 10 2 4 2 4" xfId="7140"/>
    <cellStyle name="Currency 10 2 4 3" xfId="1908"/>
    <cellStyle name="Currency 10 2 4 3 2" xfId="3721"/>
    <cellStyle name="Currency 10 2 4 3 3" xfId="7648"/>
    <cellStyle name="Currency 10 2 4 4" xfId="4699"/>
    <cellStyle name="Currency 10 2 4 5" xfId="5191"/>
    <cellStyle name="Currency 10 2 4 6" xfId="5693"/>
    <cellStyle name="Currency 10 2 4 7" xfId="2717"/>
    <cellStyle name="Currency 10 2 4 8" xfId="6634"/>
    <cellStyle name="Currency 10 2 5" xfId="1152"/>
    <cellStyle name="Currency 10 2 5 2" xfId="3969"/>
    <cellStyle name="Currency 10 2 5 3" xfId="2959"/>
    <cellStyle name="Currency 10 2 5 4" xfId="6892"/>
    <cellStyle name="Currency 10 2 6" xfId="1660"/>
    <cellStyle name="Currency 10 2 6 2" xfId="3473"/>
    <cellStyle name="Currency 10 2 6 3" xfId="7400"/>
    <cellStyle name="Currency 10 2 7" xfId="4469"/>
    <cellStyle name="Currency 10 2 8" xfId="4945"/>
    <cellStyle name="Currency 10 2 9" xfId="5445"/>
    <cellStyle name="Currency 10 3" xfId="666"/>
    <cellStyle name="Currency 10 3 10" xfId="2505"/>
    <cellStyle name="Currency 10 3 11" xfId="6406"/>
    <cellStyle name="Currency 10 3 2" xfId="714"/>
    <cellStyle name="Currency 10 3 2 10" xfId="6454"/>
    <cellStyle name="Currency 10 3 2 2" xfId="838"/>
    <cellStyle name="Currency 10 3 2 2 2" xfId="1086"/>
    <cellStyle name="Currency 10 3 2 2 2 2" xfId="1592"/>
    <cellStyle name="Currency 10 3 2 2 2 2 2" xfId="4407"/>
    <cellStyle name="Currency 10 3 2 2 2 2 3" xfId="3397"/>
    <cellStyle name="Currency 10 3 2 2 2 2 4" xfId="7332"/>
    <cellStyle name="Currency 10 3 2 2 2 3" xfId="2100"/>
    <cellStyle name="Currency 10 3 2 2 2 3 2" xfId="3913"/>
    <cellStyle name="Currency 10 3 2 2 2 3 3" xfId="7840"/>
    <cellStyle name="Currency 10 3 2 2 2 4" xfId="4885"/>
    <cellStyle name="Currency 10 3 2 2 2 5" xfId="5383"/>
    <cellStyle name="Currency 10 3 2 2 2 6" xfId="5885"/>
    <cellStyle name="Currency 10 3 2 2 2 7" xfId="2903"/>
    <cellStyle name="Currency 10 3 2 2 2 8" xfId="6826"/>
    <cellStyle name="Currency 10 3 2 2 3" xfId="1344"/>
    <cellStyle name="Currency 10 3 2 2 3 2" xfId="4159"/>
    <cellStyle name="Currency 10 3 2 2 3 3" xfId="3149"/>
    <cellStyle name="Currency 10 3 2 2 3 4" xfId="7084"/>
    <cellStyle name="Currency 10 3 2 2 4" xfId="1852"/>
    <cellStyle name="Currency 10 3 2 2 4 2" xfId="3665"/>
    <cellStyle name="Currency 10 3 2 2 4 3" xfId="7592"/>
    <cellStyle name="Currency 10 3 2 2 5" xfId="4646"/>
    <cellStyle name="Currency 10 3 2 2 6" xfId="5135"/>
    <cellStyle name="Currency 10 3 2 2 7" xfId="5637"/>
    <cellStyle name="Currency 10 3 2 2 8" xfId="2662"/>
    <cellStyle name="Currency 10 3 2 2 9" xfId="6578"/>
    <cellStyle name="Currency 10 3 2 3" xfId="962"/>
    <cellStyle name="Currency 10 3 2 3 2" xfId="1468"/>
    <cellStyle name="Currency 10 3 2 3 2 2" xfId="4283"/>
    <cellStyle name="Currency 10 3 2 3 2 3" xfId="3273"/>
    <cellStyle name="Currency 10 3 2 3 2 4" xfId="7208"/>
    <cellStyle name="Currency 10 3 2 3 3" xfId="1976"/>
    <cellStyle name="Currency 10 3 2 3 3 2" xfId="3789"/>
    <cellStyle name="Currency 10 3 2 3 3 3" xfId="7716"/>
    <cellStyle name="Currency 10 3 2 3 4" xfId="4762"/>
    <cellStyle name="Currency 10 3 2 3 5" xfId="5259"/>
    <cellStyle name="Currency 10 3 2 3 6" xfId="5761"/>
    <cellStyle name="Currency 10 3 2 3 7" xfId="2780"/>
    <cellStyle name="Currency 10 3 2 3 8" xfId="6702"/>
    <cellStyle name="Currency 10 3 2 4" xfId="1220"/>
    <cellStyle name="Currency 10 3 2 4 2" xfId="4036"/>
    <cellStyle name="Currency 10 3 2 4 3" xfId="3026"/>
    <cellStyle name="Currency 10 3 2 4 4" xfId="6960"/>
    <cellStyle name="Currency 10 3 2 5" xfId="1728"/>
    <cellStyle name="Currency 10 3 2 5 2" xfId="3541"/>
    <cellStyle name="Currency 10 3 2 5 3" xfId="7468"/>
    <cellStyle name="Currency 10 3 2 6" xfId="4532"/>
    <cellStyle name="Currency 10 3 2 7" xfId="5011"/>
    <cellStyle name="Currency 10 3 2 8" xfId="5513"/>
    <cellStyle name="Currency 10 3 2 9" xfId="2548"/>
    <cellStyle name="Currency 10 3 3" xfId="790"/>
    <cellStyle name="Currency 10 3 3 2" xfId="1038"/>
    <cellStyle name="Currency 10 3 3 2 2" xfId="1544"/>
    <cellStyle name="Currency 10 3 3 2 2 2" xfId="4359"/>
    <cellStyle name="Currency 10 3 3 2 2 3" xfId="3349"/>
    <cellStyle name="Currency 10 3 3 2 2 4" xfId="7284"/>
    <cellStyle name="Currency 10 3 3 2 3" xfId="2052"/>
    <cellStyle name="Currency 10 3 3 2 3 2" xfId="3865"/>
    <cellStyle name="Currency 10 3 3 2 3 3" xfId="7792"/>
    <cellStyle name="Currency 10 3 3 2 4" xfId="4837"/>
    <cellStyle name="Currency 10 3 3 2 5" xfId="5335"/>
    <cellStyle name="Currency 10 3 3 2 6" xfId="5837"/>
    <cellStyle name="Currency 10 3 3 2 7" xfId="2855"/>
    <cellStyle name="Currency 10 3 3 2 8" xfId="6778"/>
    <cellStyle name="Currency 10 3 3 3" xfId="1296"/>
    <cellStyle name="Currency 10 3 3 3 2" xfId="4111"/>
    <cellStyle name="Currency 10 3 3 3 3" xfId="3101"/>
    <cellStyle name="Currency 10 3 3 3 4" xfId="7036"/>
    <cellStyle name="Currency 10 3 3 4" xfId="1804"/>
    <cellStyle name="Currency 10 3 3 4 2" xfId="3617"/>
    <cellStyle name="Currency 10 3 3 4 3" xfId="7544"/>
    <cellStyle name="Currency 10 3 3 5" xfId="4601"/>
    <cellStyle name="Currency 10 3 3 6" xfId="5087"/>
    <cellStyle name="Currency 10 3 3 7" xfId="5589"/>
    <cellStyle name="Currency 10 3 3 8" xfId="2617"/>
    <cellStyle name="Currency 10 3 3 9" xfId="6530"/>
    <cellStyle name="Currency 10 3 4" xfId="914"/>
    <cellStyle name="Currency 10 3 4 2" xfId="1420"/>
    <cellStyle name="Currency 10 3 4 2 2" xfId="4235"/>
    <cellStyle name="Currency 10 3 4 2 3" xfId="3225"/>
    <cellStyle name="Currency 10 3 4 2 4" xfId="7160"/>
    <cellStyle name="Currency 10 3 4 3" xfId="1928"/>
    <cellStyle name="Currency 10 3 4 3 2" xfId="3741"/>
    <cellStyle name="Currency 10 3 4 3 3" xfId="7668"/>
    <cellStyle name="Currency 10 3 4 4" xfId="4717"/>
    <cellStyle name="Currency 10 3 4 5" xfId="5211"/>
    <cellStyle name="Currency 10 3 4 6" xfId="5713"/>
    <cellStyle name="Currency 10 3 4 7" xfId="2735"/>
    <cellStyle name="Currency 10 3 4 8" xfId="6654"/>
    <cellStyle name="Currency 10 3 5" xfId="1172"/>
    <cellStyle name="Currency 10 3 5 2" xfId="3989"/>
    <cellStyle name="Currency 10 3 5 3" xfId="2979"/>
    <cellStyle name="Currency 10 3 5 4" xfId="6912"/>
    <cellStyle name="Currency 10 3 6" xfId="1680"/>
    <cellStyle name="Currency 10 3 6 2" xfId="3493"/>
    <cellStyle name="Currency 10 3 6 3" xfId="7420"/>
    <cellStyle name="Currency 10 3 7" xfId="4489"/>
    <cellStyle name="Currency 10 3 8" xfId="4963"/>
    <cellStyle name="Currency 10 3 9" xfId="5465"/>
    <cellStyle name="Currency 10 4" xfId="712"/>
    <cellStyle name="Currency 10 4 10" xfId="6452"/>
    <cellStyle name="Currency 10 4 2" xfId="836"/>
    <cellStyle name="Currency 10 4 2 2" xfId="1084"/>
    <cellStyle name="Currency 10 4 2 2 2" xfId="1590"/>
    <cellStyle name="Currency 10 4 2 2 2 2" xfId="4405"/>
    <cellStyle name="Currency 10 4 2 2 2 3" xfId="3395"/>
    <cellStyle name="Currency 10 4 2 2 2 4" xfId="7330"/>
    <cellStyle name="Currency 10 4 2 2 3" xfId="2098"/>
    <cellStyle name="Currency 10 4 2 2 3 2" xfId="3911"/>
    <cellStyle name="Currency 10 4 2 2 3 3" xfId="7838"/>
    <cellStyle name="Currency 10 4 2 2 4" xfId="4883"/>
    <cellStyle name="Currency 10 4 2 2 5" xfId="5381"/>
    <cellStyle name="Currency 10 4 2 2 6" xfId="5883"/>
    <cellStyle name="Currency 10 4 2 2 7" xfId="2901"/>
    <cellStyle name="Currency 10 4 2 2 8" xfId="6824"/>
    <cellStyle name="Currency 10 4 2 3" xfId="1342"/>
    <cellStyle name="Currency 10 4 2 3 2" xfId="4157"/>
    <cellStyle name="Currency 10 4 2 3 3" xfId="3147"/>
    <cellStyle name="Currency 10 4 2 3 4" xfId="7082"/>
    <cellStyle name="Currency 10 4 2 4" xfId="1850"/>
    <cellStyle name="Currency 10 4 2 4 2" xfId="3663"/>
    <cellStyle name="Currency 10 4 2 4 3" xfId="7590"/>
    <cellStyle name="Currency 10 4 2 5" xfId="4644"/>
    <cellStyle name="Currency 10 4 2 6" xfId="5133"/>
    <cellStyle name="Currency 10 4 2 7" xfId="5635"/>
    <cellStyle name="Currency 10 4 2 8" xfId="2660"/>
    <cellStyle name="Currency 10 4 2 9" xfId="6576"/>
    <cellStyle name="Currency 10 4 3" xfId="960"/>
    <cellStyle name="Currency 10 4 3 2" xfId="1466"/>
    <cellStyle name="Currency 10 4 3 2 2" xfId="4281"/>
    <cellStyle name="Currency 10 4 3 2 3" xfId="3271"/>
    <cellStyle name="Currency 10 4 3 2 4" xfId="7206"/>
    <cellStyle name="Currency 10 4 3 3" xfId="1974"/>
    <cellStyle name="Currency 10 4 3 3 2" xfId="3787"/>
    <cellStyle name="Currency 10 4 3 3 3" xfId="7714"/>
    <cellStyle name="Currency 10 4 3 4" xfId="4760"/>
    <cellStyle name="Currency 10 4 3 5" xfId="5257"/>
    <cellStyle name="Currency 10 4 3 6" xfId="5759"/>
    <cellStyle name="Currency 10 4 3 7" xfId="2778"/>
    <cellStyle name="Currency 10 4 3 8" xfId="6700"/>
    <cellStyle name="Currency 10 4 4" xfId="1218"/>
    <cellStyle name="Currency 10 4 4 2" xfId="4034"/>
    <cellStyle name="Currency 10 4 4 3" xfId="3024"/>
    <cellStyle name="Currency 10 4 4 4" xfId="6958"/>
    <cellStyle name="Currency 10 4 5" xfId="1726"/>
    <cellStyle name="Currency 10 4 5 2" xfId="3539"/>
    <cellStyle name="Currency 10 4 5 3" xfId="7466"/>
    <cellStyle name="Currency 10 4 6" xfId="4530"/>
    <cellStyle name="Currency 10 4 7" xfId="5009"/>
    <cellStyle name="Currency 10 4 8" xfId="5511"/>
    <cellStyle name="Currency 10 4 9" xfId="2546"/>
    <cellStyle name="Currency 10 5" xfId="748"/>
    <cellStyle name="Currency 10 5 2" xfId="996"/>
    <cellStyle name="Currency 10 5 2 2" xfId="1502"/>
    <cellStyle name="Currency 10 5 2 2 2" xfId="4317"/>
    <cellStyle name="Currency 10 5 2 2 3" xfId="3307"/>
    <cellStyle name="Currency 10 5 2 2 4" xfId="7242"/>
    <cellStyle name="Currency 10 5 2 3" xfId="2010"/>
    <cellStyle name="Currency 10 5 2 3 2" xfId="3823"/>
    <cellStyle name="Currency 10 5 2 3 3" xfId="7750"/>
    <cellStyle name="Currency 10 5 2 4" xfId="4795"/>
    <cellStyle name="Currency 10 5 2 5" xfId="5293"/>
    <cellStyle name="Currency 10 5 2 6" xfId="5795"/>
    <cellStyle name="Currency 10 5 2 7" xfId="2813"/>
    <cellStyle name="Currency 10 5 2 8" xfId="6736"/>
    <cellStyle name="Currency 10 5 3" xfId="1254"/>
    <cellStyle name="Currency 10 5 3 2" xfId="4069"/>
    <cellStyle name="Currency 10 5 3 3" xfId="3059"/>
    <cellStyle name="Currency 10 5 3 4" xfId="6994"/>
    <cellStyle name="Currency 10 5 4" xfId="1762"/>
    <cellStyle name="Currency 10 5 4 2" xfId="3575"/>
    <cellStyle name="Currency 10 5 4 3" xfId="7502"/>
    <cellStyle name="Currency 10 5 5" xfId="4563"/>
    <cellStyle name="Currency 10 5 6" xfId="5045"/>
    <cellStyle name="Currency 10 5 7" xfId="5547"/>
    <cellStyle name="Currency 10 5 8" xfId="2579"/>
    <cellStyle name="Currency 10 5 9" xfId="6488"/>
    <cellStyle name="Currency 10 6" xfId="872"/>
    <cellStyle name="Currency 10 6 2" xfId="1378"/>
    <cellStyle name="Currency 10 6 2 2" xfId="4193"/>
    <cellStyle name="Currency 10 6 2 3" xfId="3183"/>
    <cellStyle name="Currency 10 6 2 4" xfId="7118"/>
    <cellStyle name="Currency 10 6 3" xfId="1886"/>
    <cellStyle name="Currency 10 6 3 2" xfId="3699"/>
    <cellStyle name="Currency 10 6 3 3" xfId="7626"/>
    <cellStyle name="Currency 10 6 4" xfId="4679"/>
    <cellStyle name="Currency 10 6 5" xfId="5169"/>
    <cellStyle name="Currency 10 6 6" xfId="5671"/>
    <cellStyle name="Currency 10 6 7" xfId="2695"/>
    <cellStyle name="Currency 10 6 8" xfId="6612"/>
    <cellStyle name="Currency 10 7" xfId="1130"/>
    <cellStyle name="Currency 10 7 2" xfId="3947"/>
    <cellStyle name="Currency 10 7 3" xfId="2937"/>
    <cellStyle name="Currency 10 7 4" xfId="6870"/>
    <cellStyle name="Currency 10 8" xfId="1637"/>
    <cellStyle name="Currency 10 8 2" xfId="3451"/>
    <cellStyle name="Currency 10 8 3" xfId="7377"/>
    <cellStyle name="Currency 10 9" xfId="4447"/>
    <cellStyle name="Currency 11" xfId="7879"/>
    <cellStyle name="Currency 2" xfId="74"/>
    <cellStyle name="Currency 2 2" xfId="75"/>
    <cellStyle name="Currency 2 2 2" xfId="76"/>
    <cellStyle name="Currency 2 2 2 2" xfId="3442"/>
    <cellStyle name="Currency 2 2 3" xfId="77"/>
    <cellStyle name="Currency 2 2 3 2" xfId="2276"/>
    <cellStyle name="Currency 2 3" xfId="78"/>
    <cellStyle name="Currency 2 3 2" xfId="79"/>
    <cellStyle name="Currency 2 3 2 2" xfId="2277"/>
    <cellStyle name="Currency 2 3 3" xfId="616"/>
    <cellStyle name="Currency 2 3 3 2" xfId="2225"/>
    <cellStyle name="Currency 2 3 3 2 2" xfId="6363"/>
    <cellStyle name="Currency 2 4" xfId="80"/>
    <cellStyle name="Currency 2 4 2" xfId="81"/>
    <cellStyle name="Currency 2 4 2 2" xfId="2278"/>
    <cellStyle name="Currency 2 4 3" xfId="2226"/>
    <cellStyle name="Currency 2 5" xfId="82"/>
    <cellStyle name="Currency 2 5 2" xfId="2259"/>
    <cellStyle name="Currency 2 6" xfId="211"/>
    <cellStyle name="Currency 3" xfId="83"/>
    <cellStyle name="Currency 3 2" xfId="214"/>
    <cellStyle name="Currency 3 3" xfId="415"/>
    <cellStyle name="Currency 3 4" xfId="416"/>
    <cellStyle name="Currency 3 5" xfId="641"/>
    <cellStyle name="Currency 3 6" xfId="414"/>
    <cellStyle name="Currency 4" xfId="84"/>
    <cellStyle name="Currency 4 2" xfId="418"/>
    <cellStyle name="Currency 4 3" xfId="419"/>
    <cellStyle name="Currency 4 4" xfId="420"/>
    <cellStyle name="Currency 4 5" xfId="417"/>
    <cellStyle name="Currency 5" xfId="189"/>
    <cellStyle name="Currency 5 2" xfId="421"/>
    <cellStyle name="Currency 5 2 2" xfId="2358"/>
    <cellStyle name="Currency 5 2 2 2" xfId="6126"/>
    <cellStyle name="Currency 5 2 2 3" xfId="7981"/>
    <cellStyle name="Currency 5 2 3" xfId="2409"/>
    <cellStyle name="Currency 5 2 3 2" xfId="6177"/>
    <cellStyle name="Currency 5 2 3 3" xfId="8032"/>
    <cellStyle name="Currency 5 2 4" xfId="2465"/>
    <cellStyle name="Currency 5 2 4 2" xfId="6233"/>
    <cellStyle name="Currency 5 2 4 3" xfId="8088"/>
    <cellStyle name="Currency 5 2 5" xfId="2306"/>
    <cellStyle name="Currency 5 2 5 2" xfId="6338"/>
    <cellStyle name="Currency 5 2 6" xfId="6075"/>
    <cellStyle name="Currency 5 2 7" xfId="7930"/>
    <cellStyle name="Currency 5 3" xfId="2330"/>
    <cellStyle name="Currency 5 3 2" xfId="6098"/>
    <cellStyle name="Currency 5 3 3" xfId="7953"/>
    <cellStyle name="Currency 5 4" xfId="2381"/>
    <cellStyle name="Currency 5 4 2" xfId="6149"/>
    <cellStyle name="Currency 5 4 3" xfId="8004"/>
    <cellStyle name="Currency 5 5" xfId="2437"/>
    <cellStyle name="Currency 5 5 2" xfId="6205"/>
    <cellStyle name="Currency 5 5 3" xfId="8060"/>
    <cellStyle name="Currency 5 6" xfId="2192"/>
    <cellStyle name="Currency 5 6 2" xfId="6259"/>
    <cellStyle name="Currency 5 7" xfId="6047"/>
    <cellStyle name="Currency 5 8" xfId="7902"/>
    <cellStyle name="Currency 6" xfId="194"/>
    <cellStyle name="Currency 6 2" xfId="422"/>
    <cellStyle name="Currency 6 3" xfId="6263"/>
    <cellStyle name="Currency 6 4" xfId="7877"/>
    <cellStyle name="Currency 7" xfId="197"/>
    <cellStyle name="Currency 7 2" xfId="423"/>
    <cellStyle name="Currency 7 2 2" xfId="2345"/>
    <cellStyle name="Currency 7 2 2 2" xfId="6339"/>
    <cellStyle name="Currency 7 2 3" xfId="6113"/>
    <cellStyle name="Currency 7 2 4" xfId="7968"/>
    <cellStyle name="Currency 7 3" xfId="2396"/>
    <cellStyle name="Currency 7 3 2" xfId="6164"/>
    <cellStyle name="Currency 7 3 3" xfId="8019"/>
    <cellStyle name="Currency 7 4" xfId="2452"/>
    <cellStyle name="Currency 7 4 2" xfId="6220"/>
    <cellStyle name="Currency 7 4 3" xfId="8075"/>
    <cellStyle name="Currency 7 5" xfId="2207"/>
    <cellStyle name="Currency 7 5 2" xfId="6266"/>
    <cellStyle name="Currency 7 6" xfId="6062"/>
    <cellStyle name="Currency 7 7" xfId="7917"/>
    <cellStyle name="Currency 8" xfId="424"/>
    <cellStyle name="Currency 8 2" xfId="2424"/>
    <cellStyle name="Currency 8 2 2" xfId="6001"/>
    <cellStyle name="Currency 8 2 3" xfId="6340"/>
    <cellStyle name="Currency 8 3" xfId="6192"/>
    <cellStyle name="Currency 8 4" xfId="8047"/>
    <cellStyle name="Currency 9" xfId="425"/>
    <cellStyle name="Explanatory Text" xfId="2149" builtinId="53" customBuiltin="1"/>
    <cellStyle name="Explanatory Text 2" xfId="85"/>
    <cellStyle name="Explanatory Text 3" xfId="426"/>
    <cellStyle name="Explanatory Text 4" xfId="427"/>
    <cellStyle name="Explanatory Text 5" xfId="428"/>
    <cellStyle name="Explanatory Text 6" xfId="429"/>
    <cellStyle name="Explanatory Text 7" xfId="5939"/>
    <cellStyle name="Good" xfId="2140" builtinId="26" customBuiltin="1"/>
    <cellStyle name="Good 2" xfId="86"/>
    <cellStyle name="Good 3" xfId="430"/>
    <cellStyle name="Good 4" xfId="431"/>
    <cellStyle name="Good 5" xfId="432"/>
    <cellStyle name="Good 6" xfId="433"/>
    <cellStyle name="Good 7" xfId="5930"/>
    <cellStyle name="Heading 1" xfId="2136" builtinId="16" customBuiltin="1"/>
    <cellStyle name="Heading 1 2" xfId="87"/>
    <cellStyle name="Heading 1 2 2" xfId="434"/>
    <cellStyle name="Heading 1 2 2 2" xfId="5984"/>
    <cellStyle name="Heading 1 3" xfId="435"/>
    <cellStyle name="Heading 1 4" xfId="436"/>
    <cellStyle name="Heading 1 5" xfId="437"/>
    <cellStyle name="Heading 1 6" xfId="438"/>
    <cellStyle name="Heading 1 7" xfId="439"/>
    <cellStyle name="Heading 1 8" xfId="440"/>
    <cellStyle name="Heading 1 9" xfId="5926"/>
    <cellStyle name="Heading 2" xfId="2137" builtinId="17" customBuiltin="1"/>
    <cellStyle name="Heading 2 2" xfId="88"/>
    <cellStyle name="Heading 2 2 2" xfId="441"/>
    <cellStyle name="Heading 2 2 2 2" xfId="5985"/>
    <cellStyle name="Heading 2 3" xfId="442"/>
    <cellStyle name="Heading 2 4" xfId="443"/>
    <cellStyle name="Heading 2 5" xfId="444"/>
    <cellStyle name="Heading 2 6" xfId="445"/>
    <cellStyle name="Heading 2 7" xfId="446"/>
    <cellStyle name="Heading 2 8" xfId="447"/>
    <cellStyle name="Heading 2 9" xfId="5927"/>
    <cellStyle name="Heading 3" xfId="2138" builtinId="18" customBuiltin="1"/>
    <cellStyle name="Heading 3 2" xfId="89"/>
    <cellStyle name="Heading 3 2 2" xfId="448"/>
    <cellStyle name="Heading 3 2 2 2" xfId="5986"/>
    <cellStyle name="Heading 3 3" xfId="449"/>
    <cellStyle name="Heading 3 4" xfId="450"/>
    <cellStyle name="Heading 3 5" xfId="451"/>
    <cellStyle name="Heading 3 6" xfId="452"/>
    <cellStyle name="Heading 3 7" xfId="453"/>
    <cellStyle name="Heading 3 8" xfId="454"/>
    <cellStyle name="Heading 3 9" xfId="5928"/>
    <cellStyle name="Heading 4" xfId="2139" builtinId="19" customBuiltin="1"/>
    <cellStyle name="Heading 4 2" xfId="90"/>
    <cellStyle name="Heading 4 2 2" xfId="455"/>
    <cellStyle name="Heading 4 2 2 2" xfId="5987"/>
    <cellStyle name="Heading 4 3" xfId="456"/>
    <cellStyle name="Heading 4 4" xfId="457"/>
    <cellStyle name="Heading 4 5" xfId="458"/>
    <cellStyle name="Heading 4 6" xfId="459"/>
    <cellStyle name="Heading 4 7" xfId="460"/>
    <cellStyle name="Heading 4 8" xfId="461"/>
    <cellStyle name="Heading 4 9" xfId="5929"/>
    <cellStyle name="Input" xfId="2143" builtinId="20" customBuiltin="1"/>
    <cellStyle name="Input 2" xfId="91"/>
    <cellStyle name="Input 3" xfId="462"/>
    <cellStyle name="Input 4" xfId="463"/>
    <cellStyle name="Input 5" xfId="464"/>
    <cellStyle name="Input 6" xfId="465"/>
    <cellStyle name="Input 7" xfId="5933"/>
    <cellStyle name="kirkdollars" xfId="466"/>
    <cellStyle name="Linked Cell" xfId="2146" builtinId="24" customBuiltin="1"/>
    <cellStyle name="Linked Cell 2" xfId="92"/>
    <cellStyle name="Linked Cell 3" xfId="467"/>
    <cellStyle name="Linked Cell 4" xfId="468"/>
    <cellStyle name="Linked Cell 5" xfId="469"/>
    <cellStyle name="Linked Cell 6" xfId="470"/>
    <cellStyle name="Linked Cell 7" xfId="5936"/>
    <cellStyle name="Neutral" xfId="2142" builtinId="28" customBuiltin="1"/>
    <cellStyle name="Neutral 2" xfId="93"/>
    <cellStyle name="Neutral 3" xfId="471"/>
    <cellStyle name="Neutral 4" xfId="472"/>
    <cellStyle name="Neutral 5" xfId="473"/>
    <cellStyle name="Neutral 6" xfId="474"/>
    <cellStyle name="Neutral 7" xfId="5932"/>
    <cellStyle name="Normal" xfId="0" builtinId="0"/>
    <cellStyle name="Normal 10" xfId="94"/>
    <cellStyle name="Normal 10 2" xfId="475"/>
    <cellStyle name="Normal 10 2 2" xfId="5965"/>
    <cellStyle name="Normal 11" xfId="95"/>
    <cellStyle name="Normal 11 2" xfId="476"/>
    <cellStyle name="Normal 12" xfId="96"/>
    <cellStyle name="Normal 12 2" xfId="477"/>
    <cellStyle name="Normal 12 3" xfId="2410"/>
    <cellStyle name="Normal 12 3 2" xfId="6244"/>
    <cellStyle name="Normal 12 4" xfId="6178"/>
    <cellStyle name="Normal 12 5" xfId="8033"/>
    <cellStyle name="Normal 13" xfId="187"/>
    <cellStyle name="Normal 13 2" xfId="478"/>
    <cellStyle name="Normal 13 3" xfId="6035"/>
    <cellStyle name="Normal 14" xfId="190"/>
    <cellStyle name="Normal 14 2" xfId="479"/>
    <cellStyle name="Normal 15" xfId="192"/>
    <cellStyle name="Normal 15 10" xfId="4926"/>
    <cellStyle name="Normal 15 11" xfId="5424"/>
    <cellStyle name="Normal 15 12" xfId="2469"/>
    <cellStyle name="Normal 15 13" xfId="6261"/>
    <cellStyle name="Normal 15 14" xfId="7876"/>
    <cellStyle name="Normal 15 2" xfId="642"/>
    <cellStyle name="Normal 15 2 10" xfId="2488"/>
    <cellStyle name="Normal 15 2 11" xfId="6385"/>
    <cellStyle name="Normal 15 2 2" xfId="716"/>
    <cellStyle name="Normal 15 2 2 10" xfId="6456"/>
    <cellStyle name="Normal 15 2 2 2" xfId="840"/>
    <cellStyle name="Normal 15 2 2 2 2" xfId="1088"/>
    <cellStyle name="Normal 15 2 2 2 2 2" xfId="1594"/>
    <cellStyle name="Normal 15 2 2 2 2 2 2" xfId="4409"/>
    <cellStyle name="Normal 15 2 2 2 2 2 3" xfId="3399"/>
    <cellStyle name="Normal 15 2 2 2 2 2 4" xfId="7334"/>
    <cellStyle name="Normal 15 2 2 2 2 3" xfId="2102"/>
    <cellStyle name="Normal 15 2 2 2 2 3 2" xfId="3915"/>
    <cellStyle name="Normal 15 2 2 2 2 3 3" xfId="7842"/>
    <cellStyle name="Normal 15 2 2 2 2 4" xfId="4887"/>
    <cellStyle name="Normal 15 2 2 2 2 5" xfId="5385"/>
    <cellStyle name="Normal 15 2 2 2 2 6" xfId="5887"/>
    <cellStyle name="Normal 15 2 2 2 2 7" xfId="2905"/>
    <cellStyle name="Normal 15 2 2 2 2 8" xfId="6828"/>
    <cellStyle name="Normal 15 2 2 2 3" xfId="1346"/>
    <cellStyle name="Normal 15 2 2 2 3 2" xfId="4161"/>
    <cellStyle name="Normal 15 2 2 2 3 3" xfId="3151"/>
    <cellStyle name="Normal 15 2 2 2 3 4" xfId="7086"/>
    <cellStyle name="Normal 15 2 2 2 4" xfId="1854"/>
    <cellStyle name="Normal 15 2 2 2 4 2" xfId="3667"/>
    <cellStyle name="Normal 15 2 2 2 4 3" xfId="7594"/>
    <cellStyle name="Normal 15 2 2 2 5" xfId="4648"/>
    <cellStyle name="Normal 15 2 2 2 6" xfId="5137"/>
    <cellStyle name="Normal 15 2 2 2 7" xfId="5639"/>
    <cellStyle name="Normal 15 2 2 2 8" xfId="2664"/>
    <cellStyle name="Normal 15 2 2 2 9" xfId="6580"/>
    <cellStyle name="Normal 15 2 2 3" xfId="964"/>
    <cellStyle name="Normal 15 2 2 3 2" xfId="1470"/>
    <cellStyle name="Normal 15 2 2 3 2 2" xfId="4285"/>
    <cellStyle name="Normal 15 2 2 3 2 3" xfId="3275"/>
    <cellStyle name="Normal 15 2 2 3 2 4" xfId="7210"/>
    <cellStyle name="Normal 15 2 2 3 3" xfId="1978"/>
    <cellStyle name="Normal 15 2 2 3 3 2" xfId="3791"/>
    <cellStyle name="Normal 15 2 2 3 3 3" xfId="7718"/>
    <cellStyle name="Normal 15 2 2 3 4" xfId="4764"/>
    <cellStyle name="Normal 15 2 2 3 5" xfId="5261"/>
    <cellStyle name="Normal 15 2 2 3 6" xfId="5763"/>
    <cellStyle name="Normal 15 2 2 3 7" xfId="2782"/>
    <cellStyle name="Normal 15 2 2 3 8" xfId="6704"/>
    <cellStyle name="Normal 15 2 2 4" xfId="1222"/>
    <cellStyle name="Normal 15 2 2 4 2" xfId="4038"/>
    <cellStyle name="Normal 15 2 2 4 3" xfId="3028"/>
    <cellStyle name="Normal 15 2 2 4 4" xfId="6962"/>
    <cellStyle name="Normal 15 2 2 5" xfId="1730"/>
    <cellStyle name="Normal 15 2 2 5 2" xfId="3543"/>
    <cellStyle name="Normal 15 2 2 5 3" xfId="7470"/>
    <cellStyle name="Normal 15 2 2 6" xfId="4534"/>
    <cellStyle name="Normal 15 2 2 7" xfId="5013"/>
    <cellStyle name="Normal 15 2 2 8" xfId="5515"/>
    <cellStyle name="Normal 15 2 2 9" xfId="2550"/>
    <cellStyle name="Normal 15 2 3" xfId="771"/>
    <cellStyle name="Normal 15 2 3 2" xfId="1019"/>
    <cellStyle name="Normal 15 2 3 2 2" xfId="1525"/>
    <cellStyle name="Normal 15 2 3 2 2 2" xfId="4340"/>
    <cellStyle name="Normal 15 2 3 2 2 3" xfId="3330"/>
    <cellStyle name="Normal 15 2 3 2 2 4" xfId="7265"/>
    <cellStyle name="Normal 15 2 3 2 3" xfId="2033"/>
    <cellStyle name="Normal 15 2 3 2 3 2" xfId="3846"/>
    <cellStyle name="Normal 15 2 3 2 3 3" xfId="7773"/>
    <cellStyle name="Normal 15 2 3 2 4" xfId="4818"/>
    <cellStyle name="Normal 15 2 3 2 5" xfId="5316"/>
    <cellStyle name="Normal 15 2 3 2 6" xfId="5818"/>
    <cellStyle name="Normal 15 2 3 2 7" xfId="2836"/>
    <cellStyle name="Normal 15 2 3 2 8" xfId="6759"/>
    <cellStyle name="Normal 15 2 3 3" xfId="1277"/>
    <cellStyle name="Normal 15 2 3 3 2" xfId="4092"/>
    <cellStyle name="Normal 15 2 3 3 3" xfId="3082"/>
    <cellStyle name="Normal 15 2 3 3 4" xfId="7017"/>
    <cellStyle name="Normal 15 2 3 4" xfId="1785"/>
    <cellStyle name="Normal 15 2 3 4 2" xfId="3598"/>
    <cellStyle name="Normal 15 2 3 4 3" xfId="7525"/>
    <cellStyle name="Normal 15 2 3 5" xfId="4584"/>
    <cellStyle name="Normal 15 2 3 6" xfId="5068"/>
    <cellStyle name="Normal 15 2 3 7" xfId="5570"/>
    <cellStyle name="Normal 15 2 3 8" xfId="2600"/>
    <cellStyle name="Normal 15 2 3 9" xfId="6511"/>
    <cellStyle name="Normal 15 2 4" xfId="895"/>
    <cellStyle name="Normal 15 2 4 2" xfId="1401"/>
    <cellStyle name="Normal 15 2 4 2 2" xfId="4216"/>
    <cellStyle name="Normal 15 2 4 2 3" xfId="3206"/>
    <cellStyle name="Normal 15 2 4 2 4" xfId="7141"/>
    <cellStyle name="Normal 15 2 4 3" xfId="1909"/>
    <cellStyle name="Normal 15 2 4 3 2" xfId="3722"/>
    <cellStyle name="Normal 15 2 4 3 3" xfId="7649"/>
    <cellStyle name="Normal 15 2 4 4" xfId="4700"/>
    <cellStyle name="Normal 15 2 4 5" xfId="5192"/>
    <cellStyle name="Normal 15 2 4 6" xfId="5694"/>
    <cellStyle name="Normal 15 2 4 7" xfId="2718"/>
    <cellStyle name="Normal 15 2 4 8" xfId="6635"/>
    <cellStyle name="Normal 15 2 5" xfId="1153"/>
    <cellStyle name="Normal 15 2 5 2" xfId="3970"/>
    <cellStyle name="Normal 15 2 5 3" xfId="2960"/>
    <cellStyle name="Normal 15 2 5 4" xfId="6893"/>
    <cellStyle name="Normal 15 2 6" xfId="1661"/>
    <cellStyle name="Normal 15 2 6 2" xfId="3474"/>
    <cellStyle name="Normal 15 2 6 3" xfId="7401"/>
    <cellStyle name="Normal 15 2 7" xfId="4470"/>
    <cellStyle name="Normal 15 2 8" xfId="4946"/>
    <cellStyle name="Normal 15 2 9" xfId="5446"/>
    <cellStyle name="Normal 15 3" xfId="667"/>
    <cellStyle name="Normal 15 3 10" xfId="2506"/>
    <cellStyle name="Normal 15 3 11" xfId="6407"/>
    <cellStyle name="Normal 15 3 2" xfId="717"/>
    <cellStyle name="Normal 15 3 2 10" xfId="6457"/>
    <cellStyle name="Normal 15 3 2 2" xfId="841"/>
    <cellStyle name="Normal 15 3 2 2 2" xfId="1089"/>
    <cellStyle name="Normal 15 3 2 2 2 2" xfId="1595"/>
    <cellStyle name="Normal 15 3 2 2 2 2 2" xfId="4410"/>
    <cellStyle name="Normal 15 3 2 2 2 2 3" xfId="3400"/>
    <cellStyle name="Normal 15 3 2 2 2 2 4" xfId="7335"/>
    <cellStyle name="Normal 15 3 2 2 2 3" xfId="2103"/>
    <cellStyle name="Normal 15 3 2 2 2 3 2" xfId="3916"/>
    <cellStyle name="Normal 15 3 2 2 2 3 3" xfId="7843"/>
    <cellStyle name="Normal 15 3 2 2 2 4" xfId="4888"/>
    <cellStyle name="Normal 15 3 2 2 2 5" xfId="5386"/>
    <cellStyle name="Normal 15 3 2 2 2 6" xfId="5888"/>
    <cellStyle name="Normal 15 3 2 2 2 7" xfId="2906"/>
    <cellStyle name="Normal 15 3 2 2 2 8" xfId="6829"/>
    <cellStyle name="Normal 15 3 2 2 3" xfId="1347"/>
    <cellStyle name="Normal 15 3 2 2 3 2" xfId="4162"/>
    <cellStyle name="Normal 15 3 2 2 3 3" xfId="3152"/>
    <cellStyle name="Normal 15 3 2 2 3 4" xfId="7087"/>
    <cellStyle name="Normal 15 3 2 2 4" xfId="1855"/>
    <cellStyle name="Normal 15 3 2 2 4 2" xfId="3668"/>
    <cellStyle name="Normal 15 3 2 2 4 3" xfId="7595"/>
    <cellStyle name="Normal 15 3 2 2 5" xfId="4649"/>
    <cellStyle name="Normal 15 3 2 2 6" xfId="5138"/>
    <cellStyle name="Normal 15 3 2 2 7" xfId="5640"/>
    <cellStyle name="Normal 15 3 2 2 8" xfId="2665"/>
    <cellStyle name="Normal 15 3 2 2 9" xfId="6581"/>
    <cellStyle name="Normal 15 3 2 3" xfId="965"/>
    <cellStyle name="Normal 15 3 2 3 2" xfId="1471"/>
    <cellStyle name="Normal 15 3 2 3 2 2" xfId="4286"/>
    <cellStyle name="Normal 15 3 2 3 2 3" xfId="3276"/>
    <cellStyle name="Normal 15 3 2 3 2 4" xfId="7211"/>
    <cellStyle name="Normal 15 3 2 3 3" xfId="1979"/>
    <cellStyle name="Normal 15 3 2 3 3 2" xfId="3792"/>
    <cellStyle name="Normal 15 3 2 3 3 3" xfId="7719"/>
    <cellStyle name="Normal 15 3 2 3 4" xfId="4765"/>
    <cellStyle name="Normal 15 3 2 3 5" xfId="5262"/>
    <cellStyle name="Normal 15 3 2 3 6" xfId="5764"/>
    <cellStyle name="Normal 15 3 2 3 7" xfId="2783"/>
    <cellStyle name="Normal 15 3 2 3 8" xfId="6705"/>
    <cellStyle name="Normal 15 3 2 4" xfId="1223"/>
    <cellStyle name="Normal 15 3 2 4 2" xfId="4039"/>
    <cellStyle name="Normal 15 3 2 4 3" xfId="3029"/>
    <cellStyle name="Normal 15 3 2 4 4" xfId="6963"/>
    <cellStyle name="Normal 15 3 2 5" xfId="1731"/>
    <cellStyle name="Normal 15 3 2 5 2" xfId="3544"/>
    <cellStyle name="Normal 15 3 2 5 3" xfId="7471"/>
    <cellStyle name="Normal 15 3 2 6" xfId="4535"/>
    <cellStyle name="Normal 15 3 2 7" xfId="5014"/>
    <cellStyle name="Normal 15 3 2 8" xfId="5516"/>
    <cellStyle name="Normal 15 3 2 9" xfId="2551"/>
    <cellStyle name="Normal 15 3 3" xfId="791"/>
    <cellStyle name="Normal 15 3 3 2" xfId="1039"/>
    <cellStyle name="Normal 15 3 3 2 2" xfId="1545"/>
    <cellStyle name="Normal 15 3 3 2 2 2" xfId="4360"/>
    <cellStyle name="Normal 15 3 3 2 2 3" xfId="3350"/>
    <cellStyle name="Normal 15 3 3 2 2 4" xfId="7285"/>
    <cellStyle name="Normal 15 3 3 2 3" xfId="2053"/>
    <cellStyle name="Normal 15 3 3 2 3 2" xfId="3866"/>
    <cellStyle name="Normal 15 3 3 2 3 3" xfId="7793"/>
    <cellStyle name="Normal 15 3 3 2 4" xfId="4838"/>
    <cellStyle name="Normal 15 3 3 2 5" xfId="5336"/>
    <cellStyle name="Normal 15 3 3 2 6" xfId="5838"/>
    <cellStyle name="Normal 15 3 3 2 7" xfId="2856"/>
    <cellStyle name="Normal 15 3 3 2 8" xfId="6779"/>
    <cellStyle name="Normal 15 3 3 3" xfId="1297"/>
    <cellStyle name="Normal 15 3 3 3 2" xfId="4112"/>
    <cellStyle name="Normal 15 3 3 3 3" xfId="3102"/>
    <cellStyle name="Normal 15 3 3 3 4" xfId="7037"/>
    <cellStyle name="Normal 15 3 3 4" xfId="1805"/>
    <cellStyle name="Normal 15 3 3 4 2" xfId="3618"/>
    <cellStyle name="Normal 15 3 3 4 3" xfId="7545"/>
    <cellStyle name="Normal 15 3 3 5" xfId="4602"/>
    <cellStyle name="Normal 15 3 3 6" xfId="5088"/>
    <cellStyle name="Normal 15 3 3 7" xfId="5590"/>
    <cellStyle name="Normal 15 3 3 8" xfId="2618"/>
    <cellStyle name="Normal 15 3 3 9" xfId="6531"/>
    <cellStyle name="Normal 15 3 4" xfId="915"/>
    <cellStyle name="Normal 15 3 4 2" xfId="1421"/>
    <cellStyle name="Normal 15 3 4 2 2" xfId="4236"/>
    <cellStyle name="Normal 15 3 4 2 3" xfId="3226"/>
    <cellStyle name="Normal 15 3 4 2 4" xfId="7161"/>
    <cellStyle name="Normal 15 3 4 3" xfId="1929"/>
    <cellStyle name="Normal 15 3 4 3 2" xfId="3742"/>
    <cellStyle name="Normal 15 3 4 3 3" xfId="7669"/>
    <cellStyle name="Normal 15 3 4 4" xfId="4718"/>
    <cellStyle name="Normal 15 3 4 5" xfId="5212"/>
    <cellStyle name="Normal 15 3 4 6" xfId="5714"/>
    <cellStyle name="Normal 15 3 4 7" xfId="2736"/>
    <cellStyle name="Normal 15 3 4 8" xfId="6655"/>
    <cellStyle name="Normal 15 3 5" xfId="1173"/>
    <cellStyle name="Normal 15 3 5 2" xfId="3990"/>
    <cellStyle name="Normal 15 3 5 3" xfId="2980"/>
    <cellStyle name="Normal 15 3 5 4" xfId="6913"/>
    <cellStyle name="Normal 15 3 6" xfId="1681"/>
    <cellStyle name="Normal 15 3 6 2" xfId="3494"/>
    <cellStyle name="Normal 15 3 6 3" xfId="7421"/>
    <cellStyle name="Normal 15 3 7" xfId="4490"/>
    <cellStyle name="Normal 15 3 8" xfId="4964"/>
    <cellStyle name="Normal 15 3 9" xfId="5466"/>
    <cellStyle name="Normal 15 4" xfId="715"/>
    <cellStyle name="Normal 15 4 10" xfId="6455"/>
    <cellStyle name="Normal 15 4 2" xfId="839"/>
    <cellStyle name="Normal 15 4 2 2" xfId="1087"/>
    <cellStyle name="Normal 15 4 2 2 2" xfId="1593"/>
    <cellStyle name="Normal 15 4 2 2 2 2" xfId="4408"/>
    <cellStyle name="Normal 15 4 2 2 2 3" xfId="3398"/>
    <cellStyle name="Normal 15 4 2 2 2 4" xfId="7333"/>
    <cellStyle name="Normal 15 4 2 2 3" xfId="2101"/>
    <cellStyle name="Normal 15 4 2 2 3 2" xfId="3914"/>
    <cellStyle name="Normal 15 4 2 2 3 3" xfId="7841"/>
    <cellStyle name="Normal 15 4 2 2 4" xfId="4886"/>
    <cellStyle name="Normal 15 4 2 2 5" xfId="5384"/>
    <cellStyle name="Normal 15 4 2 2 6" xfId="5886"/>
    <cellStyle name="Normal 15 4 2 2 7" xfId="2904"/>
    <cellStyle name="Normal 15 4 2 2 8" xfId="6827"/>
    <cellStyle name="Normal 15 4 2 3" xfId="1345"/>
    <cellStyle name="Normal 15 4 2 3 2" xfId="4160"/>
    <cellStyle name="Normal 15 4 2 3 3" xfId="3150"/>
    <cellStyle name="Normal 15 4 2 3 4" xfId="7085"/>
    <cellStyle name="Normal 15 4 2 4" xfId="1853"/>
    <cellStyle name="Normal 15 4 2 4 2" xfId="3666"/>
    <cellStyle name="Normal 15 4 2 4 3" xfId="7593"/>
    <cellStyle name="Normal 15 4 2 5" xfId="4647"/>
    <cellStyle name="Normal 15 4 2 6" xfId="5136"/>
    <cellStyle name="Normal 15 4 2 7" xfId="5638"/>
    <cellStyle name="Normal 15 4 2 8" xfId="2663"/>
    <cellStyle name="Normal 15 4 2 9" xfId="6579"/>
    <cellStyle name="Normal 15 4 3" xfId="963"/>
    <cellStyle name="Normal 15 4 3 2" xfId="1469"/>
    <cellStyle name="Normal 15 4 3 2 2" xfId="4284"/>
    <cellStyle name="Normal 15 4 3 2 3" xfId="3274"/>
    <cellStyle name="Normal 15 4 3 2 4" xfId="7209"/>
    <cellStyle name="Normal 15 4 3 3" xfId="1977"/>
    <cellStyle name="Normal 15 4 3 3 2" xfId="3790"/>
    <cellStyle name="Normal 15 4 3 3 3" xfId="7717"/>
    <cellStyle name="Normal 15 4 3 4" xfId="4763"/>
    <cellStyle name="Normal 15 4 3 5" xfId="5260"/>
    <cellStyle name="Normal 15 4 3 6" xfId="5762"/>
    <cellStyle name="Normal 15 4 3 7" xfId="2781"/>
    <cellStyle name="Normal 15 4 3 8" xfId="6703"/>
    <cellStyle name="Normal 15 4 4" xfId="1221"/>
    <cellStyle name="Normal 15 4 4 2" xfId="4037"/>
    <cellStyle name="Normal 15 4 4 3" xfId="3027"/>
    <cellStyle name="Normal 15 4 4 4" xfId="6961"/>
    <cellStyle name="Normal 15 4 5" xfId="1729"/>
    <cellStyle name="Normal 15 4 5 2" xfId="3542"/>
    <cellStyle name="Normal 15 4 5 3" xfId="7469"/>
    <cellStyle name="Normal 15 4 6" xfId="4533"/>
    <cellStyle name="Normal 15 4 7" xfId="5012"/>
    <cellStyle name="Normal 15 4 8" xfId="5514"/>
    <cellStyle name="Normal 15 4 9" xfId="2549"/>
    <cellStyle name="Normal 15 5" xfId="749"/>
    <cellStyle name="Normal 15 5 2" xfId="997"/>
    <cellStyle name="Normal 15 5 2 2" xfId="1503"/>
    <cellStyle name="Normal 15 5 2 2 2" xfId="4318"/>
    <cellStyle name="Normal 15 5 2 2 3" xfId="3308"/>
    <cellStyle name="Normal 15 5 2 2 4" xfId="7243"/>
    <cellStyle name="Normal 15 5 2 3" xfId="2011"/>
    <cellStyle name="Normal 15 5 2 3 2" xfId="3824"/>
    <cellStyle name="Normal 15 5 2 3 3" xfId="7751"/>
    <cellStyle name="Normal 15 5 2 4" xfId="4796"/>
    <cellStyle name="Normal 15 5 2 5" xfId="5294"/>
    <cellStyle name="Normal 15 5 2 6" xfId="5796"/>
    <cellStyle name="Normal 15 5 2 7" xfId="2814"/>
    <cellStyle name="Normal 15 5 2 8" xfId="6737"/>
    <cellStyle name="Normal 15 5 3" xfId="1255"/>
    <cellStyle name="Normal 15 5 3 2" xfId="4070"/>
    <cellStyle name="Normal 15 5 3 3" xfId="3060"/>
    <cellStyle name="Normal 15 5 3 4" xfId="6995"/>
    <cellStyle name="Normal 15 5 4" xfId="1763"/>
    <cellStyle name="Normal 15 5 4 2" xfId="3576"/>
    <cellStyle name="Normal 15 5 4 3" xfId="7503"/>
    <cellStyle name="Normal 15 5 5" xfId="4564"/>
    <cellStyle name="Normal 15 5 6" xfId="5046"/>
    <cellStyle name="Normal 15 5 7" xfId="5548"/>
    <cellStyle name="Normal 15 5 8" xfId="2580"/>
    <cellStyle name="Normal 15 5 9" xfId="6489"/>
    <cellStyle name="Normal 15 6" xfId="873"/>
    <cellStyle name="Normal 15 6 2" xfId="1379"/>
    <cellStyle name="Normal 15 6 2 2" xfId="4194"/>
    <cellStyle name="Normal 15 6 2 3" xfId="3184"/>
    <cellStyle name="Normal 15 6 2 4" xfId="7119"/>
    <cellStyle name="Normal 15 6 3" xfId="1887"/>
    <cellStyle name="Normal 15 6 3 2" xfId="3700"/>
    <cellStyle name="Normal 15 6 3 3" xfId="7627"/>
    <cellStyle name="Normal 15 6 4" xfId="4680"/>
    <cellStyle name="Normal 15 6 5" xfId="5170"/>
    <cellStyle name="Normal 15 6 6" xfId="5672"/>
    <cellStyle name="Normal 15 6 7" xfId="2696"/>
    <cellStyle name="Normal 15 6 8" xfId="6613"/>
    <cellStyle name="Normal 15 7" xfId="480"/>
    <cellStyle name="Normal 15 7 2" xfId="3948"/>
    <cellStyle name="Normal 15 7 3" xfId="2938"/>
    <cellStyle name="Normal 15 7 4" xfId="6341"/>
    <cellStyle name="Normal 15 8" xfId="1131"/>
    <cellStyle name="Normal 15 8 2" xfId="3452"/>
    <cellStyle name="Normal 15 8 3" xfId="6871"/>
    <cellStyle name="Normal 15 9" xfId="1638"/>
    <cellStyle name="Normal 15 9 2" xfId="4448"/>
    <cellStyle name="Normal 15 9 3" xfId="7378"/>
    <cellStyle name="Normal 16" xfId="196"/>
    <cellStyle name="Normal 16 2" xfId="481"/>
    <cellStyle name="Normal 16 3" xfId="6265"/>
    <cellStyle name="Normal 17" xfId="482"/>
    <cellStyle name="Normal 18" xfId="483"/>
    <cellStyle name="Normal 19" xfId="484"/>
    <cellStyle name="Normal 2" xfId="4"/>
    <cellStyle name="Normal 2 2" xfId="97"/>
    <cellStyle name="Normal 2 2 2" xfId="98"/>
    <cellStyle name="Normal 2 2 2 2" xfId="99"/>
    <cellStyle name="Normal 2 2 2 2 2" xfId="2279"/>
    <cellStyle name="Normal 2 2 2 3" xfId="2228"/>
    <cellStyle name="Normal 2 2 3" xfId="100"/>
    <cellStyle name="Normal 2 2 3 2" xfId="101"/>
    <cellStyle name="Normal 2 2 3 2 2" xfId="2280"/>
    <cellStyle name="Normal 2 2 3 3" xfId="2229"/>
    <cellStyle name="Normal 2 2 4" xfId="102"/>
    <cellStyle name="Normal 2 2 4 2" xfId="103"/>
    <cellStyle name="Normal 2 2 4 2 2" xfId="2281"/>
    <cellStyle name="Normal 2 2 4 3" xfId="2230"/>
    <cellStyle name="Normal 2 2 5" xfId="104"/>
    <cellStyle name="Normal 2 2 5 2" xfId="2261"/>
    <cellStyle name="Normal 2 2 6" xfId="215"/>
    <cellStyle name="Normal 2 2 6 2" xfId="2227"/>
    <cellStyle name="Normal 2 2 6 2 2" xfId="6278"/>
    <cellStyle name="Normal 2 3" xfId="105"/>
    <cellStyle name="Normal 2 3 2" xfId="106"/>
    <cellStyle name="Normal 2 3 2 2" xfId="107"/>
    <cellStyle name="Normal 2 3 2 2 2" xfId="2282"/>
    <cellStyle name="Normal 2 3 2 3" xfId="2232"/>
    <cellStyle name="Normal 2 3 2 3 2" xfId="4441"/>
    <cellStyle name="Normal 2 3 2 3 3" xfId="6006"/>
    <cellStyle name="Normal 2 3 2 3 4" xfId="3431"/>
    <cellStyle name="Normal 2 3 2 4" xfId="4919"/>
    <cellStyle name="Normal 2 3 2 5" xfId="5417"/>
    <cellStyle name="Normal 2 3 2 6" xfId="5919"/>
    <cellStyle name="Normal 2 3 3" xfId="108"/>
    <cellStyle name="Normal 2 3 3 2" xfId="109"/>
    <cellStyle name="Normal 2 3 3 2 2" xfId="2283"/>
    <cellStyle name="Normal 2 3 3 3" xfId="2233"/>
    <cellStyle name="Normal 2 3 4" xfId="110"/>
    <cellStyle name="Normal 2 3 4 2" xfId="111"/>
    <cellStyle name="Normal 2 3 4 2 2" xfId="2284"/>
    <cellStyle name="Normal 2 3 4 3" xfId="2234"/>
    <cellStyle name="Normal 2 3 5" xfId="2231"/>
    <cellStyle name="Normal 2 4" xfId="112"/>
    <cellStyle name="Normal 2 4 2" xfId="485"/>
    <cellStyle name="Normal 2 4 3" xfId="3438"/>
    <cellStyle name="Normal 2 5" xfId="113"/>
    <cellStyle name="Normal 2 6" xfId="5988"/>
    <cellStyle name="Normal 2 6 2" xfId="6235"/>
    <cellStyle name="Normal 2 7" xfId="6012"/>
    <cellStyle name="Normal 2 8" xfId="6014"/>
    <cellStyle name="Normal 2_Adjustment WP" xfId="486"/>
    <cellStyle name="Normal 20" xfId="487"/>
    <cellStyle name="Normal 21" xfId="488"/>
    <cellStyle name="Normal 22" xfId="489"/>
    <cellStyle name="Normal 23" xfId="490"/>
    <cellStyle name="Normal 24" xfId="491"/>
    <cellStyle name="Normal 25" xfId="492"/>
    <cellStyle name="Normal 26" xfId="493"/>
    <cellStyle name="Normal 27" xfId="494"/>
    <cellStyle name="Normal 28" xfId="495"/>
    <cellStyle name="Normal 29" xfId="496"/>
    <cellStyle name="Normal 3" xfId="5"/>
    <cellStyle name="Normal 3 2" xfId="114"/>
    <cellStyle name="Normal 3 2 2" xfId="498"/>
    <cellStyle name="Normal 3 2 2 2" xfId="3432"/>
    <cellStyle name="Normal 3 2 2 2 2" xfId="4442"/>
    <cellStyle name="Normal 3 2 2 3" xfId="4920"/>
    <cellStyle name="Normal 3 2 2 4" xfId="5418"/>
    <cellStyle name="Normal 3 2 2 5" xfId="5920"/>
    <cellStyle name="Normal 3 2 3" xfId="3435"/>
    <cellStyle name="Normal 3 3" xfId="115"/>
    <cellStyle name="Normal 3 3 2" xfId="499"/>
    <cellStyle name="Normal 3 3 2 2" xfId="2257"/>
    <cellStyle name="Normal 3 3 2 2 2" xfId="6342"/>
    <cellStyle name="Normal 3 3 3" xfId="3439"/>
    <cellStyle name="Normal 3 4" xfId="116"/>
    <cellStyle name="Normal 3 4 2" xfId="500"/>
    <cellStyle name="Normal 3 4 2 2" xfId="2329"/>
    <cellStyle name="Normal 3 4 2 2 2" xfId="6343"/>
    <cellStyle name="Normal 3 4 3" xfId="209"/>
    <cellStyle name="Normal 3 4 3 2" xfId="6003"/>
    <cellStyle name="Normal 3 4 4" xfId="2191"/>
    <cellStyle name="Normal 3 4 4 2" xfId="6245"/>
    <cellStyle name="Normal 3 5" xfId="615"/>
    <cellStyle name="Normal 3 5 2" xfId="2235"/>
    <cellStyle name="Normal 3 5 2 2" xfId="6362"/>
    <cellStyle name="Normal 3 6" xfId="643"/>
    <cellStyle name="Normal 3 6 2" xfId="5989"/>
    <cellStyle name="Normal 3 7" xfId="497"/>
    <cellStyle name="Normal 3 8" xfId="6236"/>
    <cellStyle name="Normal 3_108 Summary" xfId="501"/>
    <cellStyle name="Normal 30" xfId="502"/>
    <cellStyle name="Normal 31" xfId="503"/>
    <cellStyle name="Normal 32" xfId="504"/>
    <cellStyle name="Normal 33" xfId="505"/>
    <cellStyle name="Normal 34" xfId="506"/>
    <cellStyle name="Normal 35" xfId="507"/>
    <cellStyle name="Normal 35 10" xfId="4927"/>
    <cellStyle name="Normal 35 11" xfId="5425"/>
    <cellStyle name="Normal 35 12" xfId="2468"/>
    <cellStyle name="Normal 35 13" xfId="6344"/>
    <cellStyle name="Normal 35 2" xfId="644"/>
    <cellStyle name="Normal 35 2 10" xfId="2489"/>
    <cellStyle name="Normal 35 2 11" xfId="6386"/>
    <cellStyle name="Normal 35 2 2" xfId="719"/>
    <cellStyle name="Normal 35 2 2 10" xfId="6459"/>
    <cellStyle name="Normal 35 2 2 2" xfId="843"/>
    <cellStyle name="Normal 35 2 2 2 2" xfId="1091"/>
    <cellStyle name="Normal 35 2 2 2 2 2" xfId="1597"/>
    <cellStyle name="Normal 35 2 2 2 2 2 2" xfId="4412"/>
    <cellStyle name="Normal 35 2 2 2 2 2 3" xfId="3402"/>
    <cellStyle name="Normal 35 2 2 2 2 2 4" xfId="7337"/>
    <cellStyle name="Normal 35 2 2 2 2 3" xfId="2105"/>
    <cellStyle name="Normal 35 2 2 2 2 3 2" xfId="3918"/>
    <cellStyle name="Normal 35 2 2 2 2 3 3" xfId="7845"/>
    <cellStyle name="Normal 35 2 2 2 2 4" xfId="4890"/>
    <cellStyle name="Normal 35 2 2 2 2 5" xfId="5388"/>
    <cellStyle name="Normal 35 2 2 2 2 6" xfId="5890"/>
    <cellStyle name="Normal 35 2 2 2 2 7" xfId="2908"/>
    <cellStyle name="Normal 35 2 2 2 2 8" xfId="6831"/>
    <cellStyle name="Normal 35 2 2 2 3" xfId="1349"/>
    <cellStyle name="Normal 35 2 2 2 3 2" xfId="4164"/>
    <cellStyle name="Normal 35 2 2 2 3 3" xfId="3154"/>
    <cellStyle name="Normal 35 2 2 2 3 4" xfId="7089"/>
    <cellStyle name="Normal 35 2 2 2 4" xfId="1857"/>
    <cellStyle name="Normal 35 2 2 2 4 2" xfId="3670"/>
    <cellStyle name="Normal 35 2 2 2 4 3" xfId="7597"/>
    <cellStyle name="Normal 35 2 2 2 5" xfId="4651"/>
    <cellStyle name="Normal 35 2 2 2 6" xfId="5140"/>
    <cellStyle name="Normal 35 2 2 2 7" xfId="5642"/>
    <cellStyle name="Normal 35 2 2 2 8" xfId="2667"/>
    <cellStyle name="Normal 35 2 2 2 9" xfId="6583"/>
    <cellStyle name="Normal 35 2 2 3" xfId="967"/>
    <cellStyle name="Normal 35 2 2 3 2" xfId="1473"/>
    <cellStyle name="Normal 35 2 2 3 2 2" xfId="4288"/>
    <cellStyle name="Normal 35 2 2 3 2 3" xfId="3278"/>
    <cellStyle name="Normal 35 2 2 3 2 4" xfId="7213"/>
    <cellStyle name="Normal 35 2 2 3 3" xfId="1981"/>
    <cellStyle name="Normal 35 2 2 3 3 2" xfId="3794"/>
    <cellStyle name="Normal 35 2 2 3 3 3" xfId="7721"/>
    <cellStyle name="Normal 35 2 2 3 4" xfId="4767"/>
    <cellStyle name="Normal 35 2 2 3 5" xfId="5264"/>
    <cellStyle name="Normal 35 2 2 3 6" xfId="5766"/>
    <cellStyle name="Normal 35 2 2 3 7" xfId="2785"/>
    <cellStyle name="Normal 35 2 2 3 8" xfId="6707"/>
    <cellStyle name="Normal 35 2 2 4" xfId="1225"/>
    <cellStyle name="Normal 35 2 2 4 2" xfId="4041"/>
    <cellStyle name="Normal 35 2 2 4 3" xfId="3031"/>
    <cellStyle name="Normal 35 2 2 4 4" xfId="6965"/>
    <cellStyle name="Normal 35 2 2 5" xfId="1733"/>
    <cellStyle name="Normal 35 2 2 5 2" xfId="3546"/>
    <cellStyle name="Normal 35 2 2 5 3" xfId="7473"/>
    <cellStyle name="Normal 35 2 2 6" xfId="4537"/>
    <cellStyle name="Normal 35 2 2 7" xfId="5016"/>
    <cellStyle name="Normal 35 2 2 8" xfId="5518"/>
    <cellStyle name="Normal 35 2 2 9" xfId="2553"/>
    <cellStyle name="Normal 35 2 3" xfId="772"/>
    <cellStyle name="Normal 35 2 3 2" xfId="1020"/>
    <cellStyle name="Normal 35 2 3 2 2" xfId="1526"/>
    <cellStyle name="Normal 35 2 3 2 2 2" xfId="4341"/>
    <cellStyle name="Normal 35 2 3 2 2 3" xfId="3331"/>
    <cellStyle name="Normal 35 2 3 2 2 4" xfId="7266"/>
    <cellStyle name="Normal 35 2 3 2 3" xfId="2034"/>
    <cellStyle name="Normal 35 2 3 2 3 2" xfId="3847"/>
    <cellStyle name="Normal 35 2 3 2 3 3" xfId="7774"/>
    <cellStyle name="Normal 35 2 3 2 4" xfId="4819"/>
    <cellStyle name="Normal 35 2 3 2 5" xfId="5317"/>
    <cellStyle name="Normal 35 2 3 2 6" xfId="5819"/>
    <cellStyle name="Normal 35 2 3 2 7" xfId="2837"/>
    <cellStyle name="Normal 35 2 3 2 8" xfId="6760"/>
    <cellStyle name="Normal 35 2 3 3" xfId="1278"/>
    <cellStyle name="Normal 35 2 3 3 2" xfId="4093"/>
    <cellStyle name="Normal 35 2 3 3 3" xfId="3083"/>
    <cellStyle name="Normal 35 2 3 3 4" xfId="7018"/>
    <cellStyle name="Normal 35 2 3 4" xfId="1786"/>
    <cellStyle name="Normal 35 2 3 4 2" xfId="3599"/>
    <cellStyle name="Normal 35 2 3 4 3" xfId="7526"/>
    <cellStyle name="Normal 35 2 3 5" xfId="4585"/>
    <cellStyle name="Normal 35 2 3 6" xfId="5069"/>
    <cellStyle name="Normal 35 2 3 7" xfId="5571"/>
    <cellStyle name="Normal 35 2 3 8" xfId="2601"/>
    <cellStyle name="Normal 35 2 3 9" xfId="6512"/>
    <cellStyle name="Normal 35 2 4" xfId="896"/>
    <cellStyle name="Normal 35 2 4 2" xfId="1402"/>
    <cellStyle name="Normal 35 2 4 2 2" xfId="4217"/>
    <cellStyle name="Normal 35 2 4 2 3" xfId="3207"/>
    <cellStyle name="Normal 35 2 4 2 4" xfId="7142"/>
    <cellStyle name="Normal 35 2 4 3" xfId="1910"/>
    <cellStyle name="Normal 35 2 4 3 2" xfId="3723"/>
    <cellStyle name="Normal 35 2 4 3 3" xfId="7650"/>
    <cellStyle name="Normal 35 2 4 4" xfId="4701"/>
    <cellStyle name="Normal 35 2 4 5" xfId="5193"/>
    <cellStyle name="Normal 35 2 4 6" xfId="5695"/>
    <cellStyle name="Normal 35 2 4 7" xfId="2719"/>
    <cellStyle name="Normal 35 2 4 8" xfId="6636"/>
    <cellStyle name="Normal 35 2 5" xfId="1154"/>
    <cellStyle name="Normal 35 2 5 2" xfId="3971"/>
    <cellStyle name="Normal 35 2 5 3" xfId="2961"/>
    <cellStyle name="Normal 35 2 5 4" xfId="6894"/>
    <cellStyle name="Normal 35 2 6" xfId="1662"/>
    <cellStyle name="Normal 35 2 6 2" xfId="3475"/>
    <cellStyle name="Normal 35 2 6 3" xfId="7402"/>
    <cellStyle name="Normal 35 2 7" xfId="4471"/>
    <cellStyle name="Normal 35 2 8" xfId="4947"/>
    <cellStyle name="Normal 35 2 9" xfId="5447"/>
    <cellStyle name="Normal 35 3" xfId="668"/>
    <cellStyle name="Normal 35 3 10" xfId="2507"/>
    <cellStyle name="Normal 35 3 11" xfId="6408"/>
    <cellStyle name="Normal 35 3 2" xfId="720"/>
    <cellStyle name="Normal 35 3 2 10" xfId="6460"/>
    <cellStyle name="Normal 35 3 2 2" xfId="844"/>
    <cellStyle name="Normal 35 3 2 2 2" xfId="1092"/>
    <cellStyle name="Normal 35 3 2 2 2 2" xfId="1598"/>
    <cellStyle name="Normal 35 3 2 2 2 2 2" xfId="4413"/>
    <cellStyle name="Normal 35 3 2 2 2 2 3" xfId="3403"/>
    <cellStyle name="Normal 35 3 2 2 2 2 4" xfId="7338"/>
    <cellStyle name="Normal 35 3 2 2 2 3" xfId="2106"/>
    <cellStyle name="Normal 35 3 2 2 2 3 2" xfId="3919"/>
    <cellStyle name="Normal 35 3 2 2 2 3 3" xfId="7846"/>
    <cellStyle name="Normal 35 3 2 2 2 4" xfId="4891"/>
    <cellStyle name="Normal 35 3 2 2 2 5" xfId="5389"/>
    <cellStyle name="Normal 35 3 2 2 2 6" xfId="5891"/>
    <cellStyle name="Normal 35 3 2 2 2 7" xfId="2909"/>
    <cellStyle name="Normal 35 3 2 2 2 8" xfId="6832"/>
    <cellStyle name="Normal 35 3 2 2 3" xfId="1350"/>
    <cellStyle name="Normal 35 3 2 2 3 2" xfId="4165"/>
    <cellStyle name="Normal 35 3 2 2 3 3" xfId="3155"/>
    <cellStyle name="Normal 35 3 2 2 3 4" xfId="7090"/>
    <cellStyle name="Normal 35 3 2 2 4" xfId="1858"/>
    <cellStyle name="Normal 35 3 2 2 4 2" xfId="3671"/>
    <cellStyle name="Normal 35 3 2 2 4 3" xfId="7598"/>
    <cellStyle name="Normal 35 3 2 2 5" xfId="4652"/>
    <cellStyle name="Normal 35 3 2 2 6" xfId="5141"/>
    <cellStyle name="Normal 35 3 2 2 7" xfId="5643"/>
    <cellStyle name="Normal 35 3 2 2 8" xfId="2668"/>
    <cellStyle name="Normal 35 3 2 2 9" xfId="6584"/>
    <cellStyle name="Normal 35 3 2 3" xfId="968"/>
    <cellStyle name="Normal 35 3 2 3 2" xfId="1474"/>
    <cellStyle name="Normal 35 3 2 3 2 2" xfId="4289"/>
    <cellStyle name="Normal 35 3 2 3 2 3" xfId="3279"/>
    <cellStyle name="Normal 35 3 2 3 2 4" xfId="7214"/>
    <cellStyle name="Normal 35 3 2 3 3" xfId="1982"/>
    <cellStyle name="Normal 35 3 2 3 3 2" xfId="3795"/>
    <cellStyle name="Normal 35 3 2 3 3 3" xfId="7722"/>
    <cellStyle name="Normal 35 3 2 3 4" xfId="4768"/>
    <cellStyle name="Normal 35 3 2 3 5" xfId="5265"/>
    <cellStyle name="Normal 35 3 2 3 6" xfId="5767"/>
    <cellStyle name="Normal 35 3 2 3 7" xfId="2786"/>
    <cellStyle name="Normal 35 3 2 3 8" xfId="6708"/>
    <cellStyle name="Normal 35 3 2 4" xfId="1226"/>
    <cellStyle name="Normal 35 3 2 4 2" xfId="4042"/>
    <cellStyle name="Normal 35 3 2 4 3" xfId="3032"/>
    <cellStyle name="Normal 35 3 2 4 4" xfId="6966"/>
    <cellStyle name="Normal 35 3 2 5" xfId="1734"/>
    <cellStyle name="Normal 35 3 2 5 2" xfId="3547"/>
    <cellStyle name="Normal 35 3 2 5 3" xfId="7474"/>
    <cellStyle name="Normal 35 3 2 6" xfId="4538"/>
    <cellStyle name="Normal 35 3 2 7" xfId="5017"/>
    <cellStyle name="Normal 35 3 2 8" xfId="5519"/>
    <cellStyle name="Normal 35 3 2 9" xfId="2554"/>
    <cellStyle name="Normal 35 3 3" xfId="792"/>
    <cellStyle name="Normal 35 3 3 2" xfId="1040"/>
    <cellStyle name="Normal 35 3 3 2 2" xfId="1546"/>
    <cellStyle name="Normal 35 3 3 2 2 2" xfId="4361"/>
    <cellStyle name="Normal 35 3 3 2 2 3" xfId="3351"/>
    <cellStyle name="Normal 35 3 3 2 2 4" xfId="7286"/>
    <cellStyle name="Normal 35 3 3 2 3" xfId="2054"/>
    <cellStyle name="Normal 35 3 3 2 3 2" xfId="3867"/>
    <cellStyle name="Normal 35 3 3 2 3 3" xfId="7794"/>
    <cellStyle name="Normal 35 3 3 2 4" xfId="4839"/>
    <cellStyle name="Normal 35 3 3 2 5" xfId="5337"/>
    <cellStyle name="Normal 35 3 3 2 6" xfId="5839"/>
    <cellStyle name="Normal 35 3 3 2 7" xfId="2857"/>
    <cellStyle name="Normal 35 3 3 2 8" xfId="6780"/>
    <cellStyle name="Normal 35 3 3 3" xfId="1298"/>
    <cellStyle name="Normal 35 3 3 3 2" xfId="4113"/>
    <cellStyle name="Normal 35 3 3 3 3" xfId="3103"/>
    <cellStyle name="Normal 35 3 3 3 4" xfId="7038"/>
    <cellStyle name="Normal 35 3 3 4" xfId="1806"/>
    <cellStyle name="Normal 35 3 3 4 2" xfId="3619"/>
    <cellStyle name="Normal 35 3 3 4 3" xfId="7546"/>
    <cellStyle name="Normal 35 3 3 5" xfId="4603"/>
    <cellStyle name="Normal 35 3 3 6" xfId="5089"/>
    <cellStyle name="Normal 35 3 3 7" xfId="5591"/>
    <cellStyle name="Normal 35 3 3 8" xfId="2619"/>
    <cellStyle name="Normal 35 3 3 9" xfId="6532"/>
    <cellStyle name="Normal 35 3 4" xfId="916"/>
    <cellStyle name="Normal 35 3 4 2" xfId="1422"/>
    <cellStyle name="Normal 35 3 4 2 2" xfId="4237"/>
    <cellStyle name="Normal 35 3 4 2 3" xfId="3227"/>
    <cellStyle name="Normal 35 3 4 2 4" xfId="7162"/>
    <cellStyle name="Normal 35 3 4 3" xfId="1930"/>
    <cellStyle name="Normal 35 3 4 3 2" xfId="3743"/>
    <cellStyle name="Normal 35 3 4 3 3" xfId="7670"/>
    <cellStyle name="Normal 35 3 4 4" xfId="4719"/>
    <cellStyle name="Normal 35 3 4 5" xfId="5213"/>
    <cellStyle name="Normal 35 3 4 6" xfId="5715"/>
    <cellStyle name="Normal 35 3 4 7" xfId="2737"/>
    <cellStyle name="Normal 35 3 4 8" xfId="6656"/>
    <cellStyle name="Normal 35 3 5" xfId="1174"/>
    <cellStyle name="Normal 35 3 5 2" xfId="3991"/>
    <cellStyle name="Normal 35 3 5 3" xfId="2981"/>
    <cellStyle name="Normal 35 3 5 4" xfId="6914"/>
    <cellStyle name="Normal 35 3 6" xfId="1682"/>
    <cellStyle name="Normal 35 3 6 2" xfId="3495"/>
    <cellStyle name="Normal 35 3 6 3" xfId="7422"/>
    <cellStyle name="Normal 35 3 7" xfId="4491"/>
    <cellStyle name="Normal 35 3 8" xfId="4965"/>
    <cellStyle name="Normal 35 3 9" xfId="5467"/>
    <cellStyle name="Normal 35 4" xfId="718"/>
    <cellStyle name="Normal 35 4 10" xfId="6458"/>
    <cellStyle name="Normal 35 4 2" xfId="842"/>
    <cellStyle name="Normal 35 4 2 2" xfId="1090"/>
    <cellStyle name="Normal 35 4 2 2 2" xfId="1596"/>
    <cellStyle name="Normal 35 4 2 2 2 2" xfId="4411"/>
    <cellStyle name="Normal 35 4 2 2 2 3" xfId="3401"/>
    <cellStyle name="Normal 35 4 2 2 2 4" xfId="7336"/>
    <cellStyle name="Normal 35 4 2 2 3" xfId="2104"/>
    <cellStyle name="Normal 35 4 2 2 3 2" xfId="3917"/>
    <cellStyle name="Normal 35 4 2 2 3 3" xfId="7844"/>
    <cellStyle name="Normal 35 4 2 2 4" xfId="4889"/>
    <cellStyle name="Normal 35 4 2 2 5" xfId="5387"/>
    <cellStyle name="Normal 35 4 2 2 6" xfId="5889"/>
    <cellStyle name="Normal 35 4 2 2 7" xfId="2907"/>
    <cellStyle name="Normal 35 4 2 2 8" xfId="6830"/>
    <cellStyle name="Normal 35 4 2 3" xfId="1348"/>
    <cellStyle name="Normal 35 4 2 3 2" xfId="4163"/>
    <cellStyle name="Normal 35 4 2 3 3" xfId="3153"/>
    <cellStyle name="Normal 35 4 2 3 4" xfId="7088"/>
    <cellStyle name="Normal 35 4 2 4" xfId="1856"/>
    <cellStyle name="Normal 35 4 2 4 2" xfId="3669"/>
    <cellStyle name="Normal 35 4 2 4 3" xfId="7596"/>
    <cellStyle name="Normal 35 4 2 5" xfId="4650"/>
    <cellStyle name="Normal 35 4 2 6" xfId="5139"/>
    <cellStyle name="Normal 35 4 2 7" xfId="5641"/>
    <cellStyle name="Normal 35 4 2 8" xfId="2666"/>
    <cellStyle name="Normal 35 4 2 9" xfId="6582"/>
    <cellStyle name="Normal 35 4 3" xfId="966"/>
    <cellStyle name="Normal 35 4 3 2" xfId="1472"/>
    <cellStyle name="Normal 35 4 3 2 2" xfId="4287"/>
    <cellStyle name="Normal 35 4 3 2 3" xfId="3277"/>
    <cellStyle name="Normal 35 4 3 2 4" xfId="7212"/>
    <cellStyle name="Normal 35 4 3 3" xfId="1980"/>
    <cellStyle name="Normal 35 4 3 3 2" xfId="3793"/>
    <cellStyle name="Normal 35 4 3 3 3" xfId="7720"/>
    <cellStyle name="Normal 35 4 3 4" xfId="4766"/>
    <cellStyle name="Normal 35 4 3 5" xfId="5263"/>
    <cellStyle name="Normal 35 4 3 6" xfId="5765"/>
    <cellStyle name="Normal 35 4 3 7" xfId="2784"/>
    <cellStyle name="Normal 35 4 3 8" xfId="6706"/>
    <cellStyle name="Normal 35 4 4" xfId="1224"/>
    <cellStyle name="Normal 35 4 4 2" xfId="4040"/>
    <cellStyle name="Normal 35 4 4 3" xfId="3030"/>
    <cellStyle name="Normal 35 4 4 4" xfId="6964"/>
    <cellStyle name="Normal 35 4 5" xfId="1732"/>
    <cellStyle name="Normal 35 4 5 2" xfId="3545"/>
    <cellStyle name="Normal 35 4 5 3" xfId="7472"/>
    <cellStyle name="Normal 35 4 6" xfId="4536"/>
    <cellStyle name="Normal 35 4 7" xfId="5015"/>
    <cellStyle name="Normal 35 4 8" xfId="5517"/>
    <cellStyle name="Normal 35 4 9" xfId="2552"/>
    <cellStyle name="Normal 35 5" xfId="750"/>
    <cellStyle name="Normal 35 5 2" xfId="998"/>
    <cellStyle name="Normal 35 5 2 2" xfId="1504"/>
    <cellStyle name="Normal 35 5 2 2 2" xfId="4319"/>
    <cellStyle name="Normal 35 5 2 2 3" xfId="3309"/>
    <cellStyle name="Normal 35 5 2 2 4" xfId="7244"/>
    <cellStyle name="Normal 35 5 2 3" xfId="2012"/>
    <cellStyle name="Normal 35 5 2 3 2" xfId="3825"/>
    <cellStyle name="Normal 35 5 2 3 3" xfId="7752"/>
    <cellStyle name="Normal 35 5 2 4" xfId="4797"/>
    <cellStyle name="Normal 35 5 2 5" xfId="5295"/>
    <cellStyle name="Normal 35 5 2 6" xfId="5797"/>
    <cellStyle name="Normal 35 5 2 7" xfId="2815"/>
    <cellStyle name="Normal 35 5 2 8" xfId="6738"/>
    <cellStyle name="Normal 35 5 3" xfId="1256"/>
    <cellStyle name="Normal 35 5 3 2" xfId="4071"/>
    <cellStyle name="Normal 35 5 3 3" xfId="3061"/>
    <cellStyle name="Normal 35 5 3 4" xfId="6996"/>
    <cellStyle name="Normal 35 5 4" xfId="1764"/>
    <cellStyle name="Normal 35 5 4 2" xfId="3577"/>
    <cellStyle name="Normal 35 5 4 3" xfId="7504"/>
    <cellStyle name="Normal 35 5 5" xfId="4565"/>
    <cellStyle name="Normal 35 5 6" xfId="5047"/>
    <cellStyle name="Normal 35 5 7" xfId="5549"/>
    <cellStyle name="Normal 35 5 8" xfId="2581"/>
    <cellStyle name="Normal 35 5 9" xfId="6490"/>
    <cellStyle name="Normal 35 6" xfId="874"/>
    <cellStyle name="Normal 35 6 2" xfId="1380"/>
    <cellStyle name="Normal 35 6 2 2" xfId="4195"/>
    <cellStyle name="Normal 35 6 2 3" xfId="3185"/>
    <cellStyle name="Normal 35 6 2 4" xfId="7120"/>
    <cellStyle name="Normal 35 6 3" xfId="1888"/>
    <cellStyle name="Normal 35 6 3 2" xfId="3701"/>
    <cellStyle name="Normal 35 6 3 3" xfId="7628"/>
    <cellStyle name="Normal 35 6 4" xfId="4681"/>
    <cellStyle name="Normal 35 6 5" xfId="5171"/>
    <cellStyle name="Normal 35 6 6" xfId="5673"/>
    <cellStyle name="Normal 35 6 7" xfId="2697"/>
    <cellStyle name="Normal 35 6 8" xfId="6614"/>
    <cellStyle name="Normal 35 7" xfId="1132"/>
    <cellStyle name="Normal 35 7 2" xfId="3949"/>
    <cellStyle name="Normal 35 7 3" xfId="2939"/>
    <cellStyle name="Normal 35 7 4" xfId="6872"/>
    <cellStyle name="Normal 35 8" xfId="1639"/>
    <cellStyle name="Normal 35 8 2" xfId="3453"/>
    <cellStyle name="Normal 35 8 3" xfId="7379"/>
    <cellStyle name="Normal 35 9" xfId="4449"/>
    <cellStyle name="Normal 36" xfId="198"/>
    <cellStyle name="Normal 36 2" xfId="4443"/>
    <cellStyle name="Normal 36 3" xfId="4921"/>
    <cellStyle name="Normal 36 4" xfId="5419"/>
    <cellStyle name="Normal 36 5" xfId="5921"/>
    <cellStyle name="Normal 36 6" xfId="3433"/>
    <cellStyle name="Normal 36 7" xfId="6267"/>
    <cellStyle name="Normal 37" xfId="1624"/>
    <cellStyle name="Normal 37 2" xfId="4444"/>
    <cellStyle name="Normal 37 3" xfId="4922"/>
    <cellStyle name="Normal 37 4" xfId="5420"/>
    <cellStyle name="Normal 37 5" xfId="5922"/>
    <cellStyle name="Normal 37 6" xfId="3434"/>
    <cellStyle name="Normal 37 7" xfId="7364"/>
    <cellStyle name="Normal 38" xfId="1641"/>
    <cellStyle name="Normal 38 2" xfId="5923"/>
    <cellStyle name="Normal 38 3" xfId="7381"/>
    <cellStyle name="Normal 39" xfId="2132"/>
    <cellStyle name="Normal 39 2" xfId="7872"/>
    <cellStyle name="Normal 4" xfId="117"/>
    <cellStyle name="Normal 4 10" xfId="6037"/>
    <cellStyle name="Normal 4 11" xfId="7892"/>
    <cellStyle name="Normal 4 2" xfId="118"/>
    <cellStyle name="Normal 4 2 2" xfId="618"/>
    <cellStyle name="Normal 4 3" xfId="119"/>
    <cellStyle name="Normal 4 3 2" xfId="645"/>
    <cellStyle name="Normal 4 3 2 2" xfId="2352"/>
    <cellStyle name="Normal 4 3 2 2 2" xfId="6120"/>
    <cellStyle name="Normal 4 3 2 2 3" xfId="7975"/>
    <cellStyle name="Normal 4 3 2 3" xfId="2403"/>
    <cellStyle name="Normal 4 3 2 3 2" xfId="6171"/>
    <cellStyle name="Normal 4 3 2 3 3" xfId="8026"/>
    <cellStyle name="Normal 4 3 2 4" xfId="2459"/>
    <cellStyle name="Normal 4 3 2 4 2" xfId="6227"/>
    <cellStyle name="Normal 4 3 2 4 3" xfId="8082"/>
    <cellStyle name="Normal 4 3 2 5" xfId="2300"/>
    <cellStyle name="Normal 4 3 2 5 2" xfId="6387"/>
    <cellStyle name="Normal 4 3 2 6" xfId="6069"/>
    <cellStyle name="Normal 4 3 2 7" xfId="7924"/>
    <cellStyle name="Normal 4 3 3" xfId="203"/>
    <cellStyle name="Normal 4 3 3 2" xfId="2311"/>
    <cellStyle name="Normal 4 3 3 2 2" xfId="6272"/>
    <cellStyle name="Normal 4 3 3 3" xfId="6080"/>
    <cellStyle name="Normal 4 3 3 4" xfId="7935"/>
    <cellStyle name="Normal 4 3 4" xfId="1122"/>
    <cellStyle name="Normal 4 3 4 2" xfId="2363"/>
    <cellStyle name="Normal 4 3 4 2 2" xfId="6862"/>
    <cellStyle name="Normal 4 3 4 3" xfId="6131"/>
    <cellStyle name="Normal 4 3 4 4" xfId="7986"/>
    <cellStyle name="Normal 4 3 5" xfId="1629"/>
    <cellStyle name="Normal 4 3 5 2" xfId="2431"/>
    <cellStyle name="Normal 4 3 5 2 2" xfId="7369"/>
    <cellStyle name="Normal 4 3 5 3" xfId="6199"/>
    <cellStyle name="Normal 4 3 5 4" xfId="8054"/>
    <cellStyle name="Normal 4 3 6" xfId="2182"/>
    <cellStyle name="Normal 4 3 6 2" xfId="6247"/>
    <cellStyle name="Normal 4 3 7" xfId="6041"/>
    <cellStyle name="Normal 4 3 8" xfId="7896"/>
    <cellStyle name="Normal 4 4" xfId="120"/>
    <cellStyle name="Normal 4 4 2" xfId="216"/>
    <cellStyle name="Normal 4 4 2 2" xfId="2348"/>
    <cellStyle name="Normal 4 4 2 2 2" xfId="6279"/>
    <cellStyle name="Normal 4 4 2 3" xfId="6116"/>
    <cellStyle name="Normal 4 4 2 4" xfId="7971"/>
    <cellStyle name="Normal 4 4 3" xfId="2399"/>
    <cellStyle name="Normal 4 4 3 2" xfId="6167"/>
    <cellStyle name="Normal 4 4 3 3" xfId="8022"/>
    <cellStyle name="Normal 4 4 4" xfId="2455"/>
    <cellStyle name="Normal 4 4 4 2" xfId="6223"/>
    <cellStyle name="Normal 4 4 4 3" xfId="8078"/>
    <cellStyle name="Normal 4 4 5" xfId="2255"/>
    <cellStyle name="Normal 4 4 5 2" xfId="6248"/>
    <cellStyle name="Normal 4 4 6" xfId="6065"/>
    <cellStyle name="Normal 4 4 7" xfId="7920"/>
    <cellStyle name="Normal 4 5" xfId="508"/>
    <cellStyle name="Normal 4 5 2" xfId="2307"/>
    <cellStyle name="Normal 4 5 2 2" xfId="6345"/>
    <cellStyle name="Normal 4 5 3" xfId="6076"/>
    <cellStyle name="Normal 4 5 4" xfId="7931"/>
    <cellStyle name="Normal 4 6" xfId="199"/>
    <cellStyle name="Normal 4 6 2" xfId="2359"/>
    <cellStyle name="Normal 4 6 2 2" xfId="6268"/>
    <cellStyle name="Normal 4 6 3" xfId="6127"/>
    <cellStyle name="Normal 4 6 4" xfId="7982"/>
    <cellStyle name="Normal 4 7" xfId="1118"/>
    <cellStyle name="Normal 4 7 2" xfId="2427"/>
    <cellStyle name="Normal 4 7 2 2" xfId="6858"/>
    <cellStyle name="Normal 4 7 3" xfId="6195"/>
    <cellStyle name="Normal 4 7 4" xfId="8050"/>
    <cellStyle name="Normal 4 8" xfId="1625"/>
    <cellStyle name="Normal 4 8 2" xfId="7365"/>
    <cellStyle name="Normal 4 9" xfId="2177"/>
    <cellStyle name="Normal 4 9 2" xfId="6246"/>
    <cellStyle name="Normal 40" xfId="2133"/>
    <cellStyle name="Normal 40 2" xfId="7873"/>
    <cellStyle name="Normal 41" xfId="2134"/>
    <cellStyle name="Normal 41 2" xfId="7874"/>
    <cellStyle name="Normal 42" xfId="2175"/>
    <cellStyle name="Normal 42 2" xfId="6234"/>
    <cellStyle name="Normal 43" xfId="2176"/>
    <cellStyle name="Normal 44" xfId="2187"/>
    <cellStyle name="Normal 45" xfId="6022"/>
    <cellStyle name="Normal 46" xfId="7875"/>
    <cellStyle name="Normal 5" xfId="121"/>
    <cellStyle name="Normal 5 2" xfId="122"/>
    <cellStyle name="Normal 5 2 2" xfId="619"/>
    <cellStyle name="Normal 5 3" xfId="123"/>
    <cellStyle name="Normal 5 3 2" xfId="646"/>
    <cellStyle name="Normal 5 3 3" xfId="217"/>
    <cellStyle name="Normal 5 4" xfId="509"/>
    <cellStyle name="Normal 5 5" xfId="6249"/>
    <cellStyle name="Normal 6" xfId="124"/>
    <cellStyle name="Normal 6 10" xfId="635"/>
    <cellStyle name="Normal 6 10 10" xfId="2484"/>
    <cellStyle name="Normal 6 10 11" xfId="6380"/>
    <cellStyle name="Normal 6 10 2" xfId="721"/>
    <cellStyle name="Normal 6 10 2 10" xfId="6461"/>
    <cellStyle name="Normal 6 10 2 2" xfId="845"/>
    <cellStyle name="Normal 6 10 2 2 2" xfId="1093"/>
    <cellStyle name="Normal 6 10 2 2 2 2" xfId="1599"/>
    <cellStyle name="Normal 6 10 2 2 2 2 2" xfId="4414"/>
    <cellStyle name="Normal 6 10 2 2 2 2 3" xfId="3404"/>
    <cellStyle name="Normal 6 10 2 2 2 2 4" xfId="7339"/>
    <cellStyle name="Normal 6 10 2 2 2 3" xfId="2107"/>
    <cellStyle name="Normal 6 10 2 2 2 3 2" xfId="3920"/>
    <cellStyle name="Normal 6 10 2 2 2 3 3" xfId="7847"/>
    <cellStyle name="Normal 6 10 2 2 2 4" xfId="4892"/>
    <cellStyle name="Normal 6 10 2 2 2 5" xfId="5390"/>
    <cellStyle name="Normal 6 10 2 2 2 6" xfId="5892"/>
    <cellStyle name="Normal 6 10 2 2 2 7" xfId="2910"/>
    <cellStyle name="Normal 6 10 2 2 2 8" xfId="6833"/>
    <cellStyle name="Normal 6 10 2 2 3" xfId="1351"/>
    <cellStyle name="Normal 6 10 2 2 3 2" xfId="4166"/>
    <cellStyle name="Normal 6 10 2 2 3 3" xfId="3156"/>
    <cellStyle name="Normal 6 10 2 2 3 4" xfId="7091"/>
    <cellStyle name="Normal 6 10 2 2 4" xfId="1859"/>
    <cellStyle name="Normal 6 10 2 2 4 2" xfId="3672"/>
    <cellStyle name="Normal 6 10 2 2 4 3" xfId="7599"/>
    <cellStyle name="Normal 6 10 2 2 5" xfId="4653"/>
    <cellStyle name="Normal 6 10 2 2 6" xfId="5142"/>
    <cellStyle name="Normal 6 10 2 2 7" xfId="5644"/>
    <cellStyle name="Normal 6 10 2 2 8" xfId="2669"/>
    <cellStyle name="Normal 6 10 2 2 9" xfId="6585"/>
    <cellStyle name="Normal 6 10 2 3" xfId="969"/>
    <cellStyle name="Normal 6 10 2 3 2" xfId="1475"/>
    <cellStyle name="Normal 6 10 2 3 2 2" xfId="4290"/>
    <cellStyle name="Normal 6 10 2 3 2 3" xfId="3280"/>
    <cellStyle name="Normal 6 10 2 3 2 4" xfId="7215"/>
    <cellStyle name="Normal 6 10 2 3 3" xfId="1983"/>
    <cellStyle name="Normal 6 10 2 3 3 2" xfId="3796"/>
    <cellStyle name="Normal 6 10 2 3 3 3" xfId="7723"/>
    <cellStyle name="Normal 6 10 2 3 4" xfId="4769"/>
    <cellStyle name="Normal 6 10 2 3 5" xfId="5266"/>
    <cellStyle name="Normal 6 10 2 3 6" xfId="5768"/>
    <cellStyle name="Normal 6 10 2 3 7" xfId="2787"/>
    <cellStyle name="Normal 6 10 2 3 8" xfId="6709"/>
    <cellStyle name="Normal 6 10 2 4" xfId="1227"/>
    <cellStyle name="Normal 6 10 2 4 2" xfId="4043"/>
    <cellStyle name="Normal 6 10 2 4 3" xfId="3033"/>
    <cellStyle name="Normal 6 10 2 4 4" xfId="6967"/>
    <cellStyle name="Normal 6 10 2 5" xfId="1735"/>
    <cellStyle name="Normal 6 10 2 5 2" xfId="3548"/>
    <cellStyle name="Normal 6 10 2 5 3" xfId="7475"/>
    <cellStyle name="Normal 6 10 2 6" xfId="4539"/>
    <cellStyle name="Normal 6 10 2 7" xfId="5018"/>
    <cellStyle name="Normal 6 10 2 8" xfId="5520"/>
    <cellStyle name="Normal 6 10 2 9" xfId="2555"/>
    <cellStyle name="Normal 6 10 3" xfId="767"/>
    <cellStyle name="Normal 6 10 3 2" xfId="1015"/>
    <cellStyle name="Normal 6 10 3 2 2" xfId="1521"/>
    <cellStyle name="Normal 6 10 3 2 2 2" xfId="4336"/>
    <cellStyle name="Normal 6 10 3 2 2 3" xfId="3326"/>
    <cellStyle name="Normal 6 10 3 2 2 4" xfId="7261"/>
    <cellStyle name="Normal 6 10 3 2 3" xfId="2029"/>
    <cellStyle name="Normal 6 10 3 2 3 2" xfId="3842"/>
    <cellStyle name="Normal 6 10 3 2 3 3" xfId="7769"/>
    <cellStyle name="Normal 6 10 3 2 4" xfId="4814"/>
    <cellStyle name="Normal 6 10 3 2 5" xfId="5312"/>
    <cellStyle name="Normal 6 10 3 2 6" xfId="5814"/>
    <cellStyle name="Normal 6 10 3 2 7" xfId="2832"/>
    <cellStyle name="Normal 6 10 3 2 8" xfId="6755"/>
    <cellStyle name="Normal 6 10 3 3" xfId="1273"/>
    <cellStyle name="Normal 6 10 3 3 2" xfId="4088"/>
    <cellStyle name="Normal 6 10 3 3 3" xfId="3078"/>
    <cellStyle name="Normal 6 10 3 3 4" xfId="7013"/>
    <cellStyle name="Normal 6 10 3 4" xfId="1781"/>
    <cellStyle name="Normal 6 10 3 4 2" xfId="3594"/>
    <cellStyle name="Normal 6 10 3 4 3" xfId="7521"/>
    <cellStyle name="Normal 6 10 3 5" xfId="4580"/>
    <cellStyle name="Normal 6 10 3 6" xfId="5064"/>
    <cellStyle name="Normal 6 10 3 7" xfId="5566"/>
    <cellStyle name="Normal 6 10 3 8" xfId="2596"/>
    <cellStyle name="Normal 6 10 3 9" xfId="6507"/>
    <cellStyle name="Normal 6 10 4" xfId="891"/>
    <cellStyle name="Normal 6 10 4 2" xfId="1397"/>
    <cellStyle name="Normal 6 10 4 2 2" xfId="4212"/>
    <cellStyle name="Normal 6 10 4 2 3" xfId="3202"/>
    <cellStyle name="Normal 6 10 4 2 4" xfId="7137"/>
    <cellStyle name="Normal 6 10 4 3" xfId="1905"/>
    <cellStyle name="Normal 6 10 4 3 2" xfId="3718"/>
    <cellStyle name="Normal 6 10 4 3 3" xfId="7645"/>
    <cellStyle name="Normal 6 10 4 4" xfId="4696"/>
    <cellStyle name="Normal 6 10 4 5" xfId="5188"/>
    <cellStyle name="Normal 6 10 4 6" xfId="5690"/>
    <cellStyle name="Normal 6 10 4 7" xfId="2714"/>
    <cellStyle name="Normal 6 10 4 8" xfId="6631"/>
    <cellStyle name="Normal 6 10 5" xfId="1149"/>
    <cellStyle name="Normal 6 10 5 2" xfId="3966"/>
    <cellStyle name="Normal 6 10 5 3" xfId="2956"/>
    <cellStyle name="Normal 6 10 5 4" xfId="6889"/>
    <cellStyle name="Normal 6 10 6" xfId="1657"/>
    <cellStyle name="Normal 6 10 6 2" xfId="3470"/>
    <cellStyle name="Normal 6 10 6 3" xfId="7397"/>
    <cellStyle name="Normal 6 10 7" xfId="4466"/>
    <cellStyle name="Normal 6 10 8" xfId="4942"/>
    <cellStyle name="Normal 6 10 9" xfId="5442"/>
    <cellStyle name="Normal 6 11" xfId="510"/>
    <cellStyle name="Normal 6 11 2" xfId="3430"/>
    <cellStyle name="Normal 6 11 2 2" xfId="4440"/>
    <cellStyle name="Normal 6 11 3" xfId="4918"/>
    <cellStyle name="Normal 6 11 4" xfId="5416"/>
    <cellStyle name="Normal 6 11 5" xfId="5918"/>
    <cellStyle name="Normal 6 12" xfId="6250"/>
    <cellStyle name="Normal 6 2" xfId="125"/>
    <cellStyle name="Normal 6 2 10" xfId="1628"/>
    <cellStyle name="Normal 6 2 10 2" xfId="4452"/>
    <cellStyle name="Normal 6 2 10 3" xfId="7368"/>
    <cellStyle name="Normal 6 2 11" xfId="2181"/>
    <cellStyle name="Normal 6 2 11 2" xfId="6251"/>
    <cellStyle name="Normal 6 2 12" xfId="5428"/>
    <cellStyle name="Normal 6 2 13" xfId="5996"/>
    <cellStyle name="Normal 6 2 14" xfId="6040"/>
    <cellStyle name="Normal 6 2 15" xfId="7895"/>
    <cellStyle name="Normal 6 2 2" xfId="126"/>
    <cellStyle name="Normal 6 2 2 10" xfId="5450"/>
    <cellStyle name="Normal 6 2 2 11" xfId="5999"/>
    <cellStyle name="Normal 6 2 2 12" xfId="6044"/>
    <cellStyle name="Normal 6 2 2 13" xfId="7899"/>
    <cellStyle name="Normal 6 2 2 2" xfId="723"/>
    <cellStyle name="Normal 6 2 2 2 10" xfId="6072"/>
    <cellStyle name="Normal 6 2 2 2 11" xfId="7927"/>
    <cellStyle name="Normal 6 2 2 2 2" xfId="847"/>
    <cellStyle name="Normal 6 2 2 2 2 2" xfId="1095"/>
    <cellStyle name="Normal 6 2 2 2 2 2 2" xfId="1601"/>
    <cellStyle name="Normal 6 2 2 2 2 2 2 2" xfId="4416"/>
    <cellStyle name="Normal 6 2 2 2 2 2 2 3" xfId="3406"/>
    <cellStyle name="Normal 6 2 2 2 2 2 2 4" xfId="7341"/>
    <cellStyle name="Normal 6 2 2 2 2 2 3" xfId="2109"/>
    <cellStyle name="Normal 6 2 2 2 2 2 3 2" xfId="3922"/>
    <cellStyle name="Normal 6 2 2 2 2 2 3 3" xfId="7849"/>
    <cellStyle name="Normal 6 2 2 2 2 2 4" xfId="4894"/>
    <cellStyle name="Normal 6 2 2 2 2 2 5" xfId="5392"/>
    <cellStyle name="Normal 6 2 2 2 2 2 6" xfId="5894"/>
    <cellStyle name="Normal 6 2 2 2 2 2 7" xfId="2912"/>
    <cellStyle name="Normal 6 2 2 2 2 2 8" xfId="6835"/>
    <cellStyle name="Normal 6 2 2 2 2 3" xfId="1353"/>
    <cellStyle name="Normal 6 2 2 2 2 3 2" xfId="4168"/>
    <cellStyle name="Normal 6 2 2 2 2 3 3" xfId="3158"/>
    <cellStyle name="Normal 6 2 2 2 2 3 4" xfId="7093"/>
    <cellStyle name="Normal 6 2 2 2 2 4" xfId="1861"/>
    <cellStyle name="Normal 6 2 2 2 2 4 2" xfId="3674"/>
    <cellStyle name="Normal 6 2 2 2 2 4 3" xfId="7601"/>
    <cellStyle name="Normal 6 2 2 2 2 5" xfId="2355"/>
    <cellStyle name="Normal 6 2 2 2 2 5 2" xfId="6587"/>
    <cellStyle name="Normal 6 2 2 2 2 6" xfId="5144"/>
    <cellStyle name="Normal 6 2 2 2 2 7" xfId="5646"/>
    <cellStyle name="Normal 6 2 2 2 2 8" xfId="6123"/>
    <cellStyle name="Normal 6 2 2 2 2 9" xfId="7978"/>
    <cellStyle name="Normal 6 2 2 2 3" xfId="971"/>
    <cellStyle name="Normal 6 2 2 2 3 2" xfId="1477"/>
    <cellStyle name="Normal 6 2 2 2 3 2 2" xfId="4292"/>
    <cellStyle name="Normal 6 2 2 2 3 2 3" xfId="3282"/>
    <cellStyle name="Normal 6 2 2 2 3 2 4" xfId="7217"/>
    <cellStyle name="Normal 6 2 2 2 3 3" xfId="1985"/>
    <cellStyle name="Normal 6 2 2 2 3 3 2" xfId="3798"/>
    <cellStyle name="Normal 6 2 2 2 3 3 3" xfId="7725"/>
    <cellStyle name="Normal 6 2 2 2 3 4" xfId="2406"/>
    <cellStyle name="Normal 6 2 2 2 3 4 2" xfId="6711"/>
    <cellStyle name="Normal 6 2 2 2 3 5" xfId="5268"/>
    <cellStyle name="Normal 6 2 2 2 3 6" xfId="5770"/>
    <cellStyle name="Normal 6 2 2 2 3 7" xfId="6174"/>
    <cellStyle name="Normal 6 2 2 2 3 8" xfId="8029"/>
    <cellStyle name="Normal 6 2 2 2 4" xfId="1229"/>
    <cellStyle name="Normal 6 2 2 2 4 2" xfId="2462"/>
    <cellStyle name="Normal 6 2 2 2 4 2 2" xfId="6969"/>
    <cellStyle name="Normal 6 2 2 2 4 3" xfId="6230"/>
    <cellStyle name="Normal 6 2 2 2 4 4" xfId="8085"/>
    <cellStyle name="Normal 6 2 2 2 5" xfId="1737"/>
    <cellStyle name="Normal 6 2 2 2 5 2" xfId="3550"/>
    <cellStyle name="Normal 6 2 2 2 5 3" xfId="7477"/>
    <cellStyle name="Normal 6 2 2 2 6" xfId="2303"/>
    <cellStyle name="Normal 6 2 2 2 6 2" xfId="6463"/>
    <cellStyle name="Normal 6 2 2 2 7" xfId="5020"/>
    <cellStyle name="Normal 6 2 2 2 8" xfId="5522"/>
    <cellStyle name="Normal 6 2 2 2 9" xfId="6011"/>
    <cellStyle name="Normal 6 2 2 3" xfId="775"/>
    <cellStyle name="Normal 6 2 2 3 2" xfId="1023"/>
    <cellStyle name="Normal 6 2 2 3 2 2" xfId="1529"/>
    <cellStyle name="Normal 6 2 2 3 2 2 2" xfId="4344"/>
    <cellStyle name="Normal 6 2 2 3 2 2 3" xfId="3334"/>
    <cellStyle name="Normal 6 2 2 3 2 2 4" xfId="7269"/>
    <cellStyle name="Normal 6 2 2 3 2 3" xfId="2037"/>
    <cellStyle name="Normal 6 2 2 3 2 3 2" xfId="3850"/>
    <cellStyle name="Normal 6 2 2 3 2 3 3" xfId="7777"/>
    <cellStyle name="Normal 6 2 2 3 2 4" xfId="4822"/>
    <cellStyle name="Normal 6 2 2 3 2 5" xfId="5320"/>
    <cellStyle name="Normal 6 2 2 3 2 6" xfId="5822"/>
    <cellStyle name="Normal 6 2 2 3 2 7" xfId="2840"/>
    <cellStyle name="Normal 6 2 2 3 2 8" xfId="6763"/>
    <cellStyle name="Normal 6 2 2 3 3" xfId="1281"/>
    <cellStyle name="Normal 6 2 2 3 3 2" xfId="4096"/>
    <cellStyle name="Normal 6 2 2 3 3 3" xfId="3086"/>
    <cellStyle name="Normal 6 2 2 3 3 4" xfId="7021"/>
    <cellStyle name="Normal 6 2 2 3 4" xfId="1789"/>
    <cellStyle name="Normal 6 2 2 3 4 2" xfId="3602"/>
    <cellStyle name="Normal 6 2 2 3 4 3" xfId="7529"/>
    <cellStyle name="Normal 6 2 2 3 5" xfId="2314"/>
    <cellStyle name="Normal 6 2 2 3 5 2" xfId="6515"/>
    <cellStyle name="Normal 6 2 2 3 6" xfId="5072"/>
    <cellStyle name="Normal 6 2 2 3 7" xfId="5574"/>
    <cellStyle name="Normal 6 2 2 3 8" xfId="6083"/>
    <cellStyle name="Normal 6 2 2 3 9" xfId="7938"/>
    <cellStyle name="Normal 6 2 2 4" xfId="651"/>
    <cellStyle name="Normal 6 2 2 4 2" xfId="1157"/>
    <cellStyle name="Normal 6 2 2 4 2 2" xfId="4220"/>
    <cellStyle name="Normal 6 2 2 4 2 3" xfId="3210"/>
    <cellStyle name="Normal 6 2 2 4 2 4" xfId="6897"/>
    <cellStyle name="Normal 6 2 2 4 3" xfId="1665"/>
    <cellStyle name="Normal 6 2 2 4 3 2" xfId="3478"/>
    <cellStyle name="Normal 6 2 2 4 3 3" xfId="7405"/>
    <cellStyle name="Normal 6 2 2 4 4" xfId="2366"/>
    <cellStyle name="Normal 6 2 2 4 4 2" xfId="6391"/>
    <cellStyle name="Normal 6 2 2 4 5" xfId="5196"/>
    <cellStyle name="Normal 6 2 2 4 6" xfId="5698"/>
    <cellStyle name="Normal 6 2 2 4 7" xfId="6134"/>
    <cellStyle name="Normal 6 2 2 4 8" xfId="7989"/>
    <cellStyle name="Normal 6 2 2 5" xfId="899"/>
    <cellStyle name="Normal 6 2 2 5 2" xfId="1405"/>
    <cellStyle name="Normal 6 2 2 5 2 2" xfId="3726"/>
    <cellStyle name="Normal 6 2 2 5 2 3" xfId="7145"/>
    <cellStyle name="Normal 6 2 2 5 3" xfId="1913"/>
    <cellStyle name="Normal 6 2 2 5 3 2" xfId="7653"/>
    <cellStyle name="Normal 6 2 2 5 4" xfId="2434"/>
    <cellStyle name="Normal 6 2 2 5 4 2" xfId="6639"/>
    <cellStyle name="Normal 6 2 2 5 5" xfId="6202"/>
    <cellStyle name="Normal 6 2 2 5 6" xfId="8057"/>
    <cellStyle name="Normal 6 2 2 6" xfId="206"/>
    <cellStyle name="Normal 6 2 2 6 2" xfId="3974"/>
    <cellStyle name="Normal 6 2 2 6 3" xfId="2964"/>
    <cellStyle name="Normal 6 2 2 6 4" xfId="6275"/>
    <cellStyle name="Normal 6 2 2 7" xfId="1125"/>
    <cellStyle name="Normal 6 2 2 7 2" xfId="3446"/>
    <cellStyle name="Normal 6 2 2 7 3" xfId="6865"/>
    <cellStyle name="Normal 6 2 2 8" xfId="1632"/>
    <cellStyle name="Normal 6 2 2 8 2" xfId="4474"/>
    <cellStyle name="Normal 6 2 2 8 3" xfId="7372"/>
    <cellStyle name="Normal 6 2 2 9" xfId="2185"/>
    <cellStyle name="Normal 6 2 2 9 2" xfId="6252"/>
    <cellStyle name="Normal 6 2 3" xfId="671"/>
    <cellStyle name="Normal 6 2 3 10" xfId="6008"/>
    <cellStyle name="Normal 6 2 3 11" xfId="6068"/>
    <cellStyle name="Normal 6 2 3 12" xfId="7923"/>
    <cellStyle name="Normal 6 2 3 2" xfId="724"/>
    <cellStyle name="Normal 6 2 3 2 10" xfId="7974"/>
    <cellStyle name="Normal 6 2 3 2 2" xfId="848"/>
    <cellStyle name="Normal 6 2 3 2 2 2" xfId="1096"/>
    <cellStyle name="Normal 6 2 3 2 2 2 2" xfId="1602"/>
    <cellStyle name="Normal 6 2 3 2 2 2 2 2" xfId="4417"/>
    <cellStyle name="Normal 6 2 3 2 2 2 2 3" xfId="3407"/>
    <cellStyle name="Normal 6 2 3 2 2 2 2 4" xfId="7342"/>
    <cellStyle name="Normal 6 2 3 2 2 2 3" xfId="2110"/>
    <cellStyle name="Normal 6 2 3 2 2 2 3 2" xfId="3923"/>
    <cellStyle name="Normal 6 2 3 2 2 2 3 3" xfId="7850"/>
    <cellStyle name="Normal 6 2 3 2 2 2 4" xfId="4895"/>
    <cellStyle name="Normal 6 2 3 2 2 2 5" xfId="5393"/>
    <cellStyle name="Normal 6 2 3 2 2 2 6" xfId="5895"/>
    <cellStyle name="Normal 6 2 3 2 2 2 7" xfId="2913"/>
    <cellStyle name="Normal 6 2 3 2 2 2 8" xfId="6836"/>
    <cellStyle name="Normal 6 2 3 2 2 3" xfId="1354"/>
    <cellStyle name="Normal 6 2 3 2 2 3 2" xfId="4169"/>
    <cellStyle name="Normal 6 2 3 2 2 3 3" xfId="3159"/>
    <cellStyle name="Normal 6 2 3 2 2 3 4" xfId="7094"/>
    <cellStyle name="Normal 6 2 3 2 2 4" xfId="1862"/>
    <cellStyle name="Normal 6 2 3 2 2 4 2" xfId="3675"/>
    <cellStyle name="Normal 6 2 3 2 2 4 3" xfId="7602"/>
    <cellStyle name="Normal 6 2 3 2 2 5" xfId="4655"/>
    <cellStyle name="Normal 6 2 3 2 2 6" xfId="5145"/>
    <cellStyle name="Normal 6 2 3 2 2 7" xfId="5647"/>
    <cellStyle name="Normal 6 2 3 2 2 8" xfId="2671"/>
    <cellStyle name="Normal 6 2 3 2 2 9" xfId="6588"/>
    <cellStyle name="Normal 6 2 3 2 3" xfId="972"/>
    <cellStyle name="Normal 6 2 3 2 3 2" xfId="1478"/>
    <cellStyle name="Normal 6 2 3 2 3 2 2" xfId="4293"/>
    <cellStyle name="Normal 6 2 3 2 3 2 3" xfId="3283"/>
    <cellStyle name="Normal 6 2 3 2 3 2 4" xfId="7218"/>
    <cellStyle name="Normal 6 2 3 2 3 3" xfId="1986"/>
    <cellStyle name="Normal 6 2 3 2 3 3 2" xfId="3799"/>
    <cellStyle name="Normal 6 2 3 2 3 3 3" xfId="7726"/>
    <cellStyle name="Normal 6 2 3 2 3 4" xfId="4771"/>
    <cellStyle name="Normal 6 2 3 2 3 5" xfId="5269"/>
    <cellStyle name="Normal 6 2 3 2 3 6" xfId="5771"/>
    <cellStyle name="Normal 6 2 3 2 3 7" xfId="2789"/>
    <cellStyle name="Normal 6 2 3 2 3 8" xfId="6712"/>
    <cellStyle name="Normal 6 2 3 2 4" xfId="1230"/>
    <cellStyle name="Normal 6 2 3 2 4 2" xfId="4045"/>
    <cellStyle name="Normal 6 2 3 2 4 3" xfId="3035"/>
    <cellStyle name="Normal 6 2 3 2 4 4" xfId="6970"/>
    <cellStyle name="Normal 6 2 3 2 5" xfId="1738"/>
    <cellStyle name="Normal 6 2 3 2 5 2" xfId="3551"/>
    <cellStyle name="Normal 6 2 3 2 5 3" xfId="7478"/>
    <cellStyle name="Normal 6 2 3 2 6" xfId="2351"/>
    <cellStyle name="Normal 6 2 3 2 6 2" xfId="6464"/>
    <cellStyle name="Normal 6 2 3 2 7" xfId="5021"/>
    <cellStyle name="Normal 6 2 3 2 8" xfId="5523"/>
    <cellStyle name="Normal 6 2 3 2 9" xfId="6119"/>
    <cellStyle name="Normal 6 2 3 3" xfId="795"/>
    <cellStyle name="Normal 6 2 3 3 2" xfId="1043"/>
    <cellStyle name="Normal 6 2 3 3 2 2" xfId="1549"/>
    <cellStyle name="Normal 6 2 3 3 2 2 2" xfId="4364"/>
    <cellStyle name="Normal 6 2 3 3 2 2 3" xfId="3354"/>
    <cellStyle name="Normal 6 2 3 3 2 2 4" xfId="7289"/>
    <cellStyle name="Normal 6 2 3 3 2 3" xfId="2057"/>
    <cellStyle name="Normal 6 2 3 3 2 3 2" xfId="3870"/>
    <cellStyle name="Normal 6 2 3 3 2 3 3" xfId="7797"/>
    <cellStyle name="Normal 6 2 3 3 2 4" xfId="4842"/>
    <cellStyle name="Normal 6 2 3 3 2 5" xfId="5340"/>
    <cellStyle name="Normal 6 2 3 3 2 6" xfId="5842"/>
    <cellStyle name="Normal 6 2 3 3 2 7" xfId="2860"/>
    <cellStyle name="Normal 6 2 3 3 2 8" xfId="6783"/>
    <cellStyle name="Normal 6 2 3 3 3" xfId="1301"/>
    <cellStyle name="Normal 6 2 3 3 3 2" xfId="4116"/>
    <cellStyle name="Normal 6 2 3 3 3 3" xfId="3106"/>
    <cellStyle name="Normal 6 2 3 3 3 4" xfId="7041"/>
    <cellStyle name="Normal 6 2 3 3 4" xfId="1809"/>
    <cellStyle name="Normal 6 2 3 3 4 2" xfId="3622"/>
    <cellStyle name="Normal 6 2 3 3 4 3" xfId="7549"/>
    <cellStyle name="Normal 6 2 3 3 5" xfId="2402"/>
    <cellStyle name="Normal 6 2 3 3 5 2" xfId="6535"/>
    <cellStyle name="Normal 6 2 3 3 6" xfId="5092"/>
    <cellStyle name="Normal 6 2 3 3 7" xfId="5594"/>
    <cellStyle name="Normal 6 2 3 3 8" xfId="6170"/>
    <cellStyle name="Normal 6 2 3 3 9" xfId="8025"/>
    <cellStyle name="Normal 6 2 3 4" xfId="919"/>
    <cellStyle name="Normal 6 2 3 4 2" xfId="1425"/>
    <cellStyle name="Normal 6 2 3 4 2 2" xfId="4240"/>
    <cellStyle name="Normal 6 2 3 4 2 3" xfId="3230"/>
    <cellStyle name="Normal 6 2 3 4 2 4" xfId="7165"/>
    <cellStyle name="Normal 6 2 3 4 3" xfId="1933"/>
    <cellStyle name="Normal 6 2 3 4 3 2" xfId="3746"/>
    <cellStyle name="Normal 6 2 3 4 3 3" xfId="7673"/>
    <cellStyle name="Normal 6 2 3 4 4" xfId="2458"/>
    <cellStyle name="Normal 6 2 3 4 4 2" xfId="6659"/>
    <cellStyle name="Normal 6 2 3 4 5" xfId="5216"/>
    <cellStyle name="Normal 6 2 3 4 6" xfId="5718"/>
    <cellStyle name="Normal 6 2 3 4 7" xfId="6226"/>
    <cellStyle name="Normal 6 2 3 4 8" xfId="8081"/>
    <cellStyle name="Normal 6 2 3 5" xfId="1177"/>
    <cellStyle name="Normal 6 2 3 5 2" xfId="3994"/>
    <cellStyle name="Normal 6 2 3 5 3" xfId="2984"/>
    <cellStyle name="Normal 6 2 3 5 4" xfId="6917"/>
    <cellStyle name="Normal 6 2 3 6" xfId="1685"/>
    <cellStyle name="Normal 6 2 3 6 2" xfId="3498"/>
    <cellStyle name="Normal 6 2 3 6 3" xfId="7425"/>
    <cellStyle name="Normal 6 2 3 7" xfId="2263"/>
    <cellStyle name="Normal 6 2 3 7 2" xfId="6411"/>
    <cellStyle name="Normal 6 2 3 8" xfId="4968"/>
    <cellStyle name="Normal 6 2 3 9" xfId="5470"/>
    <cellStyle name="Normal 6 2 4" xfId="722"/>
    <cellStyle name="Normal 6 2 4 10" xfId="7934"/>
    <cellStyle name="Normal 6 2 4 2" xfId="846"/>
    <cellStyle name="Normal 6 2 4 2 2" xfId="1094"/>
    <cellStyle name="Normal 6 2 4 2 2 2" xfId="1600"/>
    <cellStyle name="Normal 6 2 4 2 2 2 2" xfId="4415"/>
    <cellStyle name="Normal 6 2 4 2 2 2 3" xfId="3405"/>
    <cellStyle name="Normal 6 2 4 2 2 2 4" xfId="7340"/>
    <cellStyle name="Normal 6 2 4 2 2 3" xfId="2108"/>
    <cellStyle name="Normal 6 2 4 2 2 3 2" xfId="3921"/>
    <cellStyle name="Normal 6 2 4 2 2 3 3" xfId="7848"/>
    <cellStyle name="Normal 6 2 4 2 2 4" xfId="4893"/>
    <cellStyle name="Normal 6 2 4 2 2 5" xfId="5391"/>
    <cellStyle name="Normal 6 2 4 2 2 6" xfId="5893"/>
    <cellStyle name="Normal 6 2 4 2 2 7" xfId="2911"/>
    <cellStyle name="Normal 6 2 4 2 2 8" xfId="6834"/>
    <cellStyle name="Normal 6 2 4 2 3" xfId="1352"/>
    <cellStyle name="Normal 6 2 4 2 3 2" xfId="4167"/>
    <cellStyle name="Normal 6 2 4 2 3 3" xfId="3157"/>
    <cellStyle name="Normal 6 2 4 2 3 4" xfId="7092"/>
    <cellStyle name="Normal 6 2 4 2 4" xfId="1860"/>
    <cellStyle name="Normal 6 2 4 2 4 2" xfId="3673"/>
    <cellStyle name="Normal 6 2 4 2 4 3" xfId="7600"/>
    <cellStyle name="Normal 6 2 4 2 5" xfId="4654"/>
    <cellStyle name="Normal 6 2 4 2 6" xfId="5143"/>
    <cellStyle name="Normal 6 2 4 2 7" xfId="5645"/>
    <cellStyle name="Normal 6 2 4 2 8" xfId="2670"/>
    <cellStyle name="Normal 6 2 4 2 9" xfId="6586"/>
    <cellStyle name="Normal 6 2 4 3" xfId="970"/>
    <cellStyle name="Normal 6 2 4 3 2" xfId="1476"/>
    <cellStyle name="Normal 6 2 4 3 2 2" xfId="4291"/>
    <cellStyle name="Normal 6 2 4 3 2 3" xfId="3281"/>
    <cellStyle name="Normal 6 2 4 3 2 4" xfId="7216"/>
    <cellStyle name="Normal 6 2 4 3 3" xfId="1984"/>
    <cellStyle name="Normal 6 2 4 3 3 2" xfId="3797"/>
    <cellStyle name="Normal 6 2 4 3 3 3" xfId="7724"/>
    <cellStyle name="Normal 6 2 4 3 4" xfId="4770"/>
    <cellStyle name="Normal 6 2 4 3 5" xfId="5267"/>
    <cellStyle name="Normal 6 2 4 3 6" xfId="5769"/>
    <cellStyle name="Normal 6 2 4 3 7" xfId="2788"/>
    <cellStyle name="Normal 6 2 4 3 8" xfId="6710"/>
    <cellStyle name="Normal 6 2 4 4" xfId="1228"/>
    <cellStyle name="Normal 6 2 4 4 2" xfId="4044"/>
    <cellStyle name="Normal 6 2 4 4 3" xfId="3034"/>
    <cellStyle name="Normal 6 2 4 4 4" xfId="6968"/>
    <cellStyle name="Normal 6 2 4 5" xfId="1736"/>
    <cellStyle name="Normal 6 2 4 5 2" xfId="3549"/>
    <cellStyle name="Normal 6 2 4 5 3" xfId="7476"/>
    <cellStyle name="Normal 6 2 4 6" xfId="2310"/>
    <cellStyle name="Normal 6 2 4 6 2" xfId="6462"/>
    <cellStyle name="Normal 6 2 4 7" xfId="5019"/>
    <cellStyle name="Normal 6 2 4 8" xfId="5521"/>
    <cellStyle name="Normal 6 2 4 9" xfId="6079"/>
    <cellStyle name="Normal 6 2 5" xfId="753"/>
    <cellStyle name="Normal 6 2 5 2" xfId="1001"/>
    <cellStyle name="Normal 6 2 5 2 2" xfId="1507"/>
    <cellStyle name="Normal 6 2 5 2 2 2" xfId="4322"/>
    <cellStyle name="Normal 6 2 5 2 2 3" xfId="3312"/>
    <cellStyle name="Normal 6 2 5 2 2 4" xfId="7247"/>
    <cellStyle name="Normal 6 2 5 2 3" xfId="2015"/>
    <cellStyle name="Normal 6 2 5 2 3 2" xfId="3828"/>
    <cellStyle name="Normal 6 2 5 2 3 3" xfId="7755"/>
    <cellStyle name="Normal 6 2 5 2 4" xfId="4800"/>
    <cellStyle name="Normal 6 2 5 2 5" xfId="5298"/>
    <cellStyle name="Normal 6 2 5 2 6" xfId="5800"/>
    <cellStyle name="Normal 6 2 5 2 7" xfId="2818"/>
    <cellStyle name="Normal 6 2 5 2 8" xfId="6741"/>
    <cellStyle name="Normal 6 2 5 3" xfId="1259"/>
    <cellStyle name="Normal 6 2 5 3 2" xfId="4074"/>
    <cellStyle name="Normal 6 2 5 3 3" xfId="3064"/>
    <cellStyle name="Normal 6 2 5 3 4" xfId="6999"/>
    <cellStyle name="Normal 6 2 5 4" xfId="1767"/>
    <cellStyle name="Normal 6 2 5 4 2" xfId="3580"/>
    <cellStyle name="Normal 6 2 5 4 3" xfId="7507"/>
    <cellStyle name="Normal 6 2 5 5" xfId="2362"/>
    <cellStyle name="Normal 6 2 5 5 2" xfId="6493"/>
    <cellStyle name="Normal 6 2 5 6" xfId="5050"/>
    <cellStyle name="Normal 6 2 5 7" xfId="5552"/>
    <cellStyle name="Normal 6 2 5 8" xfId="6130"/>
    <cellStyle name="Normal 6 2 5 9" xfId="7985"/>
    <cellStyle name="Normal 6 2 6" xfId="621"/>
    <cellStyle name="Normal 6 2 6 2" xfId="1135"/>
    <cellStyle name="Normal 6 2 6 2 2" xfId="4198"/>
    <cellStyle name="Normal 6 2 6 2 3" xfId="3188"/>
    <cellStyle name="Normal 6 2 6 2 4" xfId="6875"/>
    <cellStyle name="Normal 6 2 6 3" xfId="1643"/>
    <cellStyle name="Normal 6 2 6 3 2" xfId="3456"/>
    <cellStyle name="Normal 6 2 6 3 3" xfId="7383"/>
    <cellStyle name="Normal 6 2 6 4" xfId="2430"/>
    <cellStyle name="Normal 6 2 6 4 2" xfId="6366"/>
    <cellStyle name="Normal 6 2 6 5" xfId="5174"/>
    <cellStyle name="Normal 6 2 6 6" xfId="5676"/>
    <cellStyle name="Normal 6 2 6 7" xfId="6198"/>
    <cellStyle name="Normal 6 2 6 8" xfId="8053"/>
    <cellStyle name="Normal 6 2 7" xfId="877"/>
    <cellStyle name="Normal 6 2 7 2" xfId="1383"/>
    <cellStyle name="Normal 6 2 7 2 2" xfId="3704"/>
    <cellStyle name="Normal 6 2 7 2 3" xfId="7123"/>
    <cellStyle name="Normal 6 2 7 3" xfId="1891"/>
    <cellStyle name="Normal 6 2 7 3 2" xfId="7631"/>
    <cellStyle name="Normal 6 2 7 4" xfId="2700"/>
    <cellStyle name="Normal 6 2 7 5" xfId="6617"/>
    <cellStyle name="Normal 6 2 8" xfId="202"/>
    <cellStyle name="Normal 6 2 8 2" xfId="3952"/>
    <cellStyle name="Normal 6 2 8 3" xfId="2942"/>
    <cellStyle name="Normal 6 2 8 4" xfId="6271"/>
    <cellStyle name="Normal 6 2 9" xfId="1121"/>
    <cellStyle name="Normal 6 2 9 2" xfId="3444"/>
    <cellStyle name="Normal 6 2 9 3" xfId="6861"/>
    <cellStyle name="Normal 6 3" xfId="127"/>
    <cellStyle name="Normal 6 3 10" xfId="1634"/>
    <cellStyle name="Normal 6 3 10 2" xfId="4454"/>
    <cellStyle name="Normal 6 3 10 3" xfId="7374"/>
    <cellStyle name="Normal 6 3 11" xfId="4930"/>
    <cellStyle name="Normal 6 3 12" xfId="5430"/>
    <cellStyle name="Normal 6 3 13" xfId="2466"/>
    <cellStyle name="Normal 6 3 2" xfId="653"/>
    <cellStyle name="Normal 6 3 2 10" xfId="2492"/>
    <cellStyle name="Normal 6 3 2 11" xfId="6393"/>
    <cellStyle name="Normal 6 3 2 2" xfId="726"/>
    <cellStyle name="Normal 6 3 2 2 10" xfId="6466"/>
    <cellStyle name="Normal 6 3 2 2 2" xfId="850"/>
    <cellStyle name="Normal 6 3 2 2 2 2" xfId="1098"/>
    <cellStyle name="Normal 6 3 2 2 2 2 2" xfId="1604"/>
    <cellStyle name="Normal 6 3 2 2 2 2 2 2" xfId="4419"/>
    <cellStyle name="Normal 6 3 2 2 2 2 2 3" xfId="3409"/>
    <cellStyle name="Normal 6 3 2 2 2 2 2 4" xfId="7344"/>
    <cellStyle name="Normal 6 3 2 2 2 2 3" xfId="2112"/>
    <cellStyle name="Normal 6 3 2 2 2 2 3 2" xfId="3925"/>
    <cellStyle name="Normal 6 3 2 2 2 2 3 3" xfId="7852"/>
    <cellStyle name="Normal 6 3 2 2 2 2 4" xfId="4897"/>
    <cellStyle name="Normal 6 3 2 2 2 2 5" xfId="5395"/>
    <cellStyle name="Normal 6 3 2 2 2 2 6" xfId="5897"/>
    <cellStyle name="Normal 6 3 2 2 2 2 7" xfId="2915"/>
    <cellStyle name="Normal 6 3 2 2 2 2 8" xfId="6838"/>
    <cellStyle name="Normal 6 3 2 2 2 3" xfId="1356"/>
    <cellStyle name="Normal 6 3 2 2 2 3 2" xfId="4171"/>
    <cellStyle name="Normal 6 3 2 2 2 3 3" xfId="3161"/>
    <cellStyle name="Normal 6 3 2 2 2 3 4" xfId="7096"/>
    <cellStyle name="Normal 6 3 2 2 2 4" xfId="1864"/>
    <cellStyle name="Normal 6 3 2 2 2 4 2" xfId="3677"/>
    <cellStyle name="Normal 6 3 2 2 2 4 3" xfId="7604"/>
    <cellStyle name="Normal 6 3 2 2 2 5" xfId="4657"/>
    <cellStyle name="Normal 6 3 2 2 2 6" xfId="5147"/>
    <cellStyle name="Normal 6 3 2 2 2 7" xfId="5649"/>
    <cellStyle name="Normal 6 3 2 2 2 8" xfId="2673"/>
    <cellStyle name="Normal 6 3 2 2 2 9" xfId="6590"/>
    <cellStyle name="Normal 6 3 2 2 3" xfId="974"/>
    <cellStyle name="Normal 6 3 2 2 3 2" xfId="1480"/>
    <cellStyle name="Normal 6 3 2 2 3 2 2" xfId="4295"/>
    <cellStyle name="Normal 6 3 2 2 3 2 3" xfId="3285"/>
    <cellStyle name="Normal 6 3 2 2 3 2 4" xfId="7220"/>
    <cellStyle name="Normal 6 3 2 2 3 3" xfId="1988"/>
    <cellStyle name="Normal 6 3 2 2 3 3 2" xfId="3801"/>
    <cellStyle name="Normal 6 3 2 2 3 3 3" xfId="7728"/>
    <cellStyle name="Normal 6 3 2 2 3 4" xfId="4773"/>
    <cellStyle name="Normal 6 3 2 2 3 5" xfId="5271"/>
    <cellStyle name="Normal 6 3 2 2 3 6" xfId="5773"/>
    <cellStyle name="Normal 6 3 2 2 3 7" xfId="2791"/>
    <cellStyle name="Normal 6 3 2 2 3 8" xfId="6714"/>
    <cellStyle name="Normal 6 3 2 2 4" xfId="1232"/>
    <cellStyle name="Normal 6 3 2 2 4 2" xfId="4047"/>
    <cellStyle name="Normal 6 3 2 2 4 3" xfId="3037"/>
    <cellStyle name="Normal 6 3 2 2 4 4" xfId="6972"/>
    <cellStyle name="Normal 6 3 2 2 5" xfId="1740"/>
    <cellStyle name="Normal 6 3 2 2 5 2" xfId="3553"/>
    <cellStyle name="Normal 6 3 2 2 5 3" xfId="7480"/>
    <cellStyle name="Normal 6 3 2 2 6" xfId="4541"/>
    <cellStyle name="Normal 6 3 2 2 7" xfId="5023"/>
    <cellStyle name="Normal 6 3 2 2 8" xfId="5525"/>
    <cellStyle name="Normal 6 3 2 2 9" xfId="2557"/>
    <cellStyle name="Normal 6 3 2 3" xfId="777"/>
    <cellStyle name="Normal 6 3 2 3 2" xfId="1025"/>
    <cellStyle name="Normal 6 3 2 3 2 2" xfId="1531"/>
    <cellStyle name="Normal 6 3 2 3 2 2 2" xfId="4346"/>
    <cellStyle name="Normal 6 3 2 3 2 2 3" xfId="3336"/>
    <cellStyle name="Normal 6 3 2 3 2 2 4" xfId="7271"/>
    <cellStyle name="Normal 6 3 2 3 2 3" xfId="2039"/>
    <cellStyle name="Normal 6 3 2 3 2 3 2" xfId="3852"/>
    <cellStyle name="Normal 6 3 2 3 2 3 3" xfId="7779"/>
    <cellStyle name="Normal 6 3 2 3 2 4" xfId="4824"/>
    <cellStyle name="Normal 6 3 2 3 2 5" xfId="5322"/>
    <cellStyle name="Normal 6 3 2 3 2 6" xfId="5824"/>
    <cellStyle name="Normal 6 3 2 3 2 7" xfId="2842"/>
    <cellStyle name="Normal 6 3 2 3 2 8" xfId="6765"/>
    <cellStyle name="Normal 6 3 2 3 3" xfId="1283"/>
    <cellStyle name="Normal 6 3 2 3 3 2" xfId="4098"/>
    <cellStyle name="Normal 6 3 2 3 3 3" xfId="3088"/>
    <cellStyle name="Normal 6 3 2 3 3 4" xfId="7023"/>
    <cellStyle name="Normal 6 3 2 3 4" xfId="1791"/>
    <cellStyle name="Normal 6 3 2 3 4 2" xfId="3604"/>
    <cellStyle name="Normal 6 3 2 3 4 3" xfId="7531"/>
    <cellStyle name="Normal 6 3 2 3 5" xfId="4588"/>
    <cellStyle name="Normal 6 3 2 3 6" xfId="5074"/>
    <cellStyle name="Normal 6 3 2 3 7" xfId="5576"/>
    <cellStyle name="Normal 6 3 2 3 8" xfId="2604"/>
    <cellStyle name="Normal 6 3 2 3 9" xfId="6517"/>
    <cellStyle name="Normal 6 3 2 4" xfId="901"/>
    <cellStyle name="Normal 6 3 2 4 2" xfId="1407"/>
    <cellStyle name="Normal 6 3 2 4 2 2" xfId="4222"/>
    <cellStyle name="Normal 6 3 2 4 2 3" xfId="3212"/>
    <cellStyle name="Normal 6 3 2 4 2 4" xfId="7147"/>
    <cellStyle name="Normal 6 3 2 4 3" xfId="1915"/>
    <cellStyle name="Normal 6 3 2 4 3 2" xfId="3728"/>
    <cellStyle name="Normal 6 3 2 4 3 3" xfId="7655"/>
    <cellStyle name="Normal 6 3 2 4 4" xfId="4704"/>
    <cellStyle name="Normal 6 3 2 4 5" xfId="5198"/>
    <cellStyle name="Normal 6 3 2 4 6" xfId="5700"/>
    <cellStyle name="Normal 6 3 2 4 7" xfId="2722"/>
    <cellStyle name="Normal 6 3 2 4 8" xfId="6641"/>
    <cellStyle name="Normal 6 3 2 5" xfId="1159"/>
    <cellStyle name="Normal 6 3 2 5 2" xfId="3976"/>
    <cellStyle name="Normal 6 3 2 5 3" xfId="2966"/>
    <cellStyle name="Normal 6 3 2 5 4" xfId="6899"/>
    <cellStyle name="Normal 6 3 2 6" xfId="1667"/>
    <cellStyle name="Normal 6 3 2 6 2" xfId="3480"/>
    <cellStyle name="Normal 6 3 2 6 3" xfId="7407"/>
    <cellStyle name="Normal 6 3 2 7" xfId="4476"/>
    <cellStyle name="Normal 6 3 2 8" xfId="4950"/>
    <cellStyle name="Normal 6 3 2 9" xfId="5452"/>
    <cellStyle name="Normal 6 3 3" xfId="673"/>
    <cellStyle name="Normal 6 3 3 10" xfId="2510"/>
    <cellStyle name="Normal 6 3 3 11" xfId="6413"/>
    <cellStyle name="Normal 6 3 3 2" xfId="727"/>
    <cellStyle name="Normal 6 3 3 2 10" xfId="6467"/>
    <cellStyle name="Normal 6 3 3 2 2" xfId="851"/>
    <cellStyle name="Normal 6 3 3 2 2 2" xfId="1099"/>
    <cellStyle name="Normal 6 3 3 2 2 2 2" xfId="1605"/>
    <cellStyle name="Normal 6 3 3 2 2 2 2 2" xfId="4420"/>
    <cellStyle name="Normal 6 3 3 2 2 2 2 3" xfId="3410"/>
    <cellStyle name="Normal 6 3 3 2 2 2 2 4" xfId="7345"/>
    <cellStyle name="Normal 6 3 3 2 2 2 3" xfId="2113"/>
    <cellStyle name="Normal 6 3 3 2 2 2 3 2" xfId="3926"/>
    <cellStyle name="Normal 6 3 3 2 2 2 3 3" xfId="7853"/>
    <cellStyle name="Normal 6 3 3 2 2 2 4" xfId="4898"/>
    <cellStyle name="Normal 6 3 3 2 2 2 5" xfId="5396"/>
    <cellStyle name="Normal 6 3 3 2 2 2 6" xfId="5898"/>
    <cellStyle name="Normal 6 3 3 2 2 2 7" xfId="2916"/>
    <cellStyle name="Normal 6 3 3 2 2 2 8" xfId="6839"/>
    <cellStyle name="Normal 6 3 3 2 2 3" xfId="1357"/>
    <cellStyle name="Normal 6 3 3 2 2 3 2" xfId="4172"/>
    <cellStyle name="Normal 6 3 3 2 2 3 3" xfId="3162"/>
    <cellStyle name="Normal 6 3 3 2 2 3 4" xfId="7097"/>
    <cellStyle name="Normal 6 3 3 2 2 4" xfId="1865"/>
    <cellStyle name="Normal 6 3 3 2 2 4 2" xfId="3678"/>
    <cellStyle name="Normal 6 3 3 2 2 4 3" xfId="7605"/>
    <cellStyle name="Normal 6 3 3 2 2 5" xfId="4658"/>
    <cellStyle name="Normal 6 3 3 2 2 6" xfId="5148"/>
    <cellStyle name="Normal 6 3 3 2 2 7" xfId="5650"/>
    <cellStyle name="Normal 6 3 3 2 2 8" xfId="2674"/>
    <cellStyle name="Normal 6 3 3 2 2 9" xfId="6591"/>
    <cellStyle name="Normal 6 3 3 2 3" xfId="975"/>
    <cellStyle name="Normal 6 3 3 2 3 2" xfId="1481"/>
    <cellStyle name="Normal 6 3 3 2 3 2 2" xfId="4296"/>
    <cellStyle name="Normal 6 3 3 2 3 2 3" xfId="3286"/>
    <cellStyle name="Normal 6 3 3 2 3 2 4" xfId="7221"/>
    <cellStyle name="Normal 6 3 3 2 3 3" xfId="1989"/>
    <cellStyle name="Normal 6 3 3 2 3 3 2" xfId="3802"/>
    <cellStyle name="Normal 6 3 3 2 3 3 3" xfId="7729"/>
    <cellStyle name="Normal 6 3 3 2 3 4" xfId="4774"/>
    <cellStyle name="Normal 6 3 3 2 3 5" xfId="5272"/>
    <cellStyle name="Normal 6 3 3 2 3 6" xfId="5774"/>
    <cellStyle name="Normal 6 3 3 2 3 7" xfId="2792"/>
    <cellStyle name="Normal 6 3 3 2 3 8" xfId="6715"/>
    <cellStyle name="Normal 6 3 3 2 4" xfId="1233"/>
    <cellStyle name="Normal 6 3 3 2 4 2" xfId="4048"/>
    <cellStyle name="Normal 6 3 3 2 4 3" xfId="3038"/>
    <cellStyle name="Normal 6 3 3 2 4 4" xfId="6973"/>
    <cellStyle name="Normal 6 3 3 2 5" xfId="1741"/>
    <cellStyle name="Normal 6 3 3 2 5 2" xfId="3554"/>
    <cellStyle name="Normal 6 3 3 2 5 3" xfId="7481"/>
    <cellStyle name="Normal 6 3 3 2 6" xfId="4542"/>
    <cellStyle name="Normal 6 3 3 2 7" xfId="5024"/>
    <cellStyle name="Normal 6 3 3 2 8" xfId="5526"/>
    <cellStyle name="Normal 6 3 3 2 9" xfId="2558"/>
    <cellStyle name="Normal 6 3 3 3" xfId="797"/>
    <cellStyle name="Normal 6 3 3 3 2" xfId="1045"/>
    <cellStyle name="Normal 6 3 3 3 2 2" xfId="1551"/>
    <cellStyle name="Normal 6 3 3 3 2 2 2" xfId="4366"/>
    <cellStyle name="Normal 6 3 3 3 2 2 3" xfId="3356"/>
    <cellStyle name="Normal 6 3 3 3 2 2 4" xfId="7291"/>
    <cellStyle name="Normal 6 3 3 3 2 3" xfId="2059"/>
    <cellStyle name="Normal 6 3 3 3 2 3 2" xfId="3872"/>
    <cellStyle name="Normal 6 3 3 3 2 3 3" xfId="7799"/>
    <cellStyle name="Normal 6 3 3 3 2 4" xfId="4844"/>
    <cellStyle name="Normal 6 3 3 3 2 5" xfId="5342"/>
    <cellStyle name="Normal 6 3 3 3 2 6" xfId="5844"/>
    <cellStyle name="Normal 6 3 3 3 2 7" xfId="2862"/>
    <cellStyle name="Normal 6 3 3 3 2 8" xfId="6785"/>
    <cellStyle name="Normal 6 3 3 3 3" xfId="1303"/>
    <cellStyle name="Normal 6 3 3 3 3 2" xfId="4118"/>
    <cellStyle name="Normal 6 3 3 3 3 3" xfId="3108"/>
    <cellStyle name="Normal 6 3 3 3 3 4" xfId="7043"/>
    <cellStyle name="Normal 6 3 3 3 4" xfId="1811"/>
    <cellStyle name="Normal 6 3 3 3 4 2" xfId="3624"/>
    <cellStyle name="Normal 6 3 3 3 4 3" xfId="7551"/>
    <cellStyle name="Normal 6 3 3 3 5" xfId="4606"/>
    <cellStyle name="Normal 6 3 3 3 6" xfId="5094"/>
    <cellStyle name="Normal 6 3 3 3 7" xfId="5596"/>
    <cellStyle name="Normal 6 3 3 3 8" xfId="2622"/>
    <cellStyle name="Normal 6 3 3 3 9" xfId="6537"/>
    <cellStyle name="Normal 6 3 3 4" xfId="921"/>
    <cellStyle name="Normal 6 3 3 4 2" xfId="1427"/>
    <cellStyle name="Normal 6 3 3 4 2 2" xfId="4242"/>
    <cellStyle name="Normal 6 3 3 4 2 3" xfId="3232"/>
    <cellStyle name="Normal 6 3 3 4 2 4" xfId="7167"/>
    <cellStyle name="Normal 6 3 3 4 3" xfId="1935"/>
    <cellStyle name="Normal 6 3 3 4 3 2" xfId="3748"/>
    <cellStyle name="Normal 6 3 3 4 3 3" xfId="7675"/>
    <cellStyle name="Normal 6 3 3 4 4" xfId="4722"/>
    <cellStyle name="Normal 6 3 3 4 5" xfId="5218"/>
    <cellStyle name="Normal 6 3 3 4 6" xfId="5720"/>
    <cellStyle name="Normal 6 3 3 4 7" xfId="2740"/>
    <cellStyle name="Normal 6 3 3 4 8" xfId="6661"/>
    <cellStyle name="Normal 6 3 3 5" xfId="1179"/>
    <cellStyle name="Normal 6 3 3 5 2" xfId="3996"/>
    <cellStyle name="Normal 6 3 3 5 3" xfId="2986"/>
    <cellStyle name="Normal 6 3 3 5 4" xfId="6919"/>
    <cellStyle name="Normal 6 3 3 6" xfId="1687"/>
    <cellStyle name="Normal 6 3 3 6 2" xfId="3500"/>
    <cellStyle name="Normal 6 3 3 6 3" xfId="7427"/>
    <cellStyle name="Normal 6 3 3 7" xfId="4494"/>
    <cellStyle name="Normal 6 3 3 8" xfId="4970"/>
    <cellStyle name="Normal 6 3 3 9" xfId="5472"/>
    <cellStyle name="Normal 6 3 4" xfId="725"/>
    <cellStyle name="Normal 6 3 4 10" xfId="6465"/>
    <cellStyle name="Normal 6 3 4 2" xfId="849"/>
    <cellStyle name="Normal 6 3 4 2 2" xfId="1097"/>
    <cellStyle name="Normal 6 3 4 2 2 2" xfId="1603"/>
    <cellStyle name="Normal 6 3 4 2 2 2 2" xfId="4418"/>
    <cellStyle name="Normal 6 3 4 2 2 2 3" xfId="3408"/>
    <cellStyle name="Normal 6 3 4 2 2 2 4" xfId="7343"/>
    <cellStyle name="Normal 6 3 4 2 2 3" xfId="2111"/>
    <cellStyle name="Normal 6 3 4 2 2 3 2" xfId="3924"/>
    <cellStyle name="Normal 6 3 4 2 2 3 3" xfId="7851"/>
    <cellStyle name="Normal 6 3 4 2 2 4" xfId="4896"/>
    <cellStyle name="Normal 6 3 4 2 2 5" xfId="5394"/>
    <cellStyle name="Normal 6 3 4 2 2 6" xfId="5896"/>
    <cellStyle name="Normal 6 3 4 2 2 7" xfId="2914"/>
    <cellStyle name="Normal 6 3 4 2 2 8" xfId="6837"/>
    <cellStyle name="Normal 6 3 4 2 3" xfId="1355"/>
    <cellStyle name="Normal 6 3 4 2 3 2" xfId="4170"/>
    <cellStyle name="Normal 6 3 4 2 3 3" xfId="3160"/>
    <cellStyle name="Normal 6 3 4 2 3 4" xfId="7095"/>
    <cellStyle name="Normal 6 3 4 2 4" xfId="1863"/>
    <cellStyle name="Normal 6 3 4 2 4 2" xfId="3676"/>
    <cellStyle name="Normal 6 3 4 2 4 3" xfId="7603"/>
    <cellStyle name="Normal 6 3 4 2 5" xfId="4656"/>
    <cellStyle name="Normal 6 3 4 2 6" xfId="5146"/>
    <cellStyle name="Normal 6 3 4 2 7" xfId="5648"/>
    <cellStyle name="Normal 6 3 4 2 8" xfId="2672"/>
    <cellStyle name="Normal 6 3 4 2 9" xfId="6589"/>
    <cellStyle name="Normal 6 3 4 3" xfId="973"/>
    <cellStyle name="Normal 6 3 4 3 2" xfId="1479"/>
    <cellStyle name="Normal 6 3 4 3 2 2" xfId="4294"/>
    <cellStyle name="Normal 6 3 4 3 2 3" xfId="3284"/>
    <cellStyle name="Normal 6 3 4 3 2 4" xfId="7219"/>
    <cellStyle name="Normal 6 3 4 3 3" xfId="1987"/>
    <cellStyle name="Normal 6 3 4 3 3 2" xfId="3800"/>
    <cellStyle name="Normal 6 3 4 3 3 3" xfId="7727"/>
    <cellStyle name="Normal 6 3 4 3 4" xfId="4772"/>
    <cellStyle name="Normal 6 3 4 3 5" xfId="5270"/>
    <cellStyle name="Normal 6 3 4 3 6" xfId="5772"/>
    <cellStyle name="Normal 6 3 4 3 7" xfId="2790"/>
    <cellStyle name="Normal 6 3 4 3 8" xfId="6713"/>
    <cellStyle name="Normal 6 3 4 4" xfId="1231"/>
    <cellStyle name="Normal 6 3 4 4 2" xfId="4046"/>
    <cellStyle name="Normal 6 3 4 4 3" xfId="3036"/>
    <cellStyle name="Normal 6 3 4 4 4" xfId="6971"/>
    <cellStyle name="Normal 6 3 4 5" xfId="1739"/>
    <cellStyle name="Normal 6 3 4 5 2" xfId="3552"/>
    <cellStyle name="Normal 6 3 4 5 3" xfId="7479"/>
    <cellStyle name="Normal 6 3 4 6" xfId="4540"/>
    <cellStyle name="Normal 6 3 4 7" xfId="5022"/>
    <cellStyle name="Normal 6 3 4 8" xfId="5524"/>
    <cellStyle name="Normal 6 3 4 9" xfId="2556"/>
    <cellStyle name="Normal 6 3 5" xfId="755"/>
    <cellStyle name="Normal 6 3 5 2" xfId="1003"/>
    <cellStyle name="Normal 6 3 5 2 2" xfId="1509"/>
    <cellStyle name="Normal 6 3 5 2 2 2" xfId="4324"/>
    <cellStyle name="Normal 6 3 5 2 2 3" xfId="3314"/>
    <cellStyle name="Normal 6 3 5 2 2 4" xfId="7249"/>
    <cellStyle name="Normal 6 3 5 2 3" xfId="2017"/>
    <cellStyle name="Normal 6 3 5 2 3 2" xfId="3830"/>
    <cellStyle name="Normal 6 3 5 2 3 3" xfId="7757"/>
    <cellStyle name="Normal 6 3 5 2 4" xfId="4802"/>
    <cellStyle name="Normal 6 3 5 2 5" xfId="5300"/>
    <cellStyle name="Normal 6 3 5 2 6" xfId="5802"/>
    <cellStyle name="Normal 6 3 5 2 7" xfId="2820"/>
    <cellStyle name="Normal 6 3 5 2 8" xfId="6743"/>
    <cellStyle name="Normal 6 3 5 3" xfId="1261"/>
    <cellStyle name="Normal 6 3 5 3 2" xfId="4076"/>
    <cellStyle name="Normal 6 3 5 3 3" xfId="3066"/>
    <cellStyle name="Normal 6 3 5 3 4" xfId="7001"/>
    <cellStyle name="Normal 6 3 5 4" xfId="1769"/>
    <cellStyle name="Normal 6 3 5 4 2" xfId="3582"/>
    <cellStyle name="Normal 6 3 5 4 3" xfId="7509"/>
    <cellStyle name="Normal 6 3 5 5" xfId="4568"/>
    <cellStyle name="Normal 6 3 5 6" xfId="5052"/>
    <cellStyle name="Normal 6 3 5 7" xfId="5554"/>
    <cellStyle name="Normal 6 3 5 8" xfId="2584"/>
    <cellStyle name="Normal 6 3 5 9" xfId="6495"/>
    <cellStyle name="Normal 6 3 6" xfId="623"/>
    <cellStyle name="Normal 6 3 6 2" xfId="1137"/>
    <cellStyle name="Normal 6 3 6 2 2" xfId="4200"/>
    <cellStyle name="Normal 6 3 6 2 3" xfId="3190"/>
    <cellStyle name="Normal 6 3 6 2 4" xfId="6877"/>
    <cellStyle name="Normal 6 3 6 3" xfId="1645"/>
    <cellStyle name="Normal 6 3 6 3 2" xfId="3458"/>
    <cellStyle name="Normal 6 3 6 3 3" xfId="7385"/>
    <cellStyle name="Normal 6 3 6 4" xfId="4684"/>
    <cellStyle name="Normal 6 3 6 5" xfId="5176"/>
    <cellStyle name="Normal 6 3 6 6" xfId="5678"/>
    <cellStyle name="Normal 6 3 6 7" xfId="2472"/>
    <cellStyle name="Normal 6 3 6 8" xfId="6368"/>
    <cellStyle name="Normal 6 3 7" xfId="879"/>
    <cellStyle name="Normal 6 3 7 2" xfId="1385"/>
    <cellStyle name="Normal 6 3 7 2 2" xfId="3706"/>
    <cellStyle name="Normal 6 3 7 2 3" xfId="7125"/>
    <cellStyle name="Normal 6 3 7 3" xfId="1893"/>
    <cellStyle name="Normal 6 3 7 3 2" xfId="7633"/>
    <cellStyle name="Normal 6 3 7 4" xfId="2702"/>
    <cellStyle name="Normal 6 3 7 5" xfId="6619"/>
    <cellStyle name="Normal 6 3 8" xfId="223"/>
    <cellStyle name="Normal 6 3 8 2" xfId="3954"/>
    <cellStyle name="Normal 6 3 8 3" xfId="2944"/>
    <cellStyle name="Normal 6 3 8 4" xfId="6281"/>
    <cellStyle name="Normal 6 3 9" xfId="1127"/>
    <cellStyle name="Normal 6 3 9 2" xfId="3448"/>
    <cellStyle name="Normal 6 3 9 3" xfId="6867"/>
    <cellStyle name="Normal 6 4" xfId="625"/>
    <cellStyle name="Normal 6 4 10" xfId="4932"/>
    <cellStyle name="Normal 6 4 11" xfId="5432"/>
    <cellStyle name="Normal 6 4 12" xfId="2474"/>
    <cellStyle name="Normal 6 4 13" xfId="6370"/>
    <cellStyle name="Normal 6 4 2" xfId="655"/>
    <cellStyle name="Normal 6 4 2 10" xfId="2494"/>
    <cellStyle name="Normal 6 4 2 11" xfId="6395"/>
    <cellStyle name="Normal 6 4 2 2" xfId="729"/>
    <cellStyle name="Normal 6 4 2 2 10" xfId="6469"/>
    <cellStyle name="Normal 6 4 2 2 2" xfId="853"/>
    <cellStyle name="Normal 6 4 2 2 2 2" xfId="1101"/>
    <cellStyle name="Normal 6 4 2 2 2 2 2" xfId="1607"/>
    <cellStyle name="Normal 6 4 2 2 2 2 2 2" xfId="4422"/>
    <cellStyle name="Normal 6 4 2 2 2 2 2 3" xfId="3412"/>
    <cellStyle name="Normal 6 4 2 2 2 2 2 4" xfId="7347"/>
    <cellStyle name="Normal 6 4 2 2 2 2 3" xfId="2115"/>
    <cellStyle name="Normal 6 4 2 2 2 2 3 2" xfId="3928"/>
    <cellStyle name="Normal 6 4 2 2 2 2 3 3" xfId="7855"/>
    <cellStyle name="Normal 6 4 2 2 2 2 4" xfId="4900"/>
    <cellStyle name="Normal 6 4 2 2 2 2 5" xfId="5398"/>
    <cellStyle name="Normal 6 4 2 2 2 2 6" xfId="5900"/>
    <cellStyle name="Normal 6 4 2 2 2 2 7" xfId="2918"/>
    <cellStyle name="Normal 6 4 2 2 2 2 8" xfId="6841"/>
    <cellStyle name="Normal 6 4 2 2 2 3" xfId="1359"/>
    <cellStyle name="Normal 6 4 2 2 2 3 2" xfId="4174"/>
    <cellStyle name="Normal 6 4 2 2 2 3 3" xfId="3164"/>
    <cellStyle name="Normal 6 4 2 2 2 3 4" xfId="7099"/>
    <cellStyle name="Normal 6 4 2 2 2 4" xfId="1867"/>
    <cellStyle name="Normal 6 4 2 2 2 4 2" xfId="3680"/>
    <cellStyle name="Normal 6 4 2 2 2 4 3" xfId="7607"/>
    <cellStyle name="Normal 6 4 2 2 2 5" xfId="4660"/>
    <cellStyle name="Normal 6 4 2 2 2 6" xfId="5150"/>
    <cellStyle name="Normal 6 4 2 2 2 7" xfId="5652"/>
    <cellStyle name="Normal 6 4 2 2 2 8" xfId="2676"/>
    <cellStyle name="Normal 6 4 2 2 2 9" xfId="6593"/>
    <cellStyle name="Normal 6 4 2 2 3" xfId="977"/>
    <cellStyle name="Normal 6 4 2 2 3 2" xfId="1483"/>
    <cellStyle name="Normal 6 4 2 2 3 2 2" xfId="4298"/>
    <cellStyle name="Normal 6 4 2 2 3 2 3" xfId="3288"/>
    <cellStyle name="Normal 6 4 2 2 3 2 4" xfId="7223"/>
    <cellStyle name="Normal 6 4 2 2 3 3" xfId="1991"/>
    <cellStyle name="Normal 6 4 2 2 3 3 2" xfId="3804"/>
    <cellStyle name="Normal 6 4 2 2 3 3 3" xfId="7731"/>
    <cellStyle name="Normal 6 4 2 2 3 4" xfId="4776"/>
    <cellStyle name="Normal 6 4 2 2 3 5" xfId="5274"/>
    <cellStyle name="Normal 6 4 2 2 3 6" xfId="5776"/>
    <cellStyle name="Normal 6 4 2 2 3 7" xfId="2794"/>
    <cellStyle name="Normal 6 4 2 2 3 8" xfId="6717"/>
    <cellStyle name="Normal 6 4 2 2 4" xfId="1235"/>
    <cellStyle name="Normal 6 4 2 2 4 2" xfId="4050"/>
    <cellStyle name="Normal 6 4 2 2 4 3" xfId="3040"/>
    <cellStyle name="Normal 6 4 2 2 4 4" xfId="6975"/>
    <cellStyle name="Normal 6 4 2 2 5" xfId="1743"/>
    <cellStyle name="Normal 6 4 2 2 5 2" xfId="3556"/>
    <cellStyle name="Normal 6 4 2 2 5 3" xfId="7483"/>
    <cellStyle name="Normal 6 4 2 2 6" xfId="4544"/>
    <cellStyle name="Normal 6 4 2 2 7" xfId="5026"/>
    <cellStyle name="Normal 6 4 2 2 8" xfId="5528"/>
    <cellStyle name="Normal 6 4 2 2 9" xfId="2560"/>
    <cellStyle name="Normal 6 4 2 3" xfId="779"/>
    <cellStyle name="Normal 6 4 2 3 2" xfId="1027"/>
    <cellStyle name="Normal 6 4 2 3 2 2" xfId="1533"/>
    <cellStyle name="Normal 6 4 2 3 2 2 2" xfId="4348"/>
    <cellStyle name="Normal 6 4 2 3 2 2 3" xfId="3338"/>
    <cellStyle name="Normal 6 4 2 3 2 2 4" xfId="7273"/>
    <cellStyle name="Normal 6 4 2 3 2 3" xfId="2041"/>
    <cellStyle name="Normal 6 4 2 3 2 3 2" xfId="3854"/>
    <cellStyle name="Normal 6 4 2 3 2 3 3" xfId="7781"/>
    <cellStyle name="Normal 6 4 2 3 2 4" xfId="4826"/>
    <cellStyle name="Normal 6 4 2 3 2 5" xfId="5324"/>
    <cellStyle name="Normal 6 4 2 3 2 6" xfId="5826"/>
    <cellStyle name="Normal 6 4 2 3 2 7" xfId="2844"/>
    <cellStyle name="Normal 6 4 2 3 2 8" xfId="6767"/>
    <cellStyle name="Normal 6 4 2 3 3" xfId="1285"/>
    <cellStyle name="Normal 6 4 2 3 3 2" xfId="4100"/>
    <cellStyle name="Normal 6 4 2 3 3 3" xfId="3090"/>
    <cellStyle name="Normal 6 4 2 3 3 4" xfId="7025"/>
    <cellStyle name="Normal 6 4 2 3 4" xfId="1793"/>
    <cellStyle name="Normal 6 4 2 3 4 2" xfId="3606"/>
    <cellStyle name="Normal 6 4 2 3 4 3" xfId="7533"/>
    <cellStyle name="Normal 6 4 2 3 5" xfId="4590"/>
    <cellStyle name="Normal 6 4 2 3 6" xfId="5076"/>
    <cellStyle name="Normal 6 4 2 3 7" xfId="5578"/>
    <cellStyle name="Normal 6 4 2 3 8" xfId="2606"/>
    <cellStyle name="Normal 6 4 2 3 9" xfId="6519"/>
    <cellStyle name="Normal 6 4 2 4" xfId="903"/>
    <cellStyle name="Normal 6 4 2 4 2" xfId="1409"/>
    <cellStyle name="Normal 6 4 2 4 2 2" xfId="4224"/>
    <cellStyle name="Normal 6 4 2 4 2 3" xfId="3214"/>
    <cellStyle name="Normal 6 4 2 4 2 4" xfId="7149"/>
    <cellStyle name="Normal 6 4 2 4 3" xfId="1917"/>
    <cellStyle name="Normal 6 4 2 4 3 2" xfId="3730"/>
    <cellStyle name="Normal 6 4 2 4 3 3" xfId="7657"/>
    <cellStyle name="Normal 6 4 2 4 4" xfId="4706"/>
    <cellStyle name="Normal 6 4 2 4 5" xfId="5200"/>
    <cellStyle name="Normal 6 4 2 4 6" xfId="5702"/>
    <cellStyle name="Normal 6 4 2 4 7" xfId="2724"/>
    <cellStyle name="Normal 6 4 2 4 8" xfId="6643"/>
    <cellStyle name="Normal 6 4 2 5" xfId="1161"/>
    <cellStyle name="Normal 6 4 2 5 2" xfId="3978"/>
    <cellStyle name="Normal 6 4 2 5 3" xfId="2968"/>
    <cellStyle name="Normal 6 4 2 5 4" xfId="6901"/>
    <cellStyle name="Normal 6 4 2 6" xfId="1669"/>
    <cellStyle name="Normal 6 4 2 6 2" xfId="3482"/>
    <cellStyle name="Normal 6 4 2 6 3" xfId="7409"/>
    <cellStyle name="Normal 6 4 2 7" xfId="4478"/>
    <cellStyle name="Normal 6 4 2 8" xfId="4952"/>
    <cellStyle name="Normal 6 4 2 9" xfId="5454"/>
    <cellStyle name="Normal 6 4 3" xfId="675"/>
    <cellStyle name="Normal 6 4 3 10" xfId="2512"/>
    <cellStyle name="Normal 6 4 3 11" xfId="6415"/>
    <cellStyle name="Normal 6 4 3 2" xfId="730"/>
    <cellStyle name="Normal 6 4 3 2 10" xfId="6470"/>
    <cellStyle name="Normal 6 4 3 2 2" xfId="854"/>
    <cellStyle name="Normal 6 4 3 2 2 2" xfId="1102"/>
    <cellStyle name="Normal 6 4 3 2 2 2 2" xfId="1608"/>
    <cellStyle name="Normal 6 4 3 2 2 2 2 2" xfId="4423"/>
    <cellStyle name="Normal 6 4 3 2 2 2 2 3" xfId="3413"/>
    <cellStyle name="Normal 6 4 3 2 2 2 2 4" xfId="7348"/>
    <cellStyle name="Normal 6 4 3 2 2 2 3" xfId="2116"/>
    <cellStyle name="Normal 6 4 3 2 2 2 3 2" xfId="3929"/>
    <cellStyle name="Normal 6 4 3 2 2 2 3 3" xfId="7856"/>
    <cellStyle name="Normal 6 4 3 2 2 2 4" xfId="4901"/>
    <cellStyle name="Normal 6 4 3 2 2 2 5" xfId="5399"/>
    <cellStyle name="Normal 6 4 3 2 2 2 6" xfId="5901"/>
    <cellStyle name="Normal 6 4 3 2 2 2 7" xfId="2919"/>
    <cellStyle name="Normal 6 4 3 2 2 2 8" xfId="6842"/>
    <cellStyle name="Normal 6 4 3 2 2 3" xfId="1360"/>
    <cellStyle name="Normal 6 4 3 2 2 3 2" xfId="4175"/>
    <cellStyle name="Normal 6 4 3 2 2 3 3" xfId="3165"/>
    <cellStyle name="Normal 6 4 3 2 2 3 4" xfId="7100"/>
    <cellStyle name="Normal 6 4 3 2 2 4" xfId="1868"/>
    <cellStyle name="Normal 6 4 3 2 2 4 2" xfId="3681"/>
    <cellStyle name="Normal 6 4 3 2 2 4 3" xfId="7608"/>
    <cellStyle name="Normal 6 4 3 2 2 5" xfId="4661"/>
    <cellStyle name="Normal 6 4 3 2 2 6" xfId="5151"/>
    <cellStyle name="Normal 6 4 3 2 2 7" xfId="5653"/>
    <cellStyle name="Normal 6 4 3 2 2 8" xfId="2677"/>
    <cellStyle name="Normal 6 4 3 2 2 9" xfId="6594"/>
    <cellStyle name="Normal 6 4 3 2 3" xfId="978"/>
    <cellStyle name="Normal 6 4 3 2 3 2" xfId="1484"/>
    <cellStyle name="Normal 6 4 3 2 3 2 2" xfId="4299"/>
    <cellStyle name="Normal 6 4 3 2 3 2 3" xfId="3289"/>
    <cellStyle name="Normal 6 4 3 2 3 2 4" xfId="7224"/>
    <cellStyle name="Normal 6 4 3 2 3 3" xfId="1992"/>
    <cellStyle name="Normal 6 4 3 2 3 3 2" xfId="3805"/>
    <cellStyle name="Normal 6 4 3 2 3 3 3" xfId="7732"/>
    <cellStyle name="Normal 6 4 3 2 3 4" xfId="4777"/>
    <cellStyle name="Normal 6 4 3 2 3 5" xfId="5275"/>
    <cellStyle name="Normal 6 4 3 2 3 6" xfId="5777"/>
    <cellStyle name="Normal 6 4 3 2 3 7" xfId="2795"/>
    <cellStyle name="Normal 6 4 3 2 3 8" xfId="6718"/>
    <cellStyle name="Normal 6 4 3 2 4" xfId="1236"/>
    <cellStyle name="Normal 6 4 3 2 4 2" xfId="4051"/>
    <cellStyle name="Normal 6 4 3 2 4 3" xfId="3041"/>
    <cellStyle name="Normal 6 4 3 2 4 4" xfId="6976"/>
    <cellStyle name="Normal 6 4 3 2 5" xfId="1744"/>
    <cellStyle name="Normal 6 4 3 2 5 2" xfId="3557"/>
    <cellStyle name="Normal 6 4 3 2 5 3" xfId="7484"/>
    <cellStyle name="Normal 6 4 3 2 6" xfId="4545"/>
    <cellStyle name="Normal 6 4 3 2 7" xfId="5027"/>
    <cellStyle name="Normal 6 4 3 2 8" xfId="5529"/>
    <cellStyle name="Normal 6 4 3 2 9" xfId="2561"/>
    <cellStyle name="Normal 6 4 3 3" xfId="799"/>
    <cellStyle name="Normal 6 4 3 3 2" xfId="1047"/>
    <cellStyle name="Normal 6 4 3 3 2 2" xfId="1553"/>
    <cellStyle name="Normal 6 4 3 3 2 2 2" xfId="4368"/>
    <cellStyle name="Normal 6 4 3 3 2 2 3" xfId="3358"/>
    <cellStyle name="Normal 6 4 3 3 2 2 4" xfId="7293"/>
    <cellStyle name="Normal 6 4 3 3 2 3" xfId="2061"/>
    <cellStyle name="Normal 6 4 3 3 2 3 2" xfId="3874"/>
    <cellStyle name="Normal 6 4 3 3 2 3 3" xfId="7801"/>
    <cellStyle name="Normal 6 4 3 3 2 4" xfId="4846"/>
    <cellStyle name="Normal 6 4 3 3 2 5" xfId="5344"/>
    <cellStyle name="Normal 6 4 3 3 2 6" xfId="5846"/>
    <cellStyle name="Normal 6 4 3 3 2 7" xfId="2864"/>
    <cellStyle name="Normal 6 4 3 3 2 8" xfId="6787"/>
    <cellStyle name="Normal 6 4 3 3 3" xfId="1305"/>
    <cellStyle name="Normal 6 4 3 3 3 2" xfId="4120"/>
    <cellStyle name="Normal 6 4 3 3 3 3" xfId="3110"/>
    <cellStyle name="Normal 6 4 3 3 3 4" xfId="7045"/>
    <cellStyle name="Normal 6 4 3 3 4" xfId="1813"/>
    <cellStyle name="Normal 6 4 3 3 4 2" xfId="3626"/>
    <cellStyle name="Normal 6 4 3 3 4 3" xfId="7553"/>
    <cellStyle name="Normal 6 4 3 3 5" xfId="4608"/>
    <cellStyle name="Normal 6 4 3 3 6" xfId="5096"/>
    <cellStyle name="Normal 6 4 3 3 7" xfId="5598"/>
    <cellStyle name="Normal 6 4 3 3 8" xfId="2624"/>
    <cellStyle name="Normal 6 4 3 3 9" xfId="6539"/>
    <cellStyle name="Normal 6 4 3 4" xfId="923"/>
    <cellStyle name="Normal 6 4 3 4 2" xfId="1429"/>
    <cellStyle name="Normal 6 4 3 4 2 2" xfId="4244"/>
    <cellStyle name="Normal 6 4 3 4 2 3" xfId="3234"/>
    <cellStyle name="Normal 6 4 3 4 2 4" xfId="7169"/>
    <cellStyle name="Normal 6 4 3 4 3" xfId="1937"/>
    <cellStyle name="Normal 6 4 3 4 3 2" xfId="3750"/>
    <cellStyle name="Normal 6 4 3 4 3 3" xfId="7677"/>
    <cellStyle name="Normal 6 4 3 4 4" xfId="4724"/>
    <cellStyle name="Normal 6 4 3 4 5" xfId="5220"/>
    <cellStyle name="Normal 6 4 3 4 6" xfId="5722"/>
    <cellStyle name="Normal 6 4 3 4 7" xfId="2742"/>
    <cellStyle name="Normal 6 4 3 4 8" xfId="6663"/>
    <cellStyle name="Normal 6 4 3 5" xfId="1181"/>
    <cellStyle name="Normal 6 4 3 5 2" xfId="3998"/>
    <cellStyle name="Normal 6 4 3 5 3" xfId="2988"/>
    <cellStyle name="Normal 6 4 3 5 4" xfId="6921"/>
    <cellStyle name="Normal 6 4 3 6" xfId="1689"/>
    <cellStyle name="Normal 6 4 3 6 2" xfId="3502"/>
    <cellStyle name="Normal 6 4 3 6 3" xfId="7429"/>
    <cellStyle name="Normal 6 4 3 7" xfId="4496"/>
    <cellStyle name="Normal 6 4 3 8" xfId="4972"/>
    <cellStyle name="Normal 6 4 3 9" xfId="5474"/>
    <cellStyle name="Normal 6 4 4" xfId="728"/>
    <cellStyle name="Normal 6 4 4 10" xfId="6468"/>
    <cellStyle name="Normal 6 4 4 2" xfId="852"/>
    <cellStyle name="Normal 6 4 4 2 2" xfId="1100"/>
    <cellStyle name="Normal 6 4 4 2 2 2" xfId="1606"/>
    <cellStyle name="Normal 6 4 4 2 2 2 2" xfId="4421"/>
    <cellStyle name="Normal 6 4 4 2 2 2 3" xfId="3411"/>
    <cellStyle name="Normal 6 4 4 2 2 2 4" xfId="7346"/>
    <cellStyle name="Normal 6 4 4 2 2 3" xfId="2114"/>
    <cellStyle name="Normal 6 4 4 2 2 3 2" xfId="3927"/>
    <cellStyle name="Normal 6 4 4 2 2 3 3" xfId="7854"/>
    <cellStyle name="Normal 6 4 4 2 2 4" xfId="4899"/>
    <cellStyle name="Normal 6 4 4 2 2 5" xfId="5397"/>
    <cellStyle name="Normal 6 4 4 2 2 6" xfId="5899"/>
    <cellStyle name="Normal 6 4 4 2 2 7" xfId="2917"/>
    <cellStyle name="Normal 6 4 4 2 2 8" xfId="6840"/>
    <cellStyle name="Normal 6 4 4 2 3" xfId="1358"/>
    <cellStyle name="Normal 6 4 4 2 3 2" xfId="4173"/>
    <cellStyle name="Normal 6 4 4 2 3 3" xfId="3163"/>
    <cellStyle name="Normal 6 4 4 2 3 4" xfId="7098"/>
    <cellStyle name="Normal 6 4 4 2 4" xfId="1866"/>
    <cellStyle name="Normal 6 4 4 2 4 2" xfId="3679"/>
    <cellStyle name="Normal 6 4 4 2 4 3" xfId="7606"/>
    <cellStyle name="Normal 6 4 4 2 5" xfId="4659"/>
    <cellStyle name="Normal 6 4 4 2 6" xfId="5149"/>
    <cellStyle name="Normal 6 4 4 2 7" xfId="5651"/>
    <cellStyle name="Normal 6 4 4 2 8" xfId="2675"/>
    <cellStyle name="Normal 6 4 4 2 9" xfId="6592"/>
    <cellStyle name="Normal 6 4 4 3" xfId="976"/>
    <cellStyle name="Normal 6 4 4 3 2" xfId="1482"/>
    <cellStyle name="Normal 6 4 4 3 2 2" xfId="4297"/>
    <cellStyle name="Normal 6 4 4 3 2 3" xfId="3287"/>
    <cellStyle name="Normal 6 4 4 3 2 4" xfId="7222"/>
    <cellStyle name="Normal 6 4 4 3 3" xfId="1990"/>
    <cellStyle name="Normal 6 4 4 3 3 2" xfId="3803"/>
    <cellStyle name="Normal 6 4 4 3 3 3" xfId="7730"/>
    <cellStyle name="Normal 6 4 4 3 4" xfId="4775"/>
    <cellStyle name="Normal 6 4 4 3 5" xfId="5273"/>
    <cellStyle name="Normal 6 4 4 3 6" xfId="5775"/>
    <cellStyle name="Normal 6 4 4 3 7" xfId="2793"/>
    <cellStyle name="Normal 6 4 4 3 8" xfId="6716"/>
    <cellStyle name="Normal 6 4 4 4" xfId="1234"/>
    <cellStyle name="Normal 6 4 4 4 2" xfId="4049"/>
    <cellStyle name="Normal 6 4 4 4 3" xfId="3039"/>
    <cellStyle name="Normal 6 4 4 4 4" xfId="6974"/>
    <cellStyle name="Normal 6 4 4 5" xfId="1742"/>
    <cellStyle name="Normal 6 4 4 5 2" xfId="3555"/>
    <cellStyle name="Normal 6 4 4 5 3" xfId="7482"/>
    <cellStyle name="Normal 6 4 4 6" xfId="4543"/>
    <cellStyle name="Normal 6 4 4 7" xfId="5025"/>
    <cellStyle name="Normal 6 4 4 8" xfId="5527"/>
    <cellStyle name="Normal 6 4 4 9" xfId="2559"/>
    <cellStyle name="Normal 6 4 5" xfId="757"/>
    <cellStyle name="Normal 6 4 5 2" xfId="1005"/>
    <cellStyle name="Normal 6 4 5 2 2" xfId="1511"/>
    <cellStyle name="Normal 6 4 5 2 2 2" xfId="4326"/>
    <cellStyle name="Normal 6 4 5 2 2 3" xfId="3316"/>
    <cellStyle name="Normal 6 4 5 2 2 4" xfId="7251"/>
    <cellStyle name="Normal 6 4 5 2 3" xfId="2019"/>
    <cellStyle name="Normal 6 4 5 2 3 2" xfId="3832"/>
    <cellStyle name="Normal 6 4 5 2 3 3" xfId="7759"/>
    <cellStyle name="Normal 6 4 5 2 4" xfId="4804"/>
    <cellStyle name="Normal 6 4 5 2 5" xfId="5302"/>
    <cellStyle name="Normal 6 4 5 2 6" xfId="5804"/>
    <cellStyle name="Normal 6 4 5 2 7" xfId="2822"/>
    <cellStyle name="Normal 6 4 5 2 8" xfId="6745"/>
    <cellStyle name="Normal 6 4 5 3" xfId="1263"/>
    <cellStyle name="Normal 6 4 5 3 2" xfId="4078"/>
    <cellStyle name="Normal 6 4 5 3 3" xfId="3068"/>
    <cellStyle name="Normal 6 4 5 3 4" xfId="7003"/>
    <cellStyle name="Normal 6 4 5 4" xfId="1771"/>
    <cellStyle name="Normal 6 4 5 4 2" xfId="3584"/>
    <cellStyle name="Normal 6 4 5 4 3" xfId="7511"/>
    <cellStyle name="Normal 6 4 5 5" xfId="4570"/>
    <cellStyle name="Normal 6 4 5 6" xfId="5054"/>
    <cellStyle name="Normal 6 4 5 7" xfId="5556"/>
    <cellStyle name="Normal 6 4 5 8" xfId="2586"/>
    <cellStyle name="Normal 6 4 5 9" xfId="6497"/>
    <cellStyle name="Normal 6 4 6" xfId="881"/>
    <cellStyle name="Normal 6 4 6 2" xfId="1387"/>
    <cellStyle name="Normal 6 4 6 2 2" xfId="4202"/>
    <cellStyle name="Normal 6 4 6 2 3" xfId="3192"/>
    <cellStyle name="Normal 6 4 6 2 4" xfId="7127"/>
    <cellStyle name="Normal 6 4 6 3" xfId="1895"/>
    <cellStyle name="Normal 6 4 6 3 2" xfId="3708"/>
    <cellStyle name="Normal 6 4 6 3 3" xfId="7635"/>
    <cellStyle name="Normal 6 4 6 4" xfId="4686"/>
    <cellStyle name="Normal 6 4 6 5" xfId="5178"/>
    <cellStyle name="Normal 6 4 6 6" xfId="5680"/>
    <cellStyle name="Normal 6 4 6 7" xfId="2704"/>
    <cellStyle name="Normal 6 4 6 8" xfId="6621"/>
    <cellStyle name="Normal 6 4 7" xfId="1139"/>
    <cellStyle name="Normal 6 4 7 2" xfId="3956"/>
    <cellStyle name="Normal 6 4 7 3" xfId="2946"/>
    <cellStyle name="Normal 6 4 7 4" xfId="6879"/>
    <cellStyle name="Normal 6 4 8" xfId="1647"/>
    <cellStyle name="Normal 6 4 8 2" xfId="3460"/>
    <cellStyle name="Normal 6 4 8 3" xfId="7387"/>
    <cellStyle name="Normal 6 4 9" xfId="4456"/>
    <cellStyle name="Normal 6 5" xfId="627"/>
    <cellStyle name="Normal 6 5 10" xfId="4934"/>
    <cellStyle name="Normal 6 5 11" xfId="5434"/>
    <cellStyle name="Normal 6 5 12" xfId="2476"/>
    <cellStyle name="Normal 6 5 13" xfId="6372"/>
    <cellStyle name="Normal 6 5 2" xfId="657"/>
    <cellStyle name="Normal 6 5 2 10" xfId="2496"/>
    <cellStyle name="Normal 6 5 2 11" xfId="6397"/>
    <cellStyle name="Normal 6 5 2 2" xfId="732"/>
    <cellStyle name="Normal 6 5 2 2 10" xfId="6472"/>
    <cellStyle name="Normal 6 5 2 2 2" xfId="856"/>
    <cellStyle name="Normal 6 5 2 2 2 2" xfId="1104"/>
    <cellStyle name="Normal 6 5 2 2 2 2 2" xfId="1610"/>
    <cellStyle name="Normal 6 5 2 2 2 2 2 2" xfId="4425"/>
    <cellStyle name="Normal 6 5 2 2 2 2 2 3" xfId="3415"/>
    <cellStyle name="Normal 6 5 2 2 2 2 2 4" xfId="7350"/>
    <cellStyle name="Normal 6 5 2 2 2 2 3" xfId="2118"/>
    <cellStyle name="Normal 6 5 2 2 2 2 3 2" xfId="3931"/>
    <cellStyle name="Normal 6 5 2 2 2 2 3 3" xfId="7858"/>
    <cellStyle name="Normal 6 5 2 2 2 2 4" xfId="4903"/>
    <cellStyle name="Normal 6 5 2 2 2 2 5" xfId="5401"/>
    <cellStyle name="Normal 6 5 2 2 2 2 6" xfId="5903"/>
    <cellStyle name="Normal 6 5 2 2 2 2 7" xfId="2921"/>
    <cellStyle name="Normal 6 5 2 2 2 2 8" xfId="6844"/>
    <cellStyle name="Normal 6 5 2 2 2 3" xfId="1362"/>
    <cellStyle name="Normal 6 5 2 2 2 3 2" xfId="4177"/>
    <cellStyle name="Normal 6 5 2 2 2 3 3" xfId="3167"/>
    <cellStyle name="Normal 6 5 2 2 2 3 4" xfId="7102"/>
    <cellStyle name="Normal 6 5 2 2 2 4" xfId="1870"/>
    <cellStyle name="Normal 6 5 2 2 2 4 2" xfId="3683"/>
    <cellStyle name="Normal 6 5 2 2 2 4 3" xfId="7610"/>
    <cellStyle name="Normal 6 5 2 2 2 5" xfId="4663"/>
    <cellStyle name="Normal 6 5 2 2 2 6" xfId="5153"/>
    <cellStyle name="Normal 6 5 2 2 2 7" xfId="5655"/>
    <cellStyle name="Normal 6 5 2 2 2 8" xfId="2679"/>
    <cellStyle name="Normal 6 5 2 2 2 9" xfId="6596"/>
    <cellStyle name="Normal 6 5 2 2 3" xfId="980"/>
    <cellStyle name="Normal 6 5 2 2 3 2" xfId="1486"/>
    <cellStyle name="Normal 6 5 2 2 3 2 2" xfId="4301"/>
    <cellStyle name="Normal 6 5 2 2 3 2 3" xfId="3291"/>
    <cellStyle name="Normal 6 5 2 2 3 2 4" xfId="7226"/>
    <cellStyle name="Normal 6 5 2 2 3 3" xfId="1994"/>
    <cellStyle name="Normal 6 5 2 2 3 3 2" xfId="3807"/>
    <cellStyle name="Normal 6 5 2 2 3 3 3" xfId="7734"/>
    <cellStyle name="Normal 6 5 2 2 3 4" xfId="4779"/>
    <cellStyle name="Normal 6 5 2 2 3 5" xfId="5277"/>
    <cellStyle name="Normal 6 5 2 2 3 6" xfId="5779"/>
    <cellStyle name="Normal 6 5 2 2 3 7" xfId="2797"/>
    <cellStyle name="Normal 6 5 2 2 3 8" xfId="6720"/>
    <cellStyle name="Normal 6 5 2 2 4" xfId="1238"/>
    <cellStyle name="Normal 6 5 2 2 4 2" xfId="4053"/>
    <cellStyle name="Normal 6 5 2 2 4 3" xfId="3043"/>
    <cellStyle name="Normal 6 5 2 2 4 4" xfId="6978"/>
    <cellStyle name="Normal 6 5 2 2 5" xfId="1746"/>
    <cellStyle name="Normal 6 5 2 2 5 2" xfId="3559"/>
    <cellStyle name="Normal 6 5 2 2 5 3" xfId="7486"/>
    <cellStyle name="Normal 6 5 2 2 6" xfId="4547"/>
    <cellStyle name="Normal 6 5 2 2 7" xfId="5029"/>
    <cellStyle name="Normal 6 5 2 2 8" xfId="5531"/>
    <cellStyle name="Normal 6 5 2 2 9" xfId="2563"/>
    <cellStyle name="Normal 6 5 2 3" xfId="781"/>
    <cellStyle name="Normal 6 5 2 3 2" xfId="1029"/>
    <cellStyle name="Normal 6 5 2 3 2 2" xfId="1535"/>
    <cellStyle name="Normal 6 5 2 3 2 2 2" xfId="4350"/>
    <cellStyle name="Normal 6 5 2 3 2 2 3" xfId="3340"/>
    <cellStyle name="Normal 6 5 2 3 2 2 4" xfId="7275"/>
    <cellStyle name="Normal 6 5 2 3 2 3" xfId="2043"/>
    <cellStyle name="Normal 6 5 2 3 2 3 2" xfId="3856"/>
    <cellStyle name="Normal 6 5 2 3 2 3 3" xfId="7783"/>
    <cellStyle name="Normal 6 5 2 3 2 4" xfId="4828"/>
    <cellStyle name="Normal 6 5 2 3 2 5" xfId="5326"/>
    <cellStyle name="Normal 6 5 2 3 2 6" xfId="5828"/>
    <cellStyle name="Normal 6 5 2 3 2 7" xfId="2846"/>
    <cellStyle name="Normal 6 5 2 3 2 8" xfId="6769"/>
    <cellStyle name="Normal 6 5 2 3 3" xfId="1287"/>
    <cellStyle name="Normal 6 5 2 3 3 2" xfId="4102"/>
    <cellStyle name="Normal 6 5 2 3 3 3" xfId="3092"/>
    <cellStyle name="Normal 6 5 2 3 3 4" xfId="7027"/>
    <cellStyle name="Normal 6 5 2 3 4" xfId="1795"/>
    <cellStyle name="Normal 6 5 2 3 4 2" xfId="3608"/>
    <cellStyle name="Normal 6 5 2 3 4 3" xfId="7535"/>
    <cellStyle name="Normal 6 5 2 3 5" xfId="4592"/>
    <cellStyle name="Normal 6 5 2 3 6" xfId="5078"/>
    <cellStyle name="Normal 6 5 2 3 7" xfId="5580"/>
    <cellStyle name="Normal 6 5 2 3 8" xfId="2608"/>
    <cellStyle name="Normal 6 5 2 3 9" xfId="6521"/>
    <cellStyle name="Normal 6 5 2 4" xfId="905"/>
    <cellStyle name="Normal 6 5 2 4 2" xfId="1411"/>
    <cellStyle name="Normal 6 5 2 4 2 2" xfId="4226"/>
    <cellStyle name="Normal 6 5 2 4 2 3" xfId="3216"/>
    <cellStyle name="Normal 6 5 2 4 2 4" xfId="7151"/>
    <cellStyle name="Normal 6 5 2 4 3" xfId="1919"/>
    <cellStyle name="Normal 6 5 2 4 3 2" xfId="3732"/>
    <cellStyle name="Normal 6 5 2 4 3 3" xfId="7659"/>
    <cellStyle name="Normal 6 5 2 4 4" xfId="4708"/>
    <cellStyle name="Normal 6 5 2 4 5" xfId="5202"/>
    <cellStyle name="Normal 6 5 2 4 6" xfId="5704"/>
    <cellStyle name="Normal 6 5 2 4 7" xfId="2726"/>
    <cellStyle name="Normal 6 5 2 4 8" xfId="6645"/>
    <cellStyle name="Normal 6 5 2 5" xfId="1163"/>
    <cellStyle name="Normal 6 5 2 5 2" xfId="3980"/>
    <cellStyle name="Normal 6 5 2 5 3" xfId="2970"/>
    <cellStyle name="Normal 6 5 2 5 4" xfId="6903"/>
    <cellStyle name="Normal 6 5 2 6" xfId="1671"/>
    <cellStyle name="Normal 6 5 2 6 2" xfId="3484"/>
    <cellStyle name="Normal 6 5 2 6 3" xfId="7411"/>
    <cellStyle name="Normal 6 5 2 7" xfId="4480"/>
    <cellStyle name="Normal 6 5 2 8" xfId="4954"/>
    <cellStyle name="Normal 6 5 2 9" xfId="5456"/>
    <cellStyle name="Normal 6 5 3" xfId="677"/>
    <cellStyle name="Normal 6 5 3 10" xfId="2514"/>
    <cellStyle name="Normal 6 5 3 11" xfId="6417"/>
    <cellStyle name="Normal 6 5 3 2" xfId="733"/>
    <cellStyle name="Normal 6 5 3 2 10" xfId="6473"/>
    <cellStyle name="Normal 6 5 3 2 2" xfId="857"/>
    <cellStyle name="Normal 6 5 3 2 2 2" xfId="1105"/>
    <cellStyle name="Normal 6 5 3 2 2 2 2" xfId="1611"/>
    <cellStyle name="Normal 6 5 3 2 2 2 2 2" xfId="4426"/>
    <cellStyle name="Normal 6 5 3 2 2 2 2 3" xfId="3416"/>
    <cellStyle name="Normal 6 5 3 2 2 2 2 4" xfId="7351"/>
    <cellStyle name="Normal 6 5 3 2 2 2 3" xfId="2119"/>
    <cellStyle name="Normal 6 5 3 2 2 2 3 2" xfId="3932"/>
    <cellStyle name="Normal 6 5 3 2 2 2 3 3" xfId="7859"/>
    <cellStyle name="Normal 6 5 3 2 2 2 4" xfId="4904"/>
    <cellStyle name="Normal 6 5 3 2 2 2 5" xfId="5402"/>
    <cellStyle name="Normal 6 5 3 2 2 2 6" xfId="5904"/>
    <cellStyle name="Normal 6 5 3 2 2 2 7" xfId="2922"/>
    <cellStyle name="Normal 6 5 3 2 2 2 8" xfId="6845"/>
    <cellStyle name="Normal 6 5 3 2 2 3" xfId="1363"/>
    <cellStyle name="Normal 6 5 3 2 2 3 2" xfId="4178"/>
    <cellStyle name="Normal 6 5 3 2 2 3 3" xfId="3168"/>
    <cellStyle name="Normal 6 5 3 2 2 3 4" xfId="7103"/>
    <cellStyle name="Normal 6 5 3 2 2 4" xfId="1871"/>
    <cellStyle name="Normal 6 5 3 2 2 4 2" xfId="3684"/>
    <cellStyle name="Normal 6 5 3 2 2 4 3" xfId="7611"/>
    <cellStyle name="Normal 6 5 3 2 2 5" xfId="4664"/>
    <cellStyle name="Normal 6 5 3 2 2 6" xfId="5154"/>
    <cellStyle name="Normal 6 5 3 2 2 7" xfId="5656"/>
    <cellStyle name="Normal 6 5 3 2 2 8" xfId="2680"/>
    <cellStyle name="Normal 6 5 3 2 2 9" xfId="6597"/>
    <cellStyle name="Normal 6 5 3 2 3" xfId="981"/>
    <cellStyle name="Normal 6 5 3 2 3 2" xfId="1487"/>
    <cellStyle name="Normal 6 5 3 2 3 2 2" xfId="4302"/>
    <cellStyle name="Normal 6 5 3 2 3 2 3" xfId="3292"/>
    <cellStyle name="Normal 6 5 3 2 3 2 4" xfId="7227"/>
    <cellStyle name="Normal 6 5 3 2 3 3" xfId="1995"/>
    <cellStyle name="Normal 6 5 3 2 3 3 2" xfId="3808"/>
    <cellStyle name="Normal 6 5 3 2 3 3 3" xfId="7735"/>
    <cellStyle name="Normal 6 5 3 2 3 4" xfId="4780"/>
    <cellStyle name="Normal 6 5 3 2 3 5" xfId="5278"/>
    <cellStyle name="Normal 6 5 3 2 3 6" xfId="5780"/>
    <cellStyle name="Normal 6 5 3 2 3 7" xfId="2798"/>
    <cellStyle name="Normal 6 5 3 2 3 8" xfId="6721"/>
    <cellStyle name="Normal 6 5 3 2 4" xfId="1239"/>
    <cellStyle name="Normal 6 5 3 2 4 2" xfId="4054"/>
    <cellStyle name="Normal 6 5 3 2 4 3" xfId="3044"/>
    <cellStyle name="Normal 6 5 3 2 4 4" xfId="6979"/>
    <cellStyle name="Normal 6 5 3 2 5" xfId="1747"/>
    <cellStyle name="Normal 6 5 3 2 5 2" xfId="3560"/>
    <cellStyle name="Normal 6 5 3 2 5 3" xfId="7487"/>
    <cellStyle name="Normal 6 5 3 2 6" xfId="4548"/>
    <cellStyle name="Normal 6 5 3 2 7" xfId="5030"/>
    <cellStyle name="Normal 6 5 3 2 8" xfId="5532"/>
    <cellStyle name="Normal 6 5 3 2 9" xfId="2564"/>
    <cellStyle name="Normal 6 5 3 3" xfId="801"/>
    <cellStyle name="Normal 6 5 3 3 2" xfId="1049"/>
    <cellStyle name="Normal 6 5 3 3 2 2" xfId="1555"/>
    <cellStyle name="Normal 6 5 3 3 2 2 2" xfId="4370"/>
    <cellStyle name="Normal 6 5 3 3 2 2 3" xfId="3360"/>
    <cellStyle name="Normal 6 5 3 3 2 2 4" xfId="7295"/>
    <cellStyle name="Normal 6 5 3 3 2 3" xfId="2063"/>
    <cellStyle name="Normal 6 5 3 3 2 3 2" xfId="3876"/>
    <cellStyle name="Normal 6 5 3 3 2 3 3" xfId="7803"/>
    <cellStyle name="Normal 6 5 3 3 2 4" xfId="4848"/>
    <cellStyle name="Normal 6 5 3 3 2 5" xfId="5346"/>
    <cellStyle name="Normal 6 5 3 3 2 6" xfId="5848"/>
    <cellStyle name="Normal 6 5 3 3 2 7" xfId="2866"/>
    <cellStyle name="Normal 6 5 3 3 2 8" xfId="6789"/>
    <cellStyle name="Normal 6 5 3 3 3" xfId="1307"/>
    <cellStyle name="Normal 6 5 3 3 3 2" xfId="4122"/>
    <cellStyle name="Normal 6 5 3 3 3 3" xfId="3112"/>
    <cellStyle name="Normal 6 5 3 3 3 4" xfId="7047"/>
    <cellStyle name="Normal 6 5 3 3 4" xfId="1815"/>
    <cellStyle name="Normal 6 5 3 3 4 2" xfId="3628"/>
    <cellStyle name="Normal 6 5 3 3 4 3" xfId="7555"/>
    <cellStyle name="Normal 6 5 3 3 5" xfId="4610"/>
    <cellStyle name="Normal 6 5 3 3 6" xfId="5098"/>
    <cellStyle name="Normal 6 5 3 3 7" xfId="5600"/>
    <cellStyle name="Normal 6 5 3 3 8" xfId="2626"/>
    <cellStyle name="Normal 6 5 3 3 9" xfId="6541"/>
    <cellStyle name="Normal 6 5 3 4" xfId="925"/>
    <cellStyle name="Normal 6 5 3 4 2" xfId="1431"/>
    <cellStyle name="Normal 6 5 3 4 2 2" xfId="4246"/>
    <cellStyle name="Normal 6 5 3 4 2 3" xfId="3236"/>
    <cellStyle name="Normal 6 5 3 4 2 4" xfId="7171"/>
    <cellStyle name="Normal 6 5 3 4 3" xfId="1939"/>
    <cellStyle name="Normal 6 5 3 4 3 2" xfId="3752"/>
    <cellStyle name="Normal 6 5 3 4 3 3" xfId="7679"/>
    <cellStyle name="Normal 6 5 3 4 4" xfId="4726"/>
    <cellStyle name="Normal 6 5 3 4 5" xfId="5222"/>
    <cellStyle name="Normal 6 5 3 4 6" xfId="5724"/>
    <cellStyle name="Normal 6 5 3 4 7" xfId="2744"/>
    <cellStyle name="Normal 6 5 3 4 8" xfId="6665"/>
    <cellStyle name="Normal 6 5 3 5" xfId="1183"/>
    <cellStyle name="Normal 6 5 3 5 2" xfId="4000"/>
    <cellStyle name="Normal 6 5 3 5 3" xfId="2990"/>
    <cellStyle name="Normal 6 5 3 5 4" xfId="6923"/>
    <cellStyle name="Normal 6 5 3 6" xfId="1691"/>
    <cellStyle name="Normal 6 5 3 6 2" xfId="3504"/>
    <cellStyle name="Normal 6 5 3 6 3" xfId="7431"/>
    <cellStyle name="Normal 6 5 3 7" xfId="4498"/>
    <cellStyle name="Normal 6 5 3 8" xfId="4974"/>
    <cellStyle name="Normal 6 5 3 9" xfId="5476"/>
    <cellStyle name="Normal 6 5 4" xfId="731"/>
    <cellStyle name="Normal 6 5 4 10" xfId="6471"/>
    <cellStyle name="Normal 6 5 4 2" xfId="855"/>
    <cellStyle name="Normal 6 5 4 2 2" xfId="1103"/>
    <cellStyle name="Normal 6 5 4 2 2 2" xfId="1609"/>
    <cellStyle name="Normal 6 5 4 2 2 2 2" xfId="4424"/>
    <cellStyle name="Normal 6 5 4 2 2 2 3" xfId="3414"/>
    <cellStyle name="Normal 6 5 4 2 2 2 4" xfId="7349"/>
    <cellStyle name="Normal 6 5 4 2 2 3" xfId="2117"/>
    <cellStyle name="Normal 6 5 4 2 2 3 2" xfId="3930"/>
    <cellStyle name="Normal 6 5 4 2 2 3 3" xfId="7857"/>
    <cellStyle name="Normal 6 5 4 2 2 4" xfId="4902"/>
    <cellStyle name="Normal 6 5 4 2 2 5" xfId="5400"/>
    <cellStyle name="Normal 6 5 4 2 2 6" xfId="5902"/>
    <cellStyle name="Normal 6 5 4 2 2 7" xfId="2920"/>
    <cellStyle name="Normal 6 5 4 2 2 8" xfId="6843"/>
    <cellStyle name="Normal 6 5 4 2 3" xfId="1361"/>
    <cellStyle name="Normal 6 5 4 2 3 2" xfId="4176"/>
    <cellStyle name="Normal 6 5 4 2 3 3" xfId="3166"/>
    <cellStyle name="Normal 6 5 4 2 3 4" xfId="7101"/>
    <cellStyle name="Normal 6 5 4 2 4" xfId="1869"/>
    <cellStyle name="Normal 6 5 4 2 4 2" xfId="3682"/>
    <cellStyle name="Normal 6 5 4 2 4 3" xfId="7609"/>
    <cellStyle name="Normal 6 5 4 2 5" xfId="4662"/>
    <cellStyle name="Normal 6 5 4 2 6" xfId="5152"/>
    <cellStyle name="Normal 6 5 4 2 7" xfId="5654"/>
    <cellStyle name="Normal 6 5 4 2 8" xfId="2678"/>
    <cellStyle name="Normal 6 5 4 2 9" xfId="6595"/>
    <cellStyle name="Normal 6 5 4 3" xfId="979"/>
    <cellStyle name="Normal 6 5 4 3 2" xfId="1485"/>
    <cellStyle name="Normal 6 5 4 3 2 2" xfId="4300"/>
    <cellStyle name="Normal 6 5 4 3 2 3" xfId="3290"/>
    <cellStyle name="Normal 6 5 4 3 2 4" xfId="7225"/>
    <cellStyle name="Normal 6 5 4 3 3" xfId="1993"/>
    <cellStyle name="Normal 6 5 4 3 3 2" xfId="3806"/>
    <cellStyle name="Normal 6 5 4 3 3 3" xfId="7733"/>
    <cellStyle name="Normal 6 5 4 3 4" xfId="4778"/>
    <cellStyle name="Normal 6 5 4 3 5" xfId="5276"/>
    <cellStyle name="Normal 6 5 4 3 6" xfId="5778"/>
    <cellStyle name="Normal 6 5 4 3 7" xfId="2796"/>
    <cellStyle name="Normal 6 5 4 3 8" xfId="6719"/>
    <cellStyle name="Normal 6 5 4 4" xfId="1237"/>
    <cellStyle name="Normal 6 5 4 4 2" xfId="4052"/>
    <cellStyle name="Normal 6 5 4 4 3" xfId="3042"/>
    <cellStyle name="Normal 6 5 4 4 4" xfId="6977"/>
    <cellStyle name="Normal 6 5 4 5" xfId="1745"/>
    <cellStyle name="Normal 6 5 4 5 2" xfId="3558"/>
    <cellStyle name="Normal 6 5 4 5 3" xfId="7485"/>
    <cellStyle name="Normal 6 5 4 6" xfId="4546"/>
    <cellStyle name="Normal 6 5 4 7" xfId="5028"/>
    <cellStyle name="Normal 6 5 4 8" xfId="5530"/>
    <cellStyle name="Normal 6 5 4 9" xfId="2562"/>
    <cellStyle name="Normal 6 5 5" xfId="759"/>
    <cellStyle name="Normal 6 5 5 2" xfId="1007"/>
    <cellStyle name="Normal 6 5 5 2 2" xfId="1513"/>
    <cellStyle name="Normal 6 5 5 2 2 2" xfId="4328"/>
    <cellStyle name="Normal 6 5 5 2 2 3" xfId="3318"/>
    <cellStyle name="Normal 6 5 5 2 2 4" xfId="7253"/>
    <cellStyle name="Normal 6 5 5 2 3" xfId="2021"/>
    <cellStyle name="Normal 6 5 5 2 3 2" xfId="3834"/>
    <cellStyle name="Normal 6 5 5 2 3 3" xfId="7761"/>
    <cellStyle name="Normal 6 5 5 2 4" xfId="4806"/>
    <cellStyle name="Normal 6 5 5 2 5" xfId="5304"/>
    <cellStyle name="Normal 6 5 5 2 6" xfId="5806"/>
    <cellStyle name="Normal 6 5 5 2 7" xfId="2824"/>
    <cellStyle name="Normal 6 5 5 2 8" xfId="6747"/>
    <cellStyle name="Normal 6 5 5 3" xfId="1265"/>
    <cellStyle name="Normal 6 5 5 3 2" xfId="4080"/>
    <cellStyle name="Normal 6 5 5 3 3" xfId="3070"/>
    <cellStyle name="Normal 6 5 5 3 4" xfId="7005"/>
    <cellStyle name="Normal 6 5 5 4" xfId="1773"/>
    <cellStyle name="Normal 6 5 5 4 2" xfId="3586"/>
    <cellStyle name="Normal 6 5 5 4 3" xfId="7513"/>
    <cellStyle name="Normal 6 5 5 5" xfId="4572"/>
    <cellStyle name="Normal 6 5 5 6" xfId="5056"/>
    <cellStyle name="Normal 6 5 5 7" xfId="5558"/>
    <cellStyle name="Normal 6 5 5 8" xfId="2588"/>
    <cellStyle name="Normal 6 5 5 9" xfId="6499"/>
    <cellStyle name="Normal 6 5 6" xfId="883"/>
    <cellStyle name="Normal 6 5 6 2" xfId="1389"/>
    <cellStyle name="Normal 6 5 6 2 2" xfId="4204"/>
    <cellStyle name="Normal 6 5 6 2 3" xfId="3194"/>
    <cellStyle name="Normal 6 5 6 2 4" xfId="7129"/>
    <cellStyle name="Normal 6 5 6 3" xfId="1897"/>
    <cellStyle name="Normal 6 5 6 3 2" xfId="3710"/>
    <cellStyle name="Normal 6 5 6 3 3" xfId="7637"/>
    <cellStyle name="Normal 6 5 6 4" xfId="4688"/>
    <cellStyle name="Normal 6 5 6 5" xfId="5180"/>
    <cellStyle name="Normal 6 5 6 6" xfId="5682"/>
    <cellStyle name="Normal 6 5 6 7" xfId="2706"/>
    <cellStyle name="Normal 6 5 6 8" xfId="6623"/>
    <cellStyle name="Normal 6 5 7" xfId="1141"/>
    <cellStyle name="Normal 6 5 7 2" xfId="3958"/>
    <cellStyle name="Normal 6 5 7 3" xfId="2948"/>
    <cellStyle name="Normal 6 5 7 4" xfId="6881"/>
    <cellStyle name="Normal 6 5 8" xfId="1649"/>
    <cellStyle name="Normal 6 5 8 2" xfId="3462"/>
    <cellStyle name="Normal 6 5 8 3" xfId="7389"/>
    <cellStyle name="Normal 6 5 9" xfId="4458"/>
    <cellStyle name="Normal 6 6" xfId="629"/>
    <cellStyle name="Normal 6 6 10" xfId="4936"/>
    <cellStyle name="Normal 6 6 11" xfId="5436"/>
    <cellStyle name="Normal 6 6 12" xfId="2478"/>
    <cellStyle name="Normal 6 6 13" xfId="6374"/>
    <cellStyle name="Normal 6 6 2" xfId="659"/>
    <cellStyle name="Normal 6 6 2 10" xfId="2498"/>
    <cellStyle name="Normal 6 6 2 11" xfId="6399"/>
    <cellStyle name="Normal 6 6 2 2" xfId="735"/>
    <cellStyle name="Normal 6 6 2 2 10" xfId="6475"/>
    <cellStyle name="Normal 6 6 2 2 2" xfId="859"/>
    <cellStyle name="Normal 6 6 2 2 2 2" xfId="1107"/>
    <cellStyle name="Normal 6 6 2 2 2 2 2" xfId="1613"/>
    <cellStyle name="Normal 6 6 2 2 2 2 2 2" xfId="4428"/>
    <cellStyle name="Normal 6 6 2 2 2 2 2 3" xfId="3418"/>
    <cellStyle name="Normal 6 6 2 2 2 2 2 4" xfId="7353"/>
    <cellStyle name="Normal 6 6 2 2 2 2 3" xfId="2121"/>
    <cellStyle name="Normal 6 6 2 2 2 2 3 2" xfId="3934"/>
    <cellStyle name="Normal 6 6 2 2 2 2 3 3" xfId="7861"/>
    <cellStyle name="Normal 6 6 2 2 2 2 4" xfId="4906"/>
    <cellStyle name="Normal 6 6 2 2 2 2 5" xfId="5404"/>
    <cellStyle name="Normal 6 6 2 2 2 2 6" xfId="5906"/>
    <cellStyle name="Normal 6 6 2 2 2 2 7" xfId="2924"/>
    <cellStyle name="Normal 6 6 2 2 2 2 8" xfId="6847"/>
    <cellStyle name="Normal 6 6 2 2 2 3" xfId="1365"/>
    <cellStyle name="Normal 6 6 2 2 2 3 2" xfId="4180"/>
    <cellStyle name="Normal 6 6 2 2 2 3 3" xfId="3170"/>
    <cellStyle name="Normal 6 6 2 2 2 3 4" xfId="7105"/>
    <cellStyle name="Normal 6 6 2 2 2 4" xfId="1873"/>
    <cellStyle name="Normal 6 6 2 2 2 4 2" xfId="3686"/>
    <cellStyle name="Normal 6 6 2 2 2 4 3" xfId="7613"/>
    <cellStyle name="Normal 6 6 2 2 2 5" xfId="4666"/>
    <cellStyle name="Normal 6 6 2 2 2 6" xfId="5156"/>
    <cellStyle name="Normal 6 6 2 2 2 7" xfId="5658"/>
    <cellStyle name="Normal 6 6 2 2 2 8" xfId="2682"/>
    <cellStyle name="Normal 6 6 2 2 2 9" xfId="6599"/>
    <cellStyle name="Normal 6 6 2 2 3" xfId="983"/>
    <cellStyle name="Normal 6 6 2 2 3 2" xfId="1489"/>
    <cellStyle name="Normal 6 6 2 2 3 2 2" xfId="4304"/>
    <cellStyle name="Normal 6 6 2 2 3 2 3" xfId="3294"/>
    <cellStyle name="Normal 6 6 2 2 3 2 4" xfId="7229"/>
    <cellStyle name="Normal 6 6 2 2 3 3" xfId="1997"/>
    <cellStyle name="Normal 6 6 2 2 3 3 2" xfId="3810"/>
    <cellStyle name="Normal 6 6 2 2 3 3 3" xfId="7737"/>
    <cellStyle name="Normal 6 6 2 2 3 4" xfId="4782"/>
    <cellStyle name="Normal 6 6 2 2 3 5" xfId="5280"/>
    <cellStyle name="Normal 6 6 2 2 3 6" xfId="5782"/>
    <cellStyle name="Normal 6 6 2 2 3 7" xfId="2800"/>
    <cellStyle name="Normal 6 6 2 2 3 8" xfId="6723"/>
    <cellStyle name="Normal 6 6 2 2 4" xfId="1241"/>
    <cellStyle name="Normal 6 6 2 2 4 2" xfId="4056"/>
    <cellStyle name="Normal 6 6 2 2 4 3" xfId="3046"/>
    <cellStyle name="Normal 6 6 2 2 4 4" xfId="6981"/>
    <cellStyle name="Normal 6 6 2 2 5" xfId="1749"/>
    <cellStyle name="Normal 6 6 2 2 5 2" xfId="3562"/>
    <cellStyle name="Normal 6 6 2 2 5 3" xfId="7489"/>
    <cellStyle name="Normal 6 6 2 2 6" xfId="4550"/>
    <cellStyle name="Normal 6 6 2 2 7" xfId="5032"/>
    <cellStyle name="Normal 6 6 2 2 8" xfId="5534"/>
    <cellStyle name="Normal 6 6 2 2 9" xfId="2566"/>
    <cellStyle name="Normal 6 6 2 3" xfId="783"/>
    <cellStyle name="Normal 6 6 2 3 2" xfId="1031"/>
    <cellStyle name="Normal 6 6 2 3 2 2" xfId="1537"/>
    <cellStyle name="Normal 6 6 2 3 2 2 2" xfId="4352"/>
    <cellStyle name="Normal 6 6 2 3 2 2 3" xfId="3342"/>
    <cellStyle name="Normal 6 6 2 3 2 2 4" xfId="7277"/>
    <cellStyle name="Normal 6 6 2 3 2 3" xfId="2045"/>
    <cellStyle name="Normal 6 6 2 3 2 3 2" xfId="3858"/>
    <cellStyle name="Normal 6 6 2 3 2 3 3" xfId="7785"/>
    <cellStyle name="Normal 6 6 2 3 2 4" xfId="4830"/>
    <cellStyle name="Normal 6 6 2 3 2 5" xfId="5328"/>
    <cellStyle name="Normal 6 6 2 3 2 6" xfId="5830"/>
    <cellStyle name="Normal 6 6 2 3 2 7" xfId="2848"/>
    <cellStyle name="Normal 6 6 2 3 2 8" xfId="6771"/>
    <cellStyle name="Normal 6 6 2 3 3" xfId="1289"/>
    <cellStyle name="Normal 6 6 2 3 3 2" xfId="4104"/>
    <cellStyle name="Normal 6 6 2 3 3 3" xfId="3094"/>
    <cellStyle name="Normal 6 6 2 3 3 4" xfId="7029"/>
    <cellStyle name="Normal 6 6 2 3 4" xfId="1797"/>
    <cellStyle name="Normal 6 6 2 3 4 2" xfId="3610"/>
    <cellStyle name="Normal 6 6 2 3 4 3" xfId="7537"/>
    <cellStyle name="Normal 6 6 2 3 5" xfId="4594"/>
    <cellStyle name="Normal 6 6 2 3 6" xfId="5080"/>
    <cellStyle name="Normal 6 6 2 3 7" xfId="5582"/>
    <cellStyle name="Normal 6 6 2 3 8" xfId="2610"/>
    <cellStyle name="Normal 6 6 2 3 9" xfId="6523"/>
    <cellStyle name="Normal 6 6 2 4" xfId="907"/>
    <cellStyle name="Normal 6 6 2 4 2" xfId="1413"/>
    <cellStyle name="Normal 6 6 2 4 2 2" xfId="4228"/>
    <cellStyle name="Normal 6 6 2 4 2 3" xfId="3218"/>
    <cellStyle name="Normal 6 6 2 4 2 4" xfId="7153"/>
    <cellStyle name="Normal 6 6 2 4 3" xfId="1921"/>
    <cellStyle name="Normal 6 6 2 4 3 2" xfId="3734"/>
    <cellStyle name="Normal 6 6 2 4 3 3" xfId="7661"/>
    <cellStyle name="Normal 6 6 2 4 4" xfId="4710"/>
    <cellStyle name="Normal 6 6 2 4 5" xfId="5204"/>
    <cellStyle name="Normal 6 6 2 4 6" xfId="5706"/>
    <cellStyle name="Normal 6 6 2 4 7" xfId="2728"/>
    <cellStyle name="Normal 6 6 2 4 8" xfId="6647"/>
    <cellStyle name="Normal 6 6 2 5" xfId="1165"/>
    <cellStyle name="Normal 6 6 2 5 2" xfId="3982"/>
    <cellStyle name="Normal 6 6 2 5 3" xfId="2972"/>
    <cellStyle name="Normal 6 6 2 5 4" xfId="6905"/>
    <cellStyle name="Normal 6 6 2 6" xfId="1673"/>
    <cellStyle name="Normal 6 6 2 6 2" xfId="3486"/>
    <cellStyle name="Normal 6 6 2 6 3" xfId="7413"/>
    <cellStyle name="Normal 6 6 2 7" xfId="4482"/>
    <cellStyle name="Normal 6 6 2 8" xfId="4956"/>
    <cellStyle name="Normal 6 6 2 9" xfId="5458"/>
    <cellStyle name="Normal 6 6 3" xfId="679"/>
    <cellStyle name="Normal 6 6 3 10" xfId="2516"/>
    <cellStyle name="Normal 6 6 3 11" xfId="6419"/>
    <cellStyle name="Normal 6 6 3 2" xfId="736"/>
    <cellStyle name="Normal 6 6 3 2 10" xfId="6476"/>
    <cellStyle name="Normal 6 6 3 2 2" xfId="860"/>
    <cellStyle name="Normal 6 6 3 2 2 2" xfId="1108"/>
    <cellStyle name="Normal 6 6 3 2 2 2 2" xfId="1614"/>
    <cellStyle name="Normal 6 6 3 2 2 2 2 2" xfId="4429"/>
    <cellStyle name="Normal 6 6 3 2 2 2 2 3" xfId="3419"/>
    <cellStyle name="Normal 6 6 3 2 2 2 2 4" xfId="7354"/>
    <cellStyle name="Normal 6 6 3 2 2 2 3" xfId="2122"/>
    <cellStyle name="Normal 6 6 3 2 2 2 3 2" xfId="3935"/>
    <cellStyle name="Normal 6 6 3 2 2 2 3 3" xfId="7862"/>
    <cellStyle name="Normal 6 6 3 2 2 2 4" xfId="4907"/>
    <cellStyle name="Normal 6 6 3 2 2 2 5" xfId="5405"/>
    <cellStyle name="Normal 6 6 3 2 2 2 6" xfId="5907"/>
    <cellStyle name="Normal 6 6 3 2 2 2 7" xfId="2925"/>
    <cellStyle name="Normal 6 6 3 2 2 2 8" xfId="6848"/>
    <cellStyle name="Normal 6 6 3 2 2 3" xfId="1366"/>
    <cellStyle name="Normal 6 6 3 2 2 3 2" xfId="4181"/>
    <cellStyle name="Normal 6 6 3 2 2 3 3" xfId="3171"/>
    <cellStyle name="Normal 6 6 3 2 2 3 4" xfId="7106"/>
    <cellStyle name="Normal 6 6 3 2 2 4" xfId="1874"/>
    <cellStyle name="Normal 6 6 3 2 2 4 2" xfId="3687"/>
    <cellStyle name="Normal 6 6 3 2 2 4 3" xfId="7614"/>
    <cellStyle name="Normal 6 6 3 2 2 5" xfId="4667"/>
    <cellStyle name="Normal 6 6 3 2 2 6" xfId="5157"/>
    <cellStyle name="Normal 6 6 3 2 2 7" xfId="5659"/>
    <cellStyle name="Normal 6 6 3 2 2 8" xfId="2683"/>
    <cellStyle name="Normal 6 6 3 2 2 9" xfId="6600"/>
    <cellStyle name="Normal 6 6 3 2 3" xfId="984"/>
    <cellStyle name="Normal 6 6 3 2 3 2" xfId="1490"/>
    <cellStyle name="Normal 6 6 3 2 3 2 2" xfId="4305"/>
    <cellStyle name="Normal 6 6 3 2 3 2 3" xfId="3295"/>
    <cellStyle name="Normal 6 6 3 2 3 2 4" xfId="7230"/>
    <cellStyle name="Normal 6 6 3 2 3 3" xfId="1998"/>
    <cellStyle name="Normal 6 6 3 2 3 3 2" xfId="3811"/>
    <cellStyle name="Normal 6 6 3 2 3 3 3" xfId="7738"/>
    <cellStyle name="Normal 6 6 3 2 3 4" xfId="4783"/>
    <cellStyle name="Normal 6 6 3 2 3 5" xfId="5281"/>
    <cellStyle name="Normal 6 6 3 2 3 6" xfId="5783"/>
    <cellStyle name="Normal 6 6 3 2 3 7" xfId="2801"/>
    <cellStyle name="Normal 6 6 3 2 3 8" xfId="6724"/>
    <cellStyle name="Normal 6 6 3 2 4" xfId="1242"/>
    <cellStyle name="Normal 6 6 3 2 4 2" xfId="4057"/>
    <cellStyle name="Normal 6 6 3 2 4 3" xfId="3047"/>
    <cellStyle name="Normal 6 6 3 2 4 4" xfId="6982"/>
    <cellStyle name="Normal 6 6 3 2 5" xfId="1750"/>
    <cellStyle name="Normal 6 6 3 2 5 2" xfId="3563"/>
    <cellStyle name="Normal 6 6 3 2 5 3" xfId="7490"/>
    <cellStyle name="Normal 6 6 3 2 6" xfId="4551"/>
    <cellStyle name="Normal 6 6 3 2 7" xfId="5033"/>
    <cellStyle name="Normal 6 6 3 2 8" xfId="5535"/>
    <cellStyle name="Normal 6 6 3 2 9" xfId="2567"/>
    <cellStyle name="Normal 6 6 3 3" xfId="803"/>
    <cellStyle name="Normal 6 6 3 3 2" xfId="1051"/>
    <cellStyle name="Normal 6 6 3 3 2 2" xfId="1557"/>
    <cellStyle name="Normal 6 6 3 3 2 2 2" xfId="4372"/>
    <cellStyle name="Normal 6 6 3 3 2 2 3" xfId="3362"/>
    <cellStyle name="Normal 6 6 3 3 2 2 4" xfId="7297"/>
    <cellStyle name="Normal 6 6 3 3 2 3" xfId="2065"/>
    <cellStyle name="Normal 6 6 3 3 2 3 2" xfId="3878"/>
    <cellStyle name="Normal 6 6 3 3 2 3 3" xfId="7805"/>
    <cellStyle name="Normal 6 6 3 3 2 4" xfId="4850"/>
    <cellStyle name="Normal 6 6 3 3 2 5" xfId="5348"/>
    <cellStyle name="Normal 6 6 3 3 2 6" xfId="5850"/>
    <cellStyle name="Normal 6 6 3 3 2 7" xfId="2868"/>
    <cellStyle name="Normal 6 6 3 3 2 8" xfId="6791"/>
    <cellStyle name="Normal 6 6 3 3 3" xfId="1309"/>
    <cellStyle name="Normal 6 6 3 3 3 2" xfId="4124"/>
    <cellStyle name="Normal 6 6 3 3 3 3" xfId="3114"/>
    <cellStyle name="Normal 6 6 3 3 3 4" xfId="7049"/>
    <cellStyle name="Normal 6 6 3 3 4" xfId="1817"/>
    <cellStyle name="Normal 6 6 3 3 4 2" xfId="3630"/>
    <cellStyle name="Normal 6 6 3 3 4 3" xfId="7557"/>
    <cellStyle name="Normal 6 6 3 3 5" xfId="4612"/>
    <cellStyle name="Normal 6 6 3 3 6" xfId="5100"/>
    <cellStyle name="Normal 6 6 3 3 7" xfId="5602"/>
    <cellStyle name="Normal 6 6 3 3 8" xfId="2628"/>
    <cellStyle name="Normal 6 6 3 3 9" xfId="6543"/>
    <cellStyle name="Normal 6 6 3 4" xfId="927"/>
    <cellStyle name="Normal 6 6 3 4 2" xfId="1433"/>
    <cellStyle name="Normal 6 6 3 4 2 2" xfId="4248"/>
    <cellStyle name="Normal 6 6 3 4 2 3" xfId="3238"/>
    <cellStyle name="Normal 6 6 3 4 2 4" xfId="7173"/>
    <cellStyle name="Normal 6 6 3 4 3" xfId="1941"/>
    <cellStyle name="Normal 6 6 3 4 3 2" xfId="3754"/>
    <cellStyle name="Normal 6 6 3 4 3 3" xfId="7681"/>
    <cellStyle name="Normal 6 6 3 4 4" xfId="4728"/>
    <cellStyle name="Normal 6 6 3 4 5" xfId="5224"/>
    <cellStyle name="Normal 6 6 3 4 6" xfId="5726"/>
    <cellStyle name="Normal 6 6 3 4 7" xfId="2746"/>
    <cellStyle name="Normal 6 6 3 4 8" xfId="6667"/>
    <cellStyle name="Normal 6 6 3 5" xfId="1185"/>
    <cellStyle name="Normal 6 6 3 5 2" xfId="4002"/>
    <cellStyle name="Normal 6 6 3 5 3" xfId="2992"/>
    <cellStyle name="Normal 6 6 3 5 4" xfId="6925"/>
    <cellStyle name="Normal 6 6 3 6" xfId="1693"/>
    <cellStyle name="Normal 6 6 3 6 2" xfId="3506"/>
    <cellStyle name="Normal 6 6 3 6 3" xfId="7433"/>
    <cellStyle name="Normal 6 6 3 7" xfId="4500"/>
    <cellStyle name="Normal 6 6 3 8" xfId="4976"/>
    <cellStyle name="Normal 6 6 3 9" xfId="5478"/>
    <cellStyle name="Normal 6 6 4" xfId="734"/>
    <cellStyle name="Normal 6 6 4 10" xfId="6474"/>
    <cellStyle name="Normal 6 6 4 2" xfId="858"/>
    <cellStyle name="Normal 6 6 4 2 2" xfId="1106"/>
    <cellStyle name="Normal 6 6 4 2 2 2" xfId="1612"/>
    <cellStyle name="Normal 6 6 4 2 2 2 2" xfId="4427"/>
    <cellStyle name="Normal 6 6 4 2 2 2 3" xfId="3417"/>
    <cellStyle name="Normal 6 6 4 2 2 2 4" xfId="7352"/>
    <cellStyle name="Normal 6 6 4 2 2 3" xfId="2120"/>
    <cellStyle name="Normal 6 6 4 2 2 3 2" xfId="3933"/>
    <cellStyle name="Normal 6 6 4 2 2 3 3" xfId="7860"/>
    <cellStyle name="Normal 6 6 4 2 2 4" xfId="4905"/>
    <cellStyle name="Normal 6 6 4 2 2 5" xfId="5403"/>
    <cellStyle name="Normal 6 6 4 2 2 6" xfId="5905"/>
    <cellStyle name="Normal 6 6 4 2 2 7" xfId="2923"/>
    <cellStyle name="Normal 6 6 4 2 2 8" xfId="6846"/>
    <cellStyle name="Normal 6 6 4 2 3" xfId="1364"/>
    <cellStyle name="Normal 6 6 4 2 3 2" xfId="4179"/>
    <cellStyle name="Normal 6 6 4 2 3 3" xfId="3169"/>
    <cellStyle name="Normal 6 6 4 2 3 4" xfId="7104"/>
    <cellStyle name="Normal 6 6 4 2 4" xfId="1872"/>
    <cellStyle name="Normal 6 6 4 2 4 2" xfId="3685"/>
    <cellStyle name="Normal 6 6 4 2 4 3" xfId="7612"/>
    <cellStyle name="Normal 6 6 4 2 5" xfId="4665"/>
    <cellStyle name="Normal 6 6 4 2 6" xfId="5155"/>
    <cellStyle name="Normal 6 6 4 2 7" xfId="5657"/>
    <cellStyle name="Normal 6 6 4 2 8" xfId="2681"/>
    <cellStyle name="Normal 6 6 4 2 9" xfId="6598"/>
    <cellStyle name="Normal 6 6 4 3" xfId="982"/>
    <cellStyle name="Normal 6 6 4 3 2" xfId="1488"/>
    <cellStyle name="Normal 6 6 4 3 2 2" xfId="4303"/>
    <cellStyle name="Normal 6 6 4 3 2 3" xfId="3293"/>
    <cellStyle name="Normal 6 6 4 3 2 4" xfId="7228"/>
    <cellStyle name="Normal 6 6 4 3 3" xfId="1996"/>
    <cellStyle name="Normal 6 6 4 3 3 2" xfId="3809"/>
    <cellStyle name="Normal 6 6 4 3 3 3" xfId="7736"/>
    <cellStyle name="Normal 6 6 4 3 4" xfId="4781"/>
    <cellStyle name="Normal 6 6 4 3 5" xfId="5279"/>
    <cellStyle name="Normal 6 6 4 3 6" xfId="5781"/>
    <cellStyle name="Normal 6 6 4 3 7" xfId="2799"/>
    <cellStyle name="Normal 6 6 4 3 8" xfId="6722"/>
    <cellStyle name="Normal 6 6 4 4" xfId="1240"/>
    <cellStyle name="Normal 6 6 4 4 2" xfId="4055"/>
    <cellStyle name="Normal 6 6 4 4 3" xfId="3045"/>
    <cellStyle name="Normal 6 6 4 4 4" xfId="6980"/>
    <cellStyle name="Normal 6 6 4 5" xfId="1748"/>
    <cellStyle name="Normal 6 6 4 5 2" xfId="3561"/>
    <cellStyle name="Normal 6 6 4 5 3" xfId="7488"/>
    <cellStyle name="Normal 6 6 4 6" xfId="4549"/>
    <cellStyle name="Normal 6 6 4 7" xfId="5031"/>
    <cellStyle name="Normal 6 6 4 8" xfId="5533"/>
    <cellStyle name="Normal 6 6 4 9" xfId="2565"/>
    <cellStyle name="Normal 6 6 5" xfId="761"/>
    <cellStyle name="Normal 6 6 5 2" xfId="1009"/>
    <cellStyle name="Normal 6 6 5 2 2" xfId="1515"/>
    <cellStyle name="Normal 6 6 5 2 2 2" xfId="4330"/>
    <cellStyle name="Normal 6 6 5 2 2 3" xfId="3320"/>
    <cellStyle name="Normal 6 6 5 2 2 4" xfId="7255"/>
    <cellStyle name="Normal 6 6 5 2 3" xfId="2023"/>
    <cellStyle name="Normal 6 6 5 2 3 2" xfId="3836"/>
    <cellStyle name="Normal 6 6 5 2 3 3" xfId="7763"/>
    <cellStyle name="Normal 6 6 5 2 4" xfId="4808"/>
    <cellStyle name="Normal 6 6 5 2 5" xfId="5306"/>
    <cellStyle name="Normal 6 6 5 2 6" xfId="5808"/>
    <cellStyle name="Normal 6 6 5 2 7" xfId="2826"/>
    <cellStyle name="Normal 6 6 5 2 8" xfId="6749"/>
    <cellStyle name="Normal 6 6 5 3" xfId="1267"/>
    <cellStyle name="Normal 6 6 5 3 2" xfId="4082"/>
    <cellStyle name="Normal 6 6 5 3 3" xfId="3072"/>
    <cellStyle name="Normal 6 6 5 3 4" xfId="7007"/>
    <cellStyle name="Normal 6 6 5 4" xfId="1775"/>
    <cellStyle name="Normal 6 6 5 4 2" xfId="3588"/>
    <cellStyle name="Normal 6 6 5 4 3" xfId="7515"/>
    <cellStyle name="Normal 6 6 5 5" xfId="4574"/>
    <cellStyle name="Normal 6 6 5 6" xfId="5058"/>
    <cellStyle name="Normal 6 6 5 7" xfId="5560"/>
    <cellStyle name="Normal 6 6 5 8" xfId="2590"/>
    <cellStyle name="Normal 6 6 5 9" xfId="6501"/>
    <cellStyle name="Normal 6 6 6" xfId="885"/>
    <cellStyle name="Normal 6 6 6 2" xfId="1391"/>
    <cellStyle name="Normal 6 6 6 2 2" xfId="4206"/>
    <cellStyle name="Normal 6 6 6 2 3" xfId="3196"/>
    <cellStyle name="Normal 6 6 6 2 4" xfId="7131"/>
    <cellStyle name="Normal 6 6 6 3" xfId="1899"/>
    <cellStyle name="Normal 6 6 6 3 2" xfId="3712"/>
    <cellStyle name="Normal 6 6 6 3 3" xfId="7639"/>
    <cellStyle name="Normal 6 6 6 4" xfId="4690"/>
    <cellStyle name="Normal 6 6 6 5" xfId="5182"/>
    <cellStyle name="Normal 6 6 6 6" xfId="5684"/>
    <cellStyle name="Normal 6 6 6 7" xfId="2708"/>
    <cellStyle name="Normal 6 6 6 8" xfId="6625"/>
    <cellStyle name="Normal 6 6 7" xfId="1143"/>
    <cellStyle name="Normal 6 6 7 2" xfId="3960"/>
    <cellStyle name="Normal 6 6 7 3" xfId="2950"/>
    <cellStyle name="Normal 6 6 7 4" xfId="6883"/>
    <cellStyle name="Normal 6 6 8" xfId="1651"/>
    <cellStyle name="Normal 6 6 8 2" xfId="3464"/>
    <cellStyle name="Normal 6 6 8 3" xfId="7391"/>
    <cellStyle name="Normal 6 6 9" xfId="4460"/>
    <cellStyle name="Normal 6 7" xfId="631"/>
    <cellStyle name="Normal 6 7 10" xfId="4938"/>
    <cellStyle name="Normal 6 7 11" xfId="5438"/>
    <cellStyle name="Normal 6 7 12" xfId="2480"/>
    <cellStyle name="Normal 6 7 13" xfId="6376"/>
    <cellStyle name="Normal 6 7 2" xfId="661"/>
    <cellStyle name="Normal 6 7 2 10" xfId="2500"/>
    <cellStyle name="Normal 6 7 2 11" xfId="6401"/>
    <cellStyle name="Normal 6 7 2 2" xfId="738"/>
    <cellStyle name="Normal 6 7 2 2 10" xfId="6478"/>
    <cellStyle name="Normal 6 7 2 2 2" xfId="862"/>
    <cellStyle name="Normal 6 7 2 2 2 2" xfId="1110"/>
    <cellStyle name="Normal 6 7 2 2 2 2 2" xfId="1616"/>
    <cellStyle name="Normal 6 7 2 2 2 2 2 2" xfId="4431"/>
    <cellStyle name="Normal 6 7 2 2 2 2 2 3" xfId="3421"/>
    <cellStyle name="Normal 6 7 2 2 2 2 2 4" xfId="7356"/>
    <cellStyle name="Normal 6 7 2 2 2 2 3" xfId="2124"/>
    <cellStyle name="Normal 6 7 2 2 2 2 3 2" xfId="3937"/>
    <cellStyle name="Normal 6 7 2 2 2 2 3 3" xfId="7864"/>
    <cellStyle name="Normal 6 7 2 2 2 2 4" xfId="4909"/>
    <cellStyle name="Normal 6 7 2 2 2 2 5" xfId="5407"/>
    <cellStyle name="Normal 6 7 2 2 2 2 6" xfId="5909"/>
    <cellStyle name="Normal 6 7 2 2 2 2 7" xfId="2927"/>
    <cellStyle name="Normal 6 7 2 2 2 2 8" xfId="6850"/>
    <cellStyle name="Normal 6 7 2 2 2 3" xfId="1368"/>
    <cellStyle name="Normal 6 7 2 2 2 3 2" xfId="4183"/>
    <cellStyle name="Normal 6 7 2 2 2 3 3" xfId="3173"/>
    <cellStyle name="Normal 6 7 2 2 2 3 4" xfId="7108"/>
    <cellStyle name="Normal 6 7 2 2 2 4" xfId="1876"/>
    <cellStyle name="Normal 6 7 2 2 2 4 2" xfId="3689"/>
    <cellStyle name="Normal 6 7 2 2 2 4 3" xfId="7616"/>
    <cellStyle name="Normal 6 7 2 2 2 5" xfId="4669"/>
    <cellStyle name="Normal 6 7 2 2 2 6" xfId="5159"/>
    <cellStyle name="Normal 6 7 2 2 2 7" xfId="5661"/>
    <cellStyle name="Normal 6 7 2 2 2 8" xfId="2685"/>
    <cellStyle name="Normal 6 7 2 2 2 9" xfId="6602"/>
    <cellStyle name="Normal 6 7 2 2 3" xfId="986"/>
    <cellStyle name="Normal 6 7 2 2 3 2" xfId="1492"/>
    <cellStyle name="Normal 6 7 2 2 3 2 2" xfId="4307"/>
    <cellStyle name="Normal 6 7 2 2 3 2 3" xfId="3297"/>
    <cellStyle name="Normal 6 7 2 2 3 2 4" xfId="7232"/>
    <cellStyle name="Normal 6 7 2 2 3 3" xfId="2000"/>
    <cellStyle name="Normal 6 7 2 2 3 3 2" xfId="3813"/>
    <cellStyle name="Normal 6 7 2 2 3 3 3" xfId="7740"/>
    <cellStyle name="Normal 6 7 2 2 3 4" xfId="4785"/>
    <cellStyle name="Normal 6 7 2 2 3 5" xfId="5283"/>
    <cellStyle name="Normal 6 7 2 2 3 6" xfId="5785"/>
    <cellStyle name="Normal 6 7 2 2 3 7" xfId="2803"/>
    <cellStyle name="Normal 6 7 2 2 3 8" xfId="6726"/>
    <cellStyle name="Normal 6 7 2 2 4" xfId="1244"/>
    <cellStyle name="Normal 6 7 2 2 4 2" xfId="4059"/>
    <cellStyle name="Normal 6 7 2 2 4 3" xfId="3049"/>
    <cellStyle name="Normal 6 7 2 2 4 4" xfId="6984"/>
    <cellStyle name="Normal 6 7 2 2 5" xfId="1752"/>
    <cellStyle name="Normal 6 7 2 2 5 2" xfId="3565"/>
    <cellStyle name="Normal 6 7 2 2 5 3" xfId="7492"/>
    <cellStyle name="Normal 6 7 2 2 6" xfId="4553"/>
    <cellStyle name="Normal 6 7 2 2 7" xfId="5035"/>
    <cellStyle name="Normal 6 7 2 2 8" xfId="5537"/>
    <cellStyle name="Normal 6 7 2 2 9" xfId="2569"/>
    <cellStyle name="Normal 6 7 2 3" xfId="785"/>
    <cellStyle name="Normal 6 7 2 3 2" xfId="1033"/>
    <cellStyle name="Normal 6 7 2 3 2 2" xfId="1539"/>
    <cellStyle name="Normal 6 7 2 3 2 2 2" xfId="4354"/>
    <cellStyle name="Normal 6 7 2 3 2 2 3" xfId="3344"/>
    <cellStyle name="Normal 6 7 2 3 2 2 4" xfId="7279"/>
    <cellStyle name="Normal 6 7 2 3 2 3" xfId="2047"/>
    <cellStyle name="Normal 6 7 2 3 2 3 2" xfId="3860"/>
    <cellStyle name="Normal 6 7 2 3 2 3 3" xfId="7787"/>
    <cellStyle name="Normal 6 7 2 3 2 4" xfId="4832"/>
    <cellStyle name="Normal 6 7 2 3 2 5" xfId="5330"/>
    <cellStyle name="Normal 6 7 2 3 2 6" xfId="5832"/>
    <cellStyle name="Normal 6 7 2 3 2 7" xfId="2850"/>
    <cellStyle name="Normal 6 7 2 3 2 8" xfId="6773"/>
    <cellStyle name="Normal 6 7 2 3 3" xfId="1291"/>
    <cellStyle name="Normal 6 7 2 3 3 2" xfId="4106"/>
    <cellStyle name="Normal 6 7 2 3 3 3" xfId="3096"/>
    <cellStyle name="Normal 6 7 2 3 3 4" xfId="7031"/>
    <cellStyle name="Normal 6 7 2 3 4" xfId="1799"/>
    <cellStyle name="Normal 6 7 2 3 4 2" xfId="3612"/>
    <cellStyle name="Normal 6 7 2 3 4 3" xfId="7539"/>
    <cellStyle name="Normal 6 7 2 3 5" xfId="4596"/>
    <cellStyle name="Normal 6 7 2 3 6" xfId="5082"/>
    <cellStyle name="Normal 6 7 2 3 7" xfId="5584"/>
    <cellStyle name="Normal 6 7 2 3 8" xfId="2612"/>
    <cellStyle name="Normal 6 7 2 3 9" xfId="6525"/>
    <cellStyle name="Normal 6 7 2 4" xfId="909"/>
    <cellStyle name="Normal 6 7 2 4 2" xfId="1415"/>
    <cellStyle name="Normal 6 7 2 4 2 2" xfId="4230"/>
    <cellStyle name="Normal 6 7 2 4 2 3" xfId="3220"/>
    <cellStyle name="Normal 6 7 2 4 2 4" xfId="7155"/>
    <cellStyle name="Normal 6 7 2 4 3" xfId="1923"/>
    <cellStyle name="Normal 6 7 2 4 3 2" xfId="3736"/>
    <cellStyle name="Normal 6 7 2 4 3 3" xfId="7663"/>
    <cellStyle name="Normal 6 7 2 4 4" xfId="4712"/>
    <cellStyle name="Normal 6 7 2 4 5" xfId="5206"/>
    <cellStyle name="Normal 6 7 2 4 6" xfId="5708"/>
    <cellStyle name="Normal 6 7 2 4 7" xfId="2730"/>
    <cellStyle name="Normal 6 7 2 4 8" xfId="6649"/>
    <cellStyle name="Normal 6 7 2 5" xfId="1167"/>
    <cellStyle name="Normal 6 7 2 5 2" xfId="3984"/>
    <cellStyle name="Normal 6 7 2 5 3" xfId="2974"/>
    <cellStyle name="Normal 6 7 2 5 4" xfId="6907"/>
    <cellStyle name="Normal 6 7 2 6" xfId="1675"/>
    <cellStyle name="Normal 6 7 2 6 2" xfId="3488"/>
    <cellStyle name="Normal 6 7 2 6 3" xfId="7415"/>
    <cellStyle name="Normal 6 7 2 7" xfId="4484"/>
    <cellStyle name="Normal 6 7 2 8" xfId="4958"/>
    <cellStyle name="Normal 6 7 2 9" xfId="5460"/>
    <cellStyle name="Normal 6 7 3" xfId="681"/>
    <cellStyle name="Normal 6 7 3 10" xfId="2518"/>
    <cellStyle name="Normal 6 7 3 11" xfId="6421"/>
    <cellStyle name="Normal 6 7 3 2" xfId="739"/>
    <cellStyle name="Normal 6 7 3 2 10" xfId="6479"/>
    <cellStyle name="Normal 6 7 3 2 2" xfId="863"/>
    <cellStyle name="Normal 6 7 3 2 2 2" xfId="1111"/>
    <cellStyle name="Normal 6 7 3 2 2 2 2" xfId="1617"/>
    <cellStyle name="Normal 6 7 3 2 2 2 2 2" xfId="4432"/>
    <cellStyle name="Normal 6 7 3 2 2 2 2 3" xfId="3422"/>
    <cellStyle name="Normal 6 7 3 2 2 2 2 4" xfId="7357"/>
    <cellStyle name="Normal 6 7 3 2 2 2 3" xfId="2125"/>
    <cellStyle name="Normal 6 7 3 2 2 2 3 2" xfId="3938"/>
    <cellStyle name="Normal 6 7 3 2 2 2 3 3" xfId="7865"/>
    <cellStyle name="Normal 6 7 3 2 2 2 4" xfId="4910"/>
    <cellStyle name="Normal 6 7 3 2 2 2 5" xfId="5408"/>
    <cellStyle name="Normal 6 7 3 2 2 2 6" xfId="5910"/>
    <cellStyle name="Normal 6 7 3 2 2 2 7" xfId="2928"/>
    <cellStyle name="Normal 6 7 3 2 2 2 8" xfId="6851"/>
    <cellStyle name="Normal 6 7 3 2 2 3" xfId="1369"/>
    <cellStyle name="Normal 6 7 3 2 2 3 2" xfId="4184"/>
    <cellStyle name="Normal 6 7 3 2 2 3 3" xfId="3174"/>
    <cellStyle name="Normal 6 7 3 2 2 3 4" xfId="7109"/>
    <cellStyle name="Normal 6 7 3 2 2 4" xfId="1877"/>
    <cellStyle name="Normal 6 7 3 2 2 4 2" xfId="3690"/>
    <cellStyle name="Normal 6 7 3 2 2 4 3" xfId="7617"/>
    <cellStyle name="Normal 6 7 3 2 2 5" xfId="4670"/>
    <cellStyle name="Normal 6 7 3 2 2 6" xfId="5160"/>
    <cellStyle name="Normal 6 7 3 2 2 7" xfId="5662"/>
    <cellStyle name="Normal 6 7 3 2 2 8" xfId="2686"/>
    <cellStyle name="Normal 6 7 3 2 2 9" xfId="6603"/>
    <cellStyle name="Normal 6 7 3 2 3" xfId="987"/>
    <cellStyle name="Normal 6 7 3 2 3 2" xfId="1493"/>
    <cellStyle name="Normal 6 7 3 2 3 2 2" xfId="4308"/>
    <cellStyle name="Normal 6 7 3 2 3 2 3" xfId="3298"/>
    <cellStyle name="Normal 6 7 3 2 3 2 4" xfId="7233"/>
    <cellStyle name="Normal 6 7 3 2 3 3" xfId="2001"/>
    <cellStyle name="Normal 6 7 3 2 3 3 2" xfId="3814"/>
    <cellStyle name="Normal 6 7 3 2 3 3 3" xfId="7741"/>
    <cellStyle name="Normal 6 7 3 2 3 4" xfId="4786"/>
    <cellStyle name="Normal 6 7 3 2 3 5" xfId="5284"/>
    <cellStyle name="Normal 6 7 3 2 3 6" xfId="5786"/>
    <cellStyle name="Normal 6 7 3 2 3 7" xfId="2804"/>
    <cellStyle name="Normal 6 7 3 2 3 8" xfId="6727"/>
    <cellStyle name="Normal 6 7 3 2 4" xfId="1245"/>
    <cellStyle name="Normal 6 7 3 2 4 2" xfId="4060"/>
    <cellStyle name="Normal 6 7 3 2 4 3" xfId="3050"/>
    <cellStyle name="Normal 6 7 3 2 4 4" xfId="6985"/>
    <cellStyle name="Normal 6 7 3 2 5" xfId="1753"/>
    <cellStyle name="Normal 6 7 3 2 5 2" xfId="3566"/>
    <cellStyle name="Normal 6 7 3 2 5 3" xfId="7493"/>
    <cellStyle name="Normal 6 7 3 2 6" xfId="4554"/>
    <cellStyle name="Normal 6 7 3 2 7" xfId="5036"/>
    <cellStyle name="Normal 6 7 3 2 8" xfId="5538"/>
    <cellStyle name="Normal 6 7 3 2 9" xfId="2570"/>
    <cellStyle name="Normal 6 7 3 3" xfId="805"/>
    <cellStyle name="Normal 6 7 3 3 2" xfId="1053"/>
    <cellStyle name="Normal 6 7 3 3 2 2" xfId="1559"/>
    <cellStyle name="Normal 6 7 3 3 2 2 2" xfId="4374"/>
    <cellStyle name="Normal 6 7 3 3 2 2 3" xfId="3364"/>
    <cellStyle name="Normal 6 7 3 3 2 2 4" xfId="7299"/>
    <cellStyle name="Normal 6 7 3 3 2 3" xfId="2067"/>
    <cellStyle name="Normal 6 7 3 3 2 3 2" xfId="3880"/>
    <cellStyle name="Normal 6 7 3 3 2 3 3" xfId="7807"/>
    <cellStyle name="Normal 6 7 3 3 2 4" xfId="4852"/>
    <cellStyle name="Normal 6 7 3 3 2 5" xfId="5350"/>
    <cellStyle name="Normal 6 7 3 3 2 6" xfId="5852"/>
    <cellStyle name="Normal 6 7 3 3 2 7" xfId="2870"/>
    <cellStyle name="Normal 6 7 3 3 2 8" xfId="6793"/>
    <cellStyle name="Normal 6 7 3 3 3" xfId="1311"/>
    <cellStyle name="Normal 6 7 3 3 3 2" xfId="4126"/>
    <cellStyle name="Normal 6 7 3 3 3 3" xfId="3116"/>
    <cellStyle name="Normal 6 7 3 3 3 4" xfId="7051"/>
    <cellStyle name="Normal 6 7 3 3 4" xfId="1819"/>
    <cellStyle name="Normal 6 7 3 3 4 2" xfId="3632"/>
    <cellStyle name="Normal 6 7 3 3 4 3" xfId="7559"/>
    <cellStyle name="Normal 6 7 3 3 5" xfId="4614"/>
    <cellStyle name="Normal 6 7 3 3 6" xfId="5102"/>
    <cellStyle name="Normal 6 7 3 3 7" xfId="5604"/>
    <cellStyle name="Normal 6 7 3 3 8" xfId="2630"/>
    <cellStyle name="Normal 6 7 3 3 9" xfId="6545"/>
    <cellStyle name="Normal 6 7 3 4" xfId="929"/>
    <cellStyle name="Normal 6 7 3 4 2" xfId="1435"/>
    <cellStyle name="Normal 6 7 3 4 2 2" xfId="4250"/>
    <cellStyle name="Normal 6 7 3 4 2 3" xfId="3240"/>
    <cellStyle name="Normal 6 7 3 4 2 4" xfId="7175"/>
    <cellStyle name="Normal 6 7 3 4 3" xfId="1943"/>
    <cellStyle name="Normal 6 7 3 4 3 2" xfId="3756"/>
    <cellStyle name="Normal 6 7 3 4 3 3" xfId="7683"/>
    <cellStyle name="Normal 6 7 3 4 4" xfId="4730"/>
    <cellStyle name="Normal 6 7 3 4 5" xfId="5226"/>
    <cellStyle name="Normal 6 7 3 4 6" xfId="5728"/>
    <cellStyle name="Normal 6 7 3 4 7" xfId="2748"/>
    <cellStyle name="Normal 6 7 3 4 8" xfId="6669"/>
    <cellStyle name="Normal 6 7 3 5" xfId="1187"/>
    <cellStyle name="Normal 6 7 3 5 2" xfId="4004"/>
    <cellStyle name="Normal 6 7 3 5 3" xfId="2994"/>
    <cellStyle name="Normal 6 7 3 5 4" xfId="6927"/>
    <cellStyle name="Normal 6 7 3 6" xfId="1695"/>
    <cellStyle name="Normal 6 7 3 6 2" xfId="3508"/>
    <cellStyle name="Normal 6 7 3 6 3" xfId="7435"/>
    <cellStyle name="Normal 6 7 3 7" xfId="4502"/>
    <cellStyle name="Normal 6 7 3 8" xfId="4978"/>
    <cellStyle name="Normal 6 7 3 9" xfId="5480"/>
    <cellStyle name="Normal 6 7 4" xfId="737"/>
    <cellStyle name="Normal 6 7 4 10" xfId="6477"/>
    <cellStyle name="Normal 6 7 4 2" xfId="861"/>
    <cellStyle name="Normal 6 7 4 2 2" xfId="1109"/>
    <cellStyle name="Normal 6 7 4 2 2 2" xfId="1615"/>
    <cellStyle name="Normal 6 7 4 2 2 2 2" xfId="4430"/>
    <cellStyle name="Normal 6 7 4 2 2 2 3" xfId="3420"/>
    <cellStyle name="Normal 6 7 4 2 2 2 4" xfId="7355"/>
    <cellStyle name="Normal 6 7 4 2 2 3" xfId="2123"/>
    <cellStyle name="Normal 6 7 4 2 2 3 2" xfId="3936"/>
    <cellStyle name="Normal 6 7 4 2 2 3 3" xfId="7863"/>
    <cellStyle name="Normal 6 7 4 2 2 4" xfId="4908"/>
    <cellStyle name="Normal 6 7 4 2 2 5" xfId="5406"/>
    <cellStyle name="Normal 6 7 4 2 2 6" xfId="5908"/>
    <cellStyle name="Normal 6 7 4 2 2 7" xfId="2926"/>
    <cellStyle name="Normal 6 7 4 2 2 8" xfId="6849"/>
    <cellStyle name="Normal 6 7 4 2 3" xfId="1367"/>
    <cellStyle name="Normal 6 7 4 2 3 2" xfId="4182"/>
    <cellStyle name="Normal 6 7 4 2 3 3" xfId="3172"/>
    <cellStyle name="Normal 6 7 4 2 3 4" xfId="7107"/>
    <cellStyle name="Normal 6 7 4 2 4" xfId="1875"/>
    <cellStyle name="Normal 6 7 4 2 4 2" xfId="3688"/>
    <cellStyle name="Normal 6 7 4 2 4 3" xfId="7615"/>
    <cellStyle name="Normal 6 7 4 2 5" xfId="4668"/>
    <cellStyle name="Normal 6 7 4 2 6" xfId="5158"/>
    <cellStyle name="Normal 6 7 4 2 7" xfId="5660"/>
    <cellStyle name="Normal 6 7 4 2 8" xfId="2684"/>
    <cellStyle name="Normal 6 7 4 2 9" xfId="6601"/>
    <cellStyle name="Normal 6 7 4 3" xfId="985"/>
    <cellStyle name="Normal 6 7 4 3 2" xfId="1491"/>
    <cellStyle name="Normal 6 7 4 3 2 2" xfId="4306"/>
    <cellStyle name="Normal 6 7 4 3 2 3" xfId="3296"/>
    <cellStyle name="Normal 6 7 4 3 2 4" xfId="7231"/>
    <cellStyle name="Normal 6 7 4 3 3" xfId="1999"/>
    <cellStyle name="Normal 6 7 4 3 3 2" xfId="3812"/>
    <cellStyle name="Normal 6 7 4 3 3 3" xfId="7739"/>
    <cellStyle name="Normal 6 7 4 3 4" xfId="4784"/>
    <cellStyle name="Normal 6 7 4 3 5" xfId="5282"/>
    <cellStyle name="Normal 6 7 4 3 6" xfId="5784"/>
    <cellStyle name="Normal 6 7 4 3 7" xfId="2802"/>
    <cellStyle name="Normal 6 7 4 3 8" xfId="6725"/>
    <cellStyle name="Normal 6 7 4 4" xfId="1243"/>
    <cellStyle name="Normal 6 7 4 4 2" xfId="4058"/>
    <cellStyle name="Normal 6 7 4 4 3" xfId="3048"/>
    <cellStyle name="Normal 6 7 4 4 4" xfId="6983"/>
    <cellStyle name="Normal 6 7 4 5" xfId="1751"/>
    <cellStyle name="Normal 6 7 4 5 2" xfId="3564"/>
    <cellStyle name="Normal 6 7 4 5 3" xfId="7491"/>
    <cellStyle name="Normal 6 7 4 6" xfId="4552"/>
    <cellStyle name="Normal 6 7 4 7" xfId="5034"/>
    <cellStyle name="Normal 6 7 4 8" xfId="5536"/>
    <cellStyle name="Normal 6 7 4 9" xfId="2568"/>
    <cellStyle name="Normal 6 7 5" xfId="763"/>
    <cellStyle name="Normal 6 7 5 2" xfId="1011"/>
    <cellStyle name="Normal 6 7 5 2 2" xfId="1517"/>
    <cellStyle name="Normal 6 7 5 2 2 2" xfId="4332"/>
    <cellStyle name="Normal 6 7 5 2 2 3" xfId="3322"/>
    <cellStyle name="Normal 6 7 5 2 2 4" xfId="7257"/>
    <cellStyle name="Normal 6 7 5 2 3" xfId="2025"/>
    <cellStyle name="Normal 6 7 5 2 3 2" xfId="3838"/>
    <cellStyle name="Normal 6 7 5 2 3 3" xfId="7765"/>
    <cellStyle name="Normal 6 7 5 2 4" xfId="4810"/>
    <cellStyle name="Normal 6 7 5 2 5" xfId="5308"/>
    <cellStyle name="Normal 6 7 5 2 6" xfId="5810"/>
    <cellStyle name="Normal 6 7 5 2 7" xfId="2828"/>
    <cellStyle name="Normal 6 7 5 2 8" xfId="6751"/>
    <cellStyle name="Normal 6 7 5 3" xfId="1269"/>
    <cellStyle name="Normal 6 7 5 3 2" xfId="4084"/>
    <cellStyle name="Normal 6 7 5 3 3" xfId="3074"/>
    <cellStyle name="Normal 6 7 5 3 4" xfId="7009"/>
    <cellStyle name="Normal 6 7 5 4" xfId="1777"/>
    <cellStyle name="Normal 6 7 5 4 2" xfId="3590"/>
    <cellStyle name="Normal 6 7 5 4 3" xfId="7517"/>
    <cellStyle name="Normal 6 7 5 5" xfId="4576"/>
    <cellStyle name="Normal 6 7 5 6" xfId="5060"/>
    <cellStyle name="Normal 6 7 5 7" xfId="5562"/>
    <cellStyle name="Normal 6 7 5 8" xfId="2592"/>
    <cellStyle name="Normal 6 7 5 9" xfId="6503"/>
    <cellStyle name="Normal 6 7 6" xfId="887"/>
    <cellStyle name="Normal 6 7 6 2" xfId="1393"/>
    <cellStyle name="Normal 6 7 6 2 2" xfId="4208"/>
    <cellStyle name="Normal 6 7 6 2 3" xfId="3198"/>
    <cellStyle name="Normal 6 7 6 2 4" xfId="7133"/>
    <cellStyle name="Normal 6 7 6 3" xfId="1901"/>
    <cellStyle name="Normal 6 7 6 3 2" xfId="3714"/>
    <cellStyle name="Normal 6 7 6 3 3" xfId="7641"/>
    <cellStyle name="Normal 6 7 6 4" xfId="4692"/>
    <cellStyle name="Normal 6 7 6 5" xfId="5184"/>
    <cellStyle name="Normal 6 7 6 6" xfId="5686"/>
    <cellStyle name="Normal 6 7 6 7" xfId="2710"/>
    <cellStyle name="Normal 6 7 6 8" xfId="6627"/>
    <cellStyle name="Normal 6 7 7" xfId="1145"/>
    <cellStyle name="Normal 6 7 7 2" xfId="3962"/>
    <cellStyle name="Normal 6 7 7 3" xfId="2952"/>
    <cellStyle name="Normal 6 7 7 4" xfId="6885"/>
    <cellStyle name="Normal 6 7 8" xfId="1653"/>
    <cellStyle name="Normal 6 7 8 2" xfId="3466"/>
    <cellStyle name="Normal 6 7 8 3" xfId="7393"/>
    <cellStyle name="Normal 6 7 9" xfId="4462"/>
    <cellStyle name="Normal 6 8" xfId="633"/>
    <cellStyle name="Normal 6 8 10" xfId="4940"/>
    <cellStyle name="Normal 6 8 11" xfId="5440"/>
    <cellStyle name="Normal 6 8 12" xfId="2482"/>
    <cellStyle name="Normal 6 8 13" xfId="6378"/>
    <cellStyle name="Normal 6 8 2" xfId="663"/>
    <cellStyle name="Normal 6 8 2 10" xfId="2502"/>
    <cellStyle name="Normal 6 8 2 11" xfId="6403"/>
    <cellStyle name="Normal 6 8 2 2" xfId="741"/>
    <cellStyle name="Normal 6 8 2 2 10" xfId="6481"/>
    <cellStyle name="Normal 6 8 2 2 2" xfId="865"/>
    <cellStyle name="Normal 6 8 2 2 2 2" xfId="1113"/>
    <cellStyle name="Normal 6 8 2 2 2 2 2" xfId="1619"/>
    <cellStyle name="Normal 6 8 2 2 2 2 2 2" xfId="4434"/>
    <cellStyle name="Normal 6 8 2 2 2 2 2 3" xfId="3424"/>
    <cellStyle name="Normal 6 8 2 2 2 2 2 4" xfId="7359"/>
    <cellStyle name="Normal 6 8 2 2 2 2 3" xfId="2127"/>
    <cellStyle name="Normal 6 8 2 2 2 2 3 2" xfId="3940"/>
    <cellStyle name="Normal 6 8 2 2 2 2 3 3" xfId="7867"/>
    <cellStyle name="Normal 6 8 2 2 2 2 4" xfId="4912"/>
    <cellStyle name="Normal 6 8 2 2 2 2 5" xfId="5410"/>
    <cellStyle name="Normal 6 8 2 2 2 2 6" xfId="5912"/>
    <cellStyle name="Normal 6 8 2 2 2 2 7" xfId="2930"/>
    <cellStyle name="Normal 6 8 2 2 2 2 8" xfId="6853"/>
    <cellStyle name="Normal 6 8 2 2 2 3" xfId="1371"/>
    <cellStyle name="Normal 6 8 2 2 2 3 2" xfId="4186"/>
    <cellStyle name="Normal 6 8 2 2 2 3 3" xfId="3176"/>
    <cellStyle name="Normal 6 8 2 2 2 3 4" xfId="7111"/>
    <cellStyle name="Normal 6 8 2 2 2 4" xfId="1879"/>
    <cellStyle name="Normal 6 8 2 2 2 4 2" xfId="3692"/>
    <cellStyle name="Normal 6 8 2 2 2 4 3" xfId="7619"/>
    <cellStyle name="Normal 6 8 2 2 2 5" xfId="4672"/>
    <cellStyle name="Normal 6 8 2 2 2 6" xfId="5162"/>
    <cellStyle name="Normal 6 8 2 2 2 7" xfId="5664"/>
    <cellStyle name="Normal 6 8 2 2 2 8" xfId="2688"/>
    <cellStyle name="Normal 6 8 2 2 2 9" xfId="6605"/>
    <cellStyle name="Normal 6 8 2 2 3" xfId="989"/>
    <cellStyle name="Normal 6 8 2 2 3 2" xfId="1495"/>
    <cellStyle name="Normal 6 8 2 2 3 2 2" xfId="4310"/>
    <cellStyle name="Normal 6 8 2 2 3 2 3" xfId="3300"/>
    <cellStyle name="Normal 6 8 2 2 3 2 4" xfId="7235"/>
    <cellStyle name="Normal 6 8 2 2 3 3" xfId="2003"/>
    <cellStyle name="Normal 6 8 2 2 3 3 2" xfId="3816"/>
    <cellStyle name="Normal 6 8 2 2 3 3 3" xfId="7743"/>
    <cellStyle name="Normal 6 8 2 2 3 4" xfId="4788"/>
    <cellStyle name="Normal 6 8 2 2 3 5" xfId="5286"/>
    <cellStyle name="Normal 6 8 2 2 3 6" xfId="5788"/>
    <cellStyle name="Normal 6 8 2 2 3 7" xfId="2806"/>
    <cellStyle name="Normal 6 8 2 2 3 8" xfId="6729"/>
    <cellStyle name="Normal 6 8 2 2 4" xfId="1247"/>
    <cellStyle name="Normal 6 8 2 2 4 2" xfId="4062"/>
    <cellStyle name="Normal 6 8 2 2 4 3" xfId="3052"/>
    <cellStyle name="Normal 6 8 2 2 4 4" xfId="6987"/>
    <cellStyle name="Normal 6 8 2 2 5" xfId="1755"/>
    <cellStyle name="Normal 6 8 2 2 5 2" xfId="3568"/>
    <cellStyle name="Normal 6 8 2 2 5 3" xfId="7495"/>
    <cellStyle name="Normal 6 8 2 2 6" xfId="4556"/>
    <cellStyle name="Normal 6 8 2 2 7" xfId="5038"/>
    <cellStyle name="Normal 6 8 2 2 8" xfId="5540"/>
    <cellStyle name="Normal 6 8 2 2 9" xfId="2572"/>
    <cellStyle name="Normal 6 8 2 3" xfId="787"/>
    <cellStyle name="Normal 6 8 2 3 2" xfId="1035"/>
    <cellStyle name="Normal 6 8 2 3 2 2" xfId="1541"/>
    <cellStyle name="Normal 6 8 2 3 2 2 2" xfId="4356"/>
    <cellStyle name="Normal 6 8 2 3 2 2 3" xfId="3346"/>
    <cellStyle name="Normal 6 8 2 3 2 2 4" xfId="7281"/>
    <cellStyle name="Normal 6 8 2 3 2 3" xfId="2049"/>
    <cellStyle name="Normal 6 8 2 3 2 3 2" xfId="3862"/>
    <cellStyle name="Normal 6 8 2 3 2 3 3" xfId="7789"/>
    <cellStyle name="Normal 6 8 2 3 2 4" xfId="4834"/>
    <cellStyle name="Normal 6 8 2 3 2 5" xfId="5332"/>
    <cellStyle name="Normal 6 8 2 3 2 6" xfId="5834"/>
    <cellStyle name="Normal 6 8 2 3 2 7" xfId="2852"/>
    <cellStyle name="Normal 6 8 2 3 2 8" xfId="6775"/>
    <cellStyle name="Normal 6 8 2 3 3" xfId="1293"/>
    <cellStyle name="Normal 6 8 2 3 3 2" xfId="4108"/>
    <cellStyle name="Normal 6 8 2 3 3 3" xfId="3098"/>
    <cellStyle name="Normal 6 8 2 3 3 4" xfId="7033"/>
    <cellStyle name="Normal 6 8 2 3 4" xfId="1801"/>
    <cellStyle name="Normal 6 8 2 3 4 2" xfId="3614"/>
    <cellStyle name="Normal 6 8 2 3 4 3" xfId="7541"/>
    <cellStyle name="Normal 6 8 2 3 5" xfId="4598"/>
    <cellStyle name="Normal 6 8 2 3 6" xfId="5084"/>
    <cellStyle name="Normal 6 8 2 3 7" xfId="5586"/>
    <cellStyle name="Normal 6 8 2 3 8" xfId="2614"/>
    <cellStyle name="Normal 6 8 2 3 9" xfId="6527"/>
    <cellStyle name="Normal 6 8 2 4" xfId="911"/>
    <cellStyle name="Normal 6 8 2 4 2" xfId="1417"/>
    <cellStyle name="Normal 6 8 2 4 2 2" xfId="4232"/>
    <cellStyle name="Normal 6 8 2 4 2 3" xfId="3222"/>
    <cellStyle name="Normal 6 8 2 4 2 4" xfId="7157"/>
    <cellStyle name="Normal 6 8 2 4 3" xfId="1925"/>
    <cellStyle name="Normal 6 8 2 4 3 2" xfId="3738"/>
    <cellStyle name="Normal 6 8 2 4 3 3" xfId="7665"/>
    <cellStyle name="Normal 6 8 2 4 4" xfId="4714"/>
    <cellStyle name="Normal 6 8 2 4 5" xfId="5208"/>
    <cellStyle name="Normal 6 8 2 4 6" xfId="5710"/>
    <cellStyle name="Normal 6 8 2 4 7" xfId="2732"/>
    <cellStyle name="Normal 6 8 2 4 8" xfId="6651"/>
    <cellStyle name="Normal 6 8 2 5" xfId="1169"/>
    <cellStyle name="Normal 6 8 2 5 2" xfId="3986"/>
    <cellStyle name="Normal 6 8 2 5 3" xfId="2976"/>
    <cellStyle name="Normal 6 8 2 5 4" xfId="6909"/>
    <cellStyle name="Normal 6 8 2 6" xfId="1677"/>
    <cellStyle name="Normal 6 8 2 6 2" xfId="3490"/>
    <cellStyle name="Normal 6 8 2 6 3" xfId="7417"/>
    <cellStyle name="Normal 6 8 2 7" xfId="4486"/>
    <cellStyle name="Normal 6 8 2 8" xfId="4960"/>
    <cellStyle name="Normal 6 8 2 9" xfId="5462"/>
    <cellStyle name="Normal 6 8 3" xfId="683"/>
    <cellStyle name="Normal 6 8 3 10" xfId="2520"/>
    <cellStyle name="Normal 6 8 3 11" xfId="6423"/>
    <cellStyle name="Normal 6 8 3 2" xfId="742"/>
    <cellStyle name="Normal 6 8 3 2 10" xfId="6482"/>
    <cellStyle name="Normal 6 8 3 2 2" xfId="866"/>
    <cellStyle name="Normal 6 8 3 2 2 2" xfId="1114"/>
    <cellStyle name="Normal 6 8 3 2 2 2 2" xfId="1620"/>
    <cellStyle name="Normal 6 8 3 2 2 2 2 2" xfId="4435"/>
    <cellStyle name="Normal 6 8 3 2 2 2 2 3" xfId="3425"/>
    <cellStyle name="Normal 6 8 3 2 2 2 2 4" xfId="7360"/>
    <cellStyle name="Normal 6 8 3 2 2 2 3" xfId="2128"/>
    <cellStyle name="Normal 6 8 3 2 2 2 3 2" xfId="3941"/>
    <cellStyle name="Normal 6 8 3 2 2 2 3 3" xfId="7868"/>
    <cellStyle name="Normal 6 8 3 2 2 2 4" xfId="4913"/>
    <cellStyle name="Normal 6 8 3 2 2 2 5" xfId="5411"/>
    <cellStyle name="Normal 6 8 3 2 2 2 6" xfId="5913"/>
    <cellStyle name="Normal 6 8 3 2 2 2 7" xfId="2931"/>
    <cellStyle name="Normal 6 8 3 2 2 2 8" xfId="6854"/>
    <cellStyle name="Normal 6 8 3 2 2 3" xfId="1372"/>
    <cellStyle name="Normal 6 8 3 2 2 3 2" xfId="4187"/>
    <cellStyle name="Normal 6 8 3 2 2 3 3" xfId="3177"/>
    <cellStyle name="Normal 6 8 3 2 2 3 4" xfId="7112"/>
    <cellStyle name="Normal 6 8 3 2 2 4" xfId="1880"/>
    <cellStyle name="Normal 6 8 3 2 2 4 2" xfId="3693"/>
    <cellStyle name="Normal 6 8 3 2 2 4 3" xfId="7620"/>
    <cellStyle name="Normal 6 8 3 2 2 5" xfId="4673"/>
    <cellStyle name="Normal 6 8 3 2 2 6" xfId="5163"/>
    <cellStyle name="Normal 6 8 3 2 2 7" xfId="5665"/>
    <cellStyle name="Normal 6 8 3 2 2 8" xfId="2689"/>
    <cellStyle name="Normal 6 8 3 2 2 9" xfId="6606"/>
    <cellStyle name="Normal 6 8 3 2 3" xfId="990"/>
    <cellStyle name="Normal 6 8 3 2 3 2" xfId="1496"/>
    <cellStyle name="Normal 6 8 3 2 3 2 2" xfId="4311"/>
    <cellStyle name="Normal 6 8 3 2 3 2 3" xfId="3301"/>
    <cellStyle name="Normal 6 8 3 2 3 2 4" xfId="7236"/>
    <cellStyle name="Normal 6 8 3 2 3 3" xfId="2004"/>
    <cellStyle name="Normal 6 8 3 2 3 3 2" xfId="3817"/>
    <cellStyle name="Normal 6 8 3 2 3 3 3" xfId="7744"/>
    <cellStyle name="Normal 6 8 3 2 3 4" xfId="4789"/>
    <cellStyle name="Normal 6 8 3 2 3 5" xfId="5287"/>
    <cellStyle name="Normal 6 8 3 2 3 6" xfId="5789"/>
    <cellStyle name="Normal 6 8 3 2 3 7" xfId="2807"/>
    <cellStyle name="Normal 6 8 3 2 3 8" xfId="6730"/>
    <cellStyle name="Normal 6 8 3 2 4" xfId="1248"/>
    <cellStyle name="Normal 6 8 3 2 4 2" xfId="4063"/>
    <cellStyle name="Normal 6 8 3 2 4 3" xfId="3053"/>
    <cellStyle name="Normal 6 8 3 2 4 4" xfId="6988"/>
    <cellStyle name="Normal 6 8 3 2 5" xfId="1756"/>
    <cellStyle name="Normal 6 8 3 2 5 2" xfId="3569"/>
    <cellStyle name="Normal 6 8 3 2 5 3" xfId="7496"/>
    <cellStyle name="Normal 6 8 3 2 6" xfId="4557"/>
    <cellStyle name="Normal 6 8 3 2 7" xfId="5039"/>
    <cellStyle name="Normal 6 8 3 2 8" xfId="5541"/>
    <cellStyle name="Normal 6 8 3 2 9" xfId="2573"/>
    <cellStyle name="Normal 6 8 3 3" xfId="807"/>
    <cellStyle name="Normal 6 8 3 3 2" xfId="1055"/>
    <cellStyle name="Normal 6 8 3 3 2 2" xfId="1561"/>
    <cellStyle name="Normal 6 8 3 3 2 2 2" xfId="4376"/>
    <cellStyle name="Normal 6 8 3 3 2 2 3" xfId="3366"/>
    <cellStyle name="Normal 6 8 3 3 2 2 4" xfId="7301"/>
    <cellStyle name="Normal 6 8 3 3 2 3" xfId="2069"/>
    <cellStyle name="Normal 6 8 3 3 2 3 2" xfId="3882"/>
    <cellStyle name="Normal 6 8 3 3 2 3 3" xfId="7809"/>
    <cellStyle name="Normal 6 8 3 3 2 4" xfId="4854"/>
    <cellStyle name="Normal 6 8 3 3 2 5" xfId="5352"/>
    <cellStyle name="Normal 6 8 3 3 2 6" xfId="5854"/>
    <cellStyle name="Normal 6 8 3 3 2 7" xfId="2872"/>
    <cellStyle name="Normal 6 8 3 3 2 8" xfId="6795"/>
    <cellStyle name="Normal 6 8 3 3 3" xfId="1313"/>
    <cellStyle name="Normal 6 8 3 3 3 2" xfId="4128"/>
    <cellStyle name="Normal 6 8 3 3 3 3" xfId="3118"/>
    <cellStyle name="Normal 6 8 3 3 3 4" xfId="7053"/>
    <cellStyle name="Normal 6 8 3 3 4" xfId="1821"/>
    <cellStyle name="Normal 6 8 3 3 4 2" xfId="3634"/>
    <cellStyle name="Normal 6 8 3 3 4 3" xfId="7561"/>
    <cellStyle name="Normal 6 8 3 3 5" xfId="4616"/>
    <cellStyle name="Normal 6 8 3 3 6" xfId="5104"/>
    <cellStyle name="Normal 6 8 3 3 7" xfId="5606"/>
    <cellStyle name="Normal 6 8 3 3 8" xfId="2632"/>
    <cellStyle name="Normal 6 8 3 3 9" xfId="6547"/>
    <cellStyle name="Normal 6 8 3 4" xfId="931"/>
    <cellStyle name="Normal 6 8 3 4 2" xfId="1437"/>
    <cellStyle name="Normal 6 8 3 4 2 2" xfId="4252"/>
    <cellStyle name="Normal 6 8 3 4 2 3" xfId="3242"/>
    <cellStyle name="Normal 6 8 3 4 2 4" xfId="7177"/>
    <cellStyle name="Normal 6 8 3 4 3" xfId="1945"/>
    <cellStyle name="Normal 6 8 3 4 3 2" xfId="3758"/>
    <cellStyle name="Normal 6 8 3 4 3 3" xfId="7685"/>
    <cellStyle name="Normal 6 8 3 4 4" xfId="4732"/>
    <cellStyle name="Normal 6 8 3 4 5" xfId="5228"/>
    <cellStyle name="Normal 6 8 3 4 6" xfId="5730"/>
    <cellStyle name="Normal 6 8 3 4 7" xfId="2750"/>
    <cellStyle name="Normal 6 8 3 4 8" xfId="6671"/>
    <cellStyle name="Normal 6 8 3 5" xfId="1189"/>
    <cellStyle name="Normal 6 8 3 5 2" xfId="4006"/>
    <cellStyle name="Normal 6 8 3 5 3" xfId="2996"/>
    <cellStyle name="Normal 6 8 3 5 4" xfId="6929"/>
    <cellStyle name="Normal 6 8 3 6" xfId="1697"/>
    <cellStyle name="Normal 6 8 3 6 2" xfId="3510"/>
    <cellStyle name="Normal 6 8 3 6 3" xfId="7437"/>
    <cellStyle name="Normal 6 8 3 7" xfId="4504"/>
    <cellStyle name="Normal 6 8 3 8" xfId="4980"/>
    <cellStyle name="Normal 6 8 3 9" xfId="5482"/>
    <cellStyle name="Normal 6 8 4" xfId="740"/>
    <cellStyle name="Normal 6 8 4 10" xfId="6480"/>
    <cellStyle name="Normal 6 8 4 2" xfId="864"/>
    <cellStyle name="Normal 6 8 4 2 2" xfId="1112"/>
    <cellStyle name="Normal 6 8 4 2 2 2" xfId="1618"/>
    <cellStyle name="Normal 6 8 4 2 2 2 2" xfId="4433"/>
    <cellStyle name="Normal 6 8 4 2 2 2 3" xfId="3423"/>
    <cellStyle name="Normal 6 8 4 2 2 2 4" xfId="7358"/>
    <cellStyle name="Normal 6 8 4 2 2 3" xfId="2126"/>
    <cellStyle name="Normal 6 8 4 2 2 3 2" xfId="3939"/>
    <cellStyle name="Normal 6 8 4 2 2 3 3" xfId="7866"/>
    <cellStyle name="Normal 6 8 4 2 2 4" xfId="4911"/>
    <cellStyle name="Normal 6 8 4 2 2 5" xfId="5409"/>
    <cellStyle name="Normal 6 8 4 2 2 6" xfId="5911"/>
    <cellStyle name="Normal 6 8 4 2 2 7" xfId="2929"/>
    <cellStyle name="Normal 6 8 4 2 2 8" xfId="6852"/>
    <cellStyle name="Normal 6 8 4 2 3" xfId="1370"/>
    <cellStyle name="Normal 6 8 4 2 3 2" xfId="4185"/>
    <cellStyle name="Normal 6 8 4 2 3 3" xfId="3175"/>
    <cellStyle name="Normal 6 8 4 2 3 4" xfId="7110"/>
    <cellStyle name="Normal 6 8 4 2 4" xfId="1878"/>
    <cellStyle name="Normal 6 8 4 2 4 2" xfId="3691"/>
    <cellStyle name="Normal 6 8 4 2 4 3" xfId="7618"/>
    <cellStyle name="Normal 6 8 4 2 5" xfId="4671"/>
    <cellStyle name="Normal 6 8 4 2 6" xfId="5161"/>
    <cellStyle name="Normal 6 8 4 2 7" xfId="5663"/>
    <cellStyle name="Normal 6 8 4 2 8" xfId="2687"/>
    <cellStyle name="Normal 6 8 4 2 9" xfId="6604"/>
    <cellStyle name="Normal 6 8 4 3" xfId="988"/>
    <cellStyle name="Normal 6 8 4 3 2" xfId="1494"/>
    <cellStyle name="Normal 6 8 4 3 2 2" xfId="4309"/>
    <cellStyle name="Normal 6 8 4 3 2 3" xfId="3299"/>
    <cellStyle name="Normal 6 8 4 3 2 4" xfId="7234"/>
    <cellStyle name="Normal 6 8 4 3 3" xfId="2002"/>
    <cellStyle name="Normal 6 8 4 3 3 2" xfId="3815"/>
    <cellStyle name="Normal 6 8 4 3 3 3" xfId="7742"/>
    <cellStyle name="Normal 6 8 4 3 4" xfId="4787"/>
    <cellStyle name="Normal 6 8 4 3 5" xfId="5285"/>
    <cellStyle name="Normal 6 8 4 3 6" xfId="5787"/>
    <cellStyle name="Normal 6 8 4 3 7" xfId="2805"/>
    <cellStyle name="Normal 6 8 4 3 8" xfId="6728"/>
    <cellStyle name="Normal 6 8 4 4" xfId="1246"/>
    <cellStyle name="Normal 6 8 4 4 2" xfId="4061"/>
    <cellStyle name="Normal 6 8 4 4 3" xfId="3051"/>
    <cellStyle name="Normal 6 8 4 4 4" xfId="6986"/>
    <cellStyle name="Normal 6 8 4 5" xfId="1754"/>
    <cellStyle name="Normal 6 8 4 5 2" xfId="3567"/>
    <cellStyle name="Normal 6 8 4 5 3" xfId="7494"/>
    <cellStyle name="Normal 6 8 4 6" xfId="4555"/>
    <cellStyle name="Normal 6 8 4 7" xfId="5037"/>
    <cellStyle name="Normal 6 8 4 8" xfId="5539"/>
    <cellStyle name="Normal 6 8 4 9" xfId="2571"/>
    <cellStyle name="Normal 6 8 5" xfId="765"/>
    <cellStyle name="Normal 6 8 5 2" xfId="1013"/>
    <cellStyle name="Normal 6 8 5 2 2" xfId="1519"/>
    <cellStyle name="Normal 6 8 5 2 2 2" xfId="4334"/>
    <cellStyle name="Normal 6 8 5 2 2 3" xfId="3324"/>
    <cellStyle name="Normal 6 8 5 2 2 4" xfId="7259"/>
    <cellStyle name="Normal 6 8 5 2 3" xfId="2027"/>
    <cellStyle name="Normal 6 8 5 2 3 2" xfId="3840"/>
    <cellStyle name="Normal 6 8 5 2 3 3" xfId="7767"/>
    <cellStyle name="Normal 6 8 5 2 4" xfId="4812"/>
    <cellStyle name="Normal 6 8 5 2 5" xfId="5310"/>
    <cellStyle name="Normal 6 8 5 2 6" xfId="5812"/>
    <cellStyle name="Normal 6 8 5 2 7" xfId="2830"/>
    <cellStyle name="Normal 6 8 5 2 8" xfId="6753"/>
    <cellStyle name="Normal 6 8 5 3" xfId="1271"/>
    <cellStyle name="Normal 6 8 5 3 2" xfId="4086"/>
    <cellStyle name="Normal 6 8 5 3 3" xfId="3076"/>
    <cellStyle name="Normal 6 8 5 3 4" xfId="7011"/>
    <cellStyle name="Normal 6 8 5 4" xfId="1779"/>
    <cellStyle name="Normal 6 8 5 4 2" xfId="3592"/>
    <cellStyle name="Normal 6 8 5 4 3" xfId="7519"/>
    <cellStyle name="Normal 6 8 5 5" xfId="4578"/>
    <cellStyle name="Normal 6 8 5 6" xfId="5062"/>
    <cellStyle name="Normal 6 8 5 7" xfId="5564"/>
    <cellStyle name="Normal 6 8 5 8" xfId="2594"/>
    <cellStyle name="Normal 6 8 5 9" xfId="6505"/>
    <cellStyle name="Normal 6 8 6" xfId="889"/>
    <cellStyle name="Normal 6 8 6 2" xfId="1395"/>
    <cellStyle name="Normal 6 8 6 2 2" xfId="4210"/>
    <cellStyle name="Normal 6 8 6 2 3" xfId="3200"/>
    <cellStyle name="Normal 6 8 6 2 4" xfId="7135"/>
    <cellStyle name="Normal 6 8 6 3" xfId="1903"/>
    <cellStyle name="Normal 6 8 6 3 2" xfId="3716"/>
    <cellStyle name="Normal 6 8 6 3 3" xfId="7643"/>
    <cellStyle name="Normal 6 8 6 4" xfId="4694"/>
    <cellStyle name="Normal 6 8 6 5" xfId="5186"/>
    <cellStyle name="Normal 6 8 6 6" xfId="5688"/>
    <cellStyle name="Normal 6 8 6 7" xfId="2712"/>
    <cellStyle name="Normal 6 8 6 8" xfId="6629"/>
    <cellStyle name="Normal 6 8 7" xfId="1147"/>
    <cellStyle name="Normal 6 8 7 2" xfId="3964"/>
    <cellStyle name="Normal 6 8 7 3" xfId="2954"/>
    <cellStyle name="Normal 6 8 7 4" xfId="6887"/>
    <cellStyle name="Normal 6 8 8" xfId="1655"/>
    <cellStyle name="Normal 6 8 8 2" xfId="3468"/>
    <cellStyle name="Normal 6 8 8 3" xfId="7395"/>
    <cellStyle name="Normal 6 8 9" xfId="4464"/>
    <cellStyle name="Normal 6 9" xfId="647"/>
    <cellStyle name="Normal 7" xfId="128"/>
    <cellStyle name="Normal 7 2" xfId="129"/>
    <cellStyle name="Normal 7 2 2" xfId="511"/>
    <cellStyle name="Normal 7 3" xfId="6253"/>
    <cellStyle name="Normal 8" xfId="130"/>
    <cellStyle name="Normal 8 2" xfId="512"/>
    <cellStyle name="Normal 8 2 2" xfId="2356"/>
    <cellStyle name="Normal 8 2 2 2" xfId="6124"/>
    <cellStyle name="Normal 8 2 2 3" xfId="7979"/>
    <cellStyle name="Normal 8 2 3" xfId="2407"/>
    <cellStyle name="Normal 8 2 3 2" xfId="6175"/>
    <cellStyle name="Normal 8 2 3 3" xfId="8030"/>
    <cellStyle name="Normal 8 2 4" xfId="2463"/>
    <cellStyle name="Normal 8 2 4 2" xfId="6231"/>
    <cellStyle name="Normal 8 2 4 3" xfId="8086"/>
    <cellStyle name="Normal 8 2 5" xfId="2304"/>
    <cellStyle name="Normal 8 2 5 2" xfId="6346"/>
    <cellStyle name="Normal 8 2 6" xfId="6073"/>
    <cellStyle name="Normal 8 2 7" xfId="7928"/>
    <cellStyle name="Normal 8 3" xfId="2327"/>
    <cellStyle name="Normal 8 3 2" xfId="6096"/>
    <cellStyle name="Normal 8 3 3" xfId="7951"/>
    <cellStyle name="Normal 8 4" xfId="2379"/>
    <cellStyle name="Normal 8 4 2" xfId="6147"/>
    <cellStyle name="Normal 8 4 3" xfId="8002"/>
    <cellStyle name="Normal 8 5" xfId="2435"/>
    <cellStyle name="Normal 8 5 2" xfId="6203"/>
    <cellStyle name="Normal 8 5 3" xfId="8058"/>
    <cellStyle name="Normal 8 6" xfId="2189"/>
    <cellStyle name="Normal 8 6 2" xfId="6254"/>
    <cellStyle name="Normal 8 7" xfId="6045"/>
    <cellStyle name="Normal 8 8" xfId="7900"/>
    <cellStyle name="Normal 9" xfId="131"/>
    <cellStyle name="Normal 9 2" xfId="513"/>
    <cellStyle name="Normal 9 2 2" xfId="2331"/>
    <cellStyle name="Normal 9 2 2 2" xfId="6347"/>
    <cellStyle name="Normal 9 2 3" xfId="6099"/>
    <cellStyle name="Normal 9 2 4" xfId="7954"/>
    <cellStyle name="Normal 9 3" xfId="2382"/>
    <cellStyle name="Normal 9 3 2" xfId="6150"/>
    <cellStyle name="Normal 9 3 3" xfId="8005"/>
    <cellStyle name="Normal 9 4" xfId="2438"/>
    <cellStyle name="Normal 9 4 2" xfId="6206"/>
    <cellStyle name="Normal 9 4 3" xfId="8061"/>
    <cellStyle name="Normal 9 5" xfId="2193"/>
    <cellStyle name="Normal 9 5 2" xfId="6255"/>
    <cellStyle name="Normal 9 6" xfId="6048"/>
    <cellStyle name="Normal 9 7" xfId="7903"/>
    <cellStyle name="Normal_2009 LGS-TOD Rate Design" xfId="6"/>
    <cellStyle name="Normal_Off Peak Excess" xfId="186"/>
    <cellStyle name="Note 10" xfId="514"/>
    <cellStyle name="Note 11" xfId="515"/>
    <cellStyle name="Note 2" xfId="132"/>
    <cellStyle name="Note 2 2" xfId="133"/>
    <cellStyle name="Note 2 2 2" xfId="517"/>
    <cellStyle name="Note 2 2 2 2" xfId="2285"/>
    <cellStyle name="Note 2 2 2 2 2" xfId="6349"/>
    <cellStyle name="Note 2 3" xfId="516"/>
    <cellStyle name="Note 2 3 2" xfId="2237"/>
    <cellStyle name="Note 2 3 2 2" xfId="6348"/>
    <cellStyle name="Note 2_Allocators" xfId="518"/>
    <cellStyle name="Note 3" xfId="134"/>
    <cellStyle name="Note 3 2" xfId="135"/>
    <cellStyle name="Note 3 2 2" xfId="520"/>
    <cellStyle name="Note 3 2 2 2" xfId="2286"/>
    <cellStyle name="Note 3 2 2 2 2" xfId="6350"/>
    <cellStyle name="Note 3 3" xfId="521"/>
    <cellStyle name="Note 3 3 2" xfId="2238"/>
    <cellStyle name="Note 3 3 2 2" xfId="6351"/>
    <cellStyle name="Note 3 4" xfId="519"/>
    <cellStyle name="Note 3_Allocators" xfId="522"/>
    <cellStyle name="Note 4" xfId="136"/>
    <cellStyle name="Note 4 2" xfId="137"/>
    <cellStyle name="Note 4 2 2" xfId="524"/>
    <cellStyle name="Note 4 2 2 2" xfId="2287"/>
    <cellStyle name="Note 4 2 2 2 2" xfId="6353"/>
    <cellStyle name="Note 4 3" xfId="523"/>
    <cellStyle name="Note 4 3 2" xfId="2239"/>
    <cellStyle name="Note 4 3 2 2" xfId="6352"/>
    <cellStyle name="Note 4_Allocators" xfId="525"/>
    <cellStyle name="Note 5" xfId="138"/>
    <cellStyle name="Note 5 2" xfId="526"/>
    <cellStyle name="Note 5 2 2" xfId="2236"/>
    <cellStyle name="Note 5 2 2 2" xfId="6354"/>
    <cellStyle name="Note 5 3" xfId="5990"/>
    <cellStyle name="Note 6" xfId="139"/>
    <cellStyle name="Note 6 2" xfId="528"/>
    <cellStyle name="Note 6 2 2" xfId="2357"/>
    <cellStyle name="Note 6 2 2 2" xfId="6125"/>
    <cellStyle name="Note 6 2 2 3" xfId="7980"/>
    <cellStyle name="Note 6 2 3" xfId="2408"/>
    <cellStyle name="Note 6 2 3 2" xfId="6176"/>
    <cellStyle name="Note 6 2 3 3" xfId="8031"/>
    <cellStyle name="Note 6 2 4" xfId="2464"/>
    <cellStyle name="Note 6 2 4 2" xfId="6232"/>
    <cellStyle name="Note 6 2 4 3" xfId="8087"/>
    <cellStyle name="Note 6 2 5" xfId="2305"/>
    <cellStyle name="Note 6 2 5 2" xfId="6356"/>
    <cellStyle name="Note 6 2 6" xfId="6074"/>
    <cellStyle name="Note 6 2 7" xfId="7929"/>
    <cellStyle name="Note 6 3" xfId="527"/>
    <cellStyle name="Note 6 3 2" xfId="2328"/>
    <cellStyle name="Note 6 3 2 2" xfId="6355"/>
    <cellStyle name="Note 6 3 3" xfId="6097"/>
    <cellStyle name="Note 6 3 4" xfId="7952"/>
    <cellStyle name="Note 6 4" xfId="2380"/>
    <cellStyle name="Note 6 4 2" xfId="6148"/>
    <cellStyle name="Note 6 4 3" xfId="8003"/>
    <cellStyle name="Note 6 5" xfId="2436"/>
    <cellStyle name="Note 6 5 2" xfId="6204"/>
    <cellStyle name="Note 6 5 3" xfId="8059"/>
    <cellStyle name="Note 6 6" xfId="2190"/>
    <cellStyle name="Note 6 6 2" xfId="6256"/>
    <cellStyle name="Note 6 7" xfId="6046"/>
    <cellStyle name="Note 6 8" xfId="7901"/>
    <cellStyle name="Note 6_Allocators" xfId="529"/>
    <cellStyle name="Note 7" xfId="530"/>
    <cellStyle name="Note 7 2" xfId="531"/>
    <cellStyle name="Note 7 2 2" xfId="2332"/>
    <cellStyle name="Note 7 2 2 2" xfId="6358"/>
    <cellStyle name="Note 7 2 3" xfId="6100"/>
    <cellStyle name="Note 7 2 4" xfId="7955"/>
    <cellStyle name="Note 7 3" xfId="2383"/>
    <cellStyle name="Note 7 3 2" xfId="6151"/>
    <cellStyle name="Note 7 3 3" xfId="8006"/>
    <cellStyle name="Note 7 4" xfId="2439"/>
    <cellStyle name="Note 7 4 2" xfId="6207"/>
    <cellStyle name="Note 7 4 3" xfId="8062"/>
    <cellStyle name="Note 7 5" xfId="2194"/>
    <cellStyle name="Note 7 5 2" xfId="6357"/>
    <cellStyle name="Note 7 6" xfId="6049"/>
    <cellStyle name="Note 7 7" xfId="7904"/>
    <cellStyle name="Note 8" xfId="532"/>
    <cellStyle name="Note 8 2" xfId="2411"/>
    <cellStyle name="Note 8 2 2" xfId="6359"/>
    <cellStyle name="Note 8 3" xfId="6179"/>
    <cellStyle name="Note 8 4" xfId="8034"/>
    <cellStyle name="Note 9" xfId="533"/>
    <cellStyle name="nPlosion" xfId="534"/>
    <cellStyle name="nvision" xfId="535"/>
    <cellStyle name="Output" xfId="2144" builtinId="21" customBuiltin="1"/>
    <cellStyle name="Output 2" xfId="140"/>
    <cellStyle name="Output 3" xfId="536"/>
    <cellStyle name="Output 4" xfId="537"/>
    <cellStyle name="Output 5" xfId="538"/>
    <cellStyle name="Output 6" xfId="539"/>
    <cellStyle name="Output 7" xfId="5934"/>
    <cellStyle name="Percent" xfId="3" builtinId="5"/>
    <cellStyle name="Percent 10" xfId="540"/>
    <cellStyle name="Percent 11" xfId="541"/>
    <cellStyle name="Percent 12" xfId="542"/>
    <cellStyle name="Percent 13" xfId="543"/>
    <cellStyle name="Percent 13 10" xfId="4928"/>
    <cellStyle name="Percent 13 11" xfId="5426"/>
    <cellStyle name="Percent 13 12" xfId="2470"/>
    <cellStyle name="Percent 13 13" xfId="6360"/>
    <cellStyle name="Percent 13 2" xfId="648"/>
    <cellStyle name="Percent 13 2 10" xfId="2490"/>
    <cellStyle name="Percent 13 2 11" xfId="6388"/>
    <cellStyle name="Percent 13 2 2" xfId="744"/>
    <cellStyle name="Percent 13 2 2 10" xfId="6484"/>
    <cellStyle name="Percent 13 2 2 2" xfId="868"/>
    <cellStyle name="Percent 13 2 2 2 2" xfId="1116"/>
    <cellStyle name="Percent 13 2 2 2 2 2" xfId="1622"/>
    <cellStyle name="Percent 13 2 2 2 2 2 2" xfId="4437"/>
    <cellStyle name="Percent 13 2 2 2 2 2 3" xfId="3427"/>
    <cellStyle name="Percent 13 2 2 2 2 2 4" xfId="7362"/>
    <cellStyle name="Percent 13 2 2 2 2 3" xfId="2130"/>
    <cellStyle name="Percent 13 2 2 2 2 3 2" xfId="3943"/>
    <cellStyle name="Percent 13 2 2 2 2 3 3" xfId="7870"/>
    <cellStyle name="Percent 13 2 2 2 2 4" xfId="4915"/>
    <cellStyle name="Percent 13 2 2 2 2 5" xfId="5413"/>
    <cellStyle name="Percent 13 2 2 2 2 6" xfId="5915"/>
    <cellStyle name="Percent 13 2 2 2 2 7" xfId="2933"/>
    <cellStyle name="Percent 13 2 2 2 2 8" xfId="6856"/>
    <cellStyle name="Percent 13 2 2 2 3" xfId="1374"/>
    <cellStyle name="Percent 13 2 2 2 3 2" xfId="4189"/>
    <cellStyle name="Percent 13 2 2 2 3 3" xfId="3179"/>
    <cellStyle name="Percent 13 2 2 2 3 4" xfId="7114"/>
    <cellStyle name="Percent 13 2 2 2 4" xfId="1882"/>
    <cellStyle name="Percent 13 2 2 2 4 2" xfId="3695"/>
    <cellStyle name="Percent 13 2 2 2 4 3" xfId="7622"/>
    <cellStyle name="Percent 13 2 2 2 5" xfId="4675"/>
    <cellStyle name="Percent 13 2 2 2 6" xfId="5165"/>
    <cellStyle name="Percent 13 2 2 2 7" xfId="5667"/>
    <cellStyle name="Percent 13 2 2 2 8" xfId="2691"/>
    <cellStyle name="Percent 13 2 2 2 9" xfId="6608"/>
    <cellStyle name="Percent 13 2 2 3" xfId="992"/>
    <cellStyle name="Percent 13 2 2 3 2" xfId="1498"/>
    <cellStyle name="Percent 13 2 2 3 2 2" xfId="4313"/>
    <cellStyle name="Percent 13 2 2 3 2 3" xfId="3303"/>
    <cellStyle name="Percent 13 2 2 3 2 4" xfId="7238"/>
    <cellStyle name="Percent 13 2 2 3 3" xfId="2006"/>
    <cellStyle name="Percent 13 2 2 3 3 2" xfId="3819"/>
    <cellStyle name="Percent 13 2 2 3 3 3" xfId="7746"/>
    <cellStyle name="Percent 13 2 2 3 4" xfId="4791"/>
    <cellStyle name="Percent 13 2 2 3 5" xfId="5289"/>
    <cellStyle name="Percent 13 2 2 3 6" xfId="5791"/>
    <cellStyle name="Percent 13 2 2 3 7" xfId="2809"/>
    <cellStyle name="Percent 13 2 2 3 8" xfId="6732"/>
    <cellStyle name="Percent 13 2 2 4" xfId="1250"/>
    <cellStyle name="Percent 13 2 2 4 2" xfId="4065"/>
    <cellStyle name="Percent 13 2 2 4 3" xfId="3055"/>
    <cellStyle name="Percent 13 2 2 4 4" xfId="6990"/>
    <cellStyle name="Percent 13 2 2 5" xfId="1758"/>
    <cellStyle name="Percent 13 2 2 5 2" xfId="3571"/>
    <cellStyle name="Percent 13 2 2 5 3" xfId="7498"/>
    <cellStyle name="Percent 13 2 2 6" xfId="4559"/>
    <cellStyle name="Percent 13 2 2 7" xfId="5041"/>
    <cellStyle name="Percent 13 2 2 8" xfId="5543"/>
    <cellStyle name="Percent 13 2 2 9" xfId="2575"/>
    <cellStyle name="Percent 13 2 3" xfId="773"/>
    <cellStyle name="Percent 13 2 3 2" xfId="1021"/>
    <cellStyle name="Percent 13 2 3 2 2" xfId="1527"/>
    <cellStyle name="Percent 13 2 3 2 2 2" xfId="4342"/>
    <cellStyle name="Percent 13 2 3 2 2 3" xfId="3332"/>
    <cellStyle name="Percent 13 2 3 2 2 4" xfId="7267"/>
    <cellStyle name="Percent 13 2 3 2 3" xfId="2035"/>
    <cellStyle name="Percent 13 2 3 2 3 2" xfId="3848"/>
    <cellStyle name="Percent 13 2 3 2 3 3" xfId="7775"/>
    <cellStyle name="Percent 13 2 3 2 4" xfId="4820"/>
    <cellStyle name="Percent 13 2 3 2 5" xfId="5318"/>
    <cellStyle name="Percent 13 2 3 2 6" xfId="5820"/>
    <cellStyle name="Percent 13 2 3 2 7" xfId="2838"/>
    <cellStyle name="Percent 13 2 3 2 8" xfId="6761"/>
    <cellStyle name="Percent 13 2 3 3" xfId="1279"/>
    <cellStyle name="Percent 13 2 3 3 2" xfId="4094"/>
    <cellStyle name="Percent 13 2 3 3 3" xfId="3084"/>
    <cellStyle name="Percent 13 2 3 3 4" xfId="7019"/>
    <cellStyle name="Percent 13 2 3 4" xfId="1787"/>
    <cellStyle name="Percent 13 2 3 4 2" xfId="3600"/>
    <cellStyle name="Percent 13 2 3 4 3" xfId="7527"/>
    <cellStyle name="Percent 13 2 3 5" xfId="4586"/>
    <cellStyle name="Percent 13 2 3 6" xfId="5070"/>
    <cellStyle name="Percent 13 2 3 7" xfId="5572"/>
    <cellStyle name="Percent 13 2 3 8" xfId="2602"/>
    <cellStyle name="Percent 13 2 3 9" xfId="6513"/>
    <cellStyle name="Percent 13 2 4" xfId="897"/>
    <cellStyle name="Percent 13 2 4 2" xfId="1403"/>
    <cellStyle name="Percent 13 2 4 2 2" xfId="4218"/>
    <cellStyle name="Percent 13 2 4 2 3" xfId="3208"/>
    <cellStyle name="Percent 13 2 4 2 4" xfId="7143"/>
    <cellStyle name="Percent 13 2 4 3" xfId="1911"/>
    <cellStyle name="Percent 13 2 4 3 2" xfId="3724"/>
    <cellStyle name="Percent 13 2 4 3 3" xfId="7651"/>
    <cellStyle name="Percent 13 2 4 4" xfId="4702"/>
    <cellStyle name="Percent 13 2 4 5" xfId="5194"/>
    <cellStyle name="Percent 13 2 4 6" xfId="5696"/>
    <cellStyle name="Percent 13 2 4 7" xfId="2720"/>
    <cellStyle name="Percent 13 2 4 8" xfId="6637"/>
    <cellStyle name="Percent 13 2 5" xfId="1155"/>
    <cellStyle name="Percent 13 2 5 2" xfId="3972"/>
    <cellStyle name="Percent 13 2 5 3" xfId="2962"/>
    <cellStyle name="Percent 13 2 5 4" xfId="6895"/>
    <cellStyle name="Percent 13 2 6" xfId="1663"/>
    <cellStyle name="Percent 13 2 6 2" xfId="3476"/>
    <cellStyle name="Percent 13 2 6 3" xfId="7403"/>
    <cellStyle name="Percent 13 2 7" xfId="4472"/>
    <cellStyle name="Percent 13 2 8" xfId="4948"/>
    <cellStyle name="Percent 13 2 9" xfId="5448"/>
    <cellStyle name="Percent 13 3" xfId="669"/>
    <cellStyle name="Percent 13 3 10" xfId="2508"/>
    <cellStyle name="Percent 13 3 11" xfId="6409"/>
    <cellStyle name="Percent 13 3 2" xfId="745"/>
    <cellStyle name="Percent 13 3 2 10" xfId="6485"/>
    <cellStyle name="Percent 13 3 2 2" xfId="869"/>
    <cellStyle name="Percent 13 3 2 2 2" xfId="1117"/>
    <cellStyle name="Percent 13 3 2 2 2 2" xfId="1623"/>
    <cellStyle name="Percent 13 3 2 2 2 2 2" xfId="4438"/>
    <cellStyle name="Percent 13 3 2 2 2 2 3" xfId="3428"/>
    <cellStyle name="Percent 13 3 2 2 2 2 4" xfId="7363"/>
    <cellStyle name="Percent 13 3 2 2 2 3" xfId="2131"/>
    <cellStyle name="Percent 13 3 2 2 2 3 2" xfId="3944"/>
    <cellStyle name="Percent 13 3 2 2 2 3 3" xfId="7871"/>
    <cellStyle name="Percent 13 3 2 2 2 4" xfId="4916"/>
    <cellStyle name="Percent 13 3 2 2 2 5" xfId="5414"/>
    <cellStyle name="Percent 13 3 2 2 2 6" xfId="5916"/>
    <cellStyle name="Percent 13 3 2 2 2 7" xfId="2934"/>
    <cellStyle name="Percent 13 3 2 2 2 8" xfId="6857"/>
    <cellStyle name="Percent 13 3 2 2 3" xfId="1375"/>
    <cellStyle name="Percent 13 3 2 2 3 2" xfId="4190"/>
    <cellStyle name="Percent 13 3 2 2 3 3" xfId="3180"/>
    <cellStyle name="Percent 13 3 2 2 3 4" xfId="7115"/>
    <cellStyle name="Percent 13 3 2 2 4" xfId="1883"/>
    <cellStyle name="Percent 13 3 2 2 4 2" xfId="3696"/>
    <cellStyle name="Percent 13 3 2 2 4 3" xfId="7623"/>
    <cellStyle name="Percent 13 3 2 2 5" xfId="4676"/>
    <cellStyle name="Percent 13 3 2 2 6" xfId="5166"/>
    <cellStyle name="Percent 13 3 2 2 7" xfId="5668"/>
    <cellStyle name="Percent 13 3 2 2 8" xfId="2692"/>
    <cellStyle name="Percent 13 3 2 2 9" xfId="6609"/>
    <cellStyle name="Percent 13 3 2 3" xfId="993"/>
    <cellStyle name="Percent 13 3 2 3 2" xfId="1499"/>
    <cellStyle name="Percent 13 3 2 3 2 2" xfId="4314"/>
    <cellStyle name="Percent 13 3 2 3 2 3" xfId="3304"/>
    <cellStyle name="Percent 13 3 2 3 2 4" xfId="7239"/>
    <cellStyle name="Percent 13 3 2 3 3" xfId="2007"/>
    <cellStyle name="Percent 13 3 2 3 3 2" xfId="3820"/>
    <cellStyle name="Percent 13 3 2 3 3 3" xfId="7747"/>
    <cellStyle name="Percent 13 3 2 3 4" xfId="4792"/>
    <cellStyle name="Percent 13 3 2 3 5" xfId="5290"/>
    <cellStyle name="Percent 13 3 2 3 6" xfId="5792"/>
    <cellStyle name="Percent 13 3 2 3 7" xfId="2810"/>
    <cellStyle name="Percent 13 3 2 3 8" xfId="6733"/>
    <cellStyle name="Percent 13 3 2 4" xfId="1251"/>
    <cellStyle name="Percent 13 3 2 4 2" xfId="4066"/>
    <cellStyle name="Percent 13 3 2 4 3" xfId="3056"/>
    <cellStyle name="Percent 13 3 2 4 4" xfId="6991"/>
    <cellStyle name="Percent 13 3 2 5" xfId="1759"/>
    <cellStyle name="Percent 13 3 2 5 2" xfId="3572"/>
    <cellStyle name="Percent 13 3 2 5 3" xfId="7499"/>
    <cellStyle name="Percent 13 3 2 6" xfId="4560"/>
    <cellStyle name="Percent 13 3 2 7" xfId="5042"/>
    <cellStyle name="Percent 13 3 2 8" xfId="5544"/>
    <cellStyle name="Percent 13 3 2 9" xfId="2576"/>
    <cellStyle name="Percent 13 3 3" xfId="793"/>
    <cellStyle name="Percent 13 3 3 2" xfId="1041"/>
    <cellStyle name="Percent 13 3 3 2 2" xfId="1547"/>
    <cellStyle name="Percent 13 3 3 2 2 2" xfId="4362"/>
    <cellStyle name="Percent 13 3 3 2 2 3" xfId="3352"/>
    <cellStyle name="Percent 13 3 3 2 2 4" xfId="7287"/>
    <cellStyle name="Percent 13 3 3 2 3" xfId="2055"/>
    <cellStyle name="Percent 13 3 3 2 3 2" xfId="3868"/>
    <cellStyle name="Percent 13 3 3 2 3 3" xfId="7795"/>
    <cellStyle name="Percent 13 3 3 2 4" xfId="4840"/>
    <cellStyle name="Percent 13 3 3 2 5" xfId="5338"/>
    <cellStyle name="Percent 13 3 3 2 6" xfId="5840"/>
    <cellStyle name="Percent 13 3 3 2 7" xfId="2858"/>
    <cellStyle name="Percent 13 3 3 2 8" xfId="6781"/>
    <cellStyle name="Percent 13 3 3 3" xfId="1299"/>
    <cellStyle name="Percent 13 3 3 3 2" xfId="4114"/>
    <cellStyle name="Percent 13 3 3 3 3" xfId="3104"/>
    <cellStyle name="Percent 13 3 3 3 4" xfId="7039"/>
    <cellStyle name="Percent 13 3 3 4" xfId="1807"/>
    <cellStyle name="Percent 13 3 3 4 2" xfId="3620"/>
    <cellStyle name="Percent 13 3 3 4 3" xfId="7547"/>
    <cellStyle name="Percent 13 3 3 5" xfId="4604"/>
    <cellStyle name="Percent 13 3 3 6" xfId="5090"/>
    <cellStyle name="Percent 13 3 3 7" xfId="5592"/>
    <cellStyle name="Percent 13 3 3 8" xfId="2620"/>
    <cellStyle name="Percent 13 3 3 9" xfId="6533"/>
    <cellStyle name="Percent 13 3 4" xfId="917"/>
    <cellStyle name="Percent 13 3 4 2" xfId="1423"/>
    <cellStyle name="Percent 13 3 4 2 2" xfId="4238"/>
    <cellStyle name="Percent 13 3 4 2 3" xfId="3228"/>
    <cellStyle name="Percent 13 3 4 2 4" xfId="7163"/>
    <cellStyle name="Percent 13 3 4 3" xfId="1931"/>
    <cellStyle name="Percent 13 3 4 3 2" xfId="3744"/>
    <cellStyle name="Percent 13 3 4 3 3" xfId="7671"/>
    <cellStyle name="Percent 13 3 4 4" xfId="4720"/>
    <cellStyle name="Percent 13 3 4 5" xfId="5214"/>
    <cellStyle name="Percent 13 3 4 6" xfId="5716"/>
    <cellStyle name="Percent 13 3 4 7" xfId="2738"/>
    <cellStyle name="Percent 13 3 4 8" xfId="6657"/>
    <cellStyle name="Percent 13 3 5" xfId="1175"/>
    <cellStyle name="Percent 13 3 5 2" xfId="3992"/>
    <cellStyle name="Percent 13 3 5 3" xfId="2982"/>
    <cellStyle name="Percent 13 3 5 4" xfId="6915"/>
    <cellStyle name="Percent 13 3 6" xfId="1683"/>
    <cellStyle name="Percent 13 3 6 2" xfId="3496"/>
    <cellStyle name="Percent 13 3 6 3" xfId="7423"/>
    <cellStyle name="Percent 13 3 7" xfId="4492"/>
    <cellStyle name="Percent 13 3 8" xfId="4966"/>
    <cellStyle name="Percent 13 3 9" xfId="5468"/>
    <cellStyle name="Percent 13 4" xfId="743"/>
    <cellStyle name="Percent 13 4 10" xfId="6483"/>
    <cellStyle name="Percent 13 4 2" xfId="867"/>
    <cellStyle name="Percent 13 4 2 2" xfId="1115"/>
    <cellStyle name="Percent 13 4 2 2 2" xfId="1621"/>
    <cellStyle name="Percent 13 4 2 2 2 2" xfId="4436"/>
    <cellStyle name="Percent 13 4 2 2 2 3" xfId="3426"/>
    <cellStyle name="Percent 13 4 2 2 2 4" xfId="7361"/>
    <cellStyle name="Percent 13 4 2 2 3" xfId="2129"/>
    <cellStyle name="Percent 13 4 2 2 3 2" xfId="3942"/>
    <cellStyle name="Percent 13 4 2 2 3 3" xfId="7869"/>
    <cellStyle name="Percent 13 4 2 2 4" xfId="4914"/>
    <cellStyle name="Percent 13 4 2 2 5" xfId="5412"/>
    <cellStyle name="Percent 13 4 2 2 6" xfId="5914"/>
    <cellStyle name="Percent 13 4 2 2 7" xfId="2932"/>
    <cellStyle name="Percent 13 4 2 2 8" xfId="6855"/>
    <cellStyle name="Percent 13 4 2 3" xfId="1373"/>
    <cellStyle name="Percent 13 4 2 3 2" xfId="4188"/>
    <cellStyle name="Percent 13 4 2 3 3" xfId="3178"/>
    <cellStyle name="Percent 13 4 2 3 4" xfId="7113"/>
    <cellStyle name="Percent 13 4 2 4" xfId="1881"/>
    <cellStyle name="Percent 13 4 2 4 2" xfId="3694"/>
    <cellStyle name="Percent 13 4 2 4 3" xfId="7621"/>
    <cellStyle name="Percent 13 4 2 5" xfId="4674"/>
    <cellStyle name="Percent 13 4 2 6" xfId="5164"/>
    <cellStyle name="Percent 13 4 2 7" xfId="5666"/>
    <cellStyle name="Percent 13 4 2 8" xfId="2690"/>
    <cellStyle name="Percent 13 4 2 9" xfId="6607"/>
    <cellStyle name="Percent 13 4 3" xfId="991"/>
    <cellStyle name="Percent 13 4 3 2" xfId="1497"/>
    <cellStyle name="Percent 13 4 3 2 2" xfId="4312"/>
    <cellStyle name="Percent 13 4 3 2 3" xfId="3302"/>
    <cellStyle name="Percent 13 4 3 2 4" xfId="7237"/>
    <cellStyle name="Percent 13 4 3 3" xfId="2005"/>
    <cellStyle name="Percent 13 4 3 3 2" xfId="3818"/>
    <cellStyle name="Percent 13 4 3 3 3" xfId="7745"/>
    <cellStyle name="Percent 13 4 3 4" xfId="4790"/>
    <cellStyle name="Percent 13 4 3 5" xfId="5288"/>
    <cellStyle name="Percent 13 4 3 6" xfId="5790"/>
    <cellStyle name="Percent 13 4 3 7" xfId="2808"/>
    <cellStyle name="Percent 13 4 3 8" xfId="6731"/>
    <cellStyle name="Percent 13 4 4" xfId="1249"/>
    <cellStyle name="Percent 13 4 4 2" xfId="4064"/>
    <cellStyle name="Percent 13 4 4 3" xfId="3054"/>
    <cellStyle name="Percent 13 4 4 4" xfId="6989"/>
    <cellStyle name="Percent 13 4 5" xfId="1757"/>
    <cellStyle name="Percent 13 4 5 2" xfId="3570"/>
    <cellStyle name="Percent 13 4 5 3" xfId="7497"/>
    <cellStyle name="Percent 13 4 6" xfId="4558"/>
    <cellStyle name="Percent 13 4 7" xfId="5040"/>
    <cellStyle name="Percent 13 4 8" xfId="5542"/>
    <cellStyle name="Percent 13 4 9" xfId="2574"/>
    <cellStyle name="Percent 13 5" xfId="751"/>
    <cellStyle name="Percent 13 5 2" xfId="999"/>
    <cellStyle name="Percent 13 5 2 2" xfId="1505"/>
    <cellStyle name="Percent 13 5 2 2 2" xfId="4320"/>
    <cellStyle name="Percent 13 5 2 2 3" xfId="3310"/>
    <cellStyle name="Percent 13 5 2 2 4" xfId="7245"/>
    <cellStyle name="Percent 13 5 2 3" xfId="2013"/>
    <cellStyle name="Percent 13 5 2 3 2" xfId="3826"/>
    <cellStyle name="Percent 13 5 2 3 3" xfId="7753"/>
    <cellStyle name="Percent 13 5 2 4" xfId="4798"/>
    <cellStyle name="Percent 13 5 2 5" xfId="5296"/>
    <cellStyle name="Percent 13 5 2 6" xfId="5798"/>
    <cellStyle name="Percent 13 5 2 7" xfId="2816"/>
    <cellStyle name="Percent 13 5 2 8" xfId="6739"/>
    <cellStyle name="Percent 13 5 3" xfId="1257"/>
    <cellStyle name="Percent 13 5 3 2" xfId="4072"/>
    <cellStyle name="Percent 13 5 3 3" xfId="3062"/>
    <cellStyle name="Percent 13 5 3 4" xfId="6997"/>
    <cellStyle name="Percent 13 5 4" xfId="1765"/>
    <cellStyle name="Percent 13 5 4 2" xfId="3578"/>
    <cellStyle name="Percent 13 5 4 3" xfId="7505"/>
    <cellStyle name="Percent 13 5 5" xfId="4566"/>
    <cellStyle name="Percent 13 5 6" xfId="5048"/>
    <cellStyle name="Percent 13 5 7" xfId="5550"/>
    <cellStyle name="Percent 13 5 8" xfId="2582"/>
    <cellStyle name="Percent 13 5 9" xfId="6491"/>
    <cellStyle name="Percent 13 6" xfId="875"/>
    <cellStyle name="Percent 13 6 2" xfId="1381"/>
    <cellStyle name="Percent 13 6 2 2" xfId="4196"/>
    <cellStyle name="Percent 13 6 2 3" xfId="3186"/>
    <cellStyle name="Percent 13 6 2 4" xfId="7121"/>
    <cellStyle name="Percent 13 6 3" xfId="1889"/>
    <cellStyle name="Percent 13 6 3 2" xfId="3702"/>
    <cellStyle name="Percent 13 6 3 3" xfId="7629"/>
    <cellStyle name="Percent 13 6 4" xfId="4682"/>
    <cellStyle name="Percent 13 6 5" xfId="5172"/>
    <cellStyle name="Percent 13 6 6" xfId="5674"/>
    <cellStyle name="Percent 13 6 7" xfId="2698"/>
    <cellStyle name="Percent 13 6 8" xfId="6615"/>
    <cellStyle name="Percent 13 7" xfId="1133"/>
    <cellStyle name="Percent 13 7 2" xfId="3950"/>
    <cellStyle name="Percent 13 7 3" xfId="2940"/>
    <cellStyle name="Percent 13 7 4" xfId="6873"/>
    <cellStyle name="Percent 13 8" xfId="1640"/>
    <cellStyle name="Percent 13 8 2" xfId="3454"/>
    <cellStyle name="Percent 13 8 3" xfId="7380"/>
    <cellStyle name="Percent 13 9" xfId="4450"/>
    <cellStyle name="Percent 14" xfId="8089"/>
    <cellStyle name="Percent 2" xfId="8"/>
    <cellStyle name="Percent 2 2" xfId="141"/>
    <cellStyle name="Percent 2 2 2" xfId="142"/>
    <cellStyle name="Percent 2 2 2 2" xfId="143"/>
    <cellStyle name="Percent 2 2 2 2 2" xfId="2288"/>
    <cellStyle name="Percent 2 2 2 3" xfId="2241"/>
    <cellStyle name="Percent 2 2 3" xfId="144"/>
    <cellStyle name="Percent 2 2 3 2" xfId="145"/>
    <cellStyle name="Percent 2 2 3 2 2" xfId="2289"/>
    <cellStyle name="Percent 2 2 3 3" xfId="2242"/>
    <cellStyle name="Percent 2 2 4" xfId="146"/>
    <cellStyle name="Percent 2 2 4 2" xfId="147"/>
    <cellStyle name="Percent 2 2 4 2 2" xfId="2290"/>
    <cellStyle name="Percent 2 2 4 3" xfId="2243"/>
    <cellStyle name="Percent 2 2 5" xfId="2240"/>
    <cellStyle name="Percent 2 3" xfId="148"/>
    <cellStyle name="Percent 2 3 2" xfId="149"/>
    <cellStyle name="Percent 2 3 2 2" xfId="150"/>
    <cellStyle name="Percent 2 3 2 2 2" xfId="2291"/>
    <cellStyle name="Percent 2 3 2 3" xfId="2245"/>
    <cellStyle name="Percent 2 3 3" xfId="151"/>
    <cellStyle name="Percent 2 3 3 2" xfId="152"/>
    <cellStyle name="Percent 2 3 3 2 2" xfId="2292"/>
    <cellStyle name="Percent 2 3 3 3" xfId="2246"/>
    <cellStyle name="Percent 2 3 4" xfId="153"/>
    <cellStyle name="Percent 2 3 4 2" xfId="154"/>
    <cellStyle name="Percent 2 3 4 2 2" xfId="2293"/>
    <cellStyle name="Percent 2 3 4 3" xfId="2247"/>
    <cellStyle name="Percent 2 3 5" xfId="2244"/>
    <cellStyle name="Percent 2 4" xfId="155"/>
    <cellStyle name="Percent 2 4 2" xfId="156"/>
    <cellStyle name="Percent 2 4 2 2" xfId="2294"/>
    <cellStyle name="Percent 2 4 3" xfId="2248"/>
    <cellStyle name="Percent 2 5" xfId="157"/>
    <cellStyle name="Percent 2 5 2" xfId="158"/>
    <cellStyle name="Percent 2 5 2 2" xfId="2295"/>
    <cellStyle name="Percent 2 5 3" xfId="2249"/>
    <cellStyle name="Percent 2 6" xfId="159"/>
    <cellStyle name="Percent 2 6 2" xfId="160"/>
    <cellStyle name="Percent 2 6 2 2" xfId="2296"/>
    <cellStyle name="Percent 2 6 3" xfId="2250"/>
    <cellStyle name="Percent 2 7" xfId="161"/>
    <cellStyle name="Percent 2 7 2" xfId="3437"/>
    <cellStyle name="Percent 2 8" xfId="6238"/>
    <cellStyle name="Percent 3" xfId="162"/>
    <cellStyle name="Percent 3 2" xfId="163"/>
    <cellStyle name="Percent 3 2 2" xfId="164"/>
    <cellStyle name="Percent 3 2 2 2" xfId="2297"/>
    <cellStyle name="Percent 3 2 3" xfId="2252"/>
    <cellStyle name="Percent 3 3" xfId="165"/>
    <cellStyle name="Percent 3 3 2" xfId="166"/>
    <cellStyle name="Percent 3 3 2 2" xfId="2298"/>
    <cellStyle name="Percent 3 3 3" xfId="2253"/>
    <cellStyle name="Percent 3 4" xfId="167"/>
    <cellStyle name="Percent 3 4 2" xfId="168"/>
    <cellStyle name="Percent 3 4 2 2" xfId="2299"/>
    <cellStyle name="Percent 3 4 3" xfId="620"/>
    <cellStyle name="Percent 3 4 3 2" xfId="2254"/>
    <cellStyle name="Percent 3 4 3 2 2" xfId="6365"/>
    <cellStyle name="Percent 3 5" xfId="169"/>
    <cellStyle name="Percent 3 5 2" xfId="649"/>
    <cellStyle name="Percent 3 5 2 2" xfId="2262"/>
    <cellStyle name="Percent 3 5 2 2 2" xfId="6389"/>
    <cellStyle name="Percent 3 5 3" xfId="3443"/>
    <cellStyle name="Percent 3 6" xfId="218"/>
    <cellStyle name="Percent 3 6 2" xfId="2251"/>
    <cellStyle name="Percent 3 6 2 2" xfId="6280"/>
    <cellStyle name="Percent 3 7" xfId="6013"/>
    <cellStyle name="Percent 4" xfId="170"/>
    <cellStyle name="Percent 4 2" xfId="545"/>
    <cellStyle name="Percent 4 3" xfId="546"/>
    <cellStyle name="Percent 4 4" xfId="547"/>
    <cellStyle name="Percent 4 5" xfId="544"/>
    <cellStyle name="Percent 5" xfId="171"/>
    <cellStyle name="Percent 5 2" xfId="548"/>
    <cellStyle name="Percent 6" xfId="172"/>
    <cellStyle name="Percent 6 2" xfId="549"/>
    <cellStyle name="Percent 6 2 2" xfId="2347"/>
    <cellStyle name="Percent 6 2 2 2" xfId="6361"/>
    <cellStyle name="Percent 6 2 3" xfId="6115"/>
    <cellStyle name="Percent 6 2 4" xfId="7970"/>
    <cellStyle name="Percent 6 3" xfId="2398"/>
    <cellStyle name="Percent 6 3 2" xfId="6166"/>
    <cellStyle name="Percent 6 3 3" xfId="8021"/>
    <cellStyle name="Percent 6 4" xfId="2454"/>
    <cellStyle name="Percent 6 4 2" xfId="6222"/>
    <cellStyle name="Percent 6 4 3" xfId="8077"/>
    <cellStyle name="Percent 6 5" xfId="2209"/>
    <cellStyle name="Percent 6 5 2" xfId="6257"/>
    <cellStyle name="Percent 6 6" xfId="6064"/>
    <cellStyle name="Percent 6 7" xfId="7919"/>
    <cellStyle name="Percent 7" xfId="191"/>
    <cellStyle name="Percent 7 2" xfId="550"/>
    <cellStyle name="Percent 7 3" xfId="2426"/>
    <cellStyle name="Percent 7 3 2" xfId="6260"/>
    <cellStyle name="Percent 7 4" xfId="6194"/>
    <cellStyle name="Percent 7 5" xfId="8049"/>
    <cellStyle name="Percent 8" xfId="195"/>
    <cellStyle name="Percent 8 2" xfId="551"/>
    <cellStyle name="Percent 8 3" xfId="6264"/>
    <cellStyle name="Percent 8 4" xfId="7878"/>
    <cellStyle name="Percent 9" xfId="552"/>
    <cellStyle name="PSChar" xfId="173"/>
    <cellStyle name="PSChar 2" xfId="174"/>
    <cellStyle name="PSChar 2 2" xfId="219"/>
    <cellStyle name="PSChar 2 3" xfId="553"/>
    <cellStyle name="PSChar 3" xfId="175"/>
    <cellStyle name="PSChar 3 2" xfId="555"/>
    <cellStyle name="PSChar 3 3" xfId="554"/>
    <cellStyle name="PSChar 4" xfId="556"/>
    <cellStyle name="PSChar 5" xfId="557"/>
    <cellStyle name="PSChar 6" xfId="558"/>
    <cellStyle name="PSDate" xfId="176"/>
    <cellStyle name="PSDate 2" xfId="220"/>
    <cellStyle name="PSDate 2 2" xfId="559"/>
    <cellStyle name="PSDate 2 3" xfId="560"/>
    <cellStyle name="PSDate 3" xfId="561"/>
    <cellStyle name="PSDate 3 2" xfId="562"/>
    <cellStyle name="PSDate 4" xfId="563"/>
    <cellStyle name="PSDate 5" xfId="564"/>
    <cellStyle name="PSDate 6" xfId="565"/>
    <cellStyle name="PSDec" xfId="177"/>
    <cellStyle name="PSDec 2" xfId="178"/>
    <cellStyle name="PSDec 2 2" xfId="221"/>
    <cellStyle name="PSDec 2 3" xfId="566"/>
    <cellStyle name="PSDec 3" xfId="207"/>
    <cellStyle name="PSDec 3 2" xfId="567"/>
    <cellStyle name="PSDec 4" xfId="568"/>
    <cellStyle name="PSDec 5" xfId="569"/>
    <cellStyle name="PSDec 6" xfId="570"/>
    <cellStyle name="PSHeading" xfId="179"/>
    <cellStyle name="PSHeading 10" xfId="571"/>
    <cellStyle name="PSHeading 11" xfId="572"/>
    <cellStyle name="PSHeading 2" xfId="180"/>
    <cellStyle name="PSHeading 2 2" xfId="573"/>
    <cellStyle name="PSHeading 2 3" xfId="574"/>
    <cellStyle name="PSHeading 2_108 Summary" xfId="575"/>
    <cellStyle name="PSHeading 3" xfId="576"/>
    <cellStyle name="PSHeading 3 2" xfId="577"/>
    <cellStyle name="PSHeading 3_108 Summary" xfId="578"/>
    <cellStyle name="PSHeading 4" xfId="579"/>
    <cellStyle name="PSHeading 5" xfId="580"/>
    <cellStyle name="PSHeading 6" xfId="581"/>
    <cellStyle name="PSHeading 7" xfId="582"/>
    <cellStyle name="PSHeading 8" xfId="583"/>
    <cellStyle name="PSHeading 9" xfId="584"/>
    <cellStyle name="PSHeading_101 check" xfId="585"/>
    <cellStyle name="PSInt" xfId="181"/>
    <cellStyle name="PSInt 2" xfId="208"/>
    <cellStyle name="PSInt 2 2" xfId="586"/>
    <cellStyle name="PSInt 2 3" xfId="587"/>
    <cellStyle name="PSInt 3" xfId="588"/>
    <cellStyle name="PSInt 3 2" xfId="589"/>
    <cellStyle name="PSInt 4" xfId="590"/>
    <cellStyle name="PSInt 5" xfId="591"/>
    <cellStyle name="PSInt 6" xfId="592"/>
    <cellStyle name="PSSpacer" xfId="182"/>
    <cellStyle name="PSSpacer 2" xfId="222"/>
    <cellStyle name="PSSpacer 2 2" xfId="593"/>
    <cellStyle name="PSSpacer 2 3" xfId="594"/>
    <cellStyle name="PSSpacer 3" xfId="595"/>
    <cellStyle name="PSSpacer 3 2" xfId="596"/>
    <cellStyle name="PSSpacer 4" xfId="597"/>
    <cellStyle name="PSSpacer 5" xfId="598"/>
    <cellStyle name="PSSpacer 6" xfId="599"/>
    <cellStyle name="Title" xfId="2135" builtinId="15" customBuiltin="1"/>
    <cellStyle name="Title 2" xfId="183"/>
    <cellStyle name="Title 2 2" xfId="600"/>
    <cellStyle name="Title 2 2 2" xfId="5993"/>
    <cellStyle name="Title 3" xfId="601"/>
    <cellStyle name="Title 4" xfId="602"/>
    <cellStyle name="Title 5" xfId="603"/>
    <cellStyle name="Title 6" xfId="5925"/>
    <cellStyle name="Total" xfId="2150" builtinId="25" customBuiltin="1"/>
    <cellStyle name="Total 2" xfId="184"/>
    <cellStyle name="Total 2 2" xfId="604"/>
    <cellStyle name="Total 2 2 2" xfId="5994"/>
    <cellStyle name="Total 3" xfId="605"/>
    <cellStyle name="Total 4" xfId="606"/>
    <cellStyle name="Total 5" xfId="607"/>
    <cellStyle name="Total 6" xfId="608"/>
    <cellStyle name="Total 7" xfId="609"/>
    <cellStyle name="Total 8" xfId="610"/>
    <cellStyle name="Total 9" xfId="5940"/>
    <cellStyle name="Warning Text" xfId="2148" builtinId="11" customBuiltin="1"/>
    <cellStyle name="Warning Text 2" xfId="185"/>
    <cellStyle name="Warning Text 3" xfId="611"/>
    <cellStyle name="Warning Text 4" xfId="612"/>
    <cellStyle name="Warning Text 5" xfId="613"/>
    <cellStyle name="Warning Text 6" xfId="614"/>
    <cellStyle name="Warning Text 7" xfId="5938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27</xdr:row>
          <xdr:rowOff>9525</xdr:rowOff>
        </xdr:from>
        <xdr:to>
          <xdr:col>4</xdr:col>
          <xdr:colOff>257175</xdr:colOff>
          <xdr:row>31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36</xdr:row>
          <xdr:rowOff>142875</xdr:rowOff>
        </xdr:from>
        <xdr:to>
          <xdr:col>5</xdr:col>
          <xdr:colOff>695325</xdr:colOff>
          <xdr:row>41</xdr:row>
          <xdr:rowOff>114300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57150</xdr:rowOff>
        </xdr:from>
        <xdr:to>
          <xdr:col>3</xdr:col>
          <xdr:colOff>285750</xdr:colOff>
          <xdr:row>45</xdr:row>
          <xdr:rowOff>114300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46</xdr:row>
          <xdr:rowOff>66675</xdr:rowOff>
        </xdr:from>
        <xdr:to>
          <xdr:col>3</xdr:col>
          <xdr:colOff>466725</xdr:colOff>
          <xdr:row>49</xdr:row>
          <xdr:rowOff>28575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50</xdr:row>
          <xdr:rowOff>38100</xdr:rowOff>
        </xdr:from>
        <xdr:to>
          <xdr:col>3</xdr:col>
          <xdr:colOff>152400</xdr:colOff>
          <xdr:row>52</xdr:row>
          <xdr:rowOff>9525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53</xdr:row>
          <xdr:rowOff>9525</xdr:rowOff>
        </xdr:from>
        <xdr:to>
          <xdr:col>3</xdr:col>
          <xdr:colOff>238125</xdr:colOff>
          <xdr:row>55</xdr:row>
          <xdr:rowOff>114300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56</xdr:row>
          <xdr:rowOff>152400</xdr:rowOff>
        </xdr:from>
        <xdr:to>
          <xdr:col>3</xdr:col>
          <xdr:colOff>295275</xdr:colOff>
          <xdr:row>58</xdr:row>
          <xdr:rowOff>95250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59</xdr:row>
          <xdr:rowOff>123825</xdr:rowOff>
        </xdr:from>
        <xdr:to>
          <xdr:col>2</xdr:col>
          <xdr:colOff>38100</xdr:colOff>
          <xdr:row>62</xdr:row>
          <xdr:rowOff>28575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173</xdr:row>
          <xdr:rowOff>85725</xdr:rowOff>
        </xdr:from>
        <xdr:to>
          <xdr:col>6</xdr:col>
          <xdr:colOff>228600</xdr:colOff>
          <xdr:row>176</xdr:row>
          <xdr:rowOff>57150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262</xdr:row>
          <xdr:rowOff>95250</xdr:rowOff>
        </xdr:from>
        <xdr:to>
          <xdr:col>6</xdr:col>
          <xdr:colOff>542925</xdr:colOff>
          <xdr:row>265</xdr:row>
          <xdr:rowOff>66675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72</xdr:row>
          <xdr:rowOff>133350</xdr:rowOff>
        </xdr:from>
        <xdr:to>
          <xdr:col>5</xdr:col>
          <xdr:colOff>1209675</xdr:colOff>
          <xdr:row>79</xdr:row>
          <xdr:rowOff>19050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630621</xdr:colOff>
      <xdr:row>313</xdr:row>
      <xdr:rowOff>26276</xdr:rowOff>
    </xdr:from>
    <xdr:to>
      <xdr:col>8</xdr:col>
      <xdr:colOff>648367</xdr:colOff>
      <xdr:row>351</xdr:row>
      <xdr:rowOff>33378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1862" y="51454707"/>
          <a:ext cx="5180953" cy="6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25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tabSelected="1" zoomScale="90" zoomScaleNormal="90" workbookViewId="0">
      <selection activeCell="I21" sqref="I21"/>
    </sheetView>
  </sheetViews>
  <sheetFormatPr defaultRowHeight="15" outlineLevelCol="1"/>
  <cols>
    <col min="1" max="1" width="9.25" style="178" customWidth="1"/>
    <col min="2" max="2" width="15.25" style="178" customWidth="1"/>
    <col min="3" max="5" width="13.25" style="178" bestFit="1" customWidth="1"/>
    <col min="6" max="8" width="13.25" style="178" hidden="1" customWidth="1" outlineLevel="1"/>
    <col min="9" max="9" width="13.25" style="178" bestFit="1" customWidth="1" collapsed="1"/>
    <col min="10" max="13" width="13.25" style="178" hidden="1" customWidth="1" outlineLevel="1"/>
    <col min="14" max="14" width="13.25" style="178" bestFit="1" customWidth="1" collapsed="1"/>
    <col min="15" max="17" width="13.25" style="178" customWidth="1"/>
    <col min="18" max="21" width="13.25" style="178" hidden="1" customWidth="1" outlineLevel="1"/>
    <col min="22" max="22" width="13.25" style="178" bestFit="1" customWidth="1" collapsed="1"/>
    <col min="23" max="25" width="13.25" style="178" bestFit="1" customWidth="1"/>
    <col min="26" max="26" width="4.5" style="178" customWidth="1"/>
    <col min="27" max="16384" width="9" style="178"/>
  </cols>
  <sheetData>
    <row r="1" spans="1:26" ht="15.75">
      <c r="A1" s="262"/>
      <c r="B1" s="263" t="s">
        <v>889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</row>
    <row r="2" spans="1:26" ht="16.5" thickBot="1">
      <c r="A2" s="262"/>
      <c r="B2" s="263" t="s">
        <v>888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</row>
    <row r="3" spans="1:26" ht="16.5" thickBot="1">
      <c r="A3" s="262"/>
      <c r="B3" s="262"/>
      <c r="C3" s="262"/>
      <c r="D3" s="262"/>
      <c r="E3" s="848" t="s">
        <v>931</v>
      </c>
      <c r="F3" s="849"/>
      <c r="G3" s="849"/>
      <c r="H3" s="849"/>
      <c r="I3" s="850"/>
      <c r="J3" s="848" t="s">
        <v>932</v>
      </c>
      <c r="K3" s="849"/>
      <c r="L3" s="849"/>
      <c r="M3" s="849"/>
      <c r="N3" s="849"/>
      <c r="O3" s="849"/>
      <c r="P3" s="849"/>
      <c r="Q3" s="850"/>
      <c r="R3" s="262"/>
      <c r="S3" s="262"/>
      <c r="T3" s="262"/>
      <c r="U3" s="262"/>
      <c r="V3" s="262"/>
      <c r="W3" s="262"/>
      <c r="X3" s="262"/>
      <c r="Y3" s="262"/>
    </row>
    <row r="4" spans="1:26" ht="15.75">
      <c r="A4" s="262"/>
      <c r="B4" s="262"/>
      <c r="C4" s="264" t="s">
        <v>9</v>
      </c>
      <c r="D4" s="265"/>
      <c r="E4" s="264"/>
      <c r="F4" s="264"/>
      <c r="G4" s="264"/>
      <c r="H4" s="264"/>
      <c r="I4" s="264" t="s">
        <v>9</v>
      </c>
      <c r="J4" s="264"/>
      <c r="K4" s="264"/>
      <c r="L4" s="264"/>
      <c r="M4" s="264"/>
      <c r="N4" s="264" t="s">
        <v>9</v>
      </c>
      <c r="O4" s="264"/>
      <c r="P4" s="264"/>
      <c r="Q4" s="264" t="s">
        <v>9</v>
      </c>
      <c r="R4" s="264"/>
      <c r="S4" s="264"/>
      <c r="T4" s="264"/>
      <c r="U4" s="264"/>
      <c r="V4" s="264" t="s">
        <v>9</v>
      </c>
      <c r="W4" s="264"/>
      <c r="X4" s="264"/>
      <c r="Y4" s="266"/>
    </row>
    <row r="5" spans="1:26" ht="15.75">
      <c r="A5" s="262"/>
      <c r="B5" s="267" t="s">
        <v>887</v>
      </c>
      <c r="C5" s="268" t="s">
        <v>886</v>
      </c>
      <c r="D5" s="269" t="s">
        <v>70</v>
      </c>
      <c r="E5" s="268" t="s">
        <v>279</v>
      </c>
      <c r="F5" s="268" t="s">
        <v>885</v>
      </c>
      <c r="G5" s="268" t="s">
        <v>884</v>
      </c>
      <c r="H5" s="268" t="s">
        <v>883</v>
      </c>
      <c r="I5" s="268" t="s">
        <v>857</v>
      </c>
      <c r="J5" s="268" t="s">
        <v>882</v>
      </c>
      <c r="K5" s="268" t="s">
        <v>881</v>
      </c>
      <c r="L5" s="268" t="s">
        <v>880</v>
      </c>
      <c r="M5" s="268" t="s">
        <v>879</v>
      </c>
      <c r="N5" s="268" t="s">
        <v>858</v>
      </c>
      <c r="O5" s="268" t="s">
        <v>933</v>
      </c>
      <c r="P5" s="268" t="s">
        <v>934</v>
      </c>
      <c r="Q5" s="268" t="s">
        <v>935</v>
      </c>
      <c r="R5" s="268" t="s">
        <v>926</v>
      </c>
      <c r="S5" s="268" t="s">
        <v>927</v>
      </c>
      <c r="T5" s="268" t="s">
        <v>928</v>
      </c>
      <c r="U5" s="268" t="s">
        <v>929</v>
      </c>
      <c r="V5" s="268" t="s">
        <v>930</v>
      </c>
      <c r="W5" s="268" t="s">
        <v>878</v>
      </c>
      <c r="X5" s="268" t="s">
        <v>859</v>
      </c>
      <c r="Y5" s="270" t="s">
        <v>860</v>
      </c>
    </row>
    <row r="6" spans="1:26" ht="7.5" customHeight="1">
      <c r="A6" s="262"/>
      <c r="B6" s="262"/>
      <c r="C6" s="262"/>
      <c r="D6" s="271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72"/>
    </row>
    <row r="7" spans="1:26" ht="15.75">
      <c r="A7" s="273" t="s">
        <v>785</v>
      </c>
      <c r="B7" s="262" t="s">
        <v>6</v>
      </c>
      <c r="C7" s="222">
        <f>D7+E7+I7+N7+Q7+V7+W7+X7+Y7</f>
        <v>243752700</v>
      </c>
      <c r="D7" s="227">
        <f>D31+D32+D33</f>
        <v>104206522</v>
      </c>
      <c r="E7" s="227">
        <f>E31+E32+E33</f>
        <v>7659911</v>
      </c>
      <c r="F7" s="227">
        <f>F31+F32+F33</f>
        <v>26038293</v>
      </c>
      <c r="G7" s="227">
        <f>G31+G32+G33</f>
        <v>774053</v>
      </c>
      <c r="H7" s="227">
        <f>H31+H32+H33</f>
        <v>27155</v>
      </c>
      <c r="I7" s="222">
        <f>SUM(F7:H7)</f>
        <v>26839501</v>
      </c>
      <c r="J7" s="227">
        <f>J31+J32+J33</f>
        <v>20051420</v>
      </c>
      <c r="K7" s="227">
        <f>K31+K32+K33</f>
        <v>3689500</v>
      </c>
      <c r="L7" s="227">
        <f>L31+L32+L33</f>
        <v>1633077</v>
      </c>
      <c r="M7" s="227">
        <f>M31+M32+M33</f>
        <v>75492</v>
      </c>
      <c r="N7" s="222">
        <f>SUM(J7:M7)</f>
        <v>25449489</v>
      </c>
      <c r="O7" s="227">
        <f>O31+O32+O33</f>
        <v>5649001</v>
      </c>
      <c r="P7" s="227">
        <f>P31+P32+P33</f>
        <v>94786</v>
      </c>
      <c r="Q7" s="222">
        <f>P7+O7</f>
        <v>5743787</v>
      </c>
      <c r="R7" s="227">
        <f>R31+R32+R33</f>
        <v>621957</v>
      </c>
      <c r="S7" s="227">
        <f>S31+S32+S33</f>
        <v>10020648</v>
      </c>
      <c r="T7" s="227">
        <f>T31+T32+T33</f>
        <v>53568818</v>
      </c>
      <c r="U7" s="227">
        <f>U31+U32+U33</f>
        <v>9544945</v>
      </c>
      <c r="V7" s="222">
        <f>SUM(R7:U7)</f>
        <v>73756368</v>
      </c>
      <c r="W7" s="227">
        <f>W31+W32+W33</f>
        <v>89543</v>
      </c>
      <c r="X7" s="227">
        <f>X31+X32+X33</f>
        <v>6166</v>
      </c>
      <c r="Y7" s="274">
        <f>Y31+Y32+Y33</f>
        <v>1413</v>
      </c>
    </row>
    <row r="8" spans="1:26" ht="15.75">
      <c r="A8" s="273" t="s">
        <v>772</v>
      </c>
      <c r="B8" s="262" t="s">
        <v>7</v>
      </c>
      <c r="C8" s="222">
        <f>D8+E8+I8+N8+Q8+V8+W8+X8+Y8</f>
        <v>191926408</v>
      </c>
      <c r="D8" s="227">
        <f>D36</f>
        <v>73064956</v>
      </c>
      <c r="E8" s="227">
        <f>E36</f>
        <v>4651909</v>
      </c>
      <c r="F8" s="227">
        <f>F36</f>
        <v>15637792</v>
      </c>
      <c r="G8" s="227">
        <f>G36</f>
        <v>450364</v>
      </c>
      <c r="H8" s="227">
        <f>H36</f>
        <v>26467</v>
      </c>
      <c r="I8" s="222">
        <f t="shared" ref="I8:I11" si="0">SUM(F8:H8)</f>
        <v>16114623</v>
      </c>
      <c r="J8" s="227">
        <f>J36</f>
        <v>14531627</v>
      </c>
      <c r="K8" s="227">
        <f>K36</f>
        <v>2724545</v>
      </c>
      <c r="L8" s="227">
        <f>L36</f>
        <v>1204668</v>
      </c>
      <c r="M8" s="227">
        <f>M36</f>
        <v>56006</v>
      </c>
      <c r="N8" s="222">
        <f t="shared" ref="N8:N11" si="1">SUM(J8:M8)</f>
        <v>18516846</v>
      </c>
      <c r="O8" s="227">
        <f>O36</f>
        <v>3869484</v>
      </c>
      <c r="P8" s="227">
        <f>P36</f>
        <v>63208</v>
      </c>
      <c r="Q8" s="222">
        <f t="shared" ref="Q8:Q11" si="2">P8+O8</f>
        <v>3932692</v>
      </c>
      <c r="R8" s="227">
        <f>R36</f>
        <v>545924</v>
      </c>
      <c r="S8" s="227">
        <f>S36</f>
        <v>9329390</v>
      </c>
      <c r="T8" s="227">
        <f>T36</f>
        <v>53848831</v>
      </c>
      <c r="U8" s="227">
        <f>U36</f>
        <v>9886421</v>
      </c>
      <c r="V8" s="222">
        <f t="shared" ref="V8:V11" si="3">SUM(R8:U8)</f>
        <v>73610566</v>
      </c>
      <c r="W8" s="227">
        <f>W36</f>
        <v>71333</v>
      </c>
      <c r="X8" s="227">
        <f>X36</f>
        <v>1664370</v>
      </c>
      <c r="Y8" s="274">
        <f>Y36</f>
        <v>299113</v>
      </c>
    </row>
    <row r="9" spans="1:26" ht="15.75">
      <c r="A9" s="273" t="s">
        <v>877</v>
      </c>
      <c r="B9" s="262" t="s">
        <v>866</v>
      </c>
      <c r="C9" s="222">
        <f>D9+E9+I9+N9+Q9+V9+W9+X9+Y9</f>
        <v>72512797</v>
      </c>
      <c r="D9" s="227">
        <f t="shared" ref="D9:H10" si="4">D34</f>
        <v>42843798</v>
      </c>
      <c r="E9" s="227">
        <f t="shared" si="4"/>
        <v>3067924</v>
      </c>
      <c r="F9" s="227">
        <f t="shared" si="4"/>
        <v>10361875</v>
      </c>
      <c r="G9" s="227">
        <f t="shared" si="4"/>
        <v>303340</v>
      </c>
      <c r="H9" s="227">
        <f t="shared" si="4"/>
        <v>0</v>
      </c>
      <c r="I9" s="222">
        <f t="shared" si="0"/>
        <v>10665215</v>
      </c>
      <c r="J9" s="227">
        <f t="shared" ref="J9:M10" si="5">J34</f>
        <v>7874194</v>
      </c>
      <c r="K9" s="227">
        <f t="shared" si="5"/>
        <v>1446487</v>
      </c>
      <c r="L9" s="227">
        <f t="shared" si="5"/>
        <v>0</v>
      </c>
      <c r="M9" s="227">
        <f t="shared" si="5"/>
        <v>0</v>
      </c>
      <c r="N9" s="222">
        <f t="shared" si="1"/>
        <v>9320681</v>
      </c>
      <c r="O9" s="227">
        <f>O34</f>
        <v>2173360</v>
      </c>
      <c r="P9" s="227">
        <f>P34</f>
        <v>36320</v>
      </c>
      <c r="Q9" s="222">
        <f t="shared" si="2"/>
        <v>2209680</v>
      </c>
      <c r="R9" s="227">
        <f t="shared" ref="R9:U10" si="6">R34</f>
        <v>248375</v>
      </c>
      <c r="S9" s="227">
        <f t="shared" si="6"/>
        <v>3947069</v>
      </c>
      <c r="T9" s="227">
        <f t="shared" si="6"/>
        <v>0</v>
      </c>
      <c r="U9" s="227">
        <f t="shared" si="6"/>
        <v>0</v>
      </c>
      <c r="V9" s="222">
        <f t="shared" si="3"/>
        <v>4195444</v>
      </c>
      <c r="W9" s="227">
        <f t="shared" ref="W9:Y10" si="7">W34</f>
        <v>36121</v>
      </c>
      <c r="X9" s="227">
        <f t="shared" si="7"/>
        <v>143067</v>
      </c>
      <c r="Y9" s="274">
        <f t="shared" si="7"/>
        <v>30867</v>
      </c>
    </row>
    <row r="10" spans="1:26" ht="15.75">
      <c r="A10" s="273" t="s">
        <v>778</v>
      </c>
      <c r="B10" s="262" t="s">
        <v>864</v>
      </c>
      <c r="C10" s="222">
        <f>D10+E10+I10+N10+Q10+V10+W10+X10+Y10</f>
        <v>32012721</v>
      </c>
      <c r="D10" s="227">
        <f t="shared" si="4"/>
        <v>21213526</v>
      </c>
      <c r="E10" s="227">
        <f t="shared" si="4"/>
        <v>1636335</v>
      </c>
      <c r="F10" s="227">
        <f t="shared" si="4"/>
        <v>4559449</v>
      </c>
      <c r="G10" s="227">
        <f t="shared" si="4"/>
        <v>0</v>
      </c>
      <c r="H10" s="227">
        <f t="shared" si="4"/>
        <v>0</v>
      </c>
      <c r="I10" s="222">
        <f t="shared" si="0"/>
        <v>4559449</v>
      </c>
      <c r="J10" s="227">
        <f t="shared" si="5"/>
        <v>2944372</v>
      </c>
      <c r="K10" s="227">
        <f t="shared" si="5"/>
        <v>0</v>
      </c>
      <c r="L10" s="227">
        <f t="shared" si="5"/>
        <v>0</v>
      </c>
      <c r="M10" s="227">
        <f t="shared" si="5"/>
        <v>0</v>
      </c>
      <c r="N10" s="222">
        <f t="shared" si="1"/>
        <v>2944372</v>
      </c>
      <c r="O10" s="227">
        <f>O35</f>
        <v>985794</v>
      </c>
      <c r="P10" s="227">
        <f>P35</f>
        <v>0</v>
      </c>
      <c r="Q10" s="222">
        <f t="shared" si="2"/>
        <v>985794</v>
      </c>
      <c r="R10" s="227">
        <f t="shared" si="6"/>
        <v>69612</v>
      </c>
      <c r="S10" s="227">
        <f t="shared" si="6"/>
        <v>0</v>
      </c>
      <c r="T10" s="227">
        <f t="shared" si="6"/>
        <v>0</v>
      </c>
      <c r="U10" s="227">
        <f t="shared" si="6"/>
        <v>0</v>
      </c>
      <c r="V10" s="222">
        <f t="shared" si="3"/>
        <v>69612</v>
      </c>
      <c r="W10" s="227">
        <f t="shared" si="7"/>
        <v>12829</v>
      </c>
      <c r="X10" s="227">
        <f t="shared" si="7"/>
        <v>507729</v>
      </c>
      <c r="Y10" s="274">
        <f t="shared" si="7"/>
        <v>83075</v>
      </c>
    </row>
    <row r="11" spans="1:26" ht="15.75">
      <c r="A11" s="273" t="s">
        <v>876</v>
      </c>
      <c r="B11" s="275" t="s">
        <v>8</v>
      </c>
      <c r="C11" s="276">
        <f>D11+E11+I11+N11+Q11+V11+W11+X11+Y11</f>
        <v>25589466</v>
      </c>
      <c r="D11" s="277">
        <f>D37</f>
        <v>12249602</v>
      </c>
      <c r="E11" s="277">
        <f>E37</f>
        <v>3465334</v>
      </c>
      <c r="F11" s="277">
        <f>F37</f>
        <v>933727</v>
      </c>
      <c r="G11" s="277">
        <f>G37</f>
        <v>239813</v>
      </c>
      <c r="H11" s="277">
        <f>H37</f>
        <v>14823</v>
      </c>
      <c r="I11" s="222">
        <f t="shared" si="0"/>
        <v>1188363</v>
      </c>
      <c r="J11" s="277">
        <f>J37</f>
        <v>237512</v>
      </c>
      <c r="K11" s="277">
        <f>K37</f>
        <v>67405</v>
      </c>
      <c r="L11" s="277">
        <f>L37</f>
        <v>138535</v>
      </c>
      <c r="M11" s="277">
        <f>M37</f>
        <v>25226</v>
      </c>
      <c r="N11" s="222">
        <f t="shared" si="1"/>
        <v>468678</v>
      </c>
      <c r="O11" s="277">
        <f>O37</f>
        <v>60274</v>
      </c>
      <c r="P11" s="277">
        <f>P37</f>
        <v>1064</v>
      </c>
      <c r="Q11" s="222">
        <f t="shared" si="2"/>
        <v>61338</v>
      </c>
      <c r="R11" s="277">
        <f>R37</f>
        <v>1465</v>
      </c>
      <c r="S11" s="277">
        <f>S37</f>
        <v>35582</v>
      </c>
      <c r="T11" s="277">
        <f>T37</f>
        <v>186348</v>
      </c>
      <c r="U11" s="277">
        <f>U37</f>
        <v>32951</v>
      </c>
      <c r="V11" s="222">
        <f t="shared" si="3"/>
        <v>256346</v>
      </c>
      <c r="W11" s="277">
        <f>W37</f>
        <v>1530</v>
      </c>
      <c r="X11" s="277">
        <f>X37</f>
        <v>6791546</v>
      </c>
      <c r="Y11" s="278">
        <f>Y37</f>
        <v>1106729</v>
      </c>
    </row>
    <row r="12" spans="1:26" ht="15.75">
      <c r="A12" s="273" t="s">
        <v>875</v>
      </c>
      <c r="B12" s="262" t="s">
        <v>874</v>
      </c>
      <c r="C12" s="222">
        <f>SUM(C7:C11)</f>
        <v>565794092</v>
      </c>
      <c r="D12" s="227">
        <f>SUM(D7:D11)</f>
        <v>253578404</v>
      </c>
      <c r="E12" s="222">
        <f t="shared" ref="E12:Y12" si="8">SUM(E7:E11)</f>
        <v>20481413</v>
      </c>
      <c r="F12" s="222">
        <f t="shared" si="8"/>
        <v>57531136</v>
      </c>
      <c r="G12" s="222">
        <f t="shared" si="8"/>
        <v>1767570</v>
      </c>
      <c r="H12" s="222">
        <f t="shared" si="8"/>
        <v>68445</v>
      </c>
      <c r="I12" s="222">
        <f t="shared" si="8"/>
        <v>59367151</v>
      </c>
      <c r="J12" s="222">
        <f t="shared" si="8"/>
        <v>45639125</v>
      </c>
      <c r="K12" s="222">
        <f t="shared" si="8"/>
        <v>7927937</v>
      </c>
      <c r="L12" s="222">
        <f t="shared" si="8"/>
        <v>2976280</v>
      </c>
      <c r="M12" s="222">
        <f t="shared" si="8"/>
        <v>156724</v>
      </c>
      <c r="N12" s="222">
        <f t="shared" si="8"/>
        <v>56700066</v>
      </c>
      <c r="O12" s="222">
        <f t="shared" si="8"/>
        <v>12737913</v>
      </c>
      <c r="P12" s="222">
        <f t="shared" si="8"/>
        <v>195378</v>
      </c>
      <c r="Q12" s="222">
        <f t="shared" si="8"/>
        <v>12933291</v>
      </c>
      <c r="R12" s="222">
        <f t="shared" si="8"/>
        <v>1487333</v>
      </c>
      <c r="S12" s="222">
        <f t="shared" si="8"/>
        <v>23332689</v>
      </c>
      <c r="T12" s="222">
        <f t="shared" si="8"/>
        <v>107603997</v>
      </c>
      <c r="U12" s="222">
        <f t="shared" si="8"/>
        <v>19464317</v>
      </c>
      <c r="V12" s="222">
        <f t="shared" si="8"/>
        <v>151888336</v>
      </c>
      <c r="W12" s="222">
        <f t="shared" si="8"/>
        <v>211356</v>
      </c>
      <c r="X12" s="222">
        <f t="shared" si="8"/>
        <v>9112878</v>
      </c>
      <c r="Y12" s="279">
        <f t="shared" si="8"/>
        <v>1521197</v>
      </c>
      <c r="Z12" s="280"/>
    </row>
    <row r="13" spans="1:26" ht="15.75">
      <c r="A13" s="273"/>
      <c r="B13" s="262"/>
      <c r="C13" s="222"/>
      <c r="D13" s="227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79"/>
    </row>
    <row r="14" spans="1:26" ht="15.75">
      <c r="A14" s="273"/>
      <c r="B14" s="267" t="s">
        <v>873</v>
      </c>
      <c r="C14" s="262"/>
      <c r="D14" s="271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72"/>
    </row>
    <row r="15" spans="1:26" s="282" customFormat="1" ht="15.75">
      <c r="A15" s="281" t="s">
        <v>872</v>
      </c>
      <c r="B15" s="222" t="s">
        <v>871</v>
      </c>
      <c r="C15" s="222">
        <f>D15+E15+I15+N15+Q15+V15+W15+X15+Y15</f>
        <v>9129743</v>
      </c>
      <c r="D15" s="227">
        <v>3264810</v>
      </c>
      <c r="E15" s="222">
        <v>211604</v>
      </c>
      <c r="F15" s="222">
        <v>710088</v>
      </c>
      <c r="G15" s="222">
        <v>23456</v>
      </c>
      <c r="H15" s="222">
        <v>2189</v>
      </c>
      <c r="I15" s="222">
        <f>SUM(F15:H15)</f>
        <v>735733</v>
      </c>
      <c r="J15" s="222">
        <v>647394</v>
      </c>
      <c r="K15" s="222">
        <v>124714</v>
      </c>
      <c r="L15" s="222">
        <v>57445</v>
      </c>
      <c r="M15" s="222">
        <v>2699</v>
      </c>
      <c r="N15" s="222">
        <f>SUM(J15:M15)</f>
        <v>832252</v>
      </c>
      <c r="O15" s="222">
        <v>175376</v>
      </c>
      <c r="P15" s="222">
        <v>2966</v>
      </c>
      <c r="Q15" s="222">
        <f>P15+O15</f>
        <v>178342</v>
      </c>
      <c r="R15" s="222">
        <v>24805</v>
      </c>
      <c r="S15" s="222">
        <v>452948</v>
      </c>
      <c r="T15" s="222">
        <v>2842724</v>
      </c>
      <c r="U15" s="222">
        <v>501292</v>
      </c>
      <c r="V15" s="222">
        <f>SUM(R15:U15)</f>
        <v>3821769</v>
      </c>
      <c r="W15" s="222">
        <v>3184</v>
      </c>
      <c r="X15" s="222">
        <v>68807</v>
      </c>
      <c r="Y15" s="279">
        <v>13242</v>
      </c>
    </row>
    <row r="16" spans="1:26" s="282" customFormat="1" ht="15.75">
      <c r="A16" s="281"/>
      <c r="B16" s="222"/>
      <c r="C16" s="222"/>
      <c r="D16" s="227"/>
      <c r="E16" s="262"/>
      <c r="F16" s="222"/>
      <c r="G16" s="262"/>
      <c r="H16" s="262"/>
      <c r="I16" s="262"/>
      <c r="J16" s="222"/>
      <c r="K16" s="262"/>
      <c r="L16" s="262"/>
      <c r="M16" s="262"/>
      <c r="N16" s="222"/>
      <c r="O16" s="262"/>
      <c r="P16" s="262"/>
      <c r="Q16" s="222"/>
      <c r="R16" s="262"/>
      <c r="S16" s="262"/>
      <c r="T16" s="262"/>
      <c r="U16" s="262"/>
      <c r="V16" s="222"/>
      <c r="W16" s="262"/>
      <c r="X16" s="262"/>
      <c r="Y16" s="272"/>
    </row>
    <row r="17" spans="1:26" ht="15.75">
      <c r="A17" s="273"/>
      <c r="B17" s="262"/>
      <c r="C17" s="283"/>
      <c r="D17" s="227"/>
      <c r="E17" s="262"/>
      <c r="F17" s="222"/>
      <c r="G17" s="262"/>
      <c r="H17" s="262"/>
      <c r="I17" s="262"/>
      <c r="J17" s="22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72"/>
    </row>
    <row r="18" spans="1:26" ht="15.75">
      <c r="A18" s="273"/>
      <c r="B18" s="262"/>
      <c r="C18" s="283"/>
      <c r="D18" s="227"/>
      <c r="E18" s="262"/>
      <c r="F18" s="222"/>
      <c r="G18" s="262"/>
      <c r="H18" s="262"/>
      <c r="I18" s="262"/>
      <c r="J18" s="22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72"/>
    </row>
    <row r="19" spans="1:26" ht="15.75">
      <c r="A19" s="273"/>
      <c r="B19" s="267" t="s">
        <v>870</v>
      </c>
      <c r="C19" s="262"/>
      <c r="D19" s="280"/>
      <c r="F19" s="22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72"/>
    </row>
    <row r="20" spans="1:26" ht="15.75">
      <c r="A20" s="273" t="s">
        <v>869</v>
      </c>
      <c r="B20" s="262" t="s">
        <v>6</v>
      </c>
      <c r="C20" s="222">
        <f t="shared" ref="C20:U20" si="9">C7</f>
        <v>243752700</v>
      </c>
      <c r="D20" s="227">
        <f t="shared" si="9"/>
        <v>104206522</v>
      </c>
      <c r="E20" s="222">
        <f t="shared" si="9"/>
        <v>7659911</v>
      </c>
      <c r="F20" s="222">
        <f t="shared" si="9"/>
        <v>26038293</v>
      </c>
      <c r="G20" s="222">
        <f t="shared" si="9"/>
        <v>774053</v>
      </c>
      <c r="H20" s="222">
        <f t="shared" si="9"/>
        <v>27155</v>
      </c>
      <c r="I20" s="222">
        <f t="shared" si="9"/>
        <v>26839501</v>
      </c>
      <c r="J20" s="222">
        <f t="shared" si="9"/>
        <v>20051420</v>
      </c>
      <c r="K20" s="222">
        <f t="shared" si="9"/>
        <v>3689500</v>
      </c>
      <c r="L20" s="222">
        <f t="shared" si="9"/>
        <v>1633077</v>
      </c>
      <c r="M20" s="222">
        <f t="shared" si="9"/>
        <v>75492</v>
      </c>
      <c r="N20" s="222">
        <f t="shared" si="9"/>
        <v>25449489</v>
      </c>
      <c r="O20" s="222">
        <f t="shared" si="9"/>
        <v>5649001</v>
      </c>
      <c r="P20" s="222">
        <f t="shared" si="9"/>
        <v>94786</v>
      </c>
      <c r="Q20" s="222">
        <f t="shared" si="9"/>
        <v>5743787</v>
      </c>
      <c r="R20" s="222">
        <f t="shared" si="9"/>
        <v>621957</v>
      </c>
      <c r="S20" s="222">
        <f t="shared" si="9"/>
        <v>10020648</v>
      </c>
      <c r="T20" s="222">
        <f t="shared" si="9"/>
        <v>53568818</v>
      </c>
      <c r="U20" s="222">
        <f t="shared" si="9"/>
        <v>9544945</v>
      </c>
      <c r="V20" s="222">
        <f>SUM(R20:U20)</f>
        <v>73756368</v>
      </c>
      <c r="W20" s="222">
        <f>W7</f>
        <v>89543</v>
      </c>
      <c r="X20" s="222">
        <f>X7</f>
        <v>6166</v>
      </c>
      <c r="Y20" s="279">
        <f>Y7</f>
        <v>1413</v>
      </c>
      <c r="Z20" s="282"/>
    </row>
    <row r="21" spans="1:26" ht="15.75">
      <c r="A21" s="273" t="s">
        <v>868</v>
      </c>
      <c r="B21" s="262" t="s">
        <v>7</v>
      </c>
      <c r="C21" s="222">
        <f t="shared" ref="C21:T21" si="10">C8-C15</f>
        <v>182796665</v>
      </c>
      <c r="D21" s="227">
        <f t="shared" si="10"/>
        <v>69800146</v>
      </c>
      <c r="E21" s="222">
        <f t="shared" si="10"/>
        <v>4440305</v>
      </c>
      <c r="F21" s="222">
        <f t="shared" si="10"/>
        <v>14927704</v>
      </c>
      <c r="G21" s="222">
        <f t="shared" si="10"/>
        <v>426908</v>
      </c>
      <c r="H21" s="222">
        <f t="shared" si="10"/>
        <v>24278</v>
      </c>
      <c r="I21" s="222">
        <f t="shared" si="10"/>
        <v>15378890</v>
      </c>
      <c r="J21" s="222">
        <f t="shared" si="10"/>
        <v>13884233</v>
      </c>
      <c r="K21" s="222">
        <f t="shared" si="10"/>
        <v>2599831</v>
      </c>
      <c r="L21" s="222">
        <f t="shared" si="10"/>
        <v>1147223</v>
      </c>
      <c r="M21" s="222">
        <f t="shared" si="10"/>
        <v>53307</v>
      </c>
      <c r="N21" s="222">
        <f t="shared" si="10"/>
        <v>17684594</v>
      </c>
      <c r="O21" s="222">
        <f t="shared" si="10"/>
        <v>3694108</v>
      </c>
      <c r="P21" s="222">
        <f t="shared" si="10"/>
        <v>60242</v>
      </c>
      <c r="Q21" s="222">
        <f t="shared" si="10"/>
        <v>3754350</v>
      </c>
      <c r="R21" s="222">
        <f t="shared" si="10"/>
        <v>521119</v>
      </c>
      <c r="S21" s="222">
        <f t="shared" si="10"/>
        <v>8876442</v>
      </c>
      <c r="T21" s="222">
        <f t="shared" si="10"/>
        <v>51006107</v>
      </c>
      <c r="U21" s="222">
        <f>U8-U15</f>
        <v>9385129</v>
      </c>
      <c r="V21" s="222">
        <f>SUM(R21:U21)</f>
        <v>69788797</v>
      </c>
      <c r="W21" s="222">
        <f>W8-W15</f>
        <v>68149</v>
      </c>
      <c r="X21" s="222">
        <f>X8-X15</f>
        <v>1595563</v>
      </c>
      <c r="Y21" s="279">
        <f>Y8-Y15</f>
        <v>285871</v>
      </c>
      <c r="Z21" s="282"/>
    </row>
    <row r="22" spans="1:26" ht="15.75">
      <c r="A22" s="273" t="s">
        <v>867</v>
      </c>
      <c r="B22" s="262" t="s">
        <v>866</v>
      </c>
      <c r="C22" s="222">
        <f t="shared" ref="C22:U22" si="11">C9</f>
        <v>72512797</v>
      </c>
      <c r="D22" s="227">
        <f t="shared" si="11"/>
        <v>42843798</v>
      </c>
      <c r="E22" s="222">
        <f t="shared" si="11"/>
        <v>3067924</v>
      </c>
      <c r="F22" s="222">
        <f t="shared" si="11"/>
        <v>10361875</v>
      </c>
      <c r="G22" s="222">
        <f t="shared" si="11"/>
        <v>303340</v>
      </c>
      <c r="H22" s="222">
        <f t="shared" si="11"/>
        <v>0</v>
      </c>
      <c r="I22" s="222">
        <f t="shared" si="11"/>
        <v>10665215</v>
      </c>
      <c r="J22" s="222">
        <f t="shared" si="11"/>
        <v>7874194</v>
      </c>
      <c r="K22" s="222">
        <f t="shared" si="11"/>
        <v>1446487</v>
      </c>
      <c r="L22" s="222">
        <f t="shared" si="11"/>
        <v>0</v>
      </c>
      <c r="M22" s="222">
        <f t="shared" si="11"/>
        <v>0</v>
      </c>
      <c r="N22" s="222">
        <f t="shared" si="11"/>
        <v>9320681</v>
      </c>
      <c r="O22" s="222">
        <f t="shared" si="11"/>
        <v>2173360</v>
      </c>
      <c r="P22" s="222">
        <f t="shared" si="11"/>
        <v>36320</v>
      </c>
      <c r="Q22" s="222">
        <f t="shared" si="11"/>
        <v>2209680</v>
      </c>
      <c r="R22" s="222">
        <f t="shared" si="11"/>
        <v>248375</v>
      </c>
      <c r="S22" s="222">
        <f t="shared" si="11"/>
        <v>3947069</v>
      </c>
      <c r="T22" s="222">
        <f t="shared" si="11"/>
        <v>0</v>
      </c>
      <c r="U22" s="222">
        <f t="shared" si="11"/>
        <v>0</v>
      </c>
      <c r="V22" s="222">
        <f t="shared" ref="V22:V23" si="12">SUM(R22:U22)</f>
        <v>4195444</v>
      </c>
      <c r="W22" s="222">
        <f t="shared" ref="W22:Y23" si="13">W9</f>
        <v>36121</v>
      </c>
      <c r="X22" s="222">
        <f t="shared" si="13"/>
        <v>143067</v>
      </c>
      <c r="Y22" s="279">
        <f t="shared" si="13"/>
        <v>30867</v>
      </c>
      <c r="Z22" s="282"/>
    </row>
    <row r="23" spans="1:26" ht="15.75">
      <c r="A23" s="273" t="s">
        <v>865</v>
      </c>
      <c r="B23" s="262" t="s">
        <v>864</v>
      </c>
      <c r="C23" s="222">
        <f t="shared" ref="C23:U23" si="14">C10</f>
        <v>32012721</v>
      </c>
      <c r="D23" s="227">
        <f t="shared" si="14"/>
        <v>21213526</v>
      </c>
      <c r="E23" s="222">
        <f t="shared" si="14"/>
        <v>1636335</v>
      </c>
      <c r="F23" s="222">
        <f t="shared" si="14"/>
        <v>4559449</v>
      </c>
      <c r="G23" s="222">
        <f t="shared" si="14"/>
        <v>0</v>
      </c>
      <c r="H23" s="222">
        <f t="shared" si="14"/>
        <v>0</v>
      </c>
      <c r="I23" s="222">
        <f t="shared" si="14"/>
        <v>4559449</v>
      </c>
      <c r="J23" s="222">
        <f t="shared" si="14"/>
        <v>2944372</v>
      </c>
      <c r="K23" s="222">
        <f t="shared" si="14"/>
        <v>0</v>
      </c>
      <c r="L23" s="222">
        <f t="shared" si="14"/>
        <v>0</v>
      </c>
      <c r="M23" s="222">
        <f t="shared" si="14"/>
        <v>0</v>
      </c>
      <c r="N23" s="222">
        <f t="shared" si="14"/>
        <v>2944372</v>
      </c>
      <c r="O23" s="222">
        <f t="shared" si="14"/>
        <v>985794</v>
      </c>
      <c r="P23" s="222">
        <f t="shared" si="14"/>
        <v>0</v>
      </c>
      <c r="Q23" s="222">
        <f t="shared" si="14"/>
        <v>985794</v>
      </c>
      <c r="R23" s="222">
        <f t="shared" si="14"/>
        <v>69612</v>
      </c>
      <c r="S23" s="222">
        <f t="shared" si="14"/>
        <v>0</v>
      </c>
      <c r="T23" s="222">
        <f t="shared" si="14"/>
        <v>0</v>
      </c>
      <c r="U23" s="222">
        <f t="shared" si="14"/>
        <v>0</v>
      </c>
      <c r="V23" s="222">
        <f t="shared" si="12"/>
        <v>69612</v>
      </c>
      <c r="W23" s="222">
        <f t="shared" si="13"/>
        <v>12829</v>
      </c>
      <c r="X23" s="222">
        <f t="shared" si="13"/>
        <v>507729</v>
      </c>
      <c r="Y23" s="279">
        <f t="shared" si="13"/>
        <v>83075</v>
      </c>
      <c r="Z23" s="282"/>
    </row>
    <row r="24" spans="1:26" ht="15.75">
      <c r="A24" s="273" t="s">
        <v>863</v>
      </c>
      <c r="B24" s="275" t="s">
        <v>8</v>
      </c>
      <c r="C24" s="284">
        <f t="shared" ref="C24:U24" si="15">C11</f>
        <v>25589466</v>
      </c>
      <c r="D24" s="277">
        <f t="shared" si="15"/>
        <v>12249602</v>
      </c>
      <c r="E24" s="277">
        <f t="shared" si="15"/>
        <v>3465334</v>
      </c>
      <c r="F24" s="277">
        <f t="shared" si="15"/>
        <v>933727</v>
      </c>
      <c r="G24" s="277">
        <f t="shared" si="15"/>
        <v>239813</v>
      </c>
      <c r="H24" s="277">
        <f t="shared" si="15"/>
        <v>14823</v>
      </c>
      <c r="I24" s="284">
        <f t="shared" si="15"/>
        <v>1188363</v>
      </c>
      <c r="J24" s="284">
        <f t="shared" si="15"/>
        <v>237512</v>
      </c>
      <c r="K24" s="284">
        <f t="shared" si="15"/>
        <v>67405</v>
      </c>
      <c r="L24" s="284">
        <f t="shared" si="15"/>
        <v>138535</v>
      </c>
      <c r="M24" s="284">
        <f t="shared" si="15"/>
        <v>25226</v>
      </c>
      <c r="N24" s="284">
        <f t="shared" si="15"/>
        <v>468678</v>
      </c>
      <c r="O24" s="284">
        <f t="shared" si="15"/>
        <v>60274</v>
      </c>
      <c r="P24" s="284">
        <f t="shared" si="15"/>
        <v>1064</v>
      </c>
      <c r="Q24" s="284">
        <f t="shared" si="15"/>
        <v>61338</v>
      </c>
      <c r="R24" s="284">
        <f t="shared" si="15"/>
        <v>1465</v>
      </c>
      <c r="S24" s="284">
        <f t="shared" si="15"/>
        <v>35582</v>
      </c>
      <c r="T24" s="284">
        <f t="shared" si="15"/>
        <v>186348</v>
      </c>
      <c r="U24" s="284">
        <f t="shared" si="15"/>
        <v>32951</v>
      </c>
      <c r="V24" s="284">
        <f t="shared" ref="V24:Y24" si="16">V11</f>
        <v>256346</v>
      </c>
      <c r="W24" s="284">
        <f t="shared" si="16"/>
        <v>1530</v>
      </c>
      <c r="X24" s="284">
        <f t="shared" si="16"/>
        <v>6791546</v>
      </c>
      <c r="Y24" s="276">
        <f t="shared" si="16"/>
        <v>1106729</v>
      </c>
      <c r="Z24" s="282"/>
    </row>
    <row r="25" spans="1:26" ht="15.75">
      <c r="A25" s="273" t="s">
        <v>862</v>
      </c>
      <c r="B25" s="262"/>
      <c r="C25" s="285">
        <f>SUM(C20:C24)</f>
        <v>556664349</v>
      </c>
      <c r="D25" s="286">
        <f t="shared" ref="D25:Y25" si="17">SUM(D20:D24)</f>
        <v>250313594</v>
      </c>
      <c r="E25" s="285">
        <f t="shared" si="17"/>
        <v>20269809</v>
      </c>
      <c r="F25" s="285">
        <f t="shared" si="17"/>
        <v>56821048</v>
      </c>
      <c r="G25" s="285">
        <f t="shared" si="17"/>
        <v>1744114</v>
      </c>
      <c r="H25" s="285">
        <f t="shared" si="17"/>
        <v>66256</v>
      </c>
      <c r="I25" s="285">
        <f t="shared" si="17"/>
        <v>58631418</v>
      </c>
      <c r="J25" s="285">
        <f t="shared" si="17"/>
        <v>44991731</v>
      </c>
      <c r="K25" s="285">
        <f t="shared" si="17"/>
        <v>7803223</v>
      </c>
      <c r="L25" s="285">
        <f t="shared" si="17"/>
        <v>2918835</v>
      </c>
      <c r="M25" s="285">
        <f t="shared" si="17"/>
        <v>154025</v>
      </c>
      <c r="N25" s="285">
        <f t="shared" si="17"/>
        <v>55867814</v>
      </c>
      <c r="O25" s="285">
        <f t="shared" si="17"/>
        <v>12562537</v>
      </c>
      <c r="P25" s="285">
        <f t="shared" si="17"/>
        <v>192412</v>
      </c>
      <c r="Q25" s="285">
        <f t="shared" si="17"/>
        <v>12754949</v>
      </c>
      <c r="R25" s="285">
        <f t="shared" si="17"/>
        <v>1462528</v>
      </c>
      <c r="S25" s="285">
        <f>SUM(S20:S24)</f>
        <v>22879741</v>
      </c>
      <c r="T25" s="285">
        <f t="shared" si="17"/>
        <v>104761273</v>
      </c>
      <c r="U25" s="285">
        <f t="shared" si="17"/>
        <v>18963025</v>
      </c>
      <c r="V25" s="285">
        <f t="shared" si="17"/>
        <v>148066567</v>
      </c>
      <c r="W25" s="285">
        <f t="shared" si="17"/>
        <v>208172</v>
      </c>
      <c r="X25" s="285">
        <f t="shared" si="17"/>
        <v>9044071</v>
      </c>
      <c r="Y25" s="287">
        <f t="shared" si="17"/>
        <v>1507955</v>
      </c>
    </row>
    <row r="26" spans="1:26" ht="15.75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</row>
    <row r="27" spans="1:26" ht="15.75">
      <c r="A27" s="262"/>
      <c r="B27" s="262" t="s">
        <v>861</v>
      </c>
      <c r="C27" s="288">
        <f>(C12-C15)-C25</f>
        <v>0</v>
      </c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</row>
    <row r="28" spans="1:26" ht="15.75">
      <c r="A28" s="262"/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</row>
    <row r="29" spans="1:26" ht="15.75">
      <c r="A29" s="262"/>
      <c r="B29" s="262"/>
      <c r="C29" s="285">
        <f>D25+E25+I25+N25+Q25+V25+W25+X25+Y25</f>
        <v>556664349</v>
      </c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</row>
    <row r="30" spans="1:26">
      <c r="B30" s="289" t="s">
        <v>1123</v>
      </c>
    </row>
    <row r="31" spans="1:26">
      <c r="B31" s="178" t="s">
        <v>968</v>
      </c>
      <c r="C31" s="290">
        <v>250337482</v>
      </c>
      <c r="D31" s="290">
        <v>113234583</v>
      </c>
      <c r="E31" s="290">
        <v>7186884</v>
      </c>
      <c r="F31" s="290">
        <v>25066365</v>
      </c>
      <c r="G31" s="290">
        <v>753165</v>
      </c>
      <c r="H31" s="290">
        <v>40494</v>
      </c>
      <c r="I31" s="290">
        <v>25860024</v>
      </c>
      <c r="J31" s="290">
        <v>19277538</v>
      </c>
      <c r="K31" s="290">
        <v>3561197</v>
      </c>
      <c r="L31" s="290">
        <v>1583684</v>
      </c>
      <c r="M31" s="290">
        <v>72915</v>
      </c>
      <c r="N31" s="290">
        <v>24495334</v>
      </c>
      <c r="O31" s="290">
        <v>5587569</v>
      </c>
      <c r="P31" s="290">
        <v>93734</v>
      </c>
      <c r="Q31" s="290">
        <v>5681303</v>
      </c>
      <c r="R31" s="290">
        <v>621524</v>
      </c>
      <c r="S31" s="290">
        <v>10034200</v>
      </c>
      <c r="T31" s="290">
        <v>53583338</v>
      </c>
      <c r="U31" s="290">
        <v>9557291</v>
      </c>
      <c r="V31" s="290">
        <v>73796353</v>
      </c>
      <c r="W31" s="290">
        <v>83003</v>
      </c>
      <c r="X31" s="290">
        <v>0</v>
      </c>
      <c r="Y31" s="290">
        <v>0</v>
      </c>
    </row>
    <row r="32" spans="1:26">
      <c r="B32" s="178" t="s">
        <v>969</v>
      </c>
      <c r="C32" s="290">
        <v>-5374355</v>
      </c>
      <c r="D32" s="290">
        <v>-7439680</v>
      </c>
      <c r="E32" s="290">
        <v>395396</v>
      </c>
      <c r="F32" s="290">
        <v>816076</v>
      </c>
      <c r="G32" s="290">
        <v>17721</v>
      </c>
      <c r="H32" s="290">
        <v>-10414</v>
      </c>
      <c r="I32" s="290">
        <v>823384</v>
      </c>
      <c r="J32" s="290">
        <v>649991</v>
      </c>
      <c r="K32" s="290">
        <v>107997</v>
      </c>
      <c r="L32" s="290">
        <v>39793</v>
      </c>
      <c r="M32" s="290">
        <v>2577</v>
      </c>
      <c r="N32" s="290">
        <v>800358</v>
      </c>
      <c r="O32" s="290">
        <v>52847</v>
      </c>
      <c r="P32" s="290">
        <v>905</v>
      </c>
      <c r="Q32" s="290">
        <v>53752</v>
      </c>
      <c r="R32" s="290">
        <v>531</v>
      </c>
      <c r="S32" s="290">
        <v>-8391</v>
      </c>
      <c r="T32" s="290">
        <v>7178</v>
      </c>
      <c r="U32" s="290">
        <v>-12346</v>
      </c>
      <c r="V32" s="290">
        <v>-13028</v>
      </c>
      <c r="W32" s="290">
        <v>5462</v>
      </c>
      <c r="X32" s="290">
        <v>0</v>
      </c>
      <c r="Y32" s="290">
        <v>0</v>
      </c>
    </row>
    <row r="33" spans="2:25">
      <c r="B33" s="178" t="s">
        <v>970</v>
      </c>
      <c r="C33" s="290">
        <v>-1210425</v>
      </c>
      <c r="D33" s="290">
        <v>-1588381</v>
      </c>
      <c r="E33" s="290">
        <v>77631</v>
      </c>
      <c r="F33" s="290">
        <v>155852</v>
      </c>
      <c r="G33" s="290">
        <v>3167</v>
      </c>
      <c r="H33" s="290">
        <v>-2925</v>
      </c>
      <c r="I33" s="290">
        <v>156094</v>
      </c>
      <c r="J33" s="290">
        <v>123891</v>
      </c>
      <c r="K33" s="290">
        <v>20306</v>
      </c>
      <c r="L33" s="290">
        <v>9600</v>
      </c>
      <c r="M33" s="290">
        <v>0</v>
      </c>
      <c r="N33" s="290">
        <v>153797</v>
      </c>
      <c r="O33" s="290">
        <v>8585</v>
      </c>
      <c r="P33" s="290">
        <v>147</v>
      </c>
      <c r="Q33" s="290">
        <v>8732</v>
      </c>
      <c r="R33" s="290">
        <v>-98</v>
      </c>
      <c r="S33" s="290">
        <v>-5161</v>
      </c>
      <c r="T33" s="290">
        <v>-21698</v>
      </c>
      <c r="U33" s="290">
        <v>0</v>
      </c>
      <c r="V33" s="290">
        <v>-26956</v>
      </c>
      <c r="W33" s="290">
        <v>1078</v>
      </c>
      <c r="X33" s="290">
        <v>6166</v>
      </c>
      <c r="Y33" s="290">
        <v>1413</v>
      </c>
    </row>
    <row r="34" spans="2:25">
      <c r="B34" s="178" t="s">
        <v>971</v>
      </c>
      <c r="C34" s="290">
        <v>72512797</v>
      </c>
      <c r="D34" s="290">
        <v>42843798</v>
      </c>
      <c r="E34" s="290">
        <v>3067924</v>
      </c>
      <c r="F34" s="290">
        <v>10361875</v>
      </c>
      <c r="G34" s="290">
        <v>303340</v>
      </c>
      <c r="H34" s="290">
        <v>0</v>
      </c>
      <c r="I34" s="290">
        <v>10665215</v>
      </c>
      <c r="J34" s="290">
        <v>7874194</v>
      </c>
      <c r="K34" s="290">
        <v>1446487</v>
      </c>
      <c r="L34" s="290">
        <v>0</v>
      </c>
      <c r="M34" s="290">
        <v>0</v>
      </c>
      <c r="N34" s="290">
        <v>9320681</v>
      </c>
      <c r="O34" s="290">
        <v>2173360</v>
      </c>
      <c r="P34" s="290">
        <v>36320</v>
      </c>
      <c r="Q34" s="290">
        <v>2209680</v>
      </c>
      <c r="R34" s="290">
        <v>248375</v>
      </c>
      <c r="S34" s="290">
        <v>3947069</v>
      </c>
      <c r="T34" s="290">
        <v>0</v>
      </c>
      <c r="U34" s="290">
        <v>0</v>
      </c>
      <c r="V34" s="290">
        <v>4195444</v>
      </c>
      <c r="W34" s="290">
        <v>36121</v>
      </c>
      <c r="X34" s="290">
        <v>143067</v>
      </c>
      <c r="Y34" s="290">
        <v>30867</v>
      </c>
    </row>
    <row r="35" spans="2:25">
      <c r="B35" s="178" t="s">
        <v>972</v>
      </c>
      <c r="C35" s="290">
        <v>32012719</v>
      </c>
      <c r="D35" s="290">
        <v>21213526</v>
      </c>
      <c r="E35" s="290">
        <v>1636335</v>
      </c>
      <c r="F35" s="290">
        <v>4559449</v>
      </c>
      <c r="G35" s="290">
        <v>0</v>
      </c>
      <c r="H35" s="290">
        <v>0</v>
      </c>
      <c r="I35" s="290">
        <v>4559449</v>
      </c>
      <c r="J35" s="290">
        <v>2944372</v>
      </c>
      <c r="K35" s="290">
        <v>0</v>
      </c>
      <c r="L35" s="290">
        <v>0</v>
      </c>
      <c r="M35" s="290">
        <v>0</v>
      </c>
      <c r="N35" s="290">
        <v>2944372</v>
      </c>
      <c r="O35" s="290">
        <v>985794</v>
      </c>
      <c r="P35" s="290">
        <v>0</v>
      </c>
      <c r="Q35" s="290">
        <v>985794</v>
      </c>
      <c r="R35" s="290">
        <v>69612</v>
      </c>
      <c r="S35" s="290">
        <v>0</v>
      </c>
      <c r="T35" s="290">
        <v>0</v>
      </c>
      <c r="U35" s="290">
        <v>0</v>
      </c>
      <c r="V35" s="290">
        <v>69612</v>
      </c>
      <c r="W35" s="290">
        <v>12829</v>
      </c>
      <c r="X35" s="290">
        <v>507729</v>
      </c>
      <c r="Y35" s="290">
        <v>83075</v>
      </c>
    </row>
    <row r="36" spans="2:25">
      <c r="B36" s="178" t="s">
        <v>973</v>
      </c>
      <c r="C36" s="290">
        <v>191926409</v>
      </c>
      <c r="D36" s="290">
        <v>73064956</v>
      </c>
      <c r="E36" s="290">
        <v>4651909</v>
      </c>
      <c r="F36" s="290">
        <v>15637792</v>
      </c>
      <c r="G36" s="290">
        <v>450364</v>
      </c>
      <c r="H36" s="290">
        <v>26467</v>
      </c>
      <c r="I36" s="290">
        <v>16114624</v>
      </c>
      <c r="J36" s="290">
        <v>14531627</v>
      </c>
      <c r="K36" s="290">
        <v>2724545</v>
      </c>
      <c r="L36" s="290">
        <v>1204668</v>
      </c>
      <c r="M36" s="290">
        <v>56006</v>
      </c>
      <c r="N36" s="290">
        <v>18516845</v>
      </c>
      <c r="O36" s="290">
        <v>3869484</v>
      </c>
      <c r="P36" s="290">
        <v>63208</v>
      </c>
      <c r="Q36" s="290">
        <v>3932692</v>
      </c>
      <c r="R36" s="290">
        <v>545924</v>
      </c>
      <c r="S36" s="290">
        <v>9329390</v>
      </c>
      <c r="T36" s="290">
        <v>53848831</v>
      </c>
      <c r="U36" s="290">
        <v>9886421</v>
      </c>
      <c r="V36" s="290">
        <v>73610566</v>
      </c>
      <c r="W36" s="290">
        <v>71333</v>
      </c>
      <c r="X36" s="290">
        <v>1664370</v>
      </c>
      <c r="Y36" s="290">
        <v>299113</v>
      </c>
    </row>
    <row r="37" spans="2:25">
      <c r="B37" s="178" t="s">
        <v>974</v>
      </c>
      <c r="C37" s="290">
        <v>25589465</v>
      </c>
      <c r="D37" s="290">
        <v>12249602</v>
      </c>
      <c r="E37" s="290">
        <v>3465334</v>
      </c>
      <c r="F37" s="290">
        <v>933727</v>
      </c>
      <c r="G37" s="290">
        <v>239813</v>
      </c>
      <c r="H37" s="290">
        <v>14823</v>
      </c>
      <c r="I37" s="290">
        <v>1188363</v>
      </c>
      <c r="J37" s="290">
        <v>237512</v>
      </c>
      <c r="K37" s="290">
        <v>67405</v>
      </c>
      <c r="L37" s="290">
        <v>138535</v>
      </c>
      <c r="M37" s="290">
        <v>25226</v>
      </c>
      <c r="N37" s="290">
        <v>468678</v>
      </c>
      <c r="O37" s="290">
        <v>60274</v>
      </c>
      <c r="P37" s="290">
        <v>1064</v>
      </c>
      <c r="Q37" s="290">
        <v>61338</v>
      </c>
      <c r="R37" s="290">
        <v>1465</v>
      </c>
      <c r="S37" s="290">
        <v>35582</v>
      </c>
      <c r="T37" s="290">
        <v>186348</v>
      </c>
      <c r="U37" s="290">
        <v>32951</v>
      </c>
      <c r="V37" s="290">
        <v>256346</v>
      </c>
      <c r="W37" s="290">
        <v>1530</v>
      </c>
      <c r="X37" s="290">
        <v>6791546</v>
      </c>
      <c r="Y37" s="290">
        <v>1106729</v>
      </c>
    </row>
    <row r="38" spans="2:25">
      <c r="B38" s="178" t="s">
        <v>874</v>
      </c>
      <c r="C38" s="290">
        <v>565794092</v>
      </c>
      <c r="D38" s="290">
        <v>253578405</v>
      </c>
      <c r="E38" s="290">
        <v>20481413</v>
      </c>
      <c r="F38" s="290">
        <v>57531135</v>
      </c>
      <c r="G38" s="290">
        <v>1767571</v>
      </c>
      <c r="H38" s="290">
        <v>68445</v>
      </c>
      <c r="I38" s="290">
        <v>59367152</v>
      </c>
      <c r="J38" s="290">
        <v>45639124</v>
      </c>
      <c r="K38" s="290">
        <v>7927936</v>
      </c>
      <c r="L38" s="290">
        <v>2976280</v>
      </c>
      <c r="M38" s="290">
        <v>156723</v>
      </c>
      <c r="N38" s="290">
        <v>56700064</v>
      </c>
      <c r="O38" s="290">
        <v>12737913</v>
      </c>
      <c r="P38" s="290">
        <v>195379</v>
      </c>
      <c r="Q38" s="290">
        <v>12933292</v>
      </c>
      <c r="R38" s="290">
        <v>1487333</v>
      </c>
      <c r="S38" s="290">
        <v>23332689</v>
      </c>
      <c r="T38" s="290">
        <v>107603997</v>
      </c>
      <c r="U38" s="290">
        <v>19464317</v>
      </c>
      <c r="V38" s="290">
        <v>151888336</v>
      </c>
      <c r="W38" s="290">
        <v>211356</v>
      </c>
      <c r="X38" s="290">
        <v>9112879</v>
      </c>
      <c r="Y38" s="290">
        <v>1521196</v>
      </c>
    </row>
    <row r="40" spans="2:25" s="291" customFormat="1">
      <c r="C40" s="291" t="s">
        <v>9</v>
      </c>
      <c r="D40" s="291" t="s">
        <v>70</v>
      </c>
      <c r="E40" s="291" t="s">
        <v>279</v>
      </c>
      <c r="F40" s="291" t="s">
        <v>885</v>
      </c>
      <c r="G40" s="291" t="s">
        <v>884</v>
      </c>
      <c r="H40" s="291" t="s">
        <v>883</v>
      </c>
      <c r="I40" s="291" t="s">
        <v>857</v>
      </c>
      <c r="J40" s="291" t="s">
        <v>882</v>
      </c>
      <c r="K40" s="291" t="s">
        <v>881</v>
      </c>
      <c r="L40" s="291" t="s">
        <v>880</v>
      </c>
      <c r="M40" s="291" t="s">
        <v>879</v>
      </c>
      <c r="N40" s="291" t="s">
        <v>858</v>
      </c>
      <c r="O40" s="291" t="s">
        <v>1022</v>
      </c>
      <c r="P40" s="291" t="s">
        <v>1023</v>
      </c>
      <c r="Q40" s="291" t="s">
        <v>935</v>
      </c>
      <c r="R40" s="291" t="s">
        <v>1024</v>
      </c>
      <c r="S40" s="291" t="s">
        <v>1025</v>
      </c>
      <c r="T40" s="291" t="s">
        <v>1026</v>
      </c>
      <c r="U40" s="291" t="s">
        <v>1027</v>
      </c>
      <c r="V40" s="291" t="s">
        <v>930</v>
      </c>
      <c r="W40" s="291" t="s">
        <v>878</v>
      </c>
      <c r="X40" s="291" t="s">
        <v>859</v>
      </c>
      <c r="Y40" s="291" t="s">
        <v>860</v>
      </c>
    </row>
  </sheetData>
  <mergeCells count="2">
    <mergeCell ref="E3:I3"/>
    <mergeCell ref="J3:Q3"/>
  </mergeCells>
  <pageMargins left="0.25" right="0.25" top="0.25" bottom="0.25" header="0.25" footer="0.25"/>
  <pageSetup scale="68" orientation="landscape" r:id="rId1"/>
  <headerFooter>
    <oddHeader>&amp;RExhibit AEV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selection activeCell="C29" sqref="C29"/>
    </sheetView>
  </sheetViews>
  <sheetFormatPr defaultRowHeight="15"/>
  <cols>
    <col min="1" max="1" width="9" style="110"/>
    <col min="2" max="2" width="31.5" style="110" customWidth="1"/>
    <col min="3" max="3" width="23.5" style="110" bestFit="1" customWidth="1"/>
    <col min="4" max="4" width="14.375" style="110" bestFit="1" customWidth="1"/>
    <col min="5" max="5" width="2.875" style="110" customWidth="1"/>
    <col min="6" max="6" width="14.875" style="110" bestFit="1" customWidth="1"/>
    <col min="7" max="7" width="2.875" style="110" customWidth="1"/>
    <col min="8" max="8" width="13.875" style="110" bestFit="1" customWidth="1"/>
    <col min="9" max="9" width="2.875" style="110" customWidth="1"/>
    <col min="10" max="10" width="12.25" style="110" customWidth="1"/>
    <col min="11" max="11" width="12.375" style="110" customWidth="1"/>
    <col min="12" max="12" width="9.625" style="110" bestFit="1" customWidth="1"/>
    <col min="13" max="16384" width="9" style="110"/>
  </cols>
  <sheetData>
    <row r="1" spans="1:11" ht="15.75">
      <c r="A1" s="493" t="s">
        <v>944</v>
      </c>
    </row>
    <row r="3" spans="1:11" ht="15.75">
      <c r="A3" s="494" t="s">
        <v>118</v>
      </c>
      <c r="B3" s="495" t="s">
        <v>87</v>
      </c>
      <c r="C3" s="496"/>
      <c r="D3" s="497"/>
      <c r="E3" s="90"/>
      <c r="F3" s="494"/>
      <c r="G3" s="497"/>
      <c r="H3" s="494"/>
      <c r="I3" s="84"/>
      <c r="J3" s="84"/>
    </row>
    <row r="4" spans="1:11">
      <c r="A4" s="92"/>
      <c r="B4" s="84"/>
      <c r="C4" s="84"/>
      <c r="D4" s="498" t="s">
        <v>319</v>
      </c>
      <c r="E4" s="89"/>
      <c r="F4" s="498" t="s">
        <v>318</v>
      </c>
      <c r="G4" s="92"/>
      <c r="H4" s="498" t="s">
        <v>373</v>
      </c>
      <c r="I4" s="84"/>
      <c r="J4" s="498" t="s">
        <v>372</v>
      </c>
      <c r="K4" s="498" t="s">
        <v>9</v>
      </c>
    </row>
    <row r="5" spans="1:11">
      <c r="A5" s="92"/>
      <c r="B5" s="84"/>
      <c r="C5" s="499" t="s">
        <v>393</v>
      </c>
      <c r="D5" s="498"/>
      <c r="E5" s="89"/>
      <c r="F5" s="498"/>
      <c r="G5" s="92"/>
      <c r="H5" s="498"/>
      <c r="I5" s="84"/>
      <c r="J5" s="498"/>
    </row>
    <row r="6" spans="1:11">
      <c r="A6" s="92"/>
      <c r="B6" s="84"/>
      <c r="C6" s="84" t="s">
        <v>6</v>
      </c>
      <c r="D6" s="97">
        <f>SGS!C7+MGS!E5</f>
        <v>53323787</v>
      </c>
      <c r="E6" s="91"/>
      <c r="F6" s="97">
        <f>MGS!E23</f>
        <v>1077393</v>
      </c>
      <c r="G6" s="84"/>
      <c r="H6" s="97">
        <f>MGS!E29</f>
        <v>27155</v>
      </c>
      <c r="I6" s="84"/>
      <c r="J6" s="97"/>
    </row>
    <row r="7" spans="1:11">
      <c r="A7" s="92"/>
      <c r="B7" s="84"/>
      <c r="C7" s="84" t="s">
        <v>7</v>
      </c>
      <c r="D7" s="97">
        <f>SGS!C8+MGS!E6</f>
        <v>20289701</v>
      </c>
      <c r="E7" s="93"/>
      <c r="F7" s="97">
        <f>MGS!E24</f>
        <v>450364</v>
      </c>
      <c r="G7" s="84"/>
      <c r="H7" s="97">
        <f>MGS!E30</f>
        <v>26467</v>
      </c>
      <c r="I7" s="84"/>
      <c r="J7" s="86"/>
    </row>
    <row r="8" spans="1:11">
      <c r="A8" s="92"/>
      <c r="B8" s="84"/>
      <c r="C8" s="84" t="s">
        <v>8</v>
      </c>
      <c r="D8" s="196">
        <f>SGS!C9+MGS!E7</f>
        <v>4399061</v>
      </c>
      <c r="E8" s="93"/>
      <c r="F8" s="196">
        <f>MGS!E25</f>
        <v>239813</v>
      </c>
      <c r="G8" s="84"/>
      <c r="H8" s="196">
        <f>MGS!E31</f>
        <v>14823</v>
      </c>
      <c r="I8" s="84"/>
      <c r="J8" s="103"/>
      <c r="K8" s="103"/>
    </row>
    <row r="9" spans="1:11">
      <c r="A9" s="92"/>
      <c r="B9" s="84"/>
      <c r="C9" s="84"/>
      <c r="D9" s="97">
        <f>SUM(D6:D8)</f>
        <v>78012549</v>
      </c>
      <c r="E9" s="93"/>
      <c r="F9" s="97">
        <f>SUM(F6:F8)</f>
        <v>1767570</v>
      </c>
      <c r="G9" s="84"/>
      <c r="H9" s="97">
        <f>SUM(H6:H8)</f>
        <v>68445</v>
      </c>
      <c r="I9" s="84"/>
      <c r="J9" s="93"/>
      <c r="K9" s="298">
        <f>SUM(D9:H9)</f>
        <v>79848564</v>
      </c>
    </row>
    <row r="10" spans="1:11" ht="6.75" customHeight="1">
      <c r="A10" s="92"/>
      <c r="B10" s="84"/>
      <c r="C10" s="84"/>
      <c r="D10" s="97"/>
      <c r="E10" s="91"/>
      <c r="F10" s="97"/>
      <c r="G10" s="84"/>
      <c r="H10" s="97"/>
      <c r="I10" s="84"/>
      <c r="J10" s="97"/>
    </row>
    <row r="11" spans="1:11">
      <c r="A11" s="92"/>
      <c r="B11" s="84"/>
      <c r="C11" s="84" t="s">
        <v>937</v>
      </c>
      <c r="D11" s="97">
        <f>SGS!E8+MGS!G6</f>
        <v>921692</v>
      </c>
      <c r="E11" s="91"/>
      <c r="F11" s="97">
        <f>MGS!G24</f>
        <v>23456</v>
      </c>
      <c r="G11" s="84"/>
      <c r="H11" s="97">
        <f>MGS!G30</f>
        <v>2189</v>
      </c>
      <c r="I11" s="84"/>
      <c r="J11" s="97"/>
    </row>
    <row r="12" spans="1:11" ht="7.5" customHeight="1">
      <c r="A12" s="92"/>
      <c r="B12" s="84"/>
      <c r="C12" s="84"/>
      <c r="D12" s="196"/>
      <c r="E12" s="91"/>
      <c r="F12" s="196"/>
      <c r="G12" s="84"/>
      <c r="H12" s="196"/>
      <c r="I12" s="84"/>
      <c r="J12" s="196"/>
      <c r="K12" s="500"/>
    </row>
    <row r="13" spans="1:11">
      <c r="A13" s="92"/>
      <c r="B13" s="84"/>
      <c r="C13" s="84" t="s">
        <v>213</v>
      </c>
      <c r="D13" s="97">
        <f>SUM(D6:D8)-D11</f>
        <v>77090857</v>
      </c>
      <c r="E13" s="91"/>
      <c r="F13" s="97">
        <f>SUM(F6:F8)-F11</f>
        <v>1744114</v>
      </c>
      <c r="G13" s="84"/>
      <c r="H13" s="97">
        <f>SUM(H6:H8)-H11</f>
        <v>66256</v>
      </c>
      <c r="I13" s="84"/>
      <c r="J13" s="97"/>
      <c r="K13" s="298">
        <f>SUM(D13:H13)</f>
        <v>78901227</v>
      </c>
    </row>
    <row r="14" spans="1:11" ht="9.75" customHeight="1">
      <c r="A14" s="92"/>
      <c r="B14" s="84"/>
      <c r="C14" s="84"/>
      <c r="D14" s="97"/>
      <c r="E14" s="91"/>
      <c r="F14" s="97"/>
      <c r="G14" s="84"/>
      <c r="H14" s="97"/>
      <c r="I14" s="84"/>
      <c r="J14" s="97"/>
    </row>
    <row r="15" spans="1:11">
      <c r="B15" s="501" t="s">
        <v>945</v>
      </c>
    </row>
    <row r="16" spans="1:11">
      <c r="B16" s="345" t="s">
        <v>938</v>
      </c>
      <c r="C16" s="110" t="s">
        <v>939</v>
      </c>
      <c r="D16" s="297">
        <f>'SGS TOD'!I84</f>
        <v>129049</v>
      </c>
    </row>
    <row r="17" spans="1:10">
      <c r="B17" s="345" t="s">
        <v>938</v>
      </c>
      <c r="C17" s="84" t="s">
        <v>940</v>
      </c>
      <c r="D17" s="297">
        <f>MGS!G238</f>
        <v>406213</v>
      </c>
    </row>
    <row r="18" spans="1:10">
      <c r="B18" s="345" t="s">
        <v>941</v>
      </c>
      <c r="C18" s="84" t="s">
        <v>942</v>
      </c>
      <c r="D18" s="297">
        <f>D42</f>
        <v>139232</v>
      </c>
      <c r="F18" s="297"/>
    </row>
    <row r="19" spans="1:10">
      <c r="B19" s="345" t="s">
        <v>941</v>
      </c>
      <c r="C19" s="84" t="s">
        <v>943</v>
      </c>
      <c r="D19" s="502">
        <f>H47</f>
        <v>174217.20647999999</v>
      </c>
    </row>
    <row r="20" spans="1:10">
      <c r="D20" s="297">
        <f>SUM(D16:D19)</f>
        <v>848711.20647999994</v>
      </c>
    </row>
    <row r="21" spans="1:10" ht="12" customHeight="1">
      <c r="D21" s="297"/>
    </row>
    <row r="22" spans="1:10" ht="15.75">
      <c r="B22" s="503" t="s">
        <v>946</v>
      </c>
      <c r="D22" s="498" t="s">
        <v>319</v>
      </c>
      <c r="E22" s="89"/>
      <c r="F22" s="498" t="s">
        <v>318</v>
      </c>
      <c r="G22" s="92"/>
      <c r="H22" s="498" t="s">
        <v>373</v>
      </c>
      <c r="I22" s="84"/>
      <c r="J22" s="498"/>
    </row>
    <row r="23" spans="1:10">
      <c r="C23" s="97" t="s">
        <v>6</v>
      </c>
      <c r="D23" s="298">
        <f>D6-(D$20*(D6/D$9))</f>
        <v>52743668.850048862</v>
      </c>
      <c r="F23" s="298">
        <f>F6</f>
        <v>1077393</v>
      </c>
      <c r="H23" s="298">
        <f>H6</f>
        <v>27155</v>
      </c>
    </row>
    <row r="24" spans="1:10">
      <c r="C24" s="97" t="s">
        <v>7</v>
      </c>
      <c r="D24" s="298">
        <f>D7-(D$20*(D7/D$9))-D11</f>
        <v>19147274.043437712</v>
      </c>
      <c r="F24" s="298">
        <f>F7-F11</f>
        <v>426908</v>
      </c>
      <c r="H24" s="298">
        <f>H7-H11</f>
        <v>24278</v>
      </c>
    </row>
    <row r="25" spans="1:10">
      <c r="C25" s="97" t="s">
        <v>8</v>
      </c>
      <c r="D25" s="504">
        <f>D8-(D$20*(D8/D$9))</f>
        <v>4351202.9000334274</v>
      </c>
      <c r="F25" s="504">
        <f>F8</f>
        <v>239813</v>
      </c>
      <c r="H25" s="504">
        <f>H8</f>
        <v>14823</v>
      </c>
    </row>
    <row r="26" spans="1:10">
      <c r="C26" s="298"/>
      <c r="D26" s="298">
        <f>SUM(D23:D25)</f>
        <v>76242145.793520004</v>
      </c>
      <c r="F26" s="298">
        <f>SUM(F23:F25)</f>
        <v>1744114</v>
      </c>
      <c r="H26" s="298">
        <f>SUM(H23:H25)</f>
        <v>66256</v>
      </c>
    </row>
    <row r="27" spans="1:10">
      <c r="C27" s="298"/>
      <c r="D27" s="298"/>
    </row>
    <row r="28" spans="1:10" ht="15.75">
      <c r="A28" s="188" t="s">
        <v>12</v>
      </c>
      <c r="B28" s="505" t="s">
        <v>356</v>
      </c>
      <c r="D28" s="298"/>
    </row>
    <row r="29" spans="1:10">
      <c r="D29" s="298"/>
    </row>
    <row r="30" spans="1:10">
      <c r="B30" s="110" t="s">
        <v>950</v>
      </c>
      <c r="D30" s="296">
        <f>SGS!E37+MGS!E49</f>
        <v>349091</v>
      </c>
      <c r="E30" s="332"/>
      <c r="F30" s="506">
        <f>MGS!G49</f>
        <v>936</v>
      </c>
      <c r="G30" s="332"/>
      <c r="H30" s="506">
        <f>MGS!I49</f>
        <v>72</v>
      </c>
      <c r="J30" s="12"/>
    </row>
    <row r="31" spans="1:10">
      <c r="B31" s="110" t="s">
        <v>951</v>
      </c>
      <c r="D31" s="296">
        <f>SGS!E38</f>
        <v>17264</v>
      </c>
      <c r="E31" s="332"/>
      <c r="F31" s="332"/>
      <c r="G31" s="332"/>
      <c r="H31" s="332"/>
      <c r="J31" s="463"/>
    </row>
    <row r="32" spans="1:10">
      <c r="B32" s="110" t="s">
        <v>947</v>
      </c>
      <c r="D32" s="296">
        <f>128983015+230471543</f>
        <v>359454558</v>
      </c>
      <c r="E32" s="332"/>
      <c r="F32" s="296">
        <v>4165200</v>
      </c>
      <c r="G32" s="332"/>
      <c r="H32" s="296">
        <v>307841</v>
      </c>
    </row>
    <row r="33" spans="1:11">
      <c r="B33" s="110" t="s">
        <v>948</v>
      </c>
      <c r="D33" s="333">
        <f>2377172+207977159</f>
        <v>210354331</v>
      </c>
      <c r="E33" s="332"/>
      <c r="F33" s="333">
        <v>10503379</v>
      </c>
      <c r="G33" s="332"/>
      <c r="H33" s="333">
        <v>1061599</v>
      </c>
    </row>
    <row r="34" spans="1:11">
      <c r="B34" s="110" t="s">
        <v>129</v>
      </c>
      <c r="C34" s="507"/>
      <c r="D34" s="12">
        <f>D33+D32</f>
        <v>569808889</v>
      </c>
      <c r="F34" s="12">
        <f>F33+F32</f>
        <v>14668579</v>
      </c>
      <c r="H34" s="12">
        <f>H33+H32</f>
        <v>1369440</v>
      </c>
    </row>
    <row r="35" spans="1:11">
      <c r="B35" s="110" t="s">
        <v>949</v>
      </c>
      <c r="D35" s="296">
        <v>1110468</v>
      </c>
      <c r="E35" s="332"/>
      <c r="F35" s="296">
        <v>30191</v>
      </c>
      <c r="G35" s="332"/>
      <c r="H35" s="296">
        <v>3154</v>
      </c>
    </row>
    <row r="36" spans="1:11">
      <c r="D36" s="12"/>
      <c r="F36" s="507"/>
    </row>
    <row r="37" spans="1:11">
      <c r="A37" s="188"/>
    </row>
    <row r="38" spans="1:11" ht="15.75">
      <c r="A38" s="188" t="s">
        <v>18</v>
      </c>
      <c r="B38" s="505" t="s">
        <v>990</v>
      </c>
      <c r="D38" s="120" t="s">
        <v>1</v>
      </c>
      <c r="E38" s="120"/>
      <c r="F38" s="120" t="s">
        <v>40</v>
      </c>
      <c r="G38" s="120"/>
      <c r="H38" s="120" t="s">
        <v>697</v>
      </c>
    </row>
    <row r="39" spans="1:11">
      <c r="A39" s="188"/>
      <c r="B39" s="110" t="s">
        <v>952</v>
      </c>
      <c r="D39" s="298">
        <f>SGS!G125+MGS!G242</f>
        <v>73652</v>
      </c>
      <c r="F39" s="12">
        <f>SGS!C125+MGS!C242</f>
        <v>424170</v>
      </c>
      <c r="H39" s="508">
        <f>ROUND(D39/F39,5)</f>
        <v>0.17363999999999999</v>
      </c>
      <c r="J39" s="509"/>
      <c r="K39" s="426"/>
    </row>
    <row r="40" spans="1:11">
      <c r="A40" s="188"/>
      <c r="B40" s="110" t="s">
        <v>953</v>
      </c>
      <c r="D40" s="298">
        <f>SGS!G126+MGS!G243</f>
        <v>44497</v>
      </c>
      <c r="F40" s="12">
        <f>SGS!C126+MGS!C243</f>
        <v>693324</v>
      </c>
      <c r="H40" s="508">
        <f>ROUND(D40/F40,5)</f>
        <v>6.4180000000000001E-2</v>
      </c>
      <c r="J40" s="509"/>
      <c r="K40" s="426"/>
    </row>
    <row r="41" spans="1:11">
      <c r="A41" s="188"/>
      <c r="B41" s="110" t="s">
        <v>8</v>
      </c>
      <c r="D41" s="504">
        <f>SGS!G127+MGS!G244</f>
        <v>21083</v>
      </c>
      <c r="F41" s="12">
        <f>SGS!C127+MGS!C244</f>
        <v>937</v>
      </c>
      <c r="H41" s="18">
        <f>ROUND(D41/F41,2)</f>
        <v>22.5</v>
      </c>
      <c r="J41" s="325"/>
    </row>
    <row r="42" spans="1:11">
      <c r="A42" s="188"/>
      <c r="D42" s="325">
        <f>SUM(D39:D41)</f>
        <v>139232</v>
      </c>
      <c r="J42" s="31"/>
    </row>
    <row r="43" spans="1:11">
      <c r="A43" s="188"/>
      <c r="J43" s="336"/>
    </row>
    <row r="44" spans="1:11" ht="15.75">
      <c r="A44" s="188" t="s">
        <v>29</v>
      </c>
      <c r="B44" s="505" t="s">
        <v>287</v>
      </c>
      <c r="D44" s="120" t="s">
        <v>40</v>
      </c>
      <c r="F44" s="120" t="s">
        <v>697</v>
      </c>
      <c r="H44" s="120" t="s">
        <v>1</v>
      </c>
      <c r="J44" s="336"/>
    </row>
    <row r="45" spans="1:11">
      <c r="A45" s="188"/>
      <c r="B45" s="110" t="s">
        <v>956</v>
      </c>
      <c r="D45" s="12">
        <f>MGS!C261</f>
        <v>986</v>
      </c>
      <c r="F45" s="49">
        <f>K53</f>
        <v>22.5</v>
      </c>
      <c r="H45" s="510">
        <f>F45*D45</f>
        <v>22185</v>
      </c>
      <c r="J45" s="336"/>
    </row>
    <row r="46" spans="1:11">
      <c r="A46" s="188"/>
      <c r="B46" s="110" t="s">
        <v>550</v>
      </c>
      <c r="D46" s="12">
        <f>MGS!C260</f>
        <v>1372008</v>
      </c>
      <c r="F46" s="511">
        <f>MGS!E260</f>
        <v>0.11081000000000001</v>
      </c>
      <c r="G46" s="110" t="s">
        <v>161</v>
      </c>
      <c r="H46" s="232">
        <f>F46*D46</f>
        <v>152032.20647999999</v>
      </c>
      <c r="J46" s="336"/>
    </row>
    <row r="47" spans="1:11">
      <c r="A47" s="188"/>
      <c r="H47" s="510">
        <f>H46+H45</f>
        <v>174217.20647999999</v>
      </c>
      <c r="J47" s="336"/>
    </row>
    <row r="48" spans="1:11">
      <c r="A48" s="188"/>
      <c r="D48" s="110" t="s">
        <v>1039</v>
      </c>
      <c r="H48" s="510"/>
      <c r="J48" s="336"/>
    </row>
    <row r="49" spans="1:11">
      <c r="A49" s="188"/>
      <c r="H49" s="510"/>
      <c r="J49" s="336"/>
    </row>
    <row r="50" spans="1:11" ht="15.75">
      <c r="A50" s="188" t="s">
        <v>79</v>
      </c>
      <c r="B50" s="505" t="s">
        <v>954</v>
      </c>
    </row>
    <row r="51" spans="1:11">
      <c r="B51" s="358"/>
      <c r="D51" s="63" t="s">
        <v>8</v>
      </c>
      <c r="F51" s="66"/>
      <c r="G51" s="469"/>
      <c r="H51" s="64" t="s">
        <v>349</v>
      </c>
      <c r="J51" s="64" t="s">
        <v>96</v>
      </c>
      <c r="K51" s="64" t="s">
        <v>114</v>
      </c>
    </row>
    <row r="52" spans="1:11">
      <c r="B52" s="75"/>
      <c r="D52" s="470" t="s">
        <v>1</v>
      </c>
      <c r="F52" s="390" t="s">
        <v>46</v>
      </c>
      <c r="H52" s="68" t="s">
        <v>154</v>
      </c>
      <c r="J52" s="68" t="s">
        <v>154</v>
      </c>
      <c r="K52" s="68" t="s">
        <v>154</v>
      </c>
    </row>
    <row r="53" spans="1:11">
      <c r="B53" s="75" t="s">
        <v>335</v>
      </c>
      <c r="D53" s="298">
        <f>D25</f>
        <v>4351202.9000334274</v>
      </c>
      <c r="F53" s="12">
        <f>D30</f>
        <v>349091</v>
      </c>
      <c r="H53" s="426">
        <f>D53/F53</f>
        <v>12.464380061455115</v>
      </c>
      <c r="J53" s="512">
        <v>17.5</v>
      </c>
      <c r="K53" s="426">
        <f>SGS!I34</f>
        <v>22.5</v>
      </c>
    </row>
    <row r="54" spans="1:11">
      <c r="B54" s="75" t="s">
        <v>334</v>
      </c>
      <c r="D54" s="298">
        <f>F25</f>
        <v>239813</v>
      </c>
      <c r="F54" s="507">
        <f>F30</f>
        <v>936</v>
      </c>
      <c r="H54" s="426">
        <f t="shared" ref="H54:H55" si="0">D54/F54</f>
        <v>256.21047008547009</v>
      </c>
      <c r="J54" s="512">
        <v>50</v>
      </c>
      <c r="K54" s="426">
        <f>MGS!K58</f>
        <v>75</v>
      </c>
    </row>
    <row r="55" spans="1:11">
      <c r="B55" s="75" t="s">
        <v>333</v>
      </c>
      <c r="D55" s="298">
        <f>H25</f>
        <v>14823</v>
      </c>
      <c r="F55" s="507">
        <f>H30</f>
        <v>72</v>
      </c>
      <c r="H55" s="426">
        <f t="shared" si="0"/>
        <v>205.875</v>
      </c>
      <c r="J55" s="512">
        <v>364</v>
      </c>
      <c r="K55" s="426">
        <f>MGS!K59</f>
        <v>364</v>
      </c>
    </row>
    <row r="57" spans="1:11">
      <c r="B57" s="75" t="s">
        <v>389</v>
      </c>
      <c r="D57" s="64" t="s">
        <v>114</v>
      </c>
    </row>
    <row r="58" spans="1:11">
      <c r="D58" s="68" t="s">
        <v>154</v>
      </c>
      <c r="F58" s="390" t="s">
        <v>46</v>
      </c>
      <c r="H58" s="390" t="s">
        <v>1</v>
      </c>
    </row>
    <row r="59" spans="1:11">
      <c r="B59" s="75" t="s">
        <v>335</v>
      </c>
      <c r="D59" s="49">
        <f>K53</f>
        <v>22.5</v>
      </c>
      <c r="F59" s="12">
        <f>F53</f>
        <v>349091</v>
      </c>
      <c r="H59" s="510">
        <f>F59*D59</f>
        <v>7854547.5</v>
      </c>
    </row>
    <row r="60" spans="1:11">
      <c r="B60" s="75" t="s">
        <v>334</v>
      </c>
      <c r="D60" s="49">
        <f>K54</f>
        <v>75</v>
      </c>
      <c r="F60" s="12">
        <f>F54</f>
        <v>936</v>
      </c>
      <c r="H60" s="510">
        <f t="shared" ref="H60:H61" si="1">F60*D60</f>
        <v>70200</v>
      </c>
    </row>
    <row r="61" spans="1:11">
      <c r="B61" s="75" t="s">
        <v>333</v>
      </c>
      <c r="D61" s="49">
        <f>K55</f>
        <v>364</v>
      </c>
      <c r="F61" s="12">
        <f>F55</f>
        <v>72</v>
      </c>
      <c r="H61" s="513">
        <f t="shared" si="1"/>
        <v>26208</v>
      </c>
    </row>
    <row r="62" spans="1:11">
      <c r="B62" s="75" t="s">
        <v>957</v>
      </c>
      <c r="D62" s="49">
        <f>SGS!K23</f>
        <v>13.5</v>
      </c>
      <c r="F62" s="12">
        <f>SGS!E38</f>
        <v>17264</v>
      </c>
      <c r="H62" s="232">
        <f>F62*D62</f>
        <v>233064</v>
      </c>
    </row>
    <row r="63" spans="1:11">
      <c r="H63" s="510">
        <f>SUM(H59:H62)</f>
        <v>8184019.5</v>
      </c>
    </row>
    <row r="64" spans="1:11" ht="15.75">
      <c r="A64" s="188" t="s">
        <v>80</v>
      </c>
      <c r="B64" s="505" t="s">
        <v>330</v>
      </c>
    </row>
    <row r="65" spans="2:10">
      <c r="B65" s="75"/>
    </row>
    <row r="66" spans="2:10">
      <c r="B66" s="75" t="s">
        <v>325</v>
      </c>
      <c r="D66" s="469"/>
      <c r="E66" s="66"/>
      <c r="F66" s="64" t="s">
        <v>114</v>
      </c>
      <c r="G66" s="66"/>
      <c r="H66" s="64"/>
      <c r="I66" s="64"/>
      <c r="J66" s="480"/>
    </row>
    <row r="67" spans="2:10">
      <c r="B67" s="75"/>
      <c r="D67" s="480" t="s">
        <v>114</v>
      </c>
      <c r="E67" s="66"/>
      <c r="F67" s="64" t="s">
        <v>7</v>
      </c>
      <c r="G67" s="66"/>
      <c r="H67" s="64"/>
      <c r="I67" s="64"/>
      <c r="J67" s="480"/>
    </row>
    <row r="68" spans="2:10">
      <c r="B68" s="75"/>
      <c r="C68" s="470" t="s">
        <v>40</v>
      </c>
      <c r="D68" s="483" t="s">
        <v>324</v>
      </c>
      <c r="E68" s="359"/>
      <c r="F68" s="68" t="s">
        <v>1</v>
      </c>
      <c r="G68" s="359"/>
      <c r="H68" s="68"/>
      <c r="I68" s="68"/>
      <c r="J68" s="483"/>
    </row>
    <row r="69" spans="2:10">
      <c r="B69" s="120" t="s">
        <v>319</v>
      </c>
    </row>
    <row r="70" spans="2:10">
      <c r="B70" s="110" t="s">
        <v>947</v>
      </c>
      <c r="C70" s="12">
        <f>D32</f>
        <v>359454558</v>
      </c>
      <c r="D70" s="508">
        <f>ROUND((SGS!G67+SGS!G68)/(SGS!C67+SGS!C68),5)</f>
        <v>0.10483000000000001</v>
      </c>
      <c r="F70" s="325">
        <f>D70*C70</f>
        <v>37681621.315140001</v>
      </c>
      <c r="G70" s="325"/>
    </row>
    <row r="71" spans="2:10">
      <c r="B71" s="110" t="s">
        <v>948</v>
      </c>
      <c r="C71" s="12">
        <f>D33</f>
        <v>210354331</v>
      </c>
      <c r="D71" s="110">
        <f>MGS!E145</f>
        <v>0.10353</v>
      </c>
      <c r="F71" s="325">
        <f>D71*C71</f>
        <v>21777983.888429999</v>
      </c>
    </row>
    <row r="72" spans="2:10">
      <c r="B72" s="75"/>
    </row>
    <row r="73" spans="2:10">
      <c r="B73" s="120" t="s">
        <v>318</v>
      </c>
    </row>
    <row r="74" spans="2:10">
      <c r="B74" s="110" t="s">
        <v>947</v>
      </c>
      <c r="C74" s="12">
        <f>F32</f>
        <v>4165200</v>
      </c>
      <c r="D74" s="508">
        <f>ROUND(D70*'Energy Basis'!$C$15-(1-$D$100)*'Energy Basis'!$E$32,5)</f>
        <v>9.3789999999999998E-2</v>
      </c>
      <c r="F74" s="325">
        <f t="shared" ref="F74:F75" si="2">D74*C74</f>
        <v>390654.10800000001</v>
      </c>
    </row>
    <row r="75" spans="2:10">
      <c r="B75" s="110" t="s">
        <v>948</v>
      </c>
      <c r="C75" s="12">
        <f>F33</f>
        <v>10503379</v>
      </c>
      <c r="D75" s="508">
        <f>ROUND(D71*'Energy Basis'!$C$15-(1-$D$100)*'Energy Basis'!$E$32,5)</f>
        <v>9.2539999999999997E-2</v>
      </c>
      <c r="F75" s="325">
        <f t="shared" si="2"/>
        <v>971982.69265999994</v>
      </c>
    </row>
    <row r="76" spans="2:10">
      <c r="B76" s="75"/>
    </row>
    <row r="77" spans="2:10">
      <c r="B77" s="120" t="s">
        <v>317</v>
      </c>
    </row>
    <row r="78" spans="2:10">
      <c r="B78" s="110" t="s">
        <v>947</v>
      </c>
      <c r="C78" s="12">
        <f>H32</f>
        <v>307841</v>
      </c>
      <c r="D78" s="508">
        <f>ROUND(D70*'Energy Basis'!$D$15-(1-$D$100)*'Energy Basis'!$E$33,5)</f>
        <v>7.6670000000000002E-2</v>
      </c>
      <c r="F78" s="325">
        <f t="shared" ref="F78:F79" si="3">D78*C78</f>
        <v>23602.169470000001</v>
      </c>
    </row>
    <row r="79" spans="2:10">
      <c r="B79" s="110" t="s">
        <v>948</v>
      </c>
      <c r="C79" s="12">
        <f>H33</f>
        <v>1061599</v>
      </c>
      <c r="D79" s="508">
        <f>ROUND(D71*'Energy Basis'!$D$15-(1-$D$100)*'Energy Basis'!$E$33,5)</f>
        <v>7.5439999999999993E-2</v>
      </c>
      <c r="F79" s="514">
        <f t="shared" si="3"/>
        <v>80087.028559999992</v>
      </c>
    </row>
    <row r="80" spans="2:10">
      <c r="B80" s="75"/>
    </row>
    <row r="81" spans="1:6">
      <c r="B81" s="75" t="s">
        <v>321</v>
      </c>
      <c r="F81" s="510">
        <f>SUM(F70:F79)</f>
        <v>60925931.202259995</v>
      </c>
    </row>
    <row r="83" spans="1:6" ht="15.75">
      <c r="A83" s="188" t="s">
        <v>81</v>
      </c>
      <c r="B83" s="505" t="s">
        <v>345</v>
      </c>
    </row>
    <row r="85" spans="1:6">
      <c r="B85" s="110" t="s">
        <v>213</v>
      </c>
      <c r="C85" s="298">
        <f>D13+F13+H13</f>
        <v>78901227</v>
      </c>
    </row>
    <row r="86" spans="1:6">
      <c r="B86" s="110" t="s">
        <v>960</v>
      </c>
      <c r="C86" s="298">
        <f>D20</f>
        <v>848711.20647999994</v>
      </c>
    </row>
    <row r="87" spans="1:6">
      <c r="B87" s="110" t="s">
        <v>958</v>
      </c>
      <c r="C87" s="298">
        <f>H63</f>
        <v>8184019.5</v>
      </c>
    </row>
    <row r="88" spans="1:6">
      <c r="B88" s="110" t="s">
        <v>959</v>
      </c>
      <c r="C88" s="31">
        <f>F81</f>
        <v>60925931.202259995</v>
      </c>
      <c r="D88" s="298"/>
    </row>
    <row r="89" spans="1:6">
      <c r="B89" s="110" t="s">
        <v>965</v>
      </c>
      <c r="C89" s="504">
        <f>F106</f>
        <v>-20488.84</v>
      </c>
    </row>
    <row r="90" spans="1:6">
      <c r="B90" s="110" t="s">
        <v>425</v>
      </c>
      <c r="C90" s="298">
        <f>C85-SUM(C86:C89)</f>
        <v>8963053.9312600046</v>
      </c>
      <c r="D90" s="17"/>
    </row>
    <row r="91" spans="1:6">
      <c r="B91" s="110" t="s">
        <v>967</v>
      </c>
      <c r="C91" s="12">
        <f>F98</f>
        <v>1142664.4490499999</v>
      </c>
    </row>
    <row r="92" spans="1:6">
      <c r="B92" s="110" t="s">
        <v>966</v>
      </c>
      <c r="C92" s="110">
        <f>ROUND(C90/C91,2)</f>
        <v>7.84</v>
      </c>
    </row>
    <row r="93" spans="1:6">
      <c r="B93" s="105"/>
    </row>
    <row r="94" spans="1:6">
      <c r="C94" s="188" t="s">
        <v>442</v>
      </c>
      <c r="D94" s="110" t="s">
        <v>368</v>
      </c>
      <c r="F94" s="110" t="s">
        <v>961</v>
      </c>
    </row>
    <row r="95" spans="1:6">
      <c r="B95" s="110" t="s">
        <v>319</v>
      </c>
      <c r="C95" s="12">
        <f>D35</f>
        <v>1110468</v>
      </c>
      <c r="D95" s="515">
        <f>MGS!E90</f>
        <v>1</v>
      </c>
      <c r="F95" s="516">
        <f>D95*C95</f>
        <v>1110468</v>
      </c>
    </row>
    <row r="96" spans="1:6">
      <c r="B96" s="110" t="s">
        <v>318</v>
      </c>
      <c r="C96" s="12">
        <f>F35</f>
        <v>30191</v>
      </c>
      <c r="D96" s="515">
        <f>MGS!E91</f>
        <v>0.96704999999999997</v>
      </c>
      <c r="F96" s="516">
        <f>D96*C96</f>
        <v>29196.206549999999</v>
      </c>
    </row>
    <row r="97" spans="2:11">
      <c r="B97" s="110" t="s">
        <v>317</v>
      </c>
      <c r="C97" s="225">
        <f>H35</f>
        <v>3154</v>
      </c>
      <c r="D97" s="515">
        <f>MGS!E92</f>
        <v>0.95125000000000004</v>
      </c>
      <c r="F97" s="517">
        <f>D97*C97</f>
        <v>3000.2425000000003</v>
      </c>
    </row>
    <row r="98" spans="2:11">
      <c r="B98" s="110" t="s">
        <v>9</v>
      </c>
      <c r="C98" s="12">
        <f>SUM(C95:C97)</f>
        <v>1143813</v>
      </c>
      <c r="F98" s="12">
        <f>SUM(F95:F97)</f>
        <v>1142664.4490499999</v>
      </c>
    </row>
    <row r="99" spans="2:11">
      <c r="C99" s="12"/>
      <c r="F99" s="12"/>
    </row>
    <row r="100" spans="2:11">
      <c r="D100" s="518">
        <v>0.2</v>
      </c>
    </row>
    <row r="101" spans="2:11">
      <c r="B101" s="110" t="s">
        <v>422</v>
      </c>
      <c r="C101" s="188" t="s">
        <v>442</v>
      </c>
      <c r="D101" s="110" t="s">
        <v>962</v>
      </c>
      <c r="F101" s="188" t="s">
        <v>1</v>
      </c>
    </row>
    <row r="103" spans="2:11">
      <c r="B103" s="110" t="s">
        <v>319</v>
      </c>
      <c r="C103" s="12">
        <f>C95</f>
        <v>1110468</v>
      </c>
      <c r="D103" s="426">
        <v>0</v>
      </c>
      <c r="F103" s="510">
        <f>D103*C103</f>
        <v>0</v>
      </c>
    </row>
    <row r="104" spans="2:11">
      <c r="B104" s="110" t="s">
        <v>318</v>
      </c>
      <c r="C104" s="12">
        <f>C96</f>
        <v>30191</v>
      </c>
      <c r="D104" s="426">
        <f>ROUND('Demand Basis'!F32*D100,2)</f>
        <v>-0.5</v>
      </c>
      <c r="F104" s="510">
        <f t="shared" ref="F104:F105" si="4">D104*C104</f>
        <v>-15095.5</v>
      </c>
    </row>
    <row r="105" spans="2:11">
      <c r="B105" s="110" t="s">
        <v>317</v>
      </c>
      <c r="C105" s="225">
        <f>C97</f>
        <v>3154</v>
      </c>
      <c r="D105" s="426">
        <f>ROUND('Demand Basis'!F33*D100,2)</f>
        <v>-1.71</v>
      </c>
      <c r="F105" s="232">
        <f t="shared" si="4"/>
        <v>-5393.34</v>
      </c>
    </row>
    <row r="106" spans="2:11">
      <c r="B106" s="110" t="s">
        <v>9</v>
      </c>
      <c r="C106" s="12">
        <f>C98</f>
        <v>1143813</v>
      </c>
      <c r="F106" s="510">
        <f>SUM(F103:F105)</f>
        <v>-20488.84</v>
      </c>
    </row>
    <row r="107" spans="2:11">
      <c r="C107" s="12"/>
      <c r="F107" s="510"/>
    </row>
    <row r="108" spans="2:11">
      <c r="C108" s="188" t="s">
        <v>319</v>
      </c>
      <c r="D108" s="188" t="s">
        <v>340</v>
      </c>
      <c r="E108" s="188"/>
      <c r="F108" s="188" t="s">
        <v>6</v>
      </c>
      <c r="G108" s="188"/>
      <c r="H108" s="188" t="s">
        <v>423</v>
      </c>
      <c r="I108" s="188"/>
      <c r="J108" s="188" t="s">
        <v>114</v>
      </c>
      <c r="K108" s="188" t="s">
        <v>114</v>
      </c>
    </row>
    <row r="109" spans="2:11">
      <c r="B109" s="501" t="s">
        <v>963</v>
      </c>
      <c r="C109" s="188" t="s">
        <v>154</v>
      </c>
      <c r="D109" s="188" t="s">
        <v>339</v>
      </c>
      <c r="E109" s="188"/>
      <c r="F109" s="188" t="s">
        <v>154</v>
      </c>
      <c r="G109" s="188"/>
      <c r="H109" s="188" t="s">
        <v>413</v>
      </c>
      <c r="I109" s="188"/>
      <c r="J109" s="188" t="s">
        <v>154</v>
      </c>
      <c r="K109" s="188" t="s">
        <v>1</v>
      </c>
    </row>
    <row r="110" spans="2:11">
      <c r="B110" s="110" t="s">
        <v>319</v>
      </c>
      <c r="C110" s="110">
        <f>C92</f>
        <v>7.84</v>
      </c>
      <c r="D110" s="519">
        <f>D95</f>
        <v>1</v>
      </c>
      <c r="F110" s="520">
        <f>D110*C110</f>
        <v>7.84</v>
      </c>
      <c r="H110" s="49">
        <f>D103</f>
        <v>0</v>
      </c>
      <c r="J110" s="520">
        <f>F110+H110</f>
        <v>7.84</v>
      </c>
      <c r="K110" s="325">
        <f>J110*C95</f>
        <v>8706069.1199999992</v>
      </c>
    </row>
    <row r="111" spans="2:11">
      <c r="B111" s="110" t="s">
        <v>318</v>
      </c>
      <c r="C111" s="110">
        <f>C110</f>
        <v>7.84</v>
      </c>
      <c r="D111" s="519">
        <f>D96</f>
        <v>0.96704999999999997</v>
      </c>
      <c r="F111" s="520">
        <f t="shared" ref="F111:F113" si="5">D111*C111</f>
        <v>7.5816719999999993</v>
      </c>
      <c r="H111" s="49">
        <f>D104</f>
        <v>-0.5</v>
      </c>
      <c r="J111" s="520">
        <f>ROUND(F111+H111,2)</f>
        <v>7.08</v>
      </c>
      <c r="K111" s="325">
        <f>J111*C96</f>
        <v>213752.28</v>
      </c>
    </row>
    <row r="112" spans="2:11">
      <c r="B112" s="110" t="s">
        <v>317</v>
      </c>
      <c r="C112" s="110">
        <f>C111</f>
        <v>7.84</v>
      </c>
      <c r="D112" s="519">
        <f>D97</f>
        <v>0.95125000000000004</v>
      </c>
      <c r="F112" s="520">
        <f t="shared" si="5"/>
        <v>7.4577999999999998</v>
      </c>
      <c r="H112" s="49">
        <f>D105</f>
        <v>-1.71</v>
      </c>
      <c r="J112" s="520">
        <f t="shared" ref="J112:J113" si="6">ROUND(F112+H112,2)</f>
        <v>5.75</v>
      </c>
      <c r="K112" s="521">
        <f>J112*C97</f>
        <v>18135.5</v>
      </c>
    </row>
    <row r="113" spans="1:11">
      <c r="B113" s="110" t="s">
        <v>443</v>
      </c>
      <c r="C113" s="110">
        <f>C112</f>
        <v>7.84</v>
      </c>
      <c r="D113" s="519">
        <f>'Demand Basis'!E15</f>
        <v>0.93389</v>
      </c>
      <c r="F113" s="520">
        <f t="shared" si="5"/>
        <v>7.3216976000000003</v>
      </c>
      <c r="H113" s="49">
        <f>-D100*'Demand Basis'!E34</f>
        <v>-1.7100000000000002</v>
      </c>
      <c r="J113" s="520">
        <f t="shared" si="6"/>
        <v>5.61</v>
      </c>
      <c r="K113" s="514"/>
    </row>
    <row r="114" spans="1:11">
      <c r="K114" s="510">
        <f>SUM(K110:K113)</f>
        <v>8937956.8999999985</v>
      </c>
    </row>
    <row r="115" spans="1:11" ht="15.75">
      <c r="A115" s="110" t="s">
        <v>82</v>
      </c>
      <c r="B115" s="505" t="s">
        <v>39</v>
      </c>
      <c r="K115" s="510"/>
    </row>
    <row r="117" spans="1:11">
      <c r="B117" s="120" t="s">
        <v>319</v>
      </c>
      <c r="C117" s="188" t="s">
        <v>40</v>
      </c>
      <c r="D117" s="188" t="s">
        <v>697</v>
      </c>
      <c r="E117" s="188"/>
      <c r="F117" s="188" t="s">
        <v>1</v>
      </c>
      <c r="H117" s="188" t="s">
        <v>320</v>
      </c>
      <c r="I117" s="188"/>
      <c r="J117" s="188" t="s">
        <v>42</v>
      </c>
    </row>
    <row r="118" spans="1:11">
      <c r="B118" s="110" t="s">
        <v>947</v>
      </c>
      <c r="C118" s="12">
        <f>D32</f>
        <v>359454558</v>
      </c>
      <c r="D118" s="508">
        <f>D70</f>
        <v>0.10483000000000001</v>
      </c>
      <c r="F118" s="325">
        <f>D118*C118</f>
        <v>37681621.315140001</v>
      </c>
    </row>
    <row r="119" spans="1:11">
      <c r="B119" s="110" t="s">
        <v>948</v>
      </c>
      <c r="C119" s="12">
        <f>D33</f>
        <v>210354331</v>
      </c>
      <c r="D119" s="508">
        <f>D71+0.00002</f>
        <v>0.10355</v>
      </c>
      <c r="E119" s="110" t="s">
        <v>161</v>
      </c>
      <c r="F119" s="325">
        <f>D119*C119</f>
        <v>21782190.975050002</v>
      </c>
      <c r="H119" s="508"/>
    </row>
    <row r="120" spans="1:11">
      <c r="B120" s="110" t="s">
        <v>442</v>
      </c>
      <c r="C120" s="12">
        <f>D35</f>
        <v>1110468</v>
      </c>
      <c r="D120" s="49">
        <f>J110</f>
        <v>7.84</v>
      </c>
      <c r="F120" s="325">
        <f>D120*C120</f>
        <v>8706069.1199999992</v>
      </c>
    </row>
    <row r="121" spans="1:11">
      <c r="B121" s="110" t="s">
        <v>399</v>
      </c>
      <c r="C121" s="12">
        <f>D30</f>
        <v>349091</v>
      </c>
      <c r="D121" s="49">
        <f>K53</f>
        <v>22.5</v>
      </c>
      <c r="F121" s="325">
        <f>D121*C121</f>
        <v>7854547.5</v>
      </c>
    </row>
    <row r="122" spans="1:11">
      <c r="B122" s="110" t="s">
        <v>1040</v>
      </c>
      <c r="C122" s="12">
        <f>F62</f>
        <v>17264</v>
      </c>
      <c r="D122" s="49">
        <f>D62</f>
        <v>13.5</v>
      </c>
      <c r="F122" s="325">
        <f>D122*C122</f>
        <v>233064</v>
      </c>
    </row>
    <row r="123" spans="1:11">
      <c r="B123" s="120" t="s">
        <v>318</v>
      </c>
      <c r="F123" s="325"/>
    </row>
    <row r="124" spans="1:11">
      <c r="B124" s="110" t="s">
        <v>947</v>
      </c>
      <c r="C124" s="12">
        <f>F32</f>
        <v>4165200</v>
      </c>
      <c r="D124" s="508">
        <f>D74</f>
        <v>9.3789999999999998E-2</v>
      </c>
      <c r="F124" s="325">
        <f>D124*C124</f>
        <v>390654.10800000001</v>
      </c>
    </row>
    <row r="125" spans="1:11">
      <c r="B125" s="110" t="s">
        <v>948</v>
      </c>
      <c r="C125" s="12">
        <f>F33</f>
        <v>10503379</v>
      </c>
      <c r="D125" s="508">
        <f>D75</f>
        <v>9.2539999999999997E-2</v>
      </c>
      <c r="F125" s="325">
        <f>D125*C125</f>
        <v>971982.69265999994</v>
      </c>
    </row>
    <row r="126" spans="1:11">
      <c r="B126" s="110" t="s">
        <v>442</v>
      </c>
      <c r="C126" s="12">
        <f>F35</f>
        <v>30191</v>
      </c>
      <c r="D126" s="49">
        <f>J111</f>
        <v>7.08</v>
      </c>
      <c r="F126" s="325">
        <f>D126*C126</f>
        <v>213752.28</v>
      </c>
    </row>
    <row r="127" spans="1:11">
      <c r="B127" s="110" t="s">
        <v>8</v>
      </c>
      <c r="C127" s="507">
        <f>F30</f>
        <v>936</v>
      </c>
      <c r="D127" s="49">
        <f>K54</f>
        <v>75</v>
      </c>
      <c r="F127" s="325">
        <f>D127*C127</f>
        <v>70200</v>
      </c>
    </row>
    <row r="128" spans="1:11">
      <c r="B128" s="120" t="s">
        <v>317</v>
      </c>
      <c r="F128" s="325"/>
    </row>
    <row r="129" spans="2:10">
      <c r="B129" s="110" t="s">
        <v>947</v>
      </c>
      <c r="C129" s="12">
        <f>H32</f>
        <v>307841</v>
      </c>
      <c r="D129" s="508">
        <f>D78</f>
        <v>7.6670000000000002E-2</v>
      </c>
      <c r="F129" s="325">
        <f>D129*C129</f>
        <v>23602.169470000001</v>
      </c>
    </row>
    <row r="130" spans="2:10">
      <c r="B130" s="110" t="s">
        <v>948</v>
      </c>
      <c r="C130" s="12">
        <f>H33</f>
        <v>1061599</v>
      </c>
      <c r="D130" s="508">
        <f>D79</f>
        <v>7.5439999999999993E-2</v>
      </c>
      <c r="F130" s="325">
        <f>D130*C130</f>
        <v>80087.028559999992</v>
      </c>
    </row>
    <row r="131" spans="2:10">
      <c r="B131" s="110" t="s">
        <v>442</v>
      </c>
      <c r="C131" s="12">
        <f>H35</f>
        <v>3154</v>
      </c>
      <c r="D131" s="49">
        <f>J112</f>
        <v>5.75</v>
      </c>
      <c r="F131" s="325">
        <f>D131*C131</f>
        <v>18135.5</v>
      </c>
    </row>
    <row r="132" spans="2:10">
      <c r="B132" s="110" t="s">
        <v>8</v>
      </c>
      <c r="C132" s="507">
        <f>H30</f>
        <v>72</v>
      </c>
      <c r="D132" s="49">
        <f>K55</f>
        <v>364</v>
      </c>
      <c r="F132" s="325">
        <f>D132*C132</f>
        <v>26208</v>
      </c>
    </row>
    <row r="133" spans="2:10">
      <c r="F133" s="325"/>
    </row>
    <row r="134" spans="2:10">
      <c r="F134" s="325">
        <f>SUM(F118:F132)</f>
        <v>78052114.688879997</v>
      </c>
      <c r="H134" s="298">
        <f>D26+F26+H26</f>
        <v>78052515.793520004</v>
      </c>
      <c r="J134" s="510">
        <f>F134-H134</f>
        <v>-401.10464000701904</v>
      </c>
    </row>
    <row r="135" spans="2:10">
      <c r="C135" s="12"/>
      <c r="D135" s="508"/>
      <c r="F135" s="325"/>
    </row>
    <row r="136" spans="2:10">
      <c r="C136" s="12"/>
      <c r="D136" s="508"/>
      <c r="F136" s="325"/>
    </row>
    <row r="137" spans="2:10">
      <c r="C137" s="12"/>
      <c r="D137" s="508"/>
      <c r="F137" s="325"/>
    </row>
    <row r="138" spans="2:10">
      <c r="C138" s="12"/>
      <c r="D138" s="508"/>
      <c r="F138" s="325"/>
    </row>
    <row r="139" spans="2:10">
      <c r="C139" s="12"/>
      <c r="D139" s="508"/>
      <c r="F139" s="325"/>
    </row>
    <row r="140" spans="2:10">
      <c r="D140" s="508"/>
      <c r="F140" s="325"/>
    </row>
    <row r="141" spans="2:10">
      <c r="C141" s="12"/>
      <c r="D141" s="508"/>
      <c r="F141" s="32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T331"/>
  <sheetViews>
    <sheetView showOutlineSymbols="0" zoomScale="85" zoomScaleNormal="85" zoomScaleSheetLayoutView="75" workbookViewId="0">
      <selection activeCell="B17" sqref="B17"/>
    </sheetView>
  </sheetViews>
  <sheetFormatPr defaultColWidth="9.75" defaultRowHeight="15"/>
  <cols>
    <col min="1" max="1" width="4.75" style="105" customWidth="1"/>
    <col min="2" max="2" width="18.25" style="105" customWidth="1"/>
    <col min="3" max="3" width="17.75" style="105" customWidth="1"/>
    <col min="4" max="4" width="16.25" style="105" customWidth="1"/>
    <col min="5" max="5" width="6.75" style="105" customWidth="1"/>
    <col min="6" max="6" width="13" style="105" customWidth="1"/>
    <col min="7" max="7" width="7.375" style="105" customWidth="1"/>
    <col min="8" max="8" width="15.25" style="105" customWidth="1"/>
    <col min="9" max="9" width="5.75" style="105" customWidth="1"/>
    <col min="10" max="10" width="14.5" style="105" customWidth="1"/>
    <col min="11" max="11" width="3.375" style="105" bestFit="1" customWidth="1"/>
    <col min="12" max="12" width="12.75" style="105" bestFit="1" customWidth="1"/>
    <col min="13" max="16384" width="9.75" style="105"/>
  </cols>
  <sheetData>
    <row r="1" spans="1:12">
      <c r="A1" s="110" t="s">
        <v>118</v>
      </c>
      <c r="B1" s="110" t="s">
        <v>87</v>
      </c>
      <c r="C1" s="110"/>
      <c r="F1" s="188" t="s">
        <v>449</v>
      </c>
    </row>
    <row r="2" spans="1:12">
      <c r="F2" s="188" t="s">
        <v>3</v>
      </c>
      <c r="H2" s="188" t="s">
        <v>74</v>
      </c>
      <c r="I2" s="113"/>
      <c r="J2" s="188" t="s">
        <v>75</v>
      </c>
    </row>
    <row r="3" spans="1:12">
      <c r="E3" s="113"/>
      <c r="F3" s="349" t="s">
        <v>1</v>
      </c>
      <c r="H3" s="120" t="s">
        <v>1</v>
      </c>
      <c r="I3" s="113"/>
      <c r="J3" s="120" t="s">
        <v>1</v>
      </c>
    </row>
    <row r="4" spans="1:12" ht="15.75">
      <c r="B4" s="110" t="s">
        <v>448</v>
      </c>
      <c r="C4" s="204" t="s">
        <v>977</v>
      </c>
    </row>
    <row r="5" spans="1:12">
      <c r="B5" s="110" t="s">
        <v>447</v>
      </c>
      <c r="C5" s="110"/>
      <c r="F5" s="224">
        <f>'EX AEV-1'!J7+'EX AEV-1'!J9+'EX AEV-1'!J10+'EX AEV-1'!O7+'EX AEV-1'!O9+'EX AEV-1'!O10</f>
        <v>39678141</v>
      </c>
      <c r="H5" s="113">
        <f>H9-H7-H6</f>
        <v>0</v>
      </c>
      <c r="J5" s="113">
        <f>F5-H5</f>
        <v>39678141</v>
      </c>
    </row>
    <row r="6" spans="1:12">
      <c r="B6" s="110" t="s">
        <v>282</v>
      </c>
      <c r="C6" s="110"/>
      <c r="F6" s="522">
        <f>'EX AEV-1'!J8+'EX AEV-1'!O8</f>
        <v>18401111</v>
      </c>
      <c r="H6" s="146">
        <f>H9</f>
        <v>822770</v>
      </c>
      <c r="J6" s="146">
        <f>F6-H6</f>
        <v>17578341</v>
      </c>
    </row>
    <row r="7" spans="1:12">
      <c r="B7" s="110" t="s">
        <v>281</v>
      </c>
      <c r="C7" s="110"/>
      <c r="F7" s="522">
        <f>'EX AEV-1'!J11+'EX AEV-1'!O11</f>
        <v>297786</v>
      </c>
      <c r="H7" s="146">
        <v>0</v>
      </c>
      <c r="J7" s="146">
        <f>F7-H7</f>
        <v>297786</v>
      </c>
    </row>
    <row r="8" spans="1:12">
      <c r="E8" s="115"/>
      <c r="F8" s="115"/>
      <c r="G8" s="115"/>
      <c r="H8" s="114"/>
      <c r="I8" s="115"/>
      <c r="J8" s="115"/>
    </row>
    <row r="9" spans="1:12">
      <c r="B9" s="110" t="s">
        <v>9</v>
      </c>
      <c r="C9" s="110"/>
      <c r="F9" s="113">
        <f>SUM(F5:F7)</f>
        <v>58377038</v>
      </c>
      <c r="H9" s="224">
        <f>'EX AEV-1'!J15+'EX AEV-1'!O15</f>
        <v>822770</v>
      </c>
      <c r="J9" s="113">
        <f>SUM(J5:J7)</f>
        <v>57554268</v>
      </c>
    </row>
    <row r="11" spans="1:12">
      <c r="B11" s="105" t="s">
        <v>984</v>
      </c>
      <c r="F11" s="113">
        <f>H280+H11</f>
        <v>521331.15326000005</v>
      </c>
      <c r="H11" s="224">
        <f>'EX AEV-1'!J17+'EX AEV-1'!J18</f>
        <v>0</v>
      </c>
      <c r="J11" s="113">
        <f>F11-H11</f>
        <v>521331.15326000005</v>
      </c>
      <c r="L11" s="523"/>
    </row>
    <row r="12" spans="1:12" ht="15.75" customHeight="1"/>
    <row r="13" spans="1:12">
      <c r="B13" s="105" t="s">
        <v>446</v>
      </c>
    </row>
    <row r="14" spans="1:12">
      <c r="B14" s="105" t="str">
        <f>+B$5</f>
        <v xml:space="preserve">   Demand</v>
      </c>
      <c r="F14" s="113">
        <f>F18-F16-F15</f>
        <v>39323798.84674</v>
      </c>
      <c r="H14" s="113">
        <f>H18-H16-H15</f>
        <v>0</v>
      </c>
      <c r="J14" s="113">
        <f>F14-H14</f>
        <v>39323798.84674</v>
      </c>
    </row>
    <row r="15" spans="1:12">
      <c r="B15" s="105" t="str">
        <f>+B$6</f>
        <v xml:space="preserve">   Energy</v>
      </c>
      <c r="F15" s="146">
        <f>ROUND((F18/F9)*F6,0)</f>
        <v>18236781</v>
      </c>
      <c r="H15" s="146">
        <f>ROUND((H6/H9)*H18,0)</f>
        <v>822770</v>
      </c>
      <c r="J15" s="146">
        <f>F15-H15</f>
        <v>17414011</v>
      </c>
    </row>
    <row r="16" spans="1:12">
      <c r="B16" s="105" t="str">
        <f>+B$7</f>
        <v xml:space="preserve">   Customer</v>
      </c>
      <c r="D16" s="523"/>
      <c r="F16" s="146">
        <f>ROUND((F18/F9)*F7,0)</f>
        <v>295127</v>
      </c>
      <c r="H16" s="146">
        <v>0</v>
      </c>
      <c r="J16" s="146">
        <f>F16-H16</f>
        <v>295127</v>
      </c>
    </row>
    <row r="17" spans="2:10">
      <c r="E17" s="115"/>
      <c r="F17" s="115"/>
      <c r="G17" s="115"/>
      <c r="H17" s="115"/>
      <c r="I17" s="115"/>
      <c r="J17" s="115"/>
    </row>
    <row r="18" spans="2:10">
      <c r="B18" s="105" t="str">
        <f>+B$9</f>
        <v>Total</v>
      </c>
      <c r="F18" s="113">
        <f>F9-F11</f>
        <v>57855706.84674</v>
      </c>
      <c r="H18" s="113">
        <f>H9-H11</f>
        <v>822770</v>
      </c>
      <c r="J18" s="113">
        <f>SUM(J13:J16)</f>
        <v>57032936.84674</v>
      </c>
    </row>
    <row r="21" spans="2:10" ht="15.75">
      <c r="B21" s="110" t="s">
        <v>445</v>
      </c>
      <c r="C21" s="204" t="s">
        <v>977</v>
      </c>
    </row>
    <row r="22" spans="2:10">
      <c r="B22" s="105" t="str">
        <f>+B$5</f>
        <v xml:space="preserve">   Demand</v>
      </c>
      <c r="F22" s="224">
        <f>'EX AEV-1'!K7+'EX AEV-1'!K9+'EX AEV-1'!K10+'EX AEV-1'!P7+'EX AEV-1'!P9+'EX AEV-1'!P10</f>
        <v>5267093</v>
      </c>
      <c r="H22" s="113">
        <f>H26-H24-H23</f>
        <v>0</v>
      </c>
      <c r="J22" s="113">
        <f>F22-H22</f>
        <v>5267093</v>
      </c>
    </row>
    <row r="23" spans="2:10">
      <c r="B23" s="105" t="str">
        <f>+B$6</f>
        <v xml:space="preserve">   Energy</v>
      </c>
      <c r="F23" s="522">
        <f>'EX AEV-1'!K8+'EX AEV-1'!P8</f>
        <v>2787753</v>
      </c>
      <c r="H23" s="146">
        <f>H26</f>
        <v>127680</v>
      </c>
      <c r="J23" s="146">
        <f>F23-H23</f>
        <v>2660073</v>
      </c>
    </row>
    <row r="24" spans="2:10">
      <c r="B24" s="105" t="str">
        <f>+B$7</f>
        <v xml:space="preserve">   Customer</v>
      </c>
      <c r="F24" s="522">
        <f>'EX AEV-1'!K11+'EX AEV-1'!P11</f>
        <v>68469</v>
      </c>
      <c r="H24" s="146">
        <v>0</v>
      </c>
      <c r="J24" s="146">
        <f>F24-H24</f>
        <v>68469</v>
      </c>
    </row>
    <row r="25" spans="2:10">
      <c r="E25" s="115"/>
      <c r="F25" s="115"/>
      <c r="G25" s="115"/>
      <c r="H25" s="115"/>
      <c r="I25" s="115"/>
      <c r="J25" s="115"/>
    </row>
    <row r="26" spans="2:10">
      <c r="B26" s="105" t="str">
        <f>+B$9</f>
        <v>Total</v>
      </c>
      <c r="F26" s="113">
        <f>SUM(F22:F24)</f>
        <v>8123315</v>
      </c>
      <c r="H26" s="224">
        <f>'EX AEV-1'!K15+'EX AEV-1'!P15</f>
        <v>127680</v>
      </c>
      <c r="J26" s="113">
        <f>SUM(J21:J24)</f>
        <v>7995635</v>
      </c>
    </row>
    <row r="28" spans="2:10">
      <c r="B28" s="110" t="s">
        <v>317</v>
      </c>
      <c r="C28" s="110"/>
    </row>
    <row r="29" spans="2:10">
      <c r="B29" s="105" t="str">
        <f>+B$5</f>
        <v xml:space="preserve">   Demand</v>
      </c>
      <c r="F29" s="224">
        <f>'EX AEV-1'!L7+'EX AEV-1'!L9+'EX AEV-1'!L10</f>
        <v>1633077</v>
      </c>
      <c r="H29" s="113">
        <f>H33-H31-H30</f>
        <v>0</v>
      </c>
      <c r="J29" s="113">
        <f>F29-H29</f>
        <v>1633077</v>
      </c>
    </row>
    <row r="30" spans="2:10">
      <c r="B30" s="105" t="str">
        <f>+B$6</f>
        <v xml:space="preserve">   Energy</v>
      </c>
      <c r="F30" s="522">
        <f>'EX AEV-1'!L8</f>
        <v>1204668</v>
      </c>
      <c r="H30" s="146">
        <f>H33</f>
        <v>57445</v>
      </c>
      <c r="J30" s="146">
        <f>F30-H30</f>
        <v>1147223</v>
      </c>
    </row>
    <row r="31" spans="2:10">
      <c r="B31" s="105" t="str">
        <f>+B$7</f>
        <v xml:space="preserve">   Customer</v>
      </c>
      <c r="F31" s="522">
        <f>'EX AEV-1'!L11</f>
        <v>138535</v>
      </c>
      <c r="H31" s="146">
        <v>0</v>
      </c>
      <c r="J31" s="146">
        <f>F31-H31</f>
        <v>138535</v>
      </c>
    </row>
    <row r="32" spans="2:10">
      <c r="E32" s="115"/>
      <c r="F32" s="115"/>
      <c r="G32" s="115"/>
      <c r="H32" s="114"/>
      <c r="I32" s="115"/>
      <c r="J32" s="115"/>
    </row>
    <row r="33" spans="2:10">
      <c r="B33" s="105" t="str">
        <f>+B$9</f>
        <v>Total</v>
      </c>
      <c r="F33" s="113">
        <f>SUM(F29:F31)</f>
        <v>2976280</v>
      </c>
      <c r="H33" s="224">
        <f>'EX AEV-1'!L15</f>
        <v>57445</v>
      </c>
      <c r="J33" s="113">
        <f>SUM(J29:J31)</f>
        <v>2918835</v>
      </c>
    </row>
    <row r="35" spans="2:10">
      <c r="B35" s="110" t="s">
        <v>443</v>
      </c>
      <c r="C35" s="110"/>
    </row>
    <row r="36" spans="2:10">
      <c r="B36" s="105" t="str">
        <f>+B$5</f>
        <v xml:space="preserve">   Demand</v>
      </c>
      <c r="F36" s="224">
        <f>'EX AEV-1'!M7+'EX AEV-1'!M9+'EX AEV-1'!M10</f>
        <v>75492</v>
      </c>
      <c r="H36" s="113">
        <v>0</v>
      </c>
      <c r="J36" s="113">
        <f>F36-H36</f>
        <v>75492</v>
      </c>
    </row>
    <row r="37" spans="2:10">
      <c r="B37" s="105" t="str">
        <f>+B$6</f>
        <v xml:space="preserve">   Energy</v>
      </c>
      <c r="F37" s="522">
        <f>'EX AEV-1'!M8</f>
        <v>56006</v>
      </c>
      <c r="H37" s="146">
        <f>H40</f>
        <v>2699</v>
      </c>
      <c r="J37" s="146">
        <f>F37-H37</f>
        <v>53307</v>
      </c>
    </row>
    <row r="38" spans="2:10">
      <c r="B38" s="105" t="str">
        <f>+B$7</f>
        <v xml:space="preserve">   Customer</v>
      </c>
      <c r="F38" s="522">
        <f>'EX AEV-1'!M11</f>
        <v>25226</v>
      </c>
      <c r="H38" s="146">
        <v>0</v>
      </c>
      <c r="J38" s="146">
        <f>F38-H38</f>
        <v>25226</v>
      </c>
    </row>
    <row r="39" spans="2:10">
      <c r="E39" s="115"/>
      <c r="F39" s="115"/>
      <c r="G39" s="115"/>
      <c r="H39" s="115"/>
      <c r="I39" s="115"/>
      <c r="J39" s="115"/>
    </row>
    <row r="40" spans="2:10">
      <c r="B40" s="105" t="str">
        <f>+B$9</f>
        <v>Total</v>
      </c>
      <c r="F40" s="113">
        <f>SUM(F36:F38)</f>
        <v>156724</v>
      </c>
      <c r="H40" s="224">
        <f>'EX AEV-1'!M15</f>
        <v>2699</v>
      </c>
      <c r="J40" s="113">
        <f>SUM(J36:J38)</f>
        <v>154025</v>
      </c>
    </row>
    <row r="41" spans="2:10">
      <c r="F41" s="146"/>
      <c r="H41" s="146"/>
      <c r="J41" s="146"/>
    </row>
    <row r="42" spans="2:10">
      <c r="B42" s="110" t="s">
        <v>444</v>
      </c>
      <c r="C42" s="110"/>
      <c r="F42" s="113"/>
      <c r="H42" s="113"/>
      <c r="J42" s="113"/>
    </row>
    <row r="43" spans="2:10">
      <c r="B43" s="105" t="str">
        <f>+B$5</f>
        <v xml:space="preserve">   Demand</v>
      </c>
      <c r="C43" s="105" t="s">
        <v>72</v>
      </c>
      <c r="F43" s="113">
        <f>((F14+F22)+F29)+F36</f>
        <v>46299460.84674</v>
      </c>
      <c r="H43" s="113">
        <f>((H14+H22)+H29)+H36</f>
        <v>0</v>
      </c>
      <c r="J43" s="113">
        <f>F43-H43</f>
        <v>46299460.84674</v>
      </c>
    </row>
    <row r="44" spans="2:10">
      <c r="B44" s="105" t="str">
        <f>+B$6</f>
        <v xml:space="preserve">   Energy</v>
      </c>
      <c r="F44" s="146">
        <f>((F15+F23)+F30)+F37</f>
        <v>22285208</v>
      </c>
      <c r="H44" s="146">
        <f>((H15+H23)+H30)+H37</f>
        <v>1010594</v>
      </c>
      <c r="J44" s="146">
        <f>F44-H44</f>
        <v>21274614</v>
      </c>
    </row>
    <row r="45" spans="2:10">
      <c r="B45" s="105" t="str">
        <f>+B$7</f>
        <v xml:space="preserve">   Customer</v>
      </c>
      <c r="F45" s="146">
        <f>((F16+F24)+F31)+F38</f>
        <v>527357</v>
      </c>
      <c r="H45" s="146">
        <f>((H16+H24)+H31)+H38</f>
        <v>0</v>
      </c>
      <c r="J45" s="146">
        <f>F45-H45</f>
        <v>527357</v>
      </c>
    </row>
    <row r="46" spans="2:10">
      <c r="E46" s="115"/>
      <c r="F46" s="115"/>
      <c r="G46" s="115"/>
      <c r="H46" s="114"/>
      <c r="I46" s="115"/>
      <c r="J46" s="115"/>
    </row>
    <row r="47" spans="2:10">
      <c r="B47" s="105" t="str">
        <f>+B$9</f>
        <v>Total</v>
      </c>
      <c r="F47" s="113">
        <f>SUM(F43:F45)</f>
        <v>69112025.846740007</v>
      </c>
      <c r="H47" s="113">
        <f>SUM(H43:H45)</f>
        <v>1010594</v>
      </c>
      <c r="J47" s="113">
        <f>SUM(J43:J45)</f>
        <v>68101431.846740007</v>
      </c>
    </row>
    <row r="48" spans="2:10">
      <c r="F48" s="523"/>
    </row>
    <row r="49" spans="1:10">
      <c r="F49" s="523"/>
    </row>
    <row r="51" spans="1:10">
      <c r="A51" s="110" t="s">
        <v>12</v>
      </c>
      <c r="B51" s="110" t="s">
        <v>356</v>
      </c>
      <c r="C51" s="110"/>
    </row>
    <row r="52" spans="1:10">
      <c r="D52" s="120" t="s">
        <v>319</v>
      </c>
      <c r="F52" s="120" t="s">
        <v>318</v>
      </c>
      <c r="H52" s="120" t="s">
        <v>317</v>
      </c>
      <c r="J52" s="120" t="s">
        <v>443</v>
      </c>
    </row>
    <row r="53" spans="1:10">
      <c r="B53" s="189" t="s">
        <v>979</v>
      </c>
    </row>
    <row r="54" spans="1:10">
      <c r="B54" s="110" t="s">
        <v>442</v>
      </c>
      <c r="C54" s="110"/>
      <c r="D54" s="146">
        <f>D68+D61</f>
        <v>1510142</v>
      </c>
      <c r="F54" s="146">
        <f>F68+F61</f>
        <v>281383</v>
      </c>
      <c r="H54" s="146">
        <f>H68</f>
        <v>129190.6</v>
      </c>
      <c r="J54" s="146">
        <f>J68</f>
        <v>6693.4</v>
      </c>
    </row>
    <row r="55" spans="1:10">
      <c r="B55" s="110" t="s">
        <v>441</v>
      </c>
      <c r="C55" s="110"/>
      <c r="D55" s="146">
        <f>D69+D62</f>
        <v>46872</v>
      </c>
      <c r="F55" s="146">
        <f t="shared" ref="F55:F57" si="0">F69+F62</f>
        <v>50576.6</v>
      </c>
      <c r="H55" s="146">
        <f t="shared" ref="H55:H57" si="1">H69</f>
        <v>9098.9</v>
      </c>
      <c r="J55" s="146">
        <f t="shared" ref="J55:J57" si="2">J69</f>
        <v>3</v>
      </c>
    </row>
    <row r="56" spans="1:10">
      <c r="B56" s="110" t="s">
        <v>440</v>
      </c>
      <c r="C56" s="110"/>
      <c r="D56" s="146">
        <f>D70+D63</f>
        <v>509189624</v>
      </c>
      <c r="F56" s="146">
        <f t="shared" si="0"/>
        <v>79894011</v>
      </c>
      <c r="H56" s="146">
        <f t="shared" si="1"/>
        <v>35956635</v>
      </c>
      <c r="J56" s="146">
        <f t="shared" si="2"/>
        <v>1693502</v>
      </c>
    </row>
    <row r="57" spans="1:10">
      <c r="B57" s="110" t="s">
        <v>46</v>
      </c>
      <c r="C57" s="110"/>
      <c r="D57" s="146">
        <f>D71+D64</f>
        <v>8883</v>
      </c>
      <c r="F57" s="146">
        <f t="shared" si="0"/>
        <v>722</v>
      </c>
      <c r="H57" s="146">
        <f t="shared" si="1"/>
        <v>204</v>
      </c>
      <c r="J57" s="146">
        <f t="shared" si="2"/>
        <v>24</v>
      </c>
    </row>
    <row r="59" spans="1:10">
      <c r="B59" s="189" t="s">
        <v>902</v>
      </c>
      <c r="D59" s="120" t="s">
        <v>319</v>
      </c>
      <c r="F59" s="120" t="s">
        <v>318</v>
      </c>
    </row>
    <row r="61" spans="1:10">
      <c r="B61" s="110" t="s">
        <v>442</v>
      </c>
      <c r="C61" s="110"/>
      <c r="D61" s="522">
        <v>424786</v>
      </c>
      <c r="F61" s="522">
        <v>6136</v>
      </c>
    </row>
    <row r="62" spans="1:10">
      <c r="B62" s="110" t="s">
        <v>441</v>
      </c>
      <c r="C62" s="110"/>
      <c r="D62" s="522">
        <v>6066</v>
      </c>
      <c r="F62" s="522">
        <v>658.6</v>
      </c>
    </row>
    <row r="63" spans="1:10">
      <c r="B63" s="110" t="s">
        <v>440</v>
      </c>
      <c r="C63" s="110"/>
      <c r="D63" s="522">
        <v>109165161</v>
      </c>
      <c r="F63" s="522">
        <v>1855532</v>
      </c>
    </row>
    <row r="64" spans="1:10">
      <c r="B64" s="110" t="s">
        <v>46</v>
      </c>
      <c r="C64" s="110"/>
      <c r="D64" s="522">
        <v>1932</v>
      </c>
      <c r="F64" s="522">
        <v>12</v>
      </c>
    </row>
    <row r="66" spans="1:10">
      <c r="B66" s="189" t="s">
        <v>978</v>
      </c>
      <c r="D66" s="120" t="s">
        <v>319</v>
      </c>
      <c r="F66" s="120" t="s">
        <v>318</v>
      </c>
      <c r="H66" s="120" t="s">
        <v>317</v>
      </c>
      <c r="J66" s="120" t="s">
        <v>443</v>
      </c>
    </row>
    <row r="68" spans="1:10">
      <c r="B68" s="110" t="s">
        <v>442</v>
      </c>
      <c r="C68" s="110"/>
      <c r="D68" s="522">
        <v>1085356</v>
      </c>
      <c r="F68" s="522">
        <v>275247</v>
      </c>
      <c r="H68" s="522">
        <v>129190.6</v>
      </c>
      <c r="J68" s="522">
        <v>6693.4</v>
      </c>
    </row>
    <row r="69" spans="1:10">
      <c r="B69" s="110" t="s">
        <v>441</v>
      </c>
      <c r="C69" s="110"/>
      <c r="D69" s="522">
        <v>40806</v>
      </c>
      <c r="F69" s="522">
        <v>49918</v>
      </c>
      <c r="H69" s="522">
        <v>9098.9</v>
      </c>
      <c r="J69" s="522">
        <v>3</v>
      </c>
    </row>
    <row r="70" spans="1:10">
      <c r="B70" s="110" t="s">
        <v>440</v>
      </c>
      <c r="C70" s="110"/>
      <c r="D70" s="522">
        <v>400024463</v>
      </c>
      <c r="F70" s="522">
        <v>78038479</v>
      </c>
      <c r="H70" s="522">
        <v>35956635</v>
      </c>
      <c r="J70" s="522">
        <v>1693502</v>
      </c>
    </row>
    <row r="71" spans="1:10">
      <c r="B71" s="110" t="s">
        <v>46</v>
      </c>
      <c r="C71" s="110"/>
      <c r="D71" s="522">
        <v>6951</v>
      </c>
      <c r="F71" s="522">
        <v>710</v>
      </c>
      <c r="H71" s="522">
        <v>204</v>
      </c>
      <c r="J71" s="522">
        <v>24</v>
      </c>
    </row>
    <row r="73" spans="1:10">
      <c r="C73" s="105" t="s">
        <v>991</v>
      </c>
      <c r="D73" s="468">
        <f>D56/D57</f>
        <v>57321.808398063717</v>
      </c>
      <c r="F73" s="468">
        <f>F56/F57</f>
        <v>110656.52493074792</v>
      </c>
      <c r="H73" s="468">
        <f>H56/H57</f>
        <v>176258.01470588235</v>
      </c>
      <c r="J73" s="468">
        <f>J56/J57</f>
        <v>70562.583333333328</v>
      </c>
    </row>
    <row r="74" spans="1:10">
      <c r="C74" s="105" t="s">
        <v>992</v>
      </c>
      <c r="D74" s="468">
        <f>D54/D57</f>
        <v>170.00360238658112</v>
      </c>
      <c r="F74" s="468">
        <f>F54/F57</f>
        <v>389.72714681440442</v>
      </c>
      <c r="H74" s="468">
        <f>H54/H57</f>
        <v>633.28725490196086</v>
      </c>
      <c r="J74" s="468">
        <f>J54/J57</f>
        <v>278.89166666666665</v>
      </c>
    </row>
    <row r="76" spans="1:10" ht="15.75">
      <c r="A76" s="110" t="s">
        <v>18</v>
      </c>
      <c r="B76" s="110" t="s">
        <v>439</v>
      </c>
      <c r="C76" s="110"/>
      <c r="G76" s="524"/>
      <c r="H76" s="524"/>
      <c r="I76" s="524"/>
      <c r="J76" s="524"/>
    </row>
    <row r="77" spans="1:10">
      <c r="A77" s="110"/>
      <c r="B77" s="110"/>
      <c r="C77" s="110"/>
    </row>
    <row r="78" spans="1:10">
      <c r="D78" s="188" t="s">
        <v>8</v>
      </c>
      <c r="H78" s="188" t="s">
        <v>349</v>
      </c>
      <c r="J78" s="188" t="s">
        <v>114</v>
      </c>
    </row>
    <row r="79" spans="1:10">
      <c r="B79" s="110" t="s">
        <v>16</v>
      </c>
      <c r="C79" s="110"/>
      <c r="D79" s="120" t="s">
        <v>1</v>
      </c>
      <c r="F79" s="120" t="s">
        <v>46</v>
      </c>
      <c r="H79" s="120" t="s">
        <v>154</v>
      </c>
      <c r="J79" s="120" t="s">
        <v>154</v>
      </c>
    </row>
    <row r="81" spans="1:254">
      <c r="B81" s="110" t="s">
        <v>438</v>
      </c>
      <c r="C81" s="110"/>
      <c r="D81" s="113">
        <f>+F16</f>
        <v>295127</v>
      </c>
      <c r="F81" s="146">
        <f>+D57</f>
        <v>8883</v>
      </c>
      <c r="H81" s="525">
        <f>ROUND((D81/F81),2)</f>
        <v>33.22</v>
      </c>
      <c r="J81" s="526">
        <v>85</v>
      </c>
      <c r="K81" s="105" t="s">
        <v>161</v>
      </c>
    </row>
    <row r="82" spans="1:254">
      <c r="B82" s="110" t="s">
        <v>437</v>
      </c>
      <c r="C82" s="110"/>
      <c r="D82" s="146">
        <f>+J24</f>
        <v>68469</v>
      </c>
      <c r="F82" s="146">
        <f>+F57</f>
        <v>722</v>
      </c>
      <c r="H82" s="525">
        <f>ROUND((D82/F82),2)</f>
        <v>94.83</v>
      </c>
      <c r="J82" s="526">
        <v>127.5</v>
      </c>
      <c r="K82" s="105" t="s">
        <v>161</v>
      </c>
    </row>
    <row r="83" spans="1:254">
      <c r="B83" s="110" t="s">
        <v>436</v>
      </c>
      <c r="C83" s="110"/>
      <c r="D83" s="146">
        <f>+J31</f>
        <v>138535</v>
      </c>
      <c r="F83" s="146">
        <f>+H57</f>
        <v>204</v>
      </c>
      <c r="H83" s="525">
        <f>ROUND((D83/F83),2)</f>
        <v>679.09</v>
      </c>
      <c r="J83" s="112">
        <f>ROUND(H83*2,0)/2</f>
        <v>679</v>
      </c>
      <c r="K83" s="105" t="s">
        <v>295</v>
      </c>
    </row>
    <row r="84" spans="1:254">
      <c r="B84" s="110" t="s">
        <v>435</v>
      </c>
      <c r="C84" s="110"/>
      <c r="D84" s="146">
        <f>J38</f>
        <v>25226</v>
      </c>
      <c r="F84" s="146">
        <f>+J57</f>
        <v>24</v>
      </c>
      <c r="H84" s="525">
        <f>ROUND((D84/F84),2)</f>
        <v>1051.08</v>
      </c>
      <c r="J84" s="112">
        <f>J83</f>
        <v>679</v>
      </c>
      <c r="K84" s="105" t="s">
        <v>434</v>
      </c>
    </row>
    <row r="85" spans="1:254">
      <c r="D85" s="115"/>
      <c r="F85" s="115"/>
      <c r="I85" s="105" t="s">
        <v>433</v>
      </c>
    </row>
    <row r="86" spans="1:254">
      <c r="B86" s="110" t="s">
        <v>54</v>
      </c>
      <c r="C86" s="110"/>
      <c r="D86" s="113">
        <f>SUM(D81:D84)</f>
        <v>527357</v>
      </c>
      <c r="F86" s="146">
        <f>SUM(F81:F84)</f>
        <v>9833</v>
      </c>
      <c r="I86" s="105" t="s">
        <v>432</v>
      </c>
    </row>
    <row r="87" spans="1:254">
      <c r="A87" s="527"/>
      <c r="B87" s="110"/>
      <c r="C87" s="110"/>
      <c r="D87" s="113"/>
      <c r="E87" s="527"/>
      <c r="F87" s="146"/>
      <c r="G87" s="527"/>
      <c r="I87" s="105" t="s">
        <v>431</v>
      </c>
      <c r="J87" s="527"/>
      <c r="K87" s="527"/>
      <c r="L87" s="527"/>
      <c r="M87" s="527"/>
      <c r="N87" s="527"/>
      <c r="O87" s="527"/>
      <c r="P87" s="527"/>
      <c r="Q87" s="527"/>
      <c r="R87" s="527"/>
      <c r="S87" s="527"/>
      <c r="T87" s="527"/>
      <c r="U87" s="527"/>
      <c r="V87" s="527"/>
      <c r="W87" s="527"/>
      <c r="X87" s="527"/>
      <c r="Y87" s="527"/>
      <c r="Z87" s="527"/>
      <c r="AA87" s="527"/>
      <c r="AB87" s="527"/>
      <c r="AC87" s="527"/>
      <c r="AD87" s="527"/>
      <c r="AE87" s="527"/>
      <c r="AF87" s="527"/>
      <c r="AG87" s="527"/>
      <c r="AH87" s="527"/>
      <c r="AI87" s="527"/>
      <c r="AJ87" s="527"/>
      <c r="AK87" s="527"/>
      <c r="AL87" s="527"/>
      <c r="AM87" s="527"/>
      <c r="AN87" s="527"/>
      <c r="AO87" s="527"/>
      <c r="AP87" s="527"/>
      <c r="AQ87" s="527"/>
      <c r="AR87" s="527"/>
      <c r="AS87" s="527"/>
      <c r="AT87" s="527"/>
      <c r="AU87" s="527"/>
      <c r="AV87" s="527"/>
      <c r="AW87" s="527"/>
      <c r="AX87" s="527"/>
      <c r="AY87" s="527"/>
      <c r="AZ87" s="527"/>
      <c r="BA87" s="527"/>
      <c r="BB87" s="527"/>
      <c r="BC87" s="527"/>
      <c r="BD87" s="527"/>
      <c r="BE87" s="527"/>
      <c r="BF87" s="527"/>
      <c r="BG87" s="527"/>
      <c r="BH87" s="527"/>
      <c r="BI87" s="527"/>
      <c r="BJ87" s="527"/>
      <c r="BK87" s="527"/>
      <c r="BL87" s="527"/>
      <c r="BM87" s="527"/>
      <c r="BN87" s="527"/>
      <c r="BO87" s="527"/>
      <c r="BP87" s="527"/>
      <c r="BQ87" s="527"/>
      <c r="BR87" s="527"/>
      <c r="BS87" s="527"/>
      <c r="BT87" s="527"/>
      <c r="BU87" s="527"/>
      <c r="BV87" s="527"/>
      <c r="BW87" s="527"/>
      <c r="BX87" s="527"/>
      <c r="BY87" s="527"/>
      <c r="BZ87" s="527"/>
      <c r="CA87" s="527"/>
      <c r="CB87" s="527"/>
      <c r="CC87" s="527"/>
      <c r="CD87" s="527"/>
      <c r="CE87" s="527"/>
      <c r="CF87" s="527"/>
      <c r="CG87" s="527"/>
      <c r="CH87" s="527"/>
      <c r="CI87" s="527"/>
      <c r="CJ87" s="527"/>
      <c r="CK87" s="527"/>
      <c r="CL87" s="527"/>
      <c r="CM87" s="527"/>
      <c r="CN87" s="527"/>
      <c r="CO87" s="527"/>
      <c r="CP87" s="527"/>
      <c r="CQ87" s="527"/>
      <c r="CR87" s="527"/>
      <c r="CS87" s="527"/>
      <c r="CT87" s="527"/>
      <c r="CU87" s="527"/>
      <c r="CV87" s="527"/>
      <c r="CW87" s="527"/>
      <c r="CX87" s="527"/>
      <c r="CY87" s="527"/>
      <c r="CZ87" s="527"/>
      <c r="DA87" s="527"/>
      <c r="DB87" s="527"/>
      <c r="DC87" s="527"/>
      <c r="DD87" s="527"/>
      <c r="DE87" s="527"/>
      <c r="DF87" s="527"/>
      <c r="DG87" s="527"/>
      <c r="DH87" s="527"/>
      <c r="DI87" s="527"/>
      <c r="DJ87" s="527"/>
      <c r="DK87" s="527"/>
      <c r="DL87" s="527"/>
      <c r="DM87" s="527"/>
      <c r="DN87" s="527"/>
      <c r="DO87" s="527"/>
      <c r="DP87" s="527"/>
      <c r="DQ87" s="527"/>
      <c r="DR87" s="527"/>
      <c r="DS87" s="527"/>
      <c r="DT87" s="527"/>
      <c r="DU87" s="527"/>
      <c r="DV87" s="527"/>
      <c r="DW87" s="527"/>
      <c r="DX87" s="527"/>
      <c r="DY87" s="527"/>
      <c r="DZ87" s="527"/>
      <c r="EA87" s="527"/>
      <c r="EB87" s="527"/>
      <c r="EC87" s="527"/>
      <c r="ED87" s="527"/>
      <c r="EE87" s="527"/>
      <c r="EF87" s="527"/>
      <c r="EG87" s="527"/>
      <c r="EH87" s="527"/>
      <c r="EI87" s="527"/>
      <c r="EJ87" s="527"/>
      <c r="EK87" s="527"/>
      <c r="EL87" s="527"/>
      <c r="EM87" s="527"/>
      <c r="EN87" s="527"/>
      <c r="EO87" s="527"/>
      <c r="EP87" s="527"/>
      <c r="EQ87" s="527"/>
      <c r="ER87" s="527"/>
      <c r="ES87" s="527"/>
      <c r="ET87" s="527"/>
      <c r="EU87" s="527"/>
      <c r="EV87" s="527"/>
      <c r="EW87" s="527"/>
      <c r="EX87" s="527"/>
      <c r="EY87" s="527"/>
      <c r="EZ87" s="527"/>
      <c r="FA87" s="527"/>
      <c r="FB87" s="527"/>
      <c r="FC87" s="527"/>
      <c r="FD87" s="527"/>
      <c r="FE87" s="527"/>
      <c r="FF87" s="527"/>
      <c r="FG87" s="527"/>
      <c r="FH87" s="527"/>
      <c r="FI87" s="527"/>
      <c r="FJ87" s="527"/>
      <c r="FK87" s="527"/>
      <c r="FL87" s="527"/>
      <c r="FM87" s="527"/>
      <c r="FN87" s="527"/>
      <c r="FO87" s="527"/>
      <c r="FP87" s="527"/>
      <c r="FQ87" s="527"/>
      <c r="FR87" s="527"/>
      <c r="FS87" s="527"/>
      <c r="FT87" s="527"/>
      <c r="FU87" s="527"/>
      <c r="FV87" s="527"/>
      <c r="FW87" s="527"/>
      <c r="FX87" s="527"/>
      <c r="FY87" s="527"/>
      <c r="FZ87" s="527"/>
      <c r="GA87" s="527"/>
      <c r="GB87" s="527"/>
      <c r="GC87" s="527"/>
      <c r="GD87" s="527"/>
      <c r="GE87" s="527"/>
      <c r="GF87" s="527"/>
      <c r="GG87" s="527"/>
      <c r="GH87" s="527"/>
      <c r="GI87" s="527"/>
      <c r="GJ87" s="527"/>
      <c r="GK87" s="527"/>
      <c r="GL87" s="527"/>
      <c r="GM87" s="527"/>
      <c r="GN87" s="527"/>
      <c r="GO87" s="527"/>
      <c r="GP87" s="527"/>
      <c r="GQ87" s="527"/>
      <c r="GR87" s="527"/>
      <c r="GS87" s="527"/>
      <c r="GT87" s="527"/>
      <c r="GU87" s="527"/>
      <c r="GV87" s="527"/>
      <c r="GW87" s="527"/>
      <c r="GX87" s="527"/>
      <c r="GY87" s="527"/>
      <c r="GZ87" s="527"/>
      <c r="HA87" s="527"/>
      <c r="HB87" s="527"/>
      <c r="HC87" s="527"/>
      <c r="HD87" s="527"/>
      <c r="HE87" s="527"/>
      <c r="HF87" s="527"/>
      <c r="HG87" s="527"/>
      <c r="HH87" s="527"/>
      <c r="HI87" s="527"/>
      <c r="HJ87" s="527"/>
      <c r="HK87" s="527"/>
      <c r="HL87" s="527"/>
      <c r="HM87" s="527"/>
      <c r="HN87" s="527"/>
      <c r="HO87" s="527"/>
      <c r="HP87" s="527"/>
      <c r="HQ87" s="527"/>
      <c r="HR87" s="527"/>
      <c r="HS87" s="527"/>
      <c r="HT87" s="527"/>
      <c r="HU87" s="527"/>
      <c r="HV87" s="527"/>
      <c r="HW87" s="527"/>
      <c r="HX87" s="527"/>
      <c r="HY87" s="527"/>
      <c r="HZ87" s="527"/>
      <c r="IA87" s="527"/>
      <c r="IB87" s="527"/>
      <c r="IC87" s="527"/>
      <c r="ID87" s="527"/>
      <c r="IE87" s="527"/>
      <c r="IF87" s="527"/>
      <c r="IG87" s="527"/>
      <c r="IH87" s="527"/>
      <c r="II87" s="527"/>
      <c r="IJ87" s="527"/>
      <c r="IK87" s="527"/>
      <c r="IL87" s="527"/>
      <c r="IM87" s="527"/>
      <c r="IN87" s="527"/>
      <c r="IO87" s="527"/>
      <c r="IP87" s="527"/>
      <c r="IQ87" s="527"/>
      <c r="IR87" s="527"/>
      <c r="IS87" s="527"/>
      <c r="IT87" s="527"/>
    </row>
    <row r="88" spans="1:254">
      <c r="D88" s="188" t="s">
        <v>114</v>
      </c>
      <c r="H88" s="188" t="s">
        <v>8</v>
      </c>
      <c r="J88" s="188"/>
    </row>
    <row r="89" spans="1:254">
      <c r="B89" s="110" t="s">
        <v>389</v>
      </c>
      <c r="C89" s="110"/>
      <c r="D89" s="120" t="s">
        <v>154</v>
      </c>
      <c r="F89" s="120" t="s">
        <v>46</v>
      </c>
      <c r="H89" s="120" t="s">
        <v>1</v>
      </c>
      <c r="J89" s="120"/>
    </row>
    <row r="91" spans="1:254">
      <c r="B91" s="105" t="str">
        <f>+B$81</f>
        <v xml:space="preserve">  Secondary</v>
      </c>
      <c r="D91" s="112">
        <f>J81</f>
        <v>85</v>
      </c>
      <c r="F91" s="146">
        <f>+F81</f>
        <v>8883</v>
      </c>
      <c r="G91" s="146"/>
      <c r="H91" s="113">
        <f>ROUND((D91*F91),0)</f>
        <v>755055</v>
      </c>
      <c r="J91" s="113"/>
    </row>
    <row r="92" spans="1:254">
      <c r="B92" s="105" t="str">
        <f>+B$82</f>
        <v xml:space="preserve">  Primary</v>
      </c>
      <c r="D92" s="112">
        <f>J82</f>
        <v>127.5</v>
      </c>
      <c r="F92" s="146">
        <f>+F82</f>
        <v>722</v>
      </c>
      <c r="H92" s="146">
        <f>ROUND((D92*F92),0)</f>
        <v>92055</v>
      </c>
    </row>
    <row r="93" spans="1:254">
      <c r="B93" s="105" t="str">
        <f>+B$83</f>
        <v xml:space="preserve">  Subtransmission</v>
      </c>
      <c r="D93" s="112">
        <f>J83</f>
        <v>679</v>
      </c>
      <c r="F93" s="146">
        <f>+F83</f>
        <v>204</v>
      </c>
      <c r="H93" s="146">
        <f>ROUND((D93*F93),0)</f>
        <v>138516</v>
      </c>
    </row>
    <row r="94" spans="1:254">
      <c r="B94" s="105" t="str">
        <f>+B$84</f>
        <v xml:space="preserve">  Transmission</v>
      </c>
      <c r="D94" s="112">
        <f>J84</f>
        <v>679</v>
      </c>
      <c r="F94" s="146">
        <f>+F84</f>
        <v>24</v>
      </c>
      <c r="H94" s="146">
        <f>ROUND((D94*F94),0)</f>
        <v>16296</v>
      </c>
    </row>
    <row r="95" spans="1:254">
      <c r="F95" s="115"/>
      <c r="H95" s="115"/>
    </row>
    <row r="96" spans="1:254">
      <c r="B96" s="105" t="str">
        <f>+B$86</f>
        <v xml:space="preserve">  Total</v>
      </c>
      <c r="F96" s="146">
        <f>SUM(F91:F94)</f>
        <v>9833</v>
      </c>
      <c r="H96" s="113">
        <f>SUM(H91:H94)</f>
        <v>1001922</v>
      </c>
      <c r="J96" s="113"/>
    </row>
    <row r="97" spans="1:8">
      <c r="B97" s="110"/>
      <c r="C97" s="110"/>
    </row>
    <row r="98" spans="1:8">
      <c r="B98" s="110"/>
      <c r="C98" s="110"/>
    </row>
    <row r="99" spans="1:8">
      <c r="A99" s="110" t="s">
        <v>29</v>
      </c>
      <c r="B99" s="110" t="s">
        <v>430</v>
      </c>
      <c r="C99" s="110"/>
    </row>
    <row r="100" spans="1:8">
      <c r="A100" s="110"/>
      <c r="B100" s="110"/>
      <c r="C100" s="110"/>
    </row>
    <row r="101" spans="1:8">
      <c r="A101" s="110"/>
      <c r="B101" s="110"/>
      <c r="C101" s="110"/>
    </row>
    <row r="102" spans="1:8">
      <c r="C102" s="528"/>
      <c r="D102" s="121" t="s">
        <v>429</v>
      </c>
      <c r="F102" s="188" t="s">
        <v>428</v>
      </c>
    </row>
    <row r="103" spans="1:8">
      <c r="B103" s="110" t="s">
        <v>427</v>
      </c>
      <c r="C103" s="110"/>
      <c r="D103" s="120" t="s">
        <v>154</v>
      </c>
      <c r="F103" s="120" t="s">
        <v>409</v>
      </c>
      <c r="H103" s="120" t="s">
        <v>1</v>
      </c>
    </row>
    <row r="105" spans="1:8">
      <c r="B105" s="105" t="str">
        <f>+B$81</f>
        <v xml:space="preserve">  Secondary</v>
      </c>
      <c r="D105" s="526">
        <v>3.46</v>
      </c>
      <c r="F105" s="146">
        <f>+D181</f>
        <v>46872</v>
      </c>
      <c r="H105" s="113">
        <f>ROUND((D105*F105),0)</f>
        <v>162177</v>
      </c>
    </row>
    <row r="106" spans="1:8">
      <c r="B106" s="105" t="str">
        <f>+B$82</f>
        <v xml:space="preserve">  Primary</v>
      </c>
      <c r="D106" s="112">
        <f>+D105</f>
        <v>3.46</v>
      </c>
      <c r="F106" s="146">
        <f>+D189</f>
        <v>50576.6</v>
      </c>
      <c r="G106" s="146"/>
      <c r="H106" s="146">
        <f>ROUND((D106*F106),0)</f>
        <v>174995</v>
      </c>
    </row>
    <row r="107" spans="1:8">
      <c r="B107" s="105" t="str">
        <f>+B$83</f>
        <v xml:space="preserve">  Subtransmission</v>
      </c>
      <c r="D107" s="112">
        <f>+D105</f>
        <v>3.46</v>
      </c>
      <c r="F107" s="146">
        <f>+D197</f>
        <v>9098.9</v>
      </c>
      <c r="H107" s="146">
        <f>ROUND((D107*F107),0)</f>
        <v>31482</v>
      </c>
    </row>
    <row r="108" spans="1:8">
      <c r="B108" s="105" t="str">
        <f>+B$84</f>
        <v xml:space="preserve">  Transmission</v>
      </c>
      <c r="D108" s="112">
        <f>+D105</f>
        <v>3.46</v>
      </c>
      <c r="F108" s="146">
        <f>+D205</f>
        <v>3</v>
      </c>
      <c r="H108" s="146">
        <f>ROUND((D108*F108),0)</f>
        <v>10</v>
      </c>
    </row>
    <row r="109" spans="1:8">
      <c r="F109" s="115"/>
      <c r="H109" s="115"/>
    </row>
    <row r="110" spans="1:8">
      <c r="B110" s="105" t="str">
        <f>+B$86</f>
        <v xml:space="preserve">  Total</v>
      </c>
      <c r="F110" s="146">
        <f>SUM(F105:F108)</f>
        <v>106550.5</v>
      </c>
      <c r="H110" s="113">
        <f>SUM(H105:H108)</f>
        <v>368664</v>
      </c>
    </row>
    <row r="113" spans="1:10">
      <c r="A113" s="110" t="s">
        <v>79</v>
      </c>
      <c r="B113" s="110" t="s">
        <v>345</v>
      </c>
      <c r="C113" s="110"/>
    </row>
    <row r="114" spans="1:10">
      <c r="B114" s="111"/>
      <c r="C114" s="110"/>
      <c r="D114" s="109"/>
      <c r="J114" s="109"/>
    </row>
    <row r="115" spans="1:10">
      <c r="B115" s="214"/>
      <c r="C115" s="214"/>
      <c r="D115" s="145"/>
      <c r="H115" s="121" t="s">
        <v>988</v>
      </c>
    </row>
    <row r="116" spans="1:10">
      <c r="D116" s="188"/>
      <c r="F116" s="188"/>
      <c r="H116" s="188" t="s">
        <v>6</v>
      </c>
      <c r="J116" s="188"/>
    </row>
    <row r="117" spans="1:10">
      <c r="B117" s="110" t="s">
        <v>426</v>
      </c>
      <c r="C117" s="110"/>
      <c r="D117" s="120"/>
      <c r="F117" s="120"/>
      <c r="H117" s="120" t="s">
        <v>154</v>
      </c>
      <c r="J117" s="120"/>
    </row>
    <row r="119" spans="1:10">
      <c r="B119" s="105" t="str">
        <f>+B$81</f>
        <v xml:space="preserve">  Secondary</v>
      </c>
      <c r="F119" s="212"/>
      <c r="G119" s="213"/>
      <c r="H119" s="112">
        <f>GS!D120</f>
        <v>7.84</v>
      </c>
      <c r="I119" s="213"/>
      <c r="J119" s="529"/>
    </row>
    <row r="120" spans="1:10">
      <c r="B120" s="105" t="str">
        <f>+B$82</f>
        <v xml:space="preserve">  Primary</v>
      </c>
      <c r="F120" s="212"/>
      <c r="G120" s="213"/>
      <c r="H120" s="112">
        <f>GS!D126</f>
        <v>7.08</v>
      </c>
      <c r="I120" s="213"/>
      <c r="J120" s="117"/>
    </row>
    <row r="121" spans="1:10">
      <c r="B121" s="105" t="str">
        <f>+B$83</f>
        <v xml:space="preserve">  Subtransmission</v>
      </c>
      <c r="F121" s="212"/>
      <c r="G121" s="213"/>
      <c r="H121" s="112">
        <f>GS!D131</f>
        <v>5.75</v>
      </c>
      <c r="I121" s="213"/>
      <c r="J121" s="117"/>
    </row>
    <row r="122" spans="1:10">
      <c r="B122" s="105" t="str">
        <f>+B$84</f>
        <v xml:space="preserve">  Transmission</v>
      </c>
      <c r="F122" s="212"/>
      <c r="G122" s="213"/>
      <c r="H122" s="112">
        <f>GS!J113</f>
        <v>5.61</v>
      </c>
      <c r="I122" s="213"/>
      <c r="J122" s="117"/>
    </row>
    <row r="123" spans="1:10">
      <c r="D123" s="112"/>
      <c r="F123" s="118"/>
      <c r="G123" s="213"/>
      <c r="H123" s="112"/>
      <c r="I123" s="213"/>
      <c r="J123" s="147"/>
    </row>
    <row r="124" spans="1:10">
      <c r="D124" s="188" t="s">
        <v>192</v>
      </c>
      <c r="F124" s="188" t="s">
        <v>114</v>
      </c>
      <c r="H124" s="188" t="s">
        <v>6</v>
      </c>
    </row>
    <row r="125" spans="1:10">
      <c r="B125" s="110" t="s">
        <v>425</v>
      </c>
      <c r="C125" s="110"/>
      <c r="D125" s="120" t="s">
        <v>6</v>
      </c>
      <c r="F125" s="120" t="s">
        <v>154</v>
      </c>
      <c r="H125" s="120" t="s">
        <v>1</v>
      </c>
    </row>
    <row r="127" spans="1:10">
      <c r="B127" s="105" t="str">
        <f>+B$81</f>
        <v xml:space="preserve">  Secondary</v>
      </c>
      <c r="D127" s="146">
        <f>+D54</f>
        <v>1510142</v>
      </c>
      <c r="F127" s="112">
        <f>H119</f>
        <v>7.84</v>
      </c>
      <c r="H127" s="113">
        <f>ROUND((D127*F127),0)</f>
        <v>11839513</v>
      </c>
    </row>
    <row r="128" spans="1:10">
      <c r="B128" s="105" t="str">
        <f>+B$82</f>
        <v xml:space="preserve">  Primary</v>
      </c>
      <c r="D128" s="146">
        <f>+F54</f>
        <v>281383</v>
      </c>
      <c r="F128" s="112">
        <f>H120</f>
        <v>7.08</v>
      </c>
      <c r="H128" s="146">
        <f>ROUND((D128*F128),0)</f>
        <v>1992192</v>
      </c>
    </row>
    <row r="129" spans="1:8">
      <c r="B129" s="105" t="str">
        <f>+B$83</f>
        <v xml:space="preserve">  Subtransmission</v>
      </c>
      <c r="D129" s="146">
        <f>+H54</f>
        <v>129190.6</v>
      </c>
      <c r="F129" s="112">
        <f>H121</f>
        <v>5.75</v>
      </c>
      <c r="H129" s="146">
        <f>ROUND((D129*F129),0)</f>
        <v>742846</v>
      </c>
    </row>
    <row r="130" spans="1:8">
      <c r="B130" s="105" t="str">
        <f>+B$84</f>
        <v xml:space="preserve">  Transmission</v>
      </c>
      <c r="D130" s="146">
        <f>+J54</f>
        <v>6693.4</v>
      </c>
      <c r="F130" s="112">
        <f>H122</f>
        <v>5.61</v>
      </c>
      <c r="H130" s="468">
        <f>ROUND((D130*F130),0)</f>
        <v>37550</v>
      </c>
    </row>
    <row r="131" spans="1:8">
      <c r="D131" s="530"/>
      <c r="F131" s="112"/>
      <c r="H131" s="530"/>
    </row>
    <row r="132" spans="1:8">
      <c r="B132" s="105" t="str">
        <f>+B$86</f>
        <v xml:space="preserve">  Total</v>
      </c>
      <c r="D132" s="146">
        <f>SUM(D127:D130)</f>
        <v>1927409</v>
      </c>
      <c r="F132" s="531"/>
      <c r="H132" s="113">
        <f>SUM(H127:H130)</f>
        <v>14612101</v>
      </c>
    </row>
    <row r="134" spans="1:8">
      <c r="A134" s="110" t="s">
        <v>80</v>
      </c>
      <c r="B134" s="110" t="s">
        <v>330</v>
      </c>
      <c r="C134" s="110"/>
    </row>
    <row r="135" spans="1:8">
      <c r="D135" s="188" t="s">
        <v>192</v>
      </c>
      <c r="F135" s="188" t="s">
        <v>340</v>
      </c>
      <c r="H135" s="188" t="s">
        <v>424</v>
      </c>
    </row>
    <row r="136" spans="1:8">
      <c r="B136" s="110" t="s">
        <v>367</v>
      </c>
      <c r="C136" s="110"/>
      <c r="D136" s="120" t="s">
        <v>7</v>
      </c>
      <c r="F136" s="120" t="s">
        <v>339</v>
      </c>
      <c r="H136" s="120" t="s">
        <v>7</v>
      </c>
    </row>
    <row r="138" spans="1:8">
      <c r="B138" s="105" t="str">
        <f>+B$81</f>
        <v xml:space="preserve">  Secondary</v>
      </c>
      <c r="D138" s="146">
        <f>+D56</f>
        <v>509189624</v>
      </c>
      <c r="F138" s="212">
        <v>1</v>
      </c>
      <c r="H138" s="146">
        <f>ROUND((D138*F138),0)</f>
        <v>509189624</v>
      </c>
    </row>
    <row r="139" spans="1:8">
      <c r="B139" s="105" t="str">
        <f>+B$82</f>
        <v xml:space="preserve">  Primary</v>
      </c>
      <c r="D139" s="146">
        <f>+F56</f>
        <v>79894011</v>
      </c>
      <c r="F139" s="212">
        <f>'Energy Basis'!C15</f>
        <v>0.96167000000000002</v>
      </c>
      <c r="H139" s="146">
        <f>ROUND((D139*F139),0)</f>
        <v>76831674</v>
      </c>
    </row>
    <row r="140" spans="1:8">
      <c r="B140" s="105" t="str">
        <f>+B$83</f>
        <v xml:space="preserve">  Subtransmission</v>
      </c>
      <c r="D140" s="146">
        <f>+H56</f>
        <v>35956635</v>
      </c>
      <c r="F140" s="212">
        <f>'Energy Basis'!D15</f>
        <v>0.94896999999999998</v>
      </c>
      <c r="H140" s="146">
        <f>ROUND((D140*F140),0)</f>
        <v>34121768</v>
      </c>
    </row>
    <row r="141" spans="1:8">
      <c r="B141" s="105" t="str">
        <f>+B$84</f>
        <v xml:space="preserve">  Transmission</v>
      </c>
      <c r="D141" s="146">
        <f>+J56</f>
        <v>1693502</v>
      </c>
      <c r="F141" s="212">
        <f>'Energy Basis'!E15</f>
        <v>0.93584999999999996</v>
      </c>
      <c r="H141" s="146">
        <f>ROUND((D141*F141),0)</f>
        <v>1584864</v>
      </c>
    </row>
    <row r="142" spans="1:8">
      <c r="D142" s="115"/>
      <c r="H142" s="115"/>
    </row>
    <row r="143" spans="1:8">
      <c r="B143" s="105" t="str">
        <f>+B$86</f>
        <v xml:space="preserve">  Total</v>
      </c>
      <c r="D143" s="146">
        <f>SUM(D138:D141)</f>
        <v>626733772</v>
      </c>
      <c r="H143" s="146">
        <f>SUM(H138:H141)</f>
        <v>621727930</v>
      </c>
    </row>
    <row r="144" spans="1:8">
      <c r="D144" s="146"/>
      <c r="H144" s="146"/>
    </row>
    <row r="145" spans="2:8">
      <c r="D145" s="146"/>
      <c r="F145" s="518">
        <f>1-GS!$D$100</f>
        <v>0.8</v>
      </c>
      <c r="H145" s="188" t="s">
        <v>423</v>
      </c>
    </row>
    <row r="146" spans="2:8">
      <c r="D146" s="188" t="s">
        <v>192</v>
      </c>
      <c r="F146" s="188" t="s">
        <v>423</v>
      </c>
      <c r="H146" s="188" t="s">
        <v>413</v>
      </c>
    </row>
    <row r="147" spans="2:8">
      <c r="B147" s="110" t="s">
        <v>422</v>
      </c>
      <c r="C147" s="110"/>
      <c r="D147" s="120" t="s">
        <v>7</v>
      </c>
      <c r="F147" s="120" t="s">
        <v>413</v>
      </c>
      <c r="H147" s="120" t="s">
        <v>1</v>
      </c>
    </row>
    <row r="148" spans="2:8">
      <c r="F148" s="532"/>
      <c r="G148" s="532"/>
      <c r="H148" s="532"/>
    </row>
    <row r="149" spans="2:8">
      <c r="B149" s="105" t="str">
        <f>+B$81</f>
        <v xml:space="preserve">  Secondary</v>
      </c>
      <c r="D149" s="146">
        <f>D138</f>
        <v>509189624</v>
      </c>
      <c r="F149" s="533" t="s">
        <v>421</v>
      </c>
      <c r="H149" s="534">
        <v>0</v>
      </c>
    </row>
    <row r="150" spans="2:8">
      <c r="B150" s="105" t="str">
        <f>+B$82</f>
        <v xml:space="preserve">  Primary</v>
      </c>
      <c r="D150" s="146">
        <f>D139</f>
        <v>79894011</v>
      </c>
      <c r="F150" s="535">
        <f>ROUND('Energy Basis'!F32*$F$145,5)</f>
        <v>-7.0200000000000002E-3</v>
      </c>
      <c r="H150" s="534">
        <f>ROUND((D150*F150),0)</f>
        <v>-560856</v>
      </c>
    </row>
    <row r="151" spans="2:8">
      <c r="B151" s="105" t="str">
        <f>+B$83</f>
        <v xml:space="preserve">  Subtransmission</v>
      </c>
      <c r="D151" s="146">
        <f>D140</f>
        <v>35956635</v>
      </c>
      <c r="F151" s="535">
        <f>ROUND('Energy Basis'!F33*$F$145,5)</f>
        <v>-2.281E-2</v>
      </c>
      <c r="H151" s="534">
        <f>ROUND((D151*F151),0)</f>
        <v>-820171</v>
      </c>
    </row>
    <row r="152" spans="2:8">
      <c r="B152" s="105" t="str">
        <f>+B$84</f>
        <v xml:space="preserve">  Transmission</v>
      </c>
      <c r="D152" s="146">
        <f>D141</f>
        <v>1693502</v>
      </c>
      <c r="F152" s="535">
        <f>ROUND('Energy Basis'!F34*$F$145,5)</f>
        <v>-2.281E-2</v>
      </c>
      <c r="H152" s="534">
        <f>ROUND((D152*F152),0)</f>
        <v>-38629</v>
      </c>
    </row>
    <row r="153" spans="2:8">
      <c r="D153" s="115"/>
      <c r="H153" s="115"/>
    </row>
    <row r="154" spans="2:8">
      <c r="B154" s="105" t="str">
        <f>+B$86</f>
        <v xml:space="preserve">  Total</v>
      </c>
      <c r="D154" s="146">
        <f>SUM(D149:D152)</f>
        <v>626733772</v>
      </c>
      <c r="H154" s="123">
        <f>SUM(H149:H152)</f>
        <v>-1419656</v>
      </c>
    </row>
    <row r="155" spans="2:8">
      <c r="D155" s="146"/>
      <c r="H155" s="123"/>
    </row>
    <row r="157" spans="2:8">
      <c r="B157" s="110" t="s">
        <v>420</v>
      </c>
      <c r="C157" s="110"/>
      <c r="D157" s="113">
        <f>+J47</f>
        <v>68101431.846740007</v>
      </c>
    </row>
    <row r="158" spans="2:8">
      <c r="B158" s="110" t="s">
        <v>328</v>
      </c>
      <c r="C158" s="110"/>
      <c r="D158" s="146">
        <f>+H96</f>
        <v>1001922</v>
      </c>
    </row>
    <row r="159" spans="2:8">
      <c r="B159" s="110" t="s">
        <v>419</v>
      </c>
      <c r="C159" s="110"/>
      <c r="D159" s="146">
        <f>+H110</f>
        <v>368664</v>
      </c>
    </row>
    <row r="160" spans="2:8">
      <c r="B160" s="110" t="s">
        <v>327</v>
      </c>
      <c r="C160" s="110"/>
      <c r="D160" s="146">
        <f>+H132</f>
        <v>14612101</v>
      </c>
    </row>
    <row r="161" spans="1:254">
      <c r="B161" s="110" t="s">
        <v>418</v>
      </c>
      <c r="C161" s="110"/>
      <c r="D161" s="534">
        <f>H154</f>
        <v>-1419656</v>
      </c>
    </row>
    <row r="162" spans="1:254">
      <c r="D162" s="115"/>
    </row>
    <row r="163" spans="1:254">
      <c r="B163" s="110" t="s">
        <v>417</v>
      </c>
      <c r="C163" s="110"/>
      <c r="D163" s="113">
        <f>D157-SUM(D158:D161)</f>
        <v>53538400.846740007</v>
      </c>
    </row>
    <row r="164" spans="1:254">
      <c r="B164" s="110" t="s">
        <v>416</v>
      </c>
      <c r="C164" s="110"/>
      <c r="D164" s="146">
        <f>+H143</f>
        <v>621727930</v>
      </c>
    </row>
    <row r="165" spans="1:254">
      <c r="D165" s="115"/>
    </row>
    <row r="166" spans="1:254">
      <c r="B166" s="110" t="s">
        <v>415</v>
      </c>
      <c r="C166" s="110"/>
      <c r="D166" s="106">
        <f>ROUND((D163/D164),5)</f>
        <v>8.6110000000000006E-2</v>
      </c>
    </row>
    <row r="169" spans="1:254">
      <c r="C169" s="188" t="s">
        <v>319</v>
      </c>
      <c r="D169" s="188" t="s">
        <v>340</v>
      </c>
      <c r="F169" s="121" t="s">
        <v>7</v>
      </c>
      <c r="G169" s="121"/>
      <c r="H169" s="121" t="s">
        <v>414</v>
      </c>
      <c r="J169" s="188" t="s">
        <v>114</v>
      </c>
    </row>
    <row r="170" spans="1:254">
      <c r="C170" s="120" t="s">
        <v>154</v>
      </c>
      <c r="D170" s="120" t="s">
        <v>339</v>
      </c>
      <c r="F170" s="536" t="s">
        <v>154</v>
      </c>
      <c r="G170" s="536"/>
      <c r="H170" s="536" t="s">
        <v>413</v>
      </c>
      <c r="J170" s="120" t="s">
        <v>154</v>
      </c>
    </row>
    <row r="172" spans="1:254">
      <c r="B172" s="105" t="str">
        <f>+B$81</f>
        <v xml:space="preserve">  Secondary</v>
      </c>
      <c r="C172" s="537">
        <f>+D166</f>
        <v>8.6110000000000006E-2</v>
      </c>
      <c r="D172" s="118">
        <f>+F138</f>
        <v>1</v>
      </c>
      <c r="E172" s="188"/>
      <c r="F172" s="538">
        <f>ROUND(C172*D172,5)</f>
        <v>8.6110000000000006E-2</v>
      </c>
      <c r="H172" s="108">
        <v>0</v>
      </c>
      <c r="J172" s="119">
        <f>F172+H172</f>
        <v>8.6110000000000006E-2</v>
      </c>
    </row>
    <row r="173" spans="1:254">
      <c r="B173" s="105" t="str">
        <f>+B$82</f>
        <v xml:space="preserve">  Primary</v>
      </c>
      <c r="C173" s="122">
        <f>+$C$172</f>
        <v>8.6110000000000006E-2</v>
      </c>
      <c r="D173" s="118">
        <f>+F139</f>
        <v>0.96167000000000002</v>
      </c>
      <c r="E173" s="188"/>
      <c r="F173" s="538">
        <f>ROUND(C173*D173,5)</f>
        <v>8.2809999999999995E-2</v>
      </c>
      <c r="H173" s="107">
        <f>F150</f>
        <v>-7.0200000000000002E-3</v>
      </c>
      <c r="J173" s="119">
        <f>F173+H173</f>
        <v>7.5789999999999996E-2</v>
      </c>
    </row>
    <row r="174" spans="1:254">
      <c r="B174" s="105" t="str">
        <f>+B$83</f>
        <v xml:space="preserve">  Subtransmission</v>
      </c>
      <c r="C174" s="122">
        <f>+$C$172</f>
        <v>8.6110000000000006E-2</v>
      </c>
      <c r="D174" s="118">
        <f>+F140</f>
        <v>0.94896999999999998</v>
      </c>
      <c r="E174" s="188"/>
      <c r="F174" s="538">
        <f>ROUND(C174*D174,5)</f>
        <v>8.1720000000000001E-2</v>
      </c>
      <c r="H174" s="107">
        <f>F151</f>
        <v>-2.281E-2</v>
      </c>
      <c r="J174" s="119">
        <f>F174+H174</f>
        <v>5.8910000000000004E-2</v>
      </c>
    </row>
    <row r="175" spans="1:254">
      <c r="B175" s="105" t="str">
        <f>+B$84</f>
        <v xml:space="preserve">  Transmission</v>
      </c>
      <c r="C175" s="122">
        <f>+$C$172</f>
        <v>8.6110000000000006E-2</v>
      </c>
      <c r="D175" s="118">
        <f>+F141</f>
        <v>0.93584999999999996</v>
      </c>
      <c r="E175" s="188"/>
      <c r="F175" s="538">
        <f>ROUND(C175*D175,5)</f>
        <v>8.0589999999999995E-2</v>
      </c>
      <c r="H175" s="107">
        <f>F152</f>
        <v>-2.281E-2</v>
      </c>
      <c r="J175" s="119">
        <f>F175+H175</f>
        <v>5.7779999999999998E-2</v>
      </c>
    </row>
    <row r="176" spans="1:254">
      <c r="A176" s="527"/>
      <c r="B176" s="527"/>
      <c r="C176" s="527"/>
      <c r="D176" s="527"/>
      <c r="E176" s="527"/>
      <c r="F176" s="527"/>
      <c r="G176" s="527"/>
      <c r="H176" s="527"/>
      <c r="I176" s="527"/>
      <c r="J176" s="527"/>
      <c r="K176" s="527"/>
      <c r="L176" s="527"/>
      <c r="M176" s="527"/>
      <c r="N176" s="527"/>
      <c r="O176" s="527"/>
      <c r="P176" s="527"/>
      <c r="Q176" s="527"/>
      <c r="R176" s="527"/>
      <c r="S176" s="527"/>
      <c r="T176" s="527"/>
      <c r="U176" s="527"/>
      <c r="V176" s="527"/>
      <c r="W176" s="527"/>
      <c r="X176" s="527"/>
      <c r="Y176" s="527"/>
      <c r="Z176" s="527"/>
      <c r="AA176" s="527"/>
      <c r="AB176" s="527"/>
      <c r="AC176" s="527"/>
      <c r="AD176" s="527"/>
      <c r="AE176" s="527"/>
      <c r="AF176" s="527"/>
      <c r="AG176" s="527"/>
      <c r="AH176" s="527"/>
      <c r="AI176" s="527"/>
      <c r="AJ176" s="527"/>
      <c r="AK176" s="527"/>
      <c r="AL176" s="527"/>
      <c r="AM176" s="527"/>
      <c r="AN176" s="527"/>
      <c r="AO176" s="527"/>
      <c r="AP176" s="527"/>
      <c r="AQ176" s="527"/>
      <c r="AR176" s="527"/>
      <c r="AS176" s="527"/>
      <c r="AT176" s="527"/>
      <c r="AU176" s="527"/>
      <c r="AV176" s="527"/>
      <c r="AW176" s="527"/>
      <c r="AX176" s="527"/>
      <c r="AY176" s="527"/>
      <c r="AZ176" s="527"/>
      <c r="BA176" s="527"/>
      <c r="BB176" s="527"/>
      <c r="BC176" s="527"/>
      <c r="BD176" s="527"/>
      <c r="BE176" s="527"/>
      <c r="BF176" s="527"/>
      <c r="BG176" s="527"/>
      <c r="BH176" s="527"/>
      <c r="BI176" s="527"/>
      <c r="BJ176" s="527"/>
      <c r="BK176" s="527"/>
      <c r="BL176" s="527"/>
      <c r="BM176" s="527"/>
      <c r="BN176" s="527"/>
      <c r="BO176" s="527"/>
      <c r="BP176" s="527"/>
      <c r="BQ176" s="527"/>
      <c r="BR176" s="527"/>
      <c r="BS176" s="527"/>
      <c r="BT176" s="527"/>
      <c r="BU176" s="527"/>
      <c r="BV176" s="527"/>
      <c r="BW176" s="527"/>
      <c r="BX176" s="527"/>
      <c r="BY176" s="527"/>
      <c r="BZ176" s="527"/>
      <c r="CA176" s="527"/>
      <c r="CB176" s="527"/>
      <c r="CC176" s="527"/>
      <c r="CD176" s="527"/>
      <c r="CE176" s="527"/>
      <c r="CF176" s="527"/>
      <c r="CG176" s="527"/>
      <c r="CH176" s="527"/>
      <c r="CI176" s="527"/>
      <c r="CJ176" s="527"/>
      <c r="CK176" s="527"/>
      <c r="CL176" s="527"/>
      <c r="CM176" s="527"/>
      <c r="CN176" s="527"/>
      <c r="CO176" s="527"/>
      <c r="CP176" s="527"/>
      <c r="CQ176" s="527"/>
      <c r="CR176" s="527"/>
      <c r="CS176" s="527"/>
      <c r="CT176" s="527"/>
      <c r="CU176" s="527"/>
      <c r="CV176" s="527"/>
      <c r="CW176" s="527"/>
      <c r="CX176" s="527"/>
      <c r="CY176" s="527"/>
      <c r="CZ176" s="527"/>
      <c r="DA176" s="527"/>
      <c r="DB176" s="527"/>
      <c r="DC176" s="527"/>
      <c r="DD176" s="527"/>
      <c r="DE176" s="527"/>
      <c r="DF176" s="527"/>
      <c r="DG176" s="527"/>
      <c r="DH176" s="527"/>
      <c r="DI176" s="527"/>
      <c r="DJ176" s="527"/>
      <c r="DK176" s="527"/>
      <c r="DL176" s="527"/>
      <c r="DM176" s="527"/>
      <c r="DN176" s="527"/>
      <c r="DO176" s="527"/>
      <c r="DP176" s="527"/>
      <c r="DQ176" s="527"/>
      <c r="DR176" s="527"/>
      <c r="DS176" s="527"/>
      <c r="DT176" s="527"/>
      <c r="DU176" s="527"/>
      <c r="DV176" s="527"/>
      <c r="DW176" s="527"/>
      <c r="DX176" s="527"/>
      <c r="DY176" s="527"/>
      <c r="DZ176" s="527"/>
      <c r="EA176" s="527"/>
      <c r="EB176" s="527"/>
      <c r="EC176" s="527"/>
      <c r="ED176" s="527"/>
      <c r="EE176" s="527"/>
      <c r="EF176" s="527"/>
      <c r="EG176" s="527"/>
      <c r="EH176" s="527"/>
      <c r="EI176" s="527"/>
      <c r="EJ176" s="527"/>
      <c r="EK176" s="527"/>
      <c r="EL176" s="527"/>
      <c r="EM176" s="527"/>
      <c r="EN176" s="527"/>
      <c r="EO176" s="527"/>
      <c r="EP176" s="527"/>
      <c r="EQ176" s="527"/>
      <c r="ER176" s="527"/>
      <c r="ES176" s="527"/>
      <c r="ET176" s="527"/>
      <c r="EU176" s="527"/>
      <c r="EV176" s="527"/>
      <c r="EW176" s="527"/>
      <c r="EX176" s="527"/>
      <c r="EY176" s="527"/>
      <c r="EZ176" s="527"/>
      <c r="FA176" s="527"/>
      <c r="FB176" s="527"/>
      <c r="FC176" s="527"/>
      <c r="FD176" s="527"/>
      <c r="FE176" s="527"/>
      <c r="FF176" s="527"/>
      <c r="FG176" s="527"/>
      <c r="FH176" s="527"/>
      <c r="FI176" s="527"/>
      <c r="FJ176" s="527"/>
      <c r="FK176" s="527"/>
      <c r="FL176" s="527"/>
      <c r="FM176" s="527"/>
      <c r="FN176" s="527"/>
      <c r="FO176" s="527"/>
      <c r="FP176" s="527"/>
      <c r="FQ176" s="527"/>
      <c r="FR176" s="527"/>
      <c r="FS176" s="527"/>
      <c r="FT176" s="527"/>
      <c r="FU176" s="527"/>
      <c r="FV176" s="527"/>
      <c r="FW176" s="527"/>
      <c r="FX176" s="527"/>
      <c r="FY176" s="527"/>
      <c r="FZ176" s="527"/>
      <c r="GA176" s="527"/>
      <c r="GB176" s="527"/>
      <c r="GC176" s="527"/>
      <c r="GD176" s="527"/>
      <c r="GE176" s="527"/>
      <c r="GF176" s="527"/>
      <c r="GG176" s="527"/>
      <c r="GH176" s="527"/>
      <c r="GI176" s="527"/>
      <c r="GJ176" s="527"/>
      <c r="GK176" s="527"/>
      <c r="GL176" s="527"/>
      <c r="GM176" s="527"/>
      <c r="GN176" s="527"/>
      <c r="GO176" s="527"/>
      <c r="GP176" s="527"/>
      <c r="GQ176" s="527"/>
      <c r="GR176" s="527"/>
      <c r="GS176" s="527"/>
      <c r="GT176" s="527"/>
      <c r="GU176" s="527"/>
      <c r="GV176" s="527"/>
      <c r="GW176" s="527"/>
      <c r="GX176" s="527"/>
      <c r="GY176" s="527"/>
      <c r="GZ176" s="527"/>
      <c r="HA176" s="527"/>
      <c r="HB176" s="527"/>
      <c r="HC176" s="527"/>
      <c r="HD176" s="527"/>
      <c r="HE176" s="527"/>
      <c r="HF176" s="527"/>
      <c r="HG176" s="527"/>
      <c r="HH176" s="527"/>
      <c r="HI176" s="527"/>
      <c r="HJ176" s="527"/>
      <c r="HK176" s="527"/>
      <c r="HL176" s="527"/>
      <c r="HM176" s="527"/>
      <c r="HN176" s="527"/>
      <c r="HO176" s="527"/>
      <c r="HP176" s="527"/>
      <c r="HQ176" s="527"/>
      <c r="HR176" s="527"/>
      <c r="HS176" s="527"/>
      <c r="HT176" s="527"/>
      <c r="HU176" s="527"/>
      <c r="HV176" s="527"/>
      <c r="HW176" s="527"/>
      <c r="HX176" s="527"/>
      <c r="HY176" s="527"/>
      <c r="HZ176" s="527"/>
      <c r="IA176" s="527"/>
      <c r="IB176" s="527"/>
      <c r="IC176" s="527"/>
      <c r="ID176" s="527"/>
      <c r="IE176" s="527"/>
      <c r="IF176" s="527"/>
      <c r="IG176" s="527"/>
      <c r="IH176" s="527"/>
      <c r="II176" s="527"/>
      <c r="IJ176" s="527"/>
      <c r="IK176" s="527"/>
      <c r="IL176" s="527"/>
      <c r="IM176" s="527"/>
      <c r="IN176" s="527"/>
      <c r="IO176" s="527"/>
      <c r="IP176" s="527"/>
      <c r="IQ176" s="527"/>
      <c r="IR176" s="527"/>
      <c r="IS176" s="527"/>
      <c r="IT176" s="527"/>
    </row>
    <row r="178" spans="1:8" ht="20.25">
      <c r="A178" s="539" t="s">
        <v>81</v>
      </c>
      <c r="B178" s="539" t="s">
        <v>39</v>
      </c>
      <c r="C178" s="539"/>
      <c r="D178" s="540" t="s">
        <v>40</v>
      </c>
      <c r="E178" s="541"/>
      <c r="F178" s="540" t="s">
        <v>154</v>
      </c>
      <c r="G178" s="541"/>
      <c r="H178" s="540" t="s">
        <v>1</v>
      </c>
    </row>
    <row r="180" spans="1:8">
      <c r="B180" s="110" t="s">
        <v>319</v>
      </c>
      <c r="C180" s="110" t="s">
        <v>6</v>
      </c>
      <c r="D180" s="146">
        <f>+D54</f>
        <v>1510142</v>
      </c>
      <c r="E180" s="110" t="s">
        <v>185</v>
      </c>
      <c r="F180" s="109">
        <f>F127</f>
        <v>7.84</v>
      </c>
      <c r="G180" s="110" t="s">
        <v>314</v>
      </c>
      <c r="H180" s="113">
        <f>ROUND((D180*F180),0)</f>
        <v>11839513</v>
      </c>
    </row>
    <row r="181" spans="1:8">
      <c r="B181" s="110"/>
      <c r="C181" s="110" t="s">
        <v>410</v>
      </c>
      <c r="D181" s="146">
        <f>+D55</f>
        <v>46872</v>
      </c>
      <c r="E181" s="110" t="s">
        <v>409</v>
      </c>
      <c r="F181" s="148">
        <f>+D105</f>
        <v>3.46</v>
      </c>
      <c r="G181" s="110" t="s">
        <v>408</v>
      </c>
      <c r="H181" s="146">
        <f>ROUND((D181*F181),0)</f>
        <v>162177</v>
      </c>
    </row>
    <row r="182" spans="1:8">
      <c r="B182" s="110"/>
      <c r="C182" s="110" t="s">
        <v>7</v>
      </c>
      <c r="D182" s="146">
        <f>+D56</f>
        <v>509189624</v>
      </c>
      <c r="E182" s="110" t="s">
        <v>44</v>
      </c>
      <c r="F182" s="214">
        <f>J172</f>
        <v>8.6110000000000006E-2</v>
      </c>
      <c r="G182" s="110" t="s">
        <v>23</v>
      </c>
      <c r="H182" s="146">
        <f>ROUND((D182*F182),0)</f>
        <v>43846319</v>
      </c>
    </row>
    <row r="183" spans="1:8">
      <c r="C183" s="110" t="s">
        <v>8</v>
      </c>
      <c r="D183" s="146">
        <f>+D57</f>
        <v>8883</v>
      </c>
      <c r="E183" s="110" t="s">
        <v>46</v>
      </c>
      <c r="F183" s="215">
        <f>+D$91</f>
        <v>85</v>
      </c>
      <c r="G183" s="110" t="s">
        <v>397</v>
      </c>
      <c r="H183" s="146">
        <f>ROUND((D183*F183),0)</f>
        <v>755055</v>
      </c>
    </row>
    <row r="184" spans="1:8">
      <c r="B184" s="110"/>
      <c r="H184" s="115"/>
    </row>
    <row r="185" spans="1:8">
      <c r="B185" s="110"/>
      <c r="C185" s="110" t="s">
        <v>71</v>
      </c>
      <c r="F185" s="542"/>
      <c r="H185" s="113">
        <f>SUM(H180:H183)</f>
        <v>56603064</v>
      </c>
    </row>
    <row r="186" spans="1:8">
      <c r="B186" s="110"/>
      <c r="C186" s="110"/>
      <c r="F186" s="542"/>
      <c r="H186" s="113"/>
    </row>
    <row r="187" spans="1:8">
      <c r="F187" s="542"/>
    </row>
    <row r="188" spans="1:8">
      <c r="B188" s="110" t="s">
        <v>318</v>
      </c>
      <c r="C188" s="110" t="s">
        <v>6</v>
      </c>
      <c r="D188" s="146">
        <f>+F54</f>
        <v>281383</v>
      </c>
      <c r="E188" s="105" t="str">
        <f>+E180</f>
        <v>kW</v>
      </c>
      <c r="F188" s="109">
        <f>F128</f>
        <v>7.08</v>
      </c>
      <c r="G188" s="110" t="s">
        <v>903</v>
      </c>
      <c r="H188" s="113">
        <f>ROUND((D188*F188),0)</f>
        <v>1992192</v>
      </c>
    </row>
    <row r="189" spans="1:8">
      <c r="B189" s="110"/>
      <c r="C189" s="110" t="s">
        <v>410</v>
      </c>
      <c r="D189" s="146">
        <f>+F55</f>
        <v>50576.6</v>
      </c>
      <c r="E189" s="110" t="s">
        <v>409</v>
      </c>
      <c r="F189" s="148">
        <f>+D106</f>
        <v>3.46</v>
      </c>
      <c r="G189" s="110" t="s">
        <v>408</v>
      </c>
      <c r="H189" s="146">
        <f>ROUND((D189*F189),0)</f>
        <v>174995</v>
      </c>
    </row>
    <row r="190" spans="1:8">
      <c r="B190" s="110"/>
      <c r="C190" s="110" t="s">
        <v>7</v>
      </c>
      <c r="D190" s="146">
        <f>+F56</f>
        <v>79894011</v>
      </c>
      <c r="E190" s="105" t="str">
        <f>+E182</f>
        <v>kWh</v>
      </c>
      <c r="F190" s="214">
        <f>J173+0.00001</f>
        <v>7.5799999999999992E-2</v>
      </c>
      <c r="G190" s="110" t="s">
        <v>412</v>
      </c>
      <c r="H190" s="146">
        <f>ROUND((D190*F190),0)</f>
        <v>6055966</v>
      </c>
    </row>
    <row r="191" spans="1:8">
      <c r="B191" s="110"/>
      <c r="C191" s="110" t="s">
        <v>8</v>
      </c>
      <c r="D191" s="146">
        <f>+F57</f>
        <v>722</v>
      </c>
      <c r="E191" s="105" t="str">
        <f>+E183</f>
        <v>Bills</v>
      </c>
      <c r="F191" s="215">
        <f>+D$92</f>
        <v>127.5</v>
      </c>
      <c r="G191" s="110" t="s">
        <v>397</v>
      </c>
      <c r="H191" s="146">
        <f>ROUND((D191*F191),0)</f>
        <v>92055</v>
      </c>
    </row>
    <row r="192" spans="1:8">
      <c r="F192" s="216"/>
      <c r="H192" s="115"/>
    </row>
    <row r="193" spans="2:8">
      <c r="B193" s="110"/>
      <c r="C193" s="110" t="s">
        <v>71</v>
      </c>
      <c r="F193" s="213"/>
      <c r="H193" s="113">
        <f>SUM(H188:H191)</f>
        <v>8315208</v>
      </c>
    </row>
    <row r="194" spans="2:8">
      <c r="B194" s="110"/>
      <c r="C194" s="110"/>
      <c r="F194" s="213"/>
      <c r="H194" s="113"/>
    </row>
    <row r="196" spans="2:8">
      <c r="B196" s="110" t="s">
        <v>373</v>
      </c>
      <c r="C196" s="110" t="s">
        <v>6</v>
      </c>
      <c r="D196" s="146">
        <f>+H54</f>
        <v>129190.6</v>
      </c>
      <c r="E196" s="105" t="str">
        <f>+E188</f>
        <v>kW</v>
      </c>
      <c r="F196" s="109">
        <f>F129</f>
        <v>5.75</v>
      </c>
      <c r="G196" s="110" t="s">
        <v>314</v>
      </c>
      <c r="H196" s="113">
        <f>ROUND((D196*F196),0)</f>
        <v>742846</v>
      </c>
    </row>
    <row r="197" spans="2:8">
      <c r="B197" s="110"/>
      <c r="C197" s="110" t="s">
        <v>410</v>
      </c>
      <c r="D197" s="146">
        <f>+H55</f>
        <v>9098.9</v>
      </c>
      <c r="E197" s="110" t="s">
        <v>409</v>
      </c>
      <c r="F197" s="148">
        <f>+D107</f>
        <v>3.46</v>
      </c>
      <c r="G197" s="110" t="s">
        <v>408</v>
      </c>
      <c r="H197" s="146">
        <f>ROUND((D197*F197),0)</f>
        <v>31482</v>
      </c>
    </row>
    <row r="198" spans="2:8">
      <c r="B198" s="110"/>
      <c r="C198" s="110" t="s">
        <v>7</v>
      </c>
      <c r="D198" s="146">
        <f>+H56</f>
        <v>35956635</v>
      </c>
      <c r="E198" s="105" t="str">
        <f>+E190</f>
        <v>kWh</v>
      </c>
      <c r="F198" s="214">
        <f>+J174+0.00001</f>
        <v>5.8920000000000007E-2</v>
      </c>
      <c r="G198" s="110" t="s">
        <v>412</v>
      </c>
      <c r="H198" s="146">
        <f>ROUND((D198*F198),0)</f>
        <v>2118565</v>
      </c>
    </row>
    <row r="199" spans="2:8">
      <c r="B199" s="110"/>
      <c r="C199" s="110" t="s">
        <v>8</v>
      </c>
      <c r="D199" s="146">
        <f>+H57</f>
        <v>204</v>
      </c>
      <c r="E199" s="105" t="str">
        <f>+E191</f>
        <v>Bills</v>
      </c>
      <c r="F199" s="215">
        <f>+D$93</f>
        <v>679</v>
      </c>
      <c r="G199" s="110" t="s">
        <v>397</v>
      </c>
      <c r="H199" s="146">
        <f>ROUND((D199*F199),0)</f>
        <v>138516</v>
      </c>
    </row>
    <row r="200" spans="2:8">
      <c r="H200" s="115"/>
    </row>
    <row r="201" spans="2:8">
      <c r="B201" s="110"/>
      <c r="C201" s="110" t="s">
        <v>71</v>
      </c>
      <c r="H201" s="113">
        <f>SUM(H196:H199)</f>
        <v>3031409</v>
      </c>
    </row>
    <row r="202" spans="2:8">
      <c r="B202" s="110"/>
      <c r="C202" s="110"/>
      <c r="H202" s="113"/>
    </row>
    <row r="204" spans="2:8">
      <c r="B204" s="110" t="s">
        <v>411</v>
      </c>
      <c r="C204" s="110" t="s">
        <v>6</v>
      </c>
      <c r="D204" s="146">
        <f>+J54</f>
        <v>6693.4</v>
      </c>
      <c r="E204" s="105" t="str">
        <f>+E196</f>
        <v>kW</v>
      </c>
      <c r="F204" s="109">
        <f>+F130</f>
        <v>5.61</v>
      </c>
      <c r="G204" s="110" t="s">
        <v>314</v>
      </c>
      <c r="H204" s="113">
        <f>ROUND((D204*F204),0)</f>
        <v>37550</v>
      </c>
    </row>
    <row r="205" spans="2:8">
      <c r="B205" s="110"/>
      <c r="C205" s="110" t="s">
        <v>410</v>
      </c>
      <c r="D205" s="146">
        <f>+J55</f>
        <v>3</v>
      </c>
      <c r="E205" s="110" t="s">
        <v>409</v>
      </c>
      <c r="F205" s="148">
        <f>+D108</f>
        <v>3.46</v>
      </c>
      <c r="G205" s="110" t="s">
        <v>408</v>
      </c>
      <c r="H205" s="146">
        <f>ROUND((D205*F205),0)</f>
        <v>10</v>
      </c>
    </row>
    <row r="206" spans="2:8">
      <c r="B206" s="110"/>
      <c r="C206" s="110" t="s">
        <v>7</v>
      </c>
      <c r="D206" s="146">
        <f>+J56</f>
        <v>1693502</v>
      </c>
      <c r="E206" s="105" t="str">
        <f>+E198</f>
        <v>kWh</v>
      </c>
      <c r="F206" s="214">
        <f>+J175</f>
        <v>5.7779999999999998E-2</v>
      </c>
      <c r="G206" s="110" t="s">
        <v>23</v>
      </c>
      <c r="H206" s="146">
        <f>ROUND((D206*F206),0)</f>
        <v>97851</v>
      </c>
    </row>
    <row r="207" spans="2:8">
      <c r="B207" s="110"/>
      <c r="C207" s="110" t="s">
        <v>8</v>
      </c>
      <c r="D207" s="146">
        <f>+J57</f>
        <v>24</v>
      </c>
      <c r="E207" s="105" t="str">
        <f>+E199</f>
        <v>Bills</v>
      </c>
      <c r="F207" s="215">
        <f>+D94</f>
        <v>679</v>
      </c>
      <c r="G207" s="110" t="s">
        <v>397</v>
      </c>
      <c r="H207" s="146">
        <f>ROUND((D207*F207),0)</f>
        <v>16296</v>
      </c>
    </row>
    <row r="208" spans="2:8">
      <c r="H208" s="115"/>
    </row>
    <row r="209" spans="1:10">
      <c r="B209" s="110"/>
      <c r="C209" s="110" t="s">
        <v>71</v>
      </c>
      <c r="H209" s="113">
        <f>SUM(H204:H207)</f>
        <v>151707</v>
      </c>
    </row>
    <row r="211" spans="1:10">
      <c r="B211" s="110" t="s">
        <v>407</v>
      </c>
      <c r="C211" s="110"/>
      <c r="H211" s="113">
        <f>H185+H193+H201+H209</f>
        <v>68101388</v>
      </c>
      <c r="I211" s="113"/>
    </row>
    <row r="212" spans="1:10">
      <c r="H212" s="523"/>
    </row>
    <row r="213" spans="1:10">
      <c r="B213" s="110" t="s">
        <v>320</v>
      </c>
      <c r="C213" s="110"/>
      <c r="H213" s="113">
        <f>+J47</f>
        <v>68101431.846740007</v>
      </c>
    </row>
    <row r="215" spans="1:10">
      <c r="B215" s="110" t="s">
        <v>42</v>
      </c>
      <c r="C215" s="110"/>
      <c r="H215" s="543">
        <f>H211-H213</f>
        <v>-43.846740007400513</v>
      </c>
    </row>
    <row r="216" spans="1:10">
      <c r="B216" s="110"/>
      <c r="C216" s="110"/>
      <c r="H216" s="123"/>
    </row>
    <row r="217" spans="1:10">
      <c r="B217" s="105" t="s">
        <v>159</v>
      </c>
    </row>
    <row r="221" spans="1:10">
      <c r="A221" s="28" t="s">
        <v>306</v>
      </c>
      <c r="B221" s="544" t="s">
        <v>406</v>
      </c>
      <c r="D221" s="28"/>
      <c r="E221" s="28"/>
      <c r="F221" s="28"/>
      <c r="G221" s="28"/>
      <c r="H221" s="28"/>
      <c r="I221" s="28"/>
      <c r="J221" s="28"/>
    </row>
    <row r="222" spans="1:10">
      <c r="A222" s="28"/>
      <c r="B222" s="28"/>
      <c r="D222" s="28"/>
      <c r="E222" s="28"/>
      <c r="F222" s="28"/>
      <c r="G222" s="28"/>
      <c r="H222" s="28"/>
      <c r="I222" s="28"/>
      <c r="J222" s="28"/>
    </row>
    <row r="223" spans="1:10">
      <c r="A223" s="545"/>
      <c r="B223" s="28" t="s">
        <v>405</v>
      </c>
      <c r="D223" s="113">
        <f>J6</f>
        <v>17578341</v>
      </c>
      <c r="E223" s="294" t="s">
        <v>197</v>
      </c>
      <c r="F223" s="146">
        <f>D56+D268+D269+D273+D274</f>
        <v>514105386</v>
      </c>
      <c r="G223" s="28" t="s">
        <v>227</v>
      </c>
      <c r="H223" s="106">
        <f>ROUND((D223/F223),5)</f>
        <v>3.4189999999999998E-2</v>
      </c>
      <c r="I223" s="28"/>
      <c r="J223" s="28"/>
    </row>
    <row r="224" spans="1:10">
      <c r="A224" s="545"/>
      <c r="B224" s="28"/>
      <c r="D224" s="28"/>
      <c r="E224" s="28"/>
      <c r="F224" s="28"/>
      <c r="G224" s="28"/>
      <c r="H224" s="28"/>
      <c r="I224" s="28"/>
      <c r="J224" s="28"/>
    </row>
    <row r="225" spans="1:10">
      <c r="A225" s="545"/>
      <c r="B225" s="28" t="s">
        <v>226</v>
      </c>
      <c r="D225" s="113"/>
      <c r="E225" s="545"/>
      <c r="F225" s="106"/>
      <c r="G225" s="545"/>
      <c r="H225" s="546">
        <f>RS!E25</f>
        <v>0.03</v>
      </c>
      <c r="I225" s="28"/>
      <c r="J225" s="28"/>
    </row>
    <row r="226" spans="1:10">
      <c r="A226" s="545"/>
      <c r="B226" s="545"/>
      <c r="D226" s="545"/>
      <c r="E226" s="545"/>
      <c r="F226" s="106"/>
      <c r="G226" s="545"/>
      <c r="H226" s="545"/>
      <c r="I226" s="28"/>
      <c r="J226" s="28"/>
    </row>
    <row r="227" spans="1:10">
      <c r="A227" s="545"/>
      <c r="B227" s="28" t="s">
        <v>225</v>
      </c>
      <c r="D227" s="545"/>
      <c r="E227" s="545"/>
      <c r="F227" s="545"/>
      <c r="G227" s="545"/>
      <c r="H227" s="106">
        <f>H223+H225</f>
        <v>6.4189999999999997E-2</v>
      </c>
      <c r="I227" s="28"/>
      <c r="J227" s="28"/>
    </row>
    <row r="228" spans="1:10">
      <c r="A228" s="28"/>
      <c r="B228" s="28"/>
      <c r="D228" s="28"/>
      <c r="E228" s="28"/>
      <c r="F228" s="28"/>
      <c r="G228" s="28"/>
      <c r="H228" s="28"/>
      <c r="I228" s="28"/>
      <c r="J228" s="28"/>
    </row>
    <row r="229" spans="1:10">
      <c r="A229" s="545"/>
      <c r="B229" s="28" t="s">
        <v>404</v>
      </c>
      <c r="D229" s="545"/>
      <c r="E229" s="545"/>
      <c r="F229" s="545"/>
      <c r="G229" s="545"/>
      <c r="H229" s="106">
        <f>H227</f>
        <v>6.4189999999999997E-2</v>
      </c>
      <c r="I229" s="28"/>
      <c r="J229" s="28"/>
    </row>
    <row r="230" spans="1:10">
      <c r="A230" s="28"/>
      <c r="B230" s="28"/>
      <c r="D230" s="28"/>
      <c r="E230" s="28"/>
      <c r="F230" s="28"/>
      <c r="G230" s="28"/>
      <c r="H230" s="28"/>
      <c r="I230" s="28"/>
      <c r="J230" s="28"/>
    </row>
    <row r="231" spans="1:10">
      <c r="A231" s="545"/>
      <c r="B231" s="28" t="s">
        <v>307</v>
      </c>
      <c r="D231" s="545"/>
      <c r="E231" s="545"/>
      <c r="F231" s="545"/>
      <c r="G231" s="545"/>
      <c r="H231" s="547">
        <v>0.49909999999999999</v>
      </c>
      <c r="I231" s="28"/>
      <c r="J231" s="28"/>
    </row>
    <row r="232" spans="1:10">
      <c r="A232" s="545"/>
      <c r="B232" s="28" t="s">
        <v>222</v>
      </c>
      <c r="D232" s="545"/>
      <c r="E232" s="545"/>
      <c r="F232" s="545"/>
      <c r="G232" s="545"/>
      <c r="H232" s="548">
        <f>ROUND((F223*H231),0)</f>
        <v>256589998</v>
      </c>
      <c r="I232" s="28"/>
      <c r="J232" s="28"/>
    </row>
    <row r="233" spans="1:10">
      <c r="A233" s="28"/>
      <c r="B233" s="28"/>
      <c r="D233" s="28"/>
      <c r="E233" s="28"/>
      <c r="F233" s="28"/>
      <c r="G233" s="28"/>
      <c r="H233" s="28"/>
      <c r="I233" s="28"/>
      <c r="J233" s="28"/>
    </row>
    <row r="234" spans="1:10">
      <c r="A234" s="545"/>
      <c r="B234" s="28" t="s">
        <v>221</v>
      </c>
      <c r="D234" s="545"/>
      <c r="E234" s="545"/>
      <c r="F234" s="545"/>
      <c r="G234" s="545"/>
      <c r="H234" s="113">
        <f>ROUND((H232*H229),0)</f>
        <v>16470512</v>
      </c>
      <c r="I234" s="28"/>
      <c r="J234" s="28"/>
    </row>
    <row r="235" spans="1:10">
      <c r="A235" s="28"/>
      <c r="B235" s="28"/>
      <c r="D235" s="28"/>
      <c r="E235" s="28"/>
      <c r="F235" s="28"/>
      <c r="G235" s="28"/>
      <c r="H235" s="28"/>
      <c r="I235" s="28"/>
      <c r="J235" s="28"/>
    </row>
    <row r="236" spans="1:10">
      <c r="A236" s="545"/>
      <c r="B236" s="28"/>
      <c r="D236" s="28"/>
      <c r="E236" s="28"/>
      <c r="F236" s="28"/>
      <c r="G236" s="28"/>
      <c r="H236" s="28"/>
      <c r="I236" s="28"/>
      <c r="J236" s="28"/>
    </row>
    <row r="237" spans="1:10">
      <c r="A237" s="28" t="s">
        <v>301</v>
      </c>
      <c r="B237" s="544" t="s">
        <v>30</v>
      </c>
      <c r="D237" s="28"/>
      <c r="E237" s="28"/>
      <c r="F237" s="28"/>
      <c r="G237" s="28"/>
      <c r="H237" s="28"/>
      <c r="I237" s="28"/>
      <c r="J237" s="28"/>
    </row>
    <row r="238" spans="1:10">
      <c r="A238" s="28"/>
      <c r="B238" s="28"/>
      <c r="D238" s="28"/>
      <c r="E238" s="28"/>
      <c r="F238" s="28"/>
      <c r="G238" s="28"/>
      <c r="H238" s="28"/>
      <c r="I238" s="28"/>
      <c r="J238" s="28"/>
    </row>
    <row r="239" spans="1:10">
      <c r="A239" s="545"/>
      <c r="B239" s="28" t="s">
        <v>403</v>
      </c>
      <c r="D239" s="545"/>
      <c r="E239" s="545"/>
      <c r="F239" s="113">
        <f>J9</f>
        <v>57554268</v>
      </c>
      <c r="G239" s="28"/>
      <c r="H239" s="28"/>
      <c r="I239" s="28"/>
      <c r="J239" s="28"/>
    </row>
    <row r="240" spans="1:10">
      <c r="A240" s="545"/>
      <c r="B240" s="28" t="s">
        <v>32</v>
      </c>
      <c r="D240" s="545"/>
      <c r="E240" s="545"/>
      <c r="F240" s="146">
        <f>H91</f>
        <v>755055</v>
      </c>
      <c r="G240" s="28"/>
      <c r="H240" s="28"/>
      <c r="I240" s="28"/>
      <c r="J240" s="28"/>
    </row>
    <row r="241" spans="1:10">
      <c r="A241" s="545"/>
      <c r="B241" s="28" t="s">
        <v>402</v>
      </c>
      <c r="D241" s="545"/>
      <c r="E241" s="545"/>
      <c r="F241" s="146">
        <f>H270+H277</f>
        <v>10880</v>
      </c>
      <c r="G241" s="28"/>
      <c r="H241" s="28"/>
      <c r="I241" s="28"/>
      <c r="J241" s="28"/>
    </row>
    <row r="242" spans="1:10">
      <c r="A242" s="545"/>
      <c r="B242" s="28" t="s">
        <v>401</v>
      </c>
      <c r="D242" s="545"/>
      <c r="E242" s="545"/>
      <c r="F242" s="548">
        <f>+H234</f>
        <v>16470512</v>
      </c>
      <c r="G242" s="28"/>
      <c r="H242" s="28"/>
      <c r="I242" s="28"/>
      <c r="J242" s="28"/>
    </row>
    <row r="243" spans="1:10">
      <c r="A243" s="545"/>
      <c r="B243" s="545"/>
      <c r="D243" s="545"/>
      <c r="E243" s="545"/>
      <c r="F243" s="545"/>
      <c r="G243" s="28"/>
      <c r="H243" s="28"/>
      <c r="I243" s="28"/>
      <c r="J243" s="28"/>
    </row>
    <row r="244" spans="1:10">
      <c r="A244" s="545"/>
      <c r="B244" s="28" t="s">
        <v>34</v>
      </c>
      <c r="D244" s="545"/>
      <c r="E244" s="545"/>
      <c r="F244" s="113">
        <f>(F239-SUM(F240:F242))</f>
        <v>40317821</v>
      </c>
      <c r="G244" s="28"/>
      <c r="H244" s="28"/>
      <c r="I244" s="28"/>
      <c r="J244" s="28"/>
    </row>
    <row r="245" spans="1:10">
      <c r="A245" s="545"/>
      <c r="B245" s="28" t="s">
        <v>37</v>
      </c>
      <c r="D245" s="545"/>
      <c r="E245" s="545"/>
      <c r="F245" s="548">
        <f>F223-H232</f>
        <v>257515388</v>
      </c>
      <c r="G245" s="28"/>
      <c r="H245" s="28"/>
      <c r="I245" s="28"/>
      <c r="J245" s="28"/>
    </row>
    <row r="246" spans="1:10">
      <c r="A246" s="545"/>
      <c r="B246" s="545"/>
      <c r="D246" s="545"/>
      <c r="E246" s="545"/>
      <c r="F246" s="545"/>
      <c r="G246" s="28"/>
      <c r="H246" s="28"/>
      <c r="I246" s="28"/>
      <c r="J246" s="28"/>
    </row>
    <row r="247" spans="1:10">
      <c r="A247" s="545"/>
      <c r="B247" s="28" t="s">
        <v>38</v>
      </c>
      <c r="D247" s="545"/>
      <c r="E247" s="545"/>
      <c r="F247" s="106">
        <f>ROUND((F244/F245),5)</f>
        <v>0.15656</v>
      </c>
      <c r="G247" s="28" t="s">
        <v>23</v>
      </c>
      <c r="H247" s="28"/>
      <c r="I247" s="28"/>
      <c r="J247" s="28"/>
    </row>
    <row r="248" spans="1:10">
      <c r="A248" s="28"/>
      <c r="B248" s="28"/>
      <c r="D248" s="28"/>
      <c r="E248" s="28"/>
      <c r="F248" s="28"/>
      <c r="G248" s="28"/>
      <c r="H248" s="28"/>
      <c r="I248" s="28"/>
      <c r="J248" s="28"/>
    </row>
    <row r="249" spans="1:10">
      <c r="A249" s="28"/>
      <c r="B249" s="28"/>
      <c r="D249" s="28"/>
      <c r="E249" s="28"/>
      <c r="F249" s="28"/>
      <c r="G249" s="28"/>
      <c r="H249" s="28"/>
      <c r="I249" s="28"/>
      <c r="J249" s="28"/>
    </row>
    <row r="250" spans="1:10">
      <c r="A250" s="549" t="s">
        <v>298</v>
      </c>
      <c r="B250" s="544" t="s">
        <v>39</v>
      </c>
      <c r="D250" s="28"/>
      <c r="E250" s="28"/>
      <c r="F250" s="28"/>
      <c r="G250" s="28"/>
      <c r="H250" s="28"/>
      <c r="I250" s="28"/>
      <c r="J250" s="28"/>
    </row>
    <row r="251" spans="1:10">
      <c r="A251" s="545"/>
      <c r="B251" s="545"/>
      <c r="D251" s="295" t="s">
        <v>40</v>
      </c>
      <c r="E251" s="545"/>
      <c r="F251" s="295" t="s">
        <v>154</v>
      </c>
      <c r="G251" s="545"/>
      <c r="H251" s="295" t="s">
        <v>1</v>
      </c>
      <c r="I251" s="545"/>
      <c r="J251" s="295" t="s">
        <v>42</v>
      </c>
    </row>
    <row r="252" spans="1:10">
      <c r="A252" s="545"/>
      <c r="B252" s="545"/>
      <c r="D252" s="28"/>
      <c r="E252" s="28"/>
      <c r="F252" s="28"/>
      <c r="G252" s="28"/>
      <c r="H252" s="28"/>
      <c r="I252" s="28"/>
      <c r="J252" s="28"/>
    </row>
    <row r="253" spans="1:10">
      <c r="A253" s="545"/>
      <c r="B253" s="28" t="s">
        <v>43</v>
      </c>
      <c r="D253" s="127">
        <f>+F245</f>
        <v>257515388</v>
      </c>
      <c r="E253" s="28" t="s">
        <v>44</v>
      </c>
      <c r="F253" s="106">
        <f>F247</f>
        <v>0.15656</v>
      </c>
      <c r="G253" s="110" t="s">
        <v>23</v>
      </c>
      <c r="H253" s="113">
        <f>ROUND((D253*F253),0)</f>
        <v>40316609</v>
      </c>
      <c r="I253" s="28"/>
      <c r="J253" s="28"/>
    </row>
    <row r="254" spans="1:10">
      <c r="A254" s="545"/>
      <c r="B254" s="28" t="s">
        <v>45</v>
      </c>
      <c r="D254" s="127">
        <f>+H232</f>
        <v>256589998</v>
      </c>
      <c r="E254" s="28" t="s">
        <v>44</v>
      </c>
      <c r="F254" s="106">
        <f>+H229</f>
        <v>6.4189999999999997E-2</v>
      </c>
      <c r="G254" s="110" t="s">
        <v>400</v>
      </c>
      <c r="H254" s="146">
        <f>ROUND((D254*F254),0)</f>
        <v>16470512</v>
      </c>
      <c r="I254" s="28"/>
      <c r="J254" s="28"/>
    </row>
    <row r="255" spans="1:10">
      <c r="A255" s="545"/>
      <c r="B255" s="28" t="s">
        <v>399</v>
      </c>
      <c r="D255" s="146">
        <f>D57</f>
        <v>8883</v>
      </c>
      <c r="E255" s="28" t="s">
        <v>46</v>
      </c>
      <c r="F255" s="109">
        <f>D91</f>
        <v>85</v>
      </c>
      <c r="G255" s="110" t="s">
        <v>397</v>
      </c>
      <c r="H255" s="146">
        <f>ROUND((D255*F255),0)</f>
        <v>755055</v>
      </c>
      <c r="I255" s="28"/>
      <c r="J255" s="28"/>
    </row>
    <row r="256" spans="1:10">
      <c r="A256" s="545"/>
      <c r="B256" s="28" t="s">
        <v>398</v>
      </c>
      <c r="D256" s="146">
        <f>D270+D277</f>
        <v>128</v>
      </c>
      <c r="E256" s="28" t="s">
        <v>46</v>
      </c>
      <c r="F256" s="109">
        <f>F270</f>
        <v>85</v>
      </c>
      <c r="G256" s="110" t="s">
        <v>397</v>
      </c>
      <c r="H256" s="146">
        <f>ROUND((D256*F256),0)</f>
        <v>10880</v>
      </c>
      <c r="I256" s="28"/>
      <c r="J256" s="28"/>
    </row>
    <row r="257" spans="1:10">
      <c r="A257" s="545"/>
      <c r="B257" s="545"/>
      <c r="D257" s="545"/>
      <c r="E257" s="545"/>
      <c r="F257" s="545"/>
      <c r="G257" s="545"/>
      <c r="H257" s="545"/>
      <c r="I257" s="28"/>
      <c r="J257" s="28"/>
    </row>
    <row r="258" spans="1:10">
      <c r="A258" s="545"/>
      <c r="B258" s="28" t="s">
        <v>213</v>
      </c>
      <c r="D258" s="545"/>
      <c r="E258" s="545"/>
      <c r="F258" s="545"/>
      <c r="G258" s="545"/>
      <c r="H258" s="113">
        <f>SUM(H253:H256)</f>
        <v>57553056</v>
      </c>
      <c r="I258" s="545"/>
      <c r="J258" s="123">
        <f>H258-J9</f>
        <v>-1212</v>
      </c>
    </row>
    <row r="259" spans="1:10">
      <c r="A259" s="28"/>
      <c r="B259" s="28"/>
      <c r="D259" s="28"/>
      <c r="E259" s="28"/>
      <c r="F259" s="28"/>
      <c r="G259" s="28"/>
      <c r="H259" s="28"/>
      <c r="I259" s="28"/>
      <c r="J259" s="28"/>
    </row>
    <row r="260" spans="1:10">
      <c r="A260" s="28"/>
      <c r="B260" s="28" t="s">
        <v>73</v>
      </c>
      <c r="D260" s="28"/>
      <c r="E260" s="28"/>
      <c r="F260" s="28"/>
      <c r="G260" s="28"/>
      <c r="H260" s="28"/>
      <c r="I260" s="28"/>
      <c r="J260" s="28"/>
    </row>
    <row r="261" spans="1:10">
      <c r="A261" s="28"/>
      <c r="B261" s="28"/>
      <c r="D261" s="28"/>
      <c r="E261" s="28"/>
      <c r="F261" s="28"/>
      <c r="G261" s="28"/>
      <c r="H261" s="28"/>
      <c r="I261" s="28"/>
      <c r="J261" s="28"/>
    </row>
    <row r="262" spans="1:10">
      <c r="A262" s="28"/>
      <c r="B262" s="28"/>
      <c r="D262" s="28"/>
      <c r="F262" s="28"/>
      <c r="G262" s="28"/>
      <c r="H262" s="28"/>
      <c r="I262" s="28"/>
      <c r="J262" s="294"/>
    </row>
    <row r="263" spans="1:10" ht="20.25">
      <c r="A263" s="550" t="s">
        <v>294</v>
      </c>
      <c r="B263" s="551" t="s">
        <v>210</v>
      </c>
      <c r="C263" s="541"/>
      <c r="D263" s="550"/>
      <c r="E263" s="541"/>
      <c r="F263" s="552"/>
      <c r="G263" s="553"/>
      <c r="H263" s="552"/>
      <c r="I263" s="545"/>
      <c r="J263" s="295"/>
    </row>
    <row r="264" spans="1:10">
      <c r="A264" s="28"/>
      <c r="B264" s="28"/>
      <c r="D264" s="554"/>
      <c r="F264" s="28"/>
      <c r="G264" s="28"/>
      <c r="H264" s="28"/>
      <c r="I264" s="28"/>
      <c r="J264" s="28"/>
    </row>
    <row r="265" spans="1:10">
      <c r="A265" s="28"/>
      <c r="B265" s="28"/>
      <c r="D265" s="28"/>
      <c r="E265" s="28"/>
      <c r="F265" s="28"/>
      <c r="G265" s="28"/>
      <c r="H265" s="294" t="s">
        <v>114</v>
      </c>
      <c r="I265" s="28"/>
      <c r="J265" s="28"/>
    </row>
    <row r="266" spans="1:10">
      <c r="A266" s="28"/>
      <c r="B266" s="28"/>
      <c r="D266" s="295" t="s">
        <v>40</v>
      </c>
      <c r="E266" s="545"/>
      <c r="F266" s="295" t="s">
        <v>154</v>
      </c>
      <c r="G266" s="545"/>
      <c r="H266" s="295" t="s">
        <v>1</v>
      </c>
      <c r="I266" s="28"/>
      <c r="J266" s="28"/>
    </row>
    <row r="267" spans="1:10">
      <c r="A267" s="28"/>
      <c r="B267" s="554" t="s">
        <v>396</v>
      </c>
      <c r="D267" s="28"/>
      <c r="E267" s="28"/>
      <c r="F267" s="28"/>
      <c r="G267" s="28"/>
      <c r="H267" s="28"/>
      <c r="I267" s="28"/>
      <c r="J267" s="28"/>
    </row>
    <row r="268" spans="1:10">
      <c r="A268" s="28"/>
      <c r="B268" s="28" t="s">
        <v>291</v>
      </c>
      <c r="D268" s="296">
        <v>851281</v>
      </c>
      <c r="E268" s="28" t="s">
        <v>44</v>
      </c>
      <c r="F268" s="307">
        <f>F253</f>
        <v>0.15656</v>
      </c>
      <c r="G268" s="110" t="s">
        <v>23</v>
      </c>
      <c r="H268" s="113">
        <f>ROUND(D268*F268,0)</f>
        <v>133277</v>
      </c>
      <c r="I268" s="28"/>
      <c r="J268" s="28"/>
    </row>
    <row r="269" spans="1:10">
      <c r="A269" s="28"/>
      <c r="B269" s="28" t="s">
        <v>290</v>
      </c>
      <c r="D269" s="296">
        <v>1079454</v>
      </c>
      <c r="E269" s="28" t="s">
        <v>44</v>
      </c>
      <c r="F269" s="307">
        <f>F254</f>
        <v>6.4189999999999997E-2</v>
      </c>
      <c r="G269" s="110" t="s">
        <v>23</v>
      </c>
      <c r="H269" s="146">
        <f>ROUND((D269*F269),0)</f>
        <v>69290</v>
      </c>
      <c r="I269" s="28"/>
      <c r="J269" s="28"/>
    </row>
    <row r="270" spans="1:10">
      <c r="A270" s="28"/>
      <c r="B270" s="28" t="s">
        <v>289</v>
      </c>
      <c r="D270" s="296">
        <v>96</v>
      </c>
      <c r="E270" s="28" t="s">
        <v>46</v>
      </c>
      <c r="F270" s="316">
        <f>J81</f>
        <v>85</v>
      </c>
      <c r="G270" s="110" t="s">
        <v>395</v>
      </c>
      <c r="H270" s="548">
        <f>ROUND((D270*F270),0)</f>
        <v>8160</v>
      </c>
      <c r="I270" s="28"/>
      <c r="J270" s="28"/>
    </row>
    <row r="271" spans="1:10">
      <c r="A271" s="28"/>
      <c r="B271" s="28"/>
      <c r="D271" s="28"/>
      <c r="E271" s="28"/>
      <c r="F271" s="28"/>
      <c r="G271" s="28"/>
      <c r="H271" s="298">
        <f>SUM(H268:H270)</f>
        <v>210727</v>
      </c>
      <c r="I271" s="28"/>
      <c r="J271" s="28"/>
    </row>
    <row r="272" spans="1:10">
      <c r="A272" s="28"/>
      <c r="B272" s="554" t="s">
        <v>980</v>
      </c>
      <c r="D272" s="28"/>
      <c r="E272" s="28"/>
      <c r="F272" s="28"/>
      <c r="G272" s="28"/>
      <c r="H272" s="28"/>
      <c r="I272" s="28"/>
      <c r="J272" s="28"/>
    </row>
    <row r="273" spans="1:10">
      <c r="A273" s="28"/>
      <c r="B273" s="28" t="s">
        <v>291</v>
      </c>
      <c r="D273" s="296">
        <v>1552149</v>
      </c>
      <c r="E273" s="28" t="s">
        <v>44</v>
      </c>
      <c r="F273" s="555">
        <f>'LGS-TOD'!D77</f>
        <v>0.11538</v>
      </c>
      <c r="G273" s="28"/>
      <c r="H273" s="325">
        <f>F273*D273</f>
        <v>179086.95162000001</v>
      </c>
      <c r="I273" s="28"/>
      <c r="J273" s="28"/>
    </row>
    <row r="274" spans="1:10">
      <c r="A274" s="28"/>
      <c r="B274" s="28" t="s">
        <v>290</v>
      </c>
      <c r="D274" s="296">
        <v>1432878</v>
      </c>
      <c r="E274" s="28" t="s">
        <v>44</v>
      </c>
      <c r="F274" s="555">
        <f>'LGS-TOD'!D42</f>
        <v>4.4380000000000003E-2</v>
      </c>
      <c r="G274" s="28"/>
      <c r="H274" s="325">
        <f t="shared" ref="H274:H277" si="3">F274*D274</f>
        <v>63591.125640000006</v>
      </c>
      <c r="I274" s="28"/>
      <c r="J274" s="28"/>
    </row>
    <row r="275" spans="1:10">
      <c r="A275" s="28"/>
      <c r="B275" s="28" t="s">
        <v>981</v>
      </c>
      <c r="D275" s="296">
        <v>6051.2</v>
      </c>
      <c r="E275" s="105" t="s">
        <v>185</v>
      </c>
      <c r="F275" s="556">
        <f>'LGS-TOD'!F52</f>
        <v>10.210000000000001</v>
      </c>
      <c r="G275" s="28"/>
      <c r="H275" s="325">
        <f t="shared" si="3"/>
        <v>61782.752</v>
      </c>
      <c r="I275" s="28"/>
      <c r="J275" s="28"/>
    </row>
    <row r="276" spans="1:10">
      <c r="A276" s="28"/>
      <c r="B276" s="28" t="s">
        <v>982</v>
      </c>
      <c r="D276" s="296">
        <v>989.4</v>
      </c>
      <c r="E276" s="28" t="s">
        <v>983</v>
      </c>
      <c r="F276" s="556">
        <f>D105</f>
        <v>3.46</v>
      </c>
      <c r="G276" s="28"/>
      <c r="H276" s="325">
        <f t="shared" si="3"/>
        <v>3423.3240000000001</v>
      </c>
      <c r="I276" s="28"/>
      <c r="J276" s="28"/>
    </row>
    <row r="277" spans="1:10">
      <c r="A277" s="28"/>
      <c r="B277" s="28" t="s">
        <v>289</v>
      </c>
      <c r="D277" s="557">
        <v>32</v>
      </c>
      <c r="E277" s="28" t="s">
        <v>46</v>
      </c>
      <c r="F277" s="109">
        <f>'LGS-TOD'!D18</f>
        <v>85</v>
      </c>
      <c r="G277" s="28"/>
      <c r="H277" s="514">
        <f t="shared" si="3"/>
        <v>2720</v>
      </c>
      <c r="I277" s="28"/>
      <c r="J277" s="28"/>
    </row>
    <row r="278" spans="1:10">
      <c r="A278" s="28"/>
      <c r="B278" s="28"/>
      <c r="D278" s="28"/>
      <c r="E278" s="28"/>
      <c r="F278" s="28"/>
      <c r="G278" s="28"/>
      <c r="H278" s="325">
        <f>SUM(H273:H277)</f>
        <v>310604.15326000005</v>
      </c>
      <c r="I278" s="28"/>
      <c r="J278" s="28"/>
    </row>
    <row r="279" spans="1:10">
      <c r="A279" s="28"/>
      <c r="B279" s="28"/>
      <c r="D279" s="28"/>
      <c r="E279" s="28"/>
      <c r="F279" s="28"/>
      <c r="G279" s="28"/>
      <c r="H279" s="325"/>
      <c r="I279" s="28"/>
      <c r="J279" s="28"/>
    </row>
    <row r="280" spans="1:10">
      <c r="A280" s="28"/>
      <c r="B280" s="28" t="s">
        <v>288</v>
      </c>
      <c r="D280" s="28"/>
      <c r="E280" s="28"/>
      <c r="F280" s="28"/>
      <c r="G280" s="28"/>
      <c r="H280" s="113">
        <f>H278+H271</f>
        <v>521331.15326000005</v>
      </c>
      <c r="I280" s="28"/>
      <c r="J280" s="28"/>
    </row>
    <row r="281" spans="1:10">
      <c r="A281" s="28"/>
      <c r="B281" s="28"/>
      <c r="D281" s="28"/>
      <c r="E281" s="28"/>
      <c r="F281" s="28"/>
      <c r="G281" s="28"/>
      <c r="H281" s="113"/>
      <c r="I281" s="28"/>
      <c r="J281" s="28"/>
    </row>
    <row r="282" spans="1:10">
      <c r="A282" s="28"/>
      <c r="B282" s="28"/>
      <c r="D282" s="28"/>
      <c r="E282" s="28"/>
      <c r="F282" s="28"/>
      <c r="G282" s="28"/>
      <c r="H282" s="113"/>
      <c r="I282" s="28"/>
      <c r="J282" s="28"/>
    </row>
    <row r="283" spans="1:10">
      <c r="A283" s="28"/>
      <c r="B283" s="28" t="s">
        <v>394</v>
      </c>
      <c r="D283" s="28"/>
      <c r="E283" s="28"/>
      <c r="F283" s="28"/>
      <c r="G283" s="28"/>
      <c r="H283" s="113"/>
      <c r="I283" s="28"/>
      <c r="J283" s="28"/>
    </row>
    <row r="284" spans="1:10">
      <c r="A284" s="28"/>
      <c r="C284" s="28"/>
      <c r="D284" s="28"/>
      <c r="E284" s="28"/>
      <c r="F284" s="28"/>
      <c r="G284" s="28"/>
      <c r="H284" s="28"/>
      <c r="I284" s="28"/>
      <c r="J284" s="28"/>
    </row>
    <row r="287" spans="1:10">
      <c r="B287" s="501"/>
      <c r="C287" s="110"/>
      <c r="D287" s="120"/>
      <c r="F287" s="120"/>
      <c r="H287" s="120"/>
    </row>
    <row r="289" spans="2:11">
      <c r="B289" s="110"/>
      <c r="C289" s="110"/>
      <c r="D289" s="146"/>
      <c r="E289" s="110"/>
      <c r="F289" s="109"/>
      <c r="G289" s="110"/>
      <c r="H289" s="113"/>
    </row>
    <row r="290" spans="2:11">
      <c r="B290" s="110"/>
      <c r="C290" s="336"/>
      <c r="D290" s="127"/>
      <c r="E290" s="336"/>
      <c r="F290" s="558"/>
      <c r="G290" s="336"/>
      <c r="H290" s="127"/>
      <c r="I290" s="126"/>
      <c r="J290" s="126"/>
      <c r="K290" s="126"/>
    </row>
    <row r="291" spans="2:11">
      <c r="B291" s="110"/>
      <c r="C291" s="336"/>
      <c r="D291" s="127"/>
      <c r="E291" s="336"/>
      <c r="F291" s="559"/>
      <c r="G291" s="336"/>
      <c r="H291" s="127"/>
      <c r="I291" s="126"/>
      <c r="J291" s="126"/>
      <c r="K291" s="126"/>
    </row>
    <row r="292" spans="2:11">
      <c r="C292" s="336"/>
      <c r="D292" s="127"/>
      <c r="E292" s="336"/>
      <c r="F292" s="560"/>
      <c r="G292" s="336"/>
      <c r="H292" s="127"/>
      <c r="I292" s="126"/>
      <c r="J292" s="126"/>
      <c r="K292" s="126"/>
    </row>
    <row r="293" spans="2:11">
      <c r="B293" s="110"/>
      <c r="C293" s="126"/>
      <c r="D293" s="126"/>
      <c r="E293" s="126"/>
      <c r="F293" s="126"/>
      <c r="G293" s="126"/>
      <c r="H293" s="125"/>
      <c r="I293" s="126"/>
      <c r="J293" s="126"/>
      <c r="K293" s="126"/>
    </row>
    <row r="294" spans="2:11">
      <c r="B294" s="110"/>
      <c r="C294" s="336"/>
      <c r="D294" s="126"/>
      <c r="E294" s="126"/>
      <c r="F294" s="561"/>
      <c r="G294" s="126"/>
      <c r="H294" s="129"/>
      <c r="I294" s="126"/>
      <c r="J294" s="126"/>
      <c r="K294" s="126"/>
    </row>
    <row r="295" spans="2:11">
      <c r="B295" s="110"/>
      <c r="C295" s="336"/>
      <c r="D295" s="126"/>
      <c r="E295" s="126"/>
      <c r="F295" s="561"/>
      <c r="G295" s="126"/>
      <c r="H295" s="129"/>
      <c r="I295" s="126"/>
      <c r="J295" s="126"/>
      <c r="K295" s="126"/>
    </row>
    <row r="296" spans="2:11">
      <c r="C296" s="126"/>
      <c r="D296" s="126"/>
      <c r="E296" s="126"/>
      <c r="F296" s="561"/>
      <c r="G296" s="126"/>
      <c r="H296" s="126"/>
      <c r="I296" s="126"/>
      <c r="J296" s="126"/>
      <c r="K296" s="126"/>
    </row>
    <row r="297" spans="2:11">
      <c r="B297" s="110"/>
      <c r="C297" s="336"/>
      <c r="D297" s="127"/>
      <c r="E297" s="126"/>
      <c r="F297" s="562"/>
      <c r="G297" s="336"/>
      <c r="H297" s="129"/>
      <c r="I297" s="126"/>
      <c r="J297" s="126"/>
      <c r="K297" s="126"/>
    </row>
    <row r="298" spans="2:11">
      <c r="B298" s="110"/>
      <c r="C298" s="336"/>
      <c r="D298" s="127"/>
      <c r="E298" s="336"/>
      <c r="F298" s="558"/>
      <c r="G298" s="336"/>
      <c r="H298" s="127"/>
      <c r="I298" s="126"/>
      <c r="J298" s="126"/>
      <c r="K298" s="126"/>
    </row>
    <row r="299" spans="2:11">
      <c r="B299" s="110"/>
      <c r="C299" s="336"/>
      <c r="D299" s="127"/>
      <c r="E299" s="126"/>
      <c r="F299" s="559"/>
      <c r="G299" s="336"/>
      <c r="H299" s="127"/>
      <c r="I299" s="126"/>
      <c r="J299" s="126"/>
      <c r="K299" s="126"/>
    </row>
    <row r="300" spans="2:11">
      <c r="B300" s="110"/>
      <c r="C300" s="336"/>
      <c r="D300" s="127"/>
      <c r="E300" s="126"/>
      <c r="F300" s="560"/>
      <c r="G300" s="336"/>
      <c r="H300" s="127"/>
      <c r="I300" s="126"/>
      <c r="J300" s="126"/>
      <c r="K300" s="126"/>
    </row>
    <row r="301" spans="2:11">
      <c r="C301" s="126"/>
      <c r="D301" s="126"/>
      <c r="E301" s="126"/>
      <c r="F301" s="563"/>
      <c r="G301" s="126"/>
      <c r="H301" s="125"/>
      <c r="I301" s="126"/>
      <c r="J301" s="126"/>
      <c r="K301" s="126"/>
    </row>
    <row r="302" spans="2:11">
      <c r="B302" s="110"/>
      <c r="C302" s="336"/>
      <c r="D302" s="126"/>
      <c r="E302" s="126"/>
      <c r="F302" s="564"/>
      <c r="G302" s="126"/>
      <c r="H302" s="129"/>
      <c r="I302" s="126"/>
      <c r="J302" s="126"/>
      <c r="K302" s="126"/>
    </row>
    <row r="303" spans="2:11">
      <c r="C303" s="126"/>
      <c r="D303" s="126"/>
      <c r="E303" s="126"/>
      <c r="F303" s="126"/>
      <c r="G303" s="126"/>
      <c r="H303" s="126"/>
      <c r="I303" s="126"/>
      <c r="J303" s="126"/>
      <c r="K303" s="126"/>
    </row>
    <row r="304" spans="2:11">
      <c r="B304" s="110"/>
      <c r="C304" s="336"/>
      <c r="D304" s="565"/>
      <c r="E304" s="126"/>
      <c r="F304" s="126"/>
      <c r="G304" s="126"/>
      <c r="H304" s="129"/>
      <c r="I304" s="126"/>
      <c r="J304" s="126"/>
      <c r="K304" s="126"/>
    </row>
    <row r="305" spans="2:11">
      <c r="C305" s="126"/>
      <c r="D305" s="126"/>
      <c r="E305" s="126"/>
      <c r="F305" s="126"/>
      <c r="G305" s="126"/>
      <c r="H305" s="126"/>
      <c r="I305" s="126"/>
      <c r="J305" s="126"/>
      <c r="K305" s="126"/>
    </row>
    <row r="306" spans="2:11">
      <c r="C306" s="126"/>
      <c r="D306" s="565"/>
      <c r="E306" s="126"/>
      <c r="F306" s="126"/>
      <c r="G306" s="126"/>
      <c r="H306" s="566"/>
      <c r="I306" s="126"/>
      <c r="J306" s="126"/>
      <c r="K306" s="126"/>
    </row>
    <row r="307" spans="2:11">
      <c r="C307" s="126"/>
      <c r="D307" s="126"/>
      <c r="E307" s="126"/>
      <c r="F307" s="126"/>
      <c r="G307" s="126"/>
      <c r="H307" s="126"/>
      <c r="I307" s="126"/>
      <c r="J307" s="126"/>
      <c r="K307" s="126"/>
    </row>
    <row r="308" spans="2:11">
      <c r="C308" s="126"/>
      <c r="D308" s="567"/>
      <c r="E308" s="126"/>
      <c r="F308" s="126"/>
      <c r="G308" s="126"/>
      <c r="H308" s="566"/>
      <c r="I308" s="126"/>
      <c r="J308" s="126"/>
      <c r="K308" s="126"/>
    </row>
    <row r="309" spans="2:11">
      <c r="C309" s="126"/>
      <c r="D309" s="126"/>
      <c r="E309" s="126"/>
      <c r="F309" s="126"/>
      <c r="G309" s="126"/>
      <c r="H309" s="126"/>
      <c r="I309" s="126"/>
      <c r="J309" s="126"/>
      <c r="K309" s="126"/>
    </row>
    <row r="310" spans="2:11">
      <c r="C310" s="126"/>
      <c r="D310" s="565"/>
      <c r="E310" s="126"/>
      <c r="F310" s="126"/>
      <c r="G310" s="126"/>
      <c r="H310" s="568"/>
      <c r="I310" s="126"/>
      <c r="J310" s="126"/>
      <c r="K310" s="126"/>
    </row>
    <row r="311" spans="2:11">
      <c r="C311" s="126"/>
      <c r="D311" s="126"/>
      <c r="E311" s="126"/>
      <c r="F311" s="126"/>
      <c r="G311" s="126"/>
      <c r="H311" s="126"/>
      <c r="I311" s="126"/>
      <c r="J311" s="126"/>
      <c r="K311" s="126"/>
    </row>
    <row r="312" spans="2:11">
      <c r="C312" s="126"/>
      <c r="D312" s="567"/>
      <c r="E312" s="126"/>
      <c r="F312" s="126"/>
      <c r="G312" s="126"/>
      <c r="H312" s="568"/>
      <c r="I312" s="126"/>
      <c r="J312" s="126"/>
      <c r="K312" s="126"/>
    </row>
    <row r="314" spans="2:11">
      <c r="B314" s="189"/>
    </row>
    <row r="316" spans="2:11">
      <c r="D316" s="569"/>
      <c r="H316" s="569"/>
    </row>
    <row r="317" spans="2:11">
      <c r="D317" s="569"/>
      <c r="H317" s="569"/>
    </row>
    <row r="318" spans="2:11">
      <c r="D318" s="569"/>
      <c r="H318" s="569"/>
    </row>
    <row r="319" spans="2:11">
      <c r="D319" s="569"/>
      <c r="H319" s="569"/>
    </row>
    <row r="321" spans="2:8">
      <c r="B321" s="75"/>
      <c r="D321" s="569"/>
      <c r="H321" s="569"/>
    </row>
    <row r="322" spans="2:8">
      <c r="B322" s="75"/>
      <c r="D322" s="569"/>
      <c r="H322" s="569"/>
    </row>
    <row r="323" spans="2:8">
      <c r="B323" s="75"/>
      <c r="D323" s="569"/>
      <c r="H323" s="569"/>
    </row>
    <row r="324" spans="2:8">
      <c r="B324" s="75"/>
      <c r="D324" s="569"/>
      <c r="H324" s="569"/>
    </row>
    <row r="325" spans="2:8">
      <c r="B325" s="75"/>
      <c r="D325" s="569"/>
      <c r="H325" s="569"/>
    </row>
    <row r="326" spans="2:8">
      <c r="B326" s="75"/>
      <c r="D326" s="569"/>
      <c r="H326" s="569"/>
    </row>
    <row r="328" spans="2:8">
      <c r="D328" s="569"/>
      <c r="H328" s="569"/>
    </row>
    <row r="329" spans="2:8">
      <c r="D329" s="569"/>
      <c r="H329" s="569"/>
    </row>
    <row r="330" spans="2:8">
      <c r="D330" s="569"/>
      <c r="H330" s="569"/>
    </row>
    <row r="331" spans="2:8">
      <c r="D331" s="569"/>
      <c r="H331" s="569"/>
    </row>
  </sheetData>
  <printOptions horizontalCentered="1"/>
  <pageMargins left="0.5" right="0.5" top="1.25" bottom="0.5" header="0.5" footer="0.5"/>
  <pageSetup scale="72" fitToHeight="0" orientation="portrait" r:id="rId1"/>
  <headerFooter alignWithMargins="0">
    <oddHeader>&amp;L&amp;"Arial,Regular"&amp;F
Page &amp;P of &amp;N&amp;C&amp;"Arial,Regular"KENTUCKY POWER COMPANY
LGS Rate Design
Twelve Months Ended December 31, 2016</oddHeader>
  </headerFooter>
  <rowBreaks count="4" manualBreakCount="4">
    <brk id="75" max="9" man="1"/>
    <brk id="133" max="9" man="1"/>
    <brk id="177" max="9" man="1"/>
    <brk id="236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83"/>
  <sheetViews>
    <sheetView showOutlineSymbols="0" zoomScaleNormal="100" workbookViewId="0">
      <selection activeCell="D15" sqref="D15"/>
    </sheetView>
  </sheetViews>
  <sheetFormatPr defaultColWidth="9.75" defaultRowHeight="15"/>
  <cols>
    <col min="1" max="1" width="4.75" style="92" customWidth="1"/>
    <col min="2" max="2" width="4" style="84" customWidth="1"/>
    <col min="3" max="3" width="34.5" style="84" bestFit="1" customWidth="1"/>
    <col min="4" max="4" width="12.25" style="84" bestFit="1" customWidth="1"/>
    <col min="5" max="5" width="2.625" style="82" customWidth="1"/>
    <col min="6" max="6" width="14.375" style="84" bestFit="1" customWidth="1"/>
    <col min="7" max="7" width="2.375" style="84" customWidth="1"/>
    <col min="8" max="8" width="13.25" style="84" customWidth="1"/>
    <col min="9" max="9" width="2.75" style="84" customWidth="1"/>
    <col min="10" max="10" width="12.5" style="84" bestFit="1" customWidth="1"/>
    <col min="11" max="11" width="12.25" style="84" bestFit="1" customWidth="1"/>
    <col min="12" max="16384" width="9.75" style="84"/>
  </cols>
  <sheetData>
    <row r="1" spans="1:10">
      <c r="A1" s="494" t="s">
        <v>118</v>
      </c>
      <c r="B1" s="496" t="s">
        <v>87</v>
      </c>
      <c r="C1" s="496"/>
      <c r="D1" s="497"/>
      <c r="E1" s="90"/>
      <c r="F1" s="494"/>
      <c r="G1" s="497"/>
      <c r="H1" s="494"/>
    </row>
    <row r="2" spans="1:10">
      <c r="D2" s="498" t="s">
        <v>319</v>
      </c>
      <c r="E2" s="89"/>
      <c r="F2" s="498" t="s">
        <v>318</v>
      </c>
      <c r="G2" s="92"/>
      <c r="H2" s="498" t="s">
        <v>373</v>
      </c>
      <c r="J2" s="498" t="s">
        <v>372</v>
      </c>
    </row>
    <row r="3" spans="1:10">
      <c r="C3" s="499" t="s">
        <v>393</v>
      </c>
      <c r="D3" s="498"/>
      <c r="E3" s="89"/>
      <c r="F3" s="498"/>
      <c r="G3" s="92"/>
      <c r="H3" s="498"/>
      <c r="J3" s="498"/>
    </row>
    <row r="4" spans="1:10">
      <c r="C4" s="84" t="s">
        <v>6</v>
      </c>
      <c r="D4" s="97">
        <f>LGS!J5</f>
        <v>39678141</v>
      </c>
      <c r="E4" s="91"/>
      <c r="F4" s="97">
        <f>LGS!J22</f>
        <v>5267093</v>
      </c>
      <c r="H4" s="97">
        <f>LGS!J29</f>
        <v>1633077</v>
      </c>
      <c r="J4" s="97">
        <f>LGS!J36</f>
        <v>75492</v>
      </c>
    </row>
    <row r="5" spans="1:10">
      <c r="C5" s="84" t="s">
        <v>7</v>
      </c>
      <c r="D5" s="86">
        <f>LGS!J6</f>
        <v>17578341</v>
      </c>
      <c r="E5" s="93"/>
      <c r="F5" s="86">
        <f>LGS!J23</f>
        <v>2660073</v>
      </c>
      <c r="H5" s="86">
        <f>LGS!J30</f>
        <v>1147223</v>
      </c>
      <c r="J5" s="86">
        <f>LGS!J37</f>
        <v>53307</v>
      </c>
    </row>
    <row r="6" spans="1:10">
      <c r="C6" s="84" t="s">
        <v>8</v>
      </c>
      <c r="D6" s="103">
        <f>LGS!J7</f>
        <v>297786</v>
      </c>
      <c r="E6" s="93"/>
      <c r="F6" s="103">
        <f>LGS!J24</f>
        <v>68469</v>
      </c>
      <c r="H6" s="103">
        <f>LGS!J31</f>
        <v>138535</v>
      </c>
      <c r="J6" s="103">
        <f>LGS!J38</f>
        <v>25226</v>
      </c>
    </row>
    <row r="7" spans="1:10">
      <c r="D7" s="97"/>
      <c r="E7" s="91"/>
      <c r="F7" s="97"/>
      <c r="H7" s="97"/>
      <c r="J7" s="97"/>
    </row>
    <row r="8" spans="1:10">
      <c r="C8" s="84" t="s">
        <v>213</v>
      </c>
      <c r="D8" s="97">
        <f>SUM(D4:D6)</f>
        <v>57554268</v>
      </c>
      <c r="E8" s="91"/>
      <c r="F8" s="97">
        <f>SUM(F4:F6)</f>
        <v>7995635</v>
      </c>
      <c r="H8" s="97">
        <f>SUM(H4:H6)</f>
        <v>2918835</v>
      </c>
      <c r="J8" s="97">
        <f>SUM(J4:J6)</f>
        <v>154025</v>
      </c>
    </row>
    <row r="11" spans="1:10">
      <c r="A11" s="494" t="s">
        <v>12</v>
      </c>
      <c r="B11" s="496" t="s">
        <v>17</v>
      </c>
      <c r="C11" s="496"/>
      <c r="D11" s="497"/>
      <c r="E11" s="90"/>
      <c r="F11" s="494"/>
      <c r="G11" s="497"/>
      <c r="H11" s="494"/>
      <c r="J11" s="494"/>
    </row>
    <row r="13" spans="1:10" s="98" customFormat="1">
      <c r="C13" s="570" t="s">
        <v>392</v>
      </c>
      <c r="D13" s="97">
        <f>+D6</f>
        <v>297786</v>
      </c>
      <c r="E13" s="570"/>
      <c r="F13" s="97">
        <f>+F6</f>
        <v>68469</v>
      </c>
      <c r="G13" s="104"/>
      <c r="H13" s="97">
        <f>+H6</f>
        <v>138535</v>
      </c>
      <c r="J13" s="97">
        <f>+J6</f>
        <v>25226</v>
      </c>
    </row>
    <row r="14" spans="1:10" s="98" customFormat="1">
      <c r="C14" s="98" t="s">
        <v>390</v>
      </c>
      <c r="D14" s="103">
        <f>LGS!D57+LGS!D270</f>
        <v>8979</v>
      </c>
      <c r="E14" s="100"/>
      <c r="F14" s="103">
        <f>LGS!F57</f>
        <v>722</v>
      </c>
      <c r="H14" s="103">
        <f>LGS!H57</f>
        <v>204</v>
      </c>
      <c r="J14" s="103">
        <f>LGS!J57</f>
        <v>24</v>
      </c>
    </row>
    <row r="15" spans="1:10" s="98" customFormat="1">
      <c r="E15" s="571"/>
    </row>
    <row r="16" spans="1:10" s="98" customFormat="1">
      <c r="C16" s="98" t="s">
        <v>391</v>
      </c>
      <c r="D16" s="101">
        <f>ROUND(+D13/D14,2)</f>
        <v>33.159999999999997</v>
      </c>
      <c r="E16" s="570"/>
      <c r="F16" s="101">
        <f>ROUND(+F13/F14,2)</f>
        <v>94.83</v>
      </c>
      <c r="H16" s="101">
        <f>ROUND(+H13/H14,2)</f>
        <v>679.09</v>
      </c>
      <c r="J16" s="101">
        <f>ROUND(+J13/J14,2)</f>
        <v>1051.08</v>
      </c>
    </row>
    <row r="17" spans="1:11" s="98" customFormat="1">
      <c r="D17" s="572"/>
      <c r="E17" s="570"/>
      <c r="F17" s="572"/>
      <c r="H17" s="572"/>
      <c r="J17" s="572"/>
    </row>
    <row r="18" spans="1:11" s="98" customFormat="1">
      <c r="C18" s="98" t="s">
        <v>16</v>
      </c>
      <c r="D18" s="101">
        <f>LGS!J81</f>
        <v>85</v>
      </c>
      <c r="E18" s="102"/>
      <c r="F18" s="101">
        <f>LGS!J82</f>
        <v>127.5</v>
      </c>
      <c r="H18" s="101">
        <f>LGS!J83</f>
        <v>679</v>
      </c>
      <c r="J18" s="101">
        <f>LGS!J84</f>
        <v>679</v>
      </c>
    </row>
    <row r="19" spans="1:11" s="98" customFormat="1">
      <c r="D19" s="101"/>
      <c r="E19" s="102"/>
      <c r="F19" s="101"/>
      <c r="H19" s="101"/>
      <c r="J19" s="101"/>
    </row>
    <row r="20" spans="1:11" s="98" customFormat="1">
      <c r="C20" s="98" t="s">
        <v>390</v>
      </c>
      <c r="D20" s="99">
        <f>D14</f>
        <v>8979</v>
      </c>
      <c r="E20" s="100"/>
      <c r="F20" s="99">
        <f>F14</f>
        <v>722</v>
      </c>
      <c r="H20" s="99">
        <f>H14</f>
        <v>204</v>
      </c>
      <c r="J20" s="99">
        <f>J14</f>
        <v>24</v>
      </c>
    </row>
    <row r="21" spans="1:11" s="98" customFormat="1"/>
    <row r="22" spans="1:11" s="98" customFormat="1">
      <c r="C22" s="98" t="s">
        <v>389</v>
      </c>
      <c r="D22" s="572">
        <f>+ROUND(D18*D20,0)</f>
        <v>763215</v>
      </c>
      <c r="E22" s="570"/>
      <c r="F22" s="572">
        <f>+ROUND(F18*F20,0)</f>
        <v>92055</v>
      </c>
      <c r="H22" s="572">
        <f>+ROUND(H18*H20,0)</f>
        <v>138516</v>
      </c>
      <c r="J22" s="572">
        <f>+ROUND(J18*J20,0)</f>
        <v>16296</v>
      </c>
    </row>
    <row r="23" spans="1:11" s="98" customFormat="1"/>
    <row r="24" spans="1:11" s="98" customFormat="1"/>
    <row r="25" spans="1:11">
      <c r="A25" s="494" t="s">
        <v>18</v>
      </c>
      <c r="B25" s="496" t="s">
        <v>19</v>
      </c>
      <c r="C25" s="496"/>
      <c r="D25" s="497"/>
      <c r="E25" s="90"/>
      <c r="F25" s="494"/>
      <c r="G25" s="497"/>
      <c r="H25" s="494"/>
      <c r="J25" s="494"/>
    </row>
    <row r="26" spans="1:11">
      <c r="D26" s="498" t="s">
        <v>319</v>
      </c>
      <c r="E26" s="89"/>
      <c r="F26" s="498" t="s">
        <v>318</v>
      </c>
      <c r="G26" s="92"/>
      <c r="H26" s="498" t="s">
        <v>373</v>
      </c>
      <c r="J26" s="498" t="s">
        <v>372</v>
      </c>
      <c r="K26" s="573" t="s">
        <v>9</v>
      </c>
    </row>
    <row r="27" spans="1:11">
      <c r="D27" s="498"/>
      <c r="E27" s="89"/>
      <c r="F27" s="498"/>
      <c r="G27" s="92"/>
      <c r="H27" s="498"/>
      <c r="J27" s="498"/>
    </row>
    <row r="28" spans="1:11">
      <c r="C28" s="84" t="s">
        <v>20</v>
      </c>
      <c r="D28" s="97">
        <f>+D5</f>
        <v>17578341</v>
      </c>
      <c r="E28" s="91"/>
      <c r="F28" s="97">
        <f>+F5</f>
        <v>2660073</v>
      </c>
      <c r="H28" s="97">
        <f>+H5</f>
        <v>1147223</v>
      </c>
      <c r="J28" s="97">
        <f>+J5</f>
        <v>53307</v>
      </c>
      <c r="K28" s="97">
        <f>SUM(D28:J28)</f>
        <v>21438944</v>
      </c>
    </row>
    <row r="29" spans="1:11">
      <c r="C29" s="84" t="s">
        <v>388</v>
      </c>
      <c r="D29" s="86">
        <f>LGS!D56+LGS!D268+LGS!D269</f>
        <v>511120359</v>
      </c>
      <c r="E29" s="96"/>
      <c r="F29" s="86">
        <f>LGS!F56</f>
        <v>79894011</v>
      </c>
      <c r="H29" s="86">
        <f>LGS!H56</f>
        <v>35956635</v>
      </c>
      <c r="J29" s="86">
        <f>LGS!J56</f>
        <v>1693502</v>
      </c>
    </row>
    <row r="30" spans="1:11">
      <c r="C30" s="84" t="s">
        <v>368</v>
      </c>
      <c r="D30" s="88">
        <f>LGS!$F138</f>
        <v>1</v>
      </c>
      <c r="E30" s="87"/>
      <c r="F30" s="88">
        <f>LGS!$F139</f>
        <v>0.96167000000000002</v>
      </c>
      <c r="G30" s="88"/>
      <c r="H30" s="88">
        <f>LGS!$F140</f>
        <v>0.94896999999999998</v>
      </c>
      <c r="I30" s="88"/>
      <c r="J30" s="88">
        <f>LGS!$F141</f>
        <v>0.93584999999999996</v>
      </c>
    </row>
    <row r="31" spans="1:11">
      <c r="C31" s="84" t="s">
        <v>367</v>
      </c>
      <c r="D31" s="86">
        <f>D29*D30</f>
        <v>511120359</v>
      </c>
      <c r="E31" s="87"/>
      <c r="F31" s="86">
        <f>F29*F30</f>
        <v>76831673.558370009</v>
      </c>
      <c r="G31" s="88"/>
      <c r="H31" s="86">
        <f>H29*H30</f>
        <v>34121767.91595</v>
      </c>
      <c r="I31" s="88"/>
      <c r="J31" s="86">
        <f>J29*J30</f>
        <v>1584863.8466999999</v>
      </c>
      <c r="K31" s="86">
        <f>SUM(D31:J31)</f>
        <v>623658664.32101989</v>
      </c>
    </row>
    <row r="33" spans="1:12">
      <c r="C33" s="84" t="s">
        <v>387</v>
      </c>
      <c r="D33" s="83">
        <f>ROUND(D30*$K33,5)</f>
        <v>3.4380000000000001E-2</v>
      </c>
      <c r="F33" s="83">
        <f>ROUND(F30*$K33,5)</f>
        <v>3.3059999999999999E-2</v>
      </c>
      <c r="H33" s="83">
        <f>ROUND(H30*$K33,5)</f>
        <v>3.2620000000000003E-2</v>
      </c>
      <c r="J33" s="83">
        <f>ROUND(J30*$K33,5)</f>
        <v>3.2169999999999997E-2</v>
      </c>
      <c r="K33" s="83">
        <f>K28/K31</f>
        <v>3.4376086193463981E-2</v>
      </c>
    </row>
    <row r="34" spans="1:12">
      <c r="C34" s="84" t="s">
        <v>24</v>
      </c>
      <c r="D34" s="83">
        <v>0.01</v>
      </c>
      <c r="F34" s="83">
        <f>+D34</f>
        <v>0.01</v>
      </c>
      <c r="H34" s="83">
        <f>+F34</f>
        <v>0.01</v>
      </c>
      <c r="J34" s="83">
        <f>+H34</f>
        <v>0.01</v>
      </c>
    </row>
    <row r="36" spans="1:12">
      <c r="C36" s="84" t="s">
        <v>386</v>
      </c>
      <c r="D36" s="83">
        <f>+D33+D34</f>
        <v>4.4380000000000003E-2</v>
      </c>
      <c r="F36" s="83">
        <f>+F34+F33</f>
        <v>4.3060000000000001E-2</v>
      </c>
      <c r="H36" s="83">
        <f>+H34+H33</f>
        <v>4.2620000000000005E-2</v>
      </c>
      <c r="J36" s="83">
        <f>+J34+J33</f>
        <v>4.2169999999999999E-2</v>
      </c>
    </row>
    <row r="38" spans="1:12">
      <c r="C38" s="84" t="s">
        <v>25</v>
      </c>
      <c r="D38" s="83">
        <f>D36</f>
        <v>4.4380000000000003E-2</v>
      </c>
      <c r="F38" s="83">
        <f>F36</f>
        <v>4.3060000000000001E-2</v>
      </c>
      <c r="H38" s="83">
        <f>H36</f>
        <v>4.2620000000000005E-2</v>
      </c>
      <c r="J38" s="83">
        <f>J36</f>
        <v>4.2169999999999999E-2</v>
      </c>
    </row>
    <row r="40" spans="1:12" ht="15.75">
      <c r="C40" s="84" t="s">
        <v>26</v>
      </c>
      <c r="D40" s="95">
        <f>LGS!H231</f>
        <v>0.49909999999999999</v>
      </c>
      <c r="E40" s="94"/>
      <c r="F40" s="574">
        <v>0.49940000000000001</v>
      </c>
      <c r="H40" s="574">
        <v>0.49709999999999999</v>
      </c>
      <c r="J40" s="574">
        <v>0.49080000000000001</v>
      </c>
      <c r="K40" s="524"/>
      <c r="L40" s="84" t="s">
        <v>385</v>
      </c>
    </row>
    <row r="41" spans="1:12" ht="15.75">
      <c r="C41" s="84" t="s">
        <v>77</v>
      </c>
      <c r="D41" s="86">
        <f>+ROUND(D40*D29,0)</f>
        <v>255100171</v>
      </c>
      <c r="F41" s="86">
        <f>+ROUND(F40*F29,0)</f>
        <v>39899069</v>
      </c>
      <c r="H41" s="86">
        <f>+ROUND(H40*H29,0)</f>
        <v>17874043</v>
      </c>
      <c r="J41" s="86">
        <f>+ROUND(J40*J29,0)</f>
        <v>831171</v>
      </c>
      <c r="K41" s="524"/>
    </row>
    <row r="42" spans="1:12" ht="15.75">
      <c r="C42" s="84" t="s">
        <v>384</v>
      </c>
      <c r="D42" s="575">
        <f>+D38</f>
        <v>4.4380000000000003E-2</v>
      </c>
      <c r="F42" s="575">
        <f>+F38</f>
        <v>4.3060000000000001E-2</v>
      </c>
      <c r="H42" s="575">
        <f>+H38</f>
        <v>4.2620000000000005E-2</v>
      </c>
      <c r="J42" s="575">
        <f>+J38</f>
        <v>4.2169999999999999E-2</v>
      </c>
      <c r="K42" s="524"/>
    </row>
    <row r="43" spans="1:12" ht="15.75">
      <c r="K43" s="524"/>
    </row>
    <row r="44" spans="1:12" ht="15.75">
      <c r="C44" s="84" t="s">
        <v>28</v>
      </c>
      <c r="D44" s="97">
        <f>+D41*D42</f>
        <v>11321345.58898</v>
      </c>
      <c r="E44" s="91"/>
      <c r="F44" s="97">
        <f>+F41*F42</f>
        <v>1718053.91114</v>
      </c>
      <c r="H44" s="97">
        <f>+H41*H42</f>
        <v>761791.71266000008</v>
      </c>
      <c r="J44" s="97">
        <f>+J41*J42</f>
        <v>35050.481070000002</v>
      </c>
      <c r="K44" s="524"/>
    </row>
    <row r="45" spans="1:12">
      <c r="B45" s="576"/>
      <c r="D45" s="97"/>
      <c r="E45" s="91"/>
      <c r="F45" s="97"/>
    </row>
    <row r="46" spans="1:12">
      <c r="D46" s="97"/>
      <c r="E46" s="91"/>
      <c r="F46" s="97"/>
    </row>
    <row r="47" spans="1:12">
      <c r="A47" s="494" t="s">
        <v>29</v>
      </c>
      <c r="B47" s="496" t="s">
        <v>383</v>
      </c>
      <c r="C47" s="496"/>
      <c r="D47" s="497"/>
      <c r="E47" s="90"/>
      <c r="F47" s="494"/>
      <c r="G47" s="497"/>
      <c r="H47" s="494"/>
    </row>
    <row r="48" spans="1:12">
      <c r="D48" s="97"/>
      <c r="E48" s="91"/>
      <c r="F48" s="97"/>
    </row>
    <row r="49" spans="1:11">
      <c r="D49" s="92" t="s">
        <v>382</v>
      </c>
      <c r="E49" s="84"/>
      <c r="F49" s="92" t="s">
        <v>381</v>
      </c>
      <c r="H49" s="92" t="s">
        <v>380</v>
      </c>
    </row>
    <row r="50" spans="1:11">
      <c r="D50" s="577" t="s">
        <v>6</v>
      </c>
      <c r="E50" s="84"/>
      <c r="F50" s="577" t="s">
        <v>379</v>
      </c>
      <c r="H50" s="577" t="s">
        <v>1</v>
      </c>
    </row>
    <row r="51" spans="1:11">
      <c r="E51" s="84"/>
    </row>
    <row r="52" spans="1:11">
      <c r="C52" s="84" t="s">
        <v>378</v>
      </c>
      <c r="D52" s="86">
        <f>LGS!D54</f>
        <v>1510142</v>
      </c>
      <c r="E52" s="84"/>
      <c r="F52" s="578">
        <f>'Off Peak xcs'!I18</f>
        <v>10.210000000000001</v>
      </c>
      <c r="H52" s="97">
        <f>+D52*F52</f>
        <v>15418549.820000002</v>
      </c>
    </row>
    <row r="53" spans="1:11">
      <c r="C53" s="84" t="s">
        <v>377</v>
      </c>
      <c r="D53" s="93">
        <f>LGS!F54</f>
        <v>281383</v>
      </c>
      <c r="E53" s="84"/>
      <c r="F53" s="579">
        <f>'Off Peak xcs'!I20</f>
        <v>7.4700000000000006</v>
      </c>
      <c r="H53" s="93">
        <f>+D53*F53</f>
        <v>2101931.0100000002</v>
      </c>
    </row>
    <row r="54" spans="1:11">
      <c r="C54" s="84" t="s">
        <v>376</v>
      </c>
      <c r="D54" s="93">
        <f>LGS!H54</f>
        <v>129190.6</v>
      </c>
      <c r="E54" s="84"/>
      <c r="F54" s="579">
        <f>'Off Peak xcs'!I22</f>
        <v>1.58</v>
      </c>
      <c r="H54" s="93">
        <f>+D54*F54</f>
        <v>204121.14800000002</v>
      </c>
    </row>
    <row r="55" spans="1:11">
      <c r="C55" s="84" t="s">
        <v>375</v>
      </c>
      <c r="D55" s="93">
        <f>LGS!J54</f>
        <v>6693.4</v>
      </c>
      <c r="E55" s="84"/>
      <c r="F55" s="579">
        <f>'Off Peak xcs'!I24</f>
        <v>1.55</v>
      </c>
      <c r="H55" s="103">
        <f>+D55*F55</f>
        <v>10374.77</v>
      </c>
    </row>
    <row r="56" spans="1:11">
      <c r="E56" s="84"/>
      <c r="F56" s="92"/>
    </row>
    <row r="57" spans="1:11">
      <c r="C57" s="84" t="s">
        <v>9</v>
      </c>
      <c r="D57" s="86"/>
      <c r="E57" s="84"/>
      <c r="F57" s="92"/>
      <c r="H57" s="97">
        <f>SUM(H52:H55)</f>
        <v>17734976.748</v>
      </c>
    </row>
    <row r="58" spans="1:11">
      <c r="D58" s="86"/>
      <c r="E58" s="84"/>
      <c r="F58" s="92"/>
      <c r="H58" s="97"/>
    </row>
    <row r="59" spans="1:11">
      <c r="B59" s="576" t="s">
        <v>161</v>
      </c>
      <c r="C59" s="84" t="s">
        <v>374</v>
      </c>
      <c r="D59" s="86"/>
      <c r="E59" s="84"/>
      <c r="F59" s="92"/>
      <c r="H59" s="97"/>
    </row>
    <row r="60" spans="1:11">
      <c r="E60" s="84"/>
      <c r="F60" s="92"/>
    </row>
    <row r="61" spans="1:11">
      <c r="D61" s="97"/>
      <c r="E61" s="91"/>
      <c r="F61" s="97"/>
    </row>
    <row r="62" spans="1:11">
      <c r="A62" s="494" t="s">
        <v>79</v>
      </c>
      <c r="B62" s="496" t="s">
        <v>30</v>
      </c>
      <c r="C62" s="496"/>
      <c r="D62" s="497"/>
      <c r="E62" s="90"/>
      <c r="F62" s="494"/>
      <c r="G62" s="497"/>
      <c r="H62" s="494"/>
    </row>
    <row r="63" spans="1:11">
      <c r="D63" s="498" t="s">
        <v>319</v>
      </c>
      <c r="E63" s="89"/>
      <c r="F63" s="498" t="s">
        <v>318</v>
      </c>
      <c r="G63" s="92"/>
      <c r="H63" s="498" t="s">
        <v>373</v>
      </c>
      <c r="J63" s="498" t="s">
        <v>372</v>
      </c>
      <c r="K63" s="498" t="s">
        <v>9</v>
      </c>
    </row>
    <row r="65" spans="3:11">
      <c r="C65" s="84" t="s">
        <v>371</v>
      </c>
      <c r="D65" s="97">
        <f>+D8</f>
        <v>57554268</v>
      </c>
      <c r="F65" s="97">
        <f>+F8</f>
        <v>7995635</v>
      </c>
      <c r="H65" s="97">
        <f>+H8</f>
        <v>2918835</v>
      </c>
      <c r="J65" s="97">
        <f>+J8</f>
        <v>154025</v>
      </c>
    </row>
    <row r="66" spans="3:11">
      <c r="C66" s="84" t="s">
        <v>370</v>
      </c>
      <c r="D66" s="86">
        <f>+D22</f>
        <v>763215</v>
      </c>
      <c r="F66" s="86">
        <f>+F22</f>
        <v>92055</v>
      </c>
      <c r="H66" s="86">
        <f>+H22</f>
        <v>138516</v>
      </c>
      <c r="J66" s="86">
        <f>+J22</f>
        <v>16296</v>
      </c>
    </row>
    <row r="67" spans="3:11">
      <c r="C67" s="84" t="s">
        <v>369</v>
      </c>
      <c r="D67" s="86">
        <f>H52</f>
        <v>15418549.820000002</v>
      </c>
      <c r="F67" s="86">
        <f>H53</f>
        <v>2101931.0100000002</v>
      </c>
      <c r="H67" s="86">
        <f>H54</f>
        <v>204121.14800000002</v>
      </c>
      <c r="J67" s="86">
        <f>J54</f>
        <v>0</v>
      </c>
    </row>
    <row r="68" spans="3:11">
      <c r="C68" s="84" t="s">
        <v>302</v>
      </c>
      <c r="D68" s="103">
        <f>+D44</f>
        <v>11321345.58898</v>
      </c>
      <c r="F68" s="103">
        <f>+F44</f>
        <v>1718053.91114</v>
      </c>
      <c r="H68" s="103">
        <f>+H44</f>
        <v>761791.71266000008</v>
      </c>
      <c r="J68" s="103">
        <f>+J44</f>
        <v>35050.481070000002</v>
      </c>
    </row>
    <row r="70" spans="3:11">
      <c r="C70" s="84" t="s">
        <v>34</v>
      </c>
      <c r="D70" s="97">
        <f>+D65-D66-D67-D68</f>
        <v>30051157.591019999</v>
      </c>
      <c r="F70" s="97">
        <f>+F65-F66-F67-F68</f>
        <v>4083595.0788600002</v>
      </c>
      <c r="H70" s="97">
        <f>+H65-H66-H67-H68</f>
        <v>1814406.1393399998</v>
      </c>
      <c r="J70" s="97">
        <f>+J65-J66-J67-J68</f>
        <v>102678.51892999999</v>
      </c>
      <c r="K70" s="97">
        <f>SUM(D70:J70)</f>
        <v>36051837.328150004</v>
      </c>
    </row>
    <row r="71" spans="3:11">
      <c r="C71" s="84" t="s">
        <v>76</v>
      </c>
      <c r="D71" s="86">
        <f>+D29-D41</f>
        <v>256020188</v>
      </c>
      <c r="F71" s="86">
        <f>+F29-F41</f>
        <v>39994942</v>
      </c>
      <c r="H71" s="86">
        <f>+H29-H41</f>
        <v>18082592</v>
      </c>
      <c r="J71" s="86">
        <f>+J29-J41</f>
        <v>862331</v>
      </c>
    </row>
    <row r="72" spans="3:11">
      <c r="C72" s="84" t="s">
        <v>368</v>
      </c>
      <c r="D72" s="88">
        <f>D30</f>
        <v>1</v>
      </c>
      <c r="E72" s="87"/>
      <c r="F72" s="88">
        <f>F30</f>
        <v>0.96167000000000002</v>
      </c>
      <c r="G72" s="88"/>
      <c r="H72" s="88">
        <f>H30</f>
        <v>0.94896999999999998</v>
      </c>
      <c r="I72" s="88"/>
      <c r="J72" s="88">
        <f>J30</f>
        <v>0.93584999999999996</v>
      </c>
    </row>
    <row r="73" spans="3:11">
      <c r="C73" s="84" t="s">
        <v>367</v>
      </c>
      <c r="D73" s="86">
        <f>D71*D72</f>
        <v>256020188</v>
      </c>
      <c r="E73" s="87"/>
      <c r="F73" s="86">
        <f>F71*F72</f>
        <v>38461935.87314</v>
      </c>
      <c r="G73" s="88"/>
      <c r="H73" s="86">
        <f>H71*H72</f>
        <v>17159837.33024</v>
      </c>
      <c r="I73" s="88"/>
      <c r="J73" s="86">
        <f>J71*J72</f>
        <v>807012.46635</v>
      </c>
      <c r="K73" s="86">
        <f>SUM(D73:J73)</f>
        <v>312448973.66973001</v>
      </c>
    </row>
    <row r="74" spans="3:11">
      <c r="D74" s="83"/>
      <c r="F74" s="83"/>
      <c r="H74" s="83"/>
      <c r="J74" s="83"/>
    </row>
    <row r="75" spans="3:11">
      <c r="C75" s="84" t="s">
        <v>366</v>
      </c>
      <c r="D75" s="83">
        <f>ROUND(D72*$K75,5)</f>
        <v>0.11538</v>
      </c>
      <c r="E75" s="85"/>
      <c r="F75" s="83">
        <f>ROUND(F72*$K75,5)</f>
        <v>0.11096</v>
      </c>
      <c r="H75" s="83">
        <f>ROUND(H72*$K75,5)</f>
        <v>0.1095</v>
      </c>
      <c r="J75" s="83">
        <f>ROUND(J72*$K75,5)</f>
        <v>0.10798000000000001</v>
      </c>
      <c r="K75" s="83">
        <f>K70/K73</f>
        <v>0.11538471995833187</v>
      </c>
    </row>
    <row r="76" spans="3:11">
      <c r="D76" s="83"/>
      <c r="E76" s="85"/>
      <c r="F76" s="83"/>
      <c r="H76" s="83"/>
      <c r="J76" s="83"/>
    </row>
    <row r="77" spans="3:11">
      <c r="C77" s="84" t="s">
        <v>38</v>
      </c>
      <c r="D77" s="83">
        <f>D75</f>
        <v>0.11538</v>
      </c>
      <c r="E77" s="85"/>
      <c r="F77" s="83">
        <f>F75</f>
        <v>0.11096</v>
      </c>
      <c r="H77" s="83">
        <f>H75</f>
        <v>0.1095</v>
      </c>
      <c r="J77" s="83">
        <f>J75</f>
        <v>0.10798000000000001</v>
      </c>
    </row>
    <row r="78" spans="3:11">
      <c r="C78" s="84" t="s">
        <v>76</v>
      </c>
      <c r="D78" s="103">
        <f>+D71</f>
        <v>256020188</v>
      </c>
      <c r="F78" s="103">
        <f>+F71</f>
        <v>39994942</v>
      </c>
      <c r="H78" s="103">
        <f>+H71</f>
        <v>18082592</v>
      </c>
      <c r="J78" s="103">
        <f>+J71</f>
        <v>862331</v>
      </c>
    </row>
    <row r="80" spans="3:11">
      <c r="C80" s="84" t="s">
        <v>34</v>
      </c>
      <c r="D80" s="97">
        <f>ROUND(+D77*D78,0)</f>
        <v>29539609</v>
      </c>
      <c r="F80" s="97">
        <f>ROUND(+F77*F78,0)</f>
        <v>4437839</v>
      </c>
      <c r="H80" s="97">
        <f>ROUND(+H77*H78,0)</f>
        <v>1980044</v>
      </c>
      <c r="J80" s="97">
        <f>ROUND(+J77*J78,0)</f>
        <v>93115</v>
      </c>
      <c r="K80" s="97">
        <f>SUM(D80:J80)</f>
        <v>36050607</v>
      </c>
    </row>
    <row r="81" spans="2:6">
      <c r="D81" s="86"/>
      <c r="E81" s="86"/>
      <c r="F81" s="86"/>
    </row>
    <row r="83" spans="2:6">
      <c r="B83" s="576"/>
    </row>
  </sheetData>
  <printOptions horizontalCentered="1"/>
  <pageMargins left="0.9" right="0.9" top="1.5" bottom="0.5" header="0.5" footer="0.5"/>
  <pageSetup scale="58" fitToHeight="0" orientation="portrait" r:id="rId1"/>
  <headerFooter alignWithMargins="0">
    <oddHeader xml:space="preserve">&amp;L&amp;"Arial,Regular"&amp;F
Page &amp;P of &amp;N
&amp;C&amp;"Arial,Regular"KENTUCKY POWER COMPANY 
LGS Time-of-Day Rate Design
Twelve Months Ended December 31, 2016
</oddHeader>
  </headerFooter>
  <rowBreaks count="1" manualBreakCount="1">
    <brk id="4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N282"/>
  <sheetViews>
    <sheetView showOutlineSymbols="0" zoomScale="85" zoomScaleNormal="85" workbookViewId="0">
      <selection activeCell="B1" sqref="B1"/>
    </sheetView>
  </sheetViews>
  <sheetFormatPr defaultColWidth="9.75" defaultRowHeight="15"/>
  <cols>
    <col min="1" max="1" width="4.75" style="105" customWidth="1"/>
    <col min="2" max="2" width="15.5" style="105" customWidth="1"/>
    <col min="3" max="3" width="24.125" style="105" customWidth="1"/>
    <col min="4" max="4" width="15.875" style="105" customWidth="1"/>
    <col min="5" max="5" width="6.75" style="105" customWidth="1"/>
    <col min="6" max="6" width="14.125" style="105" bestFit="1" customWidth="1"/>
    <col min="7" max="7" width="8.25" style="105" customWidth="1"/>
    <col min="8" max="8" width="16.5" style="105" bestFit="1" customWidth="1"/>
    <col min="9" max="9" width="5.75" style="105" customWidth="1"/>
    <col min="10" max="10" width="14.125" style="105" bestFit="1" customWidth="1"/>
    <col min="11" max="11" width="5.75" style="105" customWidth="1"/>
    <col min="12" max="12" width="11.375" style="105" bestFit="1" customWidth="1"/>
    <col min="13" max="16384" width="9.75" style="105"/>
  </cols>
  <sheetData>
    <row r="1" spans="1:12">
      <c r="A1" s="110" t="s">
        <v>118</v>
      </c>
      <c r="B1" s="110" t="s">
        <v>87</v>
      </c>
      <c r="C1" s="110"/>
      <c r="D1" s="66"/>
      <c r="G1" s="74"/>
      <c r="H1" s="66"/>
      <c r="I1" s="126"/>
      <c r="L1" s="188" t="s">
        <v>72</v>
      </c>
    </row>
    <row r="2" spans="1:12">
      <c r="D2" s="66"/>
      <c r="G2" s="74"/>
      <c r="H2" s="66"/>
      <c r="I2" s="129"/>
      <c r="J2" s="188" t="s">
        <v>75</v>
      </c>
      <c r="L2" s="188" t="s">
        <v>72</v>
      </c>
    </row>
    <row r="3" spans="1:12">
      <c r="D3" s="359"/>
      <c r="E3" s="113"/>
      <c r="G3" s="74"/>
      <c r="H3" s="359"/>
      <c r="I3" s="129"/>
      <c r="J3" s="120" t="s">
        <v>1</v>
      </c>
    </row>
    <row r="4" spans="1:12">
      <c r="B4" s="110"/>
      <c r="C4" s="110"/>
      <c r="F4" s="126"/>
      <c r="G4" s="126"/>
      <c r="H4" s="126"/>
      <c r="I4" s="126"/>
    </row>
    <row r="5" spans="1:12">
      <c r="B5" s="110" t="s">
        <v>447</v>
      </c>
      <c r="C5" s="105" t="s">
        <v>72</v>
      </c>
      <c r="F5" s="129"/>
      <c r="G5" s="126"/>
      <c r="H5" s="128"/>
      <c r="I5" s="126"/>
      <c r="J5" s="113">
        <f>'EX AEV-1'!V20+'EX AEV-1'!V22+'EX AEV-1'!V23</f>
        <v>78021424</v>
      </c>
    </row>
    <row r="6" spans="1:12">
      <c r="B6" s="110" t="s">
        <v>282</v>
      </c>
      <c r="F6" s="127"/>
      <c r="G6" s="126"/>
      <c r="H6" s="124"/>
      <c r="I6" s="126"/>
      <c r="J6" s="146">
        <f>'EX AEV-1'!V21</f>
        <v>69788797</v>
      </c>
    </row>
    <row r="7" spans="1:12">
      <c r="B7" s="110" t="s">
        <v>281</v>
      </c>
      <c r="E7" s="126"/>
      <c r="F7" s="127"/>
      <c r="G7" s="126"/>
      <c r="H7" s="124"/>
      <c r="I7" s="126"/>
      <c r="J7" s="146">
        <f>'EX AEV-1'!V24</f>
        <v>256346</v>
      </c>
      <c r="K7" s="113"/>
    </row>
    <row r="8" spans="1:12">
      <c r="E8" s="125"/>
      <c r="F8" s="125"/>
      <c r="G8" s="125"/>
      <c r="H8" s="124"/>
      <c r="I8" s="125"/>
      <c r="J8" s="115"/>
    </row>
    <row r="9" spans="1:12">
      <c r="B9" s="105" t="s">
        <v>9</v>
      </c>
      <c r="F9" s="113"/>
      <c r="H9" s="123"/>
      <c r="J9" s="113">
        <f>SUM(J5:J7)</f>
        <v>148066567</v>
      </c>
    </row>
    <row r="10" spans="1:12" ht="14.25" customHeight="1"/>
    <row r="12" spans="1:12">
      <c r="A12" s="110" t="s">
        <v>12</v>
      </c>
      <c r="B12" s="110" t="s">
        <v>356</v>
      </c>
      <c r="C12" s="110"/>
    </row>
    <row r="13" spans="1:12" ht="15.75">
      <c r="B13" s="580" t="s">
        <v>955</v>
      </c>
      <c r="D13" s="120" t="s">
        <v>319</v>
      </c>
      <c r="F13" s="120" t="s">
        <v>318</v>
      </c>
      <c r="H13" s="120" t="s">
        <v>317</v>
      </c>
      <c r="J13" s="120" t="s">
        <v>443</v>
      </c>
    </row>
    <row r="15" spans="1:12">
      <c r="B15" s="110" t="s">
        <v>488</v>
      </c>
      <c r="C15" s="110"/>
      <c r="D15" s="146">
        <v>18083.7</v>
      </c>
      <c r="F15" s="146">
        <v>515170</v>
      </c>
      <c r="H15" s="146">
        <v>2798169</v>
      </c>
      <c r="J15" s="146">
        <v>169183.2</v>
      </c>
    </row>
    <row r="16" spans="1:12">
      <c r="B16" s="110" t="s">
        <v>487</v>
      </c>
      <c r="C16" s="110"/>
      <c r="D16" s="146">
        <v>17240</v>
      </c>
      <c r="F16" s="146">
        <v>485643</v>
      </c>
      <c r="H16" s="146">
        <v>2752830</v>
      </c>
      <c r="J16" s="146">
        <v>164990.70000000001</v>
      </c>
    </row>
    <row r="17" spans="1:10">
      <c r="B17" s="110" t="s">
        <v>911</v>
      </c>
      <c r="C17" s="110"/>
      <c r="D17" s="146">
        <v>13841</v>
      </c>
      <c r="F17" s="146">
        <v>111893</v>
      </c>
      <c r="H17" s="146">
        <v>311262</v>
      </c>
      <c r="J17" s="146">
        <v>350678.1</v>
      </c>
    </row>
    <row r="18" spans="1:10">
      <c r="B18" s="110" t="s">
        <v>486</v>
      </c>
      <c r="C18" s="110"/>
      <c r="D18" s="146">
        <f>D15+D17</f>
        <v>31924.7</v>
      </c>
      <c r="F18" s="146">
        <f>F15+F17</f>
        <v>627063</v>
      </c>
      <c r="H18" s="146">
        <f>H15+H17</f>
        <v>3109431</v>
      </c>
      <c r="J18" s="146">
        <f>J15+J17</f>
        <v>519861.3</v>
      </c>
    </row>
    <row r="19" spans="1:10">
      <c r="B19" s="110" t="s">
        <v>441</v>
      </c>
      <c r="C19" s="110"/>
      <c r="D19" s="146">
        <v>26</v>
      </c>
      <c r="F19" s="146">
        <v>97486</v>
      </c>
      <c r="H19" s="146">
        <v>329002</v>
      </c>
      <c r="J19" s="146">
        <v>28674</v>
      </c>
    </row>
    <row r="20" spans="1:10">
      <c r="B20" s="110" t="s">
        <v>440</v>
      </c>
      <c r="C20" s="110"/>
      <c r="D20" s="146">
        <v>15517623</v>
      </c>
      <c r="F20" s="146">
        <v>283398759</v>
      </c>
      <c r="H20" s="146">
        <v>1778446706</v>
      </c>
      <c r="J20" s="146">
        <v>313600300</v>
      </c>
    </row>
    <row r="21" spans="1:10">
      <c r="B21" s="110" t="s">
        <v>46</v>
      </c>
      <c r="C21" s="110"/>
      <c r="D21" s="146">
        <v>48</v>
      </c>
      <c r="F21" s="146">
        <v>420</v>
      </c>
      <c r="H21" s="146">
        <v>312</v>
      </c>
      <c r="J21" s="146">
        <v>36</v>
      </c>
    </row>
    <row r="23" spans="1:10">
      <c r="B23" s="110"/>
      <c r="C23" s="110"/>
      <c r="D23" s="146"/>
      <c r="F23" s="146"/>
      <c r="H23" s="146"/>
      <c r="J23" s="146"/>
    </row>
    <row r="24" spans="1:10">
      <c r="B24" s="110"/>
      <c r="C24" s="110"/>
      <c r="D24" s="146"/>
      <c r="F24" s="146"/>
      <c r="H24" s="146"/>
      <c r="J24" s="146"/>
    </row>
    <row r="25" spans="1:10">
      <c r="B25" s="110"/>
      <c r="C25" s="110"/>
      <c r="D25" s="146"/>
      <c r="F25" s="146"/>
      <c r="H25" s="146"/>
      <c r="J25" s="146"/>
    </row>
    <row r="26" spans="1:10">
      <c r="A26" s="110" t="s">
        <v>18</v>
      </c>
      <c r="B26" s="110" t="s">
        <v>439</v>
      </c>
      <c r="C26" s="110"/>
    </row>
    <row r="27" spans="1:10">
      <c r="A27" s="110"/>
      <c r="B27" s="110"/>
      <c r="C27" s="110"/>
    </row>
    <row r="28" spans="1:10">
      <c r="D28" s="188" t="s">
        <v>8</v>
      </c>
      <c r="H28" s="188" t="s">
        <v>349</v>
      </c>
      <c r="J28" s="188" t="s">
        <v>484</v>
      </c>
    </row>
    <row r="29" spans="1:10">
      <c r="B29" s="110" t="s">
        <v>16</v>
      </c>
      <c r="C29" s="110"/>
      <c r="D29" s="120" t="s">
        <v>1</v>
      </c>
      <c r="F29" s="120" t="s">
        <v>46</v>
      </c>
      <c r="H29" s="120" t="s">
        <v>154</v>
      </c>
      <c r="J29" s="120" t="s">
        <v>154</v>
      </c>
    </row>
    <row r="31" spans="1:10">
      <c r="B31" s="105" t="s">
        <v>438</v>
      </c>
      <c r="D31" s="146">
        <f>'EX AEV-1'!R24</f>
        <v>1465</v>
      </c>
      <c r="F31" s="230">
        <f>+D21</f>
        <v>48</v>
      </c>
      <c r="H31" s="525">
        <f>ROUND((D31/F31),2)</f>
        <v>30.52</v>
      </c>
      <c r="J31" s="581">
        <v>276</v>
      </c>
    </row>
    <row r="32" spans="1:10">
      <c r="B32" s="110" t="s">
        <v>437</v>
      </c>
      <c r="C32" s="110"/>
      <c r="D32" s="146">
        <f>'EX AEV-1'!S24</f>
        <v>35582</v>
      </c>
      <c r="F32" s="146">
        <f>+F21</f>
        <v>420</v>
      </c>
      <c r="H32" s="525">
        <f>ROUND((D32/F32),2)</f>
        <v>84.72</v>
      </c>
      <c r="J32" s="581">
        <v>276</v>
      </c>
    </row>
    <row r="33" spans="1:248">
      <c r="B33" s="110" t="s">
        <v>436</v>
      </c>
      <c r="C33" s="110"/>
      <c r="D33" s="146">
        <f>'EX AEV-1'!T24</f>
        <v>186348</v>
      </c>
      <c r="F33" s="146">
        <f>+H21</f>
        <v>312</v>
      </c>
      <c r="H33" s="525">
        <f>ROUND((D33/F33),2)</f>
        <v>597.27</v>
      </c>
      <c r="J33" s="581">
        <v>794</v>
      </c>
    </row>
    <row r="34" spans="1:248">
      <c r="B34" s="110" t="s">
        <v>435</v>
      </c>
      <c r="C34" s="110"/>
      <c r="D34" s="146">
        <f>'EX AEV-1'!U24</f>
        <v>32951</v>
      </c>
      <c r="F34" s="146">
        <f>+J21</f>
        <v>36</v>
      </c>
      <c r="H34" s="525">
        <f>ROUND((D34/F34),2)</f>
        <v>915.31</v>
      </c>
      <c r="J34" s="581">
        <v>1353</v>
      </c>
    </row>
    <row r="35" spans="1:248">
      <c r="D35" s="115"/>
      <c r="F35" s="115"/>
    </row>
    <row r="36" spans="1:248">
      <c r="B36" s="110" t="s">
        <v>54</v>
      </c>
      <c r="C36" s="110"/>
      <c r="D36" s="113">
        <f>SUM(D31:D34)</f>
        <v>256346</v>
      </c>
      <c r="F36" s="146">
        <f>SUM(F31:F34)</f>
        <v>816</v>
      </c>
    </row>
    <row r="37" spans="1:248">
      <c r="A37" s="527"/>
      <c r="B37" s="110"/>
      <c r="C37" s="110"/>
      <c r="D37" s="106"/>
      <c r="E37" s="527"/>
      <c r="F37" s="146"/>
      <c r="G37" s="527"/>
      <c r="H37" s="527"/>
      <c r="I37" s="527"/>
      <c r="J37" s="527"/>
      <c r="K37" s="527"/>
      <c r="L37" s="527"/>
      <c r="M37" s="527"/>
      <c r="N37" s="527"/>
      <c r="O37" s="527"/>
      <c r="P37" s="527"/>
      <c r="Q37" s="527"/>
      <c r="R37" s="527"/>
      <c r="S37" s="527"/>
      <c r="T37" s="527"/>
      <c r="U37" s="527"/>
      <c r="V37" s="527"/>
      <c r="W37" s="527"/>
      <c r="X37" s="527"/>
      <c r="Y37" s="527"/>
      <c r="Z37" s="527"/>
      <c r="AA37" s="527"/>
      <c r="AB37" s="527"/>
      <c r="AC37" s="527"/>
      <c r="AD37" s="527"/>
      <c r="AE37" s="527"/>
      <c r="AF37" s="527"/>
      <c r="AG37" s="527"/>
      <c r="AH37" s="527"/>
      <c r="AI37" s="527"/>
      <c r="AJ37" s="527"/>
      <c r="AK37" s="527"/>
      <c r="AL37" s="527"/>
      <c r="AM37" s="527"/>
      <c r="AN37" s="527"/>
      <c r="AO37" s="527"/>
      <c r="AP37" s="527"/>
      <c r="AQ37" s="527"/>
      <c r="AR37" s="527"/>
      <c r="AS37" s="527"/>
      <c r="AT37" s="527"/>
      <c r="AU37" s="527"/>
      <c r="AV37" s="527"/>
      <c r="AW37" s="527"/>
      <c r="AX37" s="527"/>
      <c r="AY37" s="527"/>
      <c r="AZ37" s="527"/>
      <c r="BA37" s="527"/>
      <c r="BB37" s="527"/>
      <c r="BC37" s="527"/>
      <c r="BD37" s="527"/>
      <c r="BE37" s="527"/>
      <c r="BF37" s="527"/>
      <c r="BG37" s="527"/>
      <c r="BH37" s="527"/>
      <c r="BI37" s="527"/>
      <c r="BJ37" s="527"/>
      <c r="BK37" s="527"/>
      <c r="BL37" s="527"/>
      <c r="BM37" s="527"/>
      <c r="BN37" s="527"/>
      <c r="BO37" s="527"/>
      <c r="BP37" s="527"/>
      <c r="BQ37" s="527"/>
      <c r="BR37" s="527"/>
      <c r="BS37" s="527"/>
      <c r="BT37" s="527"/>
      <c r="BU37" s="527"/>
      <c r="BV37" s="527"/>
      <c r="BW37" s="527"/>
      <c r="BX37" s="527"/>
      <c r="BY37" s="527"/>
      <c r="BZ37" s="527"/>
      <c r="CA37" s="527"/>
      <c r="CB37" s="527"/>
      <c r="CC37" s="527"/>
      <c r="CD37" s="527"/>
      <c r="CE37" s="527"/>
      <c r="CF37" s="527"/>
      <c r="CG37" s="527"/>
      <c r="CH37" s="527"/>
      <c r="CI37" s="527"/>
      <c r="CJ37" s="527"/>
      <c r="CK37" s="527"/>
      <c r="CL37" s="527"/>
      <c r="CM37" s="527"/>
      <c r="CN37" s="527"/>
      <c r="CO37" s="527"/>
      <c r="CP37" s="527"/>
      <c r="CQ37" s="527"/>
      <c r="CR37" s="527"/>
      <c r="CS37" s="527"/>
      <c r="CT37" s="527"/>
      <c r="CU37" s="527"/>
      <c r="CV37" s="527"/>
      <c r="CW37" s="527"/>
      <c r="CX37" s="527"/>
      <c r="CY37" s="527"/>
      <c r="CZ37" s="527"/>
      <c r="DA37" s="527"/>
      <c r="DB37" s="527"/>
      <c r="DC37" s="527"/>
      <c r="DD37" s="527"/>
      <c r="DE37" s="527"/>
      <c r="DF37" s="527"/>
      <c r="DG37" s="527"/>
      <c r="DH37" s="527"/>
      <c r="DI37" s="527"/>
      <c r="DJ37" s="527"/>
      <c r="DK37" s="527"/>
      <c r="DL37" s="527"/>
      <c r="DM37" s="527"/>
      <c r="DN37" s="527"/>
      <c r="DO37" s="527"/>
      <c r="DP37" s="527"/>
      <c r="DQ37" s="527"/>
      <c r="DR37" s="527"/>
      <c r="DS37" s="527"/>
      <c r="DT37" s="527"/>
      <c r="DU37" s="527"/>
      <c r="DV37" s="527"/>
      <c r="DW37" s="527"/>
      <c r="DX37" s="527"/>
      <c r="DY37" s="527"/>
      <c r="DZ37" s="527"/>
      <c r="EA37" s="527"/>
      <c r="EB37" s="527"/>
      <c r="EC37" s="527"/>
      <c r="ED37" s="527"/>
      <c r="EE37" s="527"/>
      <c r="EF37" s="527"/>
      <c r="EG37" s="527"/>
      <c r="EH37" s="527"/>
      <c r="EI37" s="527"/>
      <c r="EJ37" s="527"/>
      <c r="EK37" s="527"/>
      <c r="EL37" s="527"/>
      <c r="EM37" s="527"/>
      <c r="EN37" s="527"/>
      <c r="EO37" s="527"/>
      <c r="EP37" s="527"/>
      <c r="EQ37" s="527"/>
      <c r="ER37" s="527"/>
      <c r="ES37" s="527"/>
      <c r="ET37" s="527"/>
      <c r="EU37" s="527"/>
      <c r="EV37" s="527"/>
      <c r="EW37" s="527"/>
      <c r="EX37" s="527"/>
      <c r="EY37" s="527"/>
      <c r="EZ37" s="527"/>
      <c r="FA37" s="527"/>
      <c r="FB37" s="527"/>
      <c r="FC37" s="527"/>
      <c r="FD37" s="527"/>
      <c r="FE37" s="527"/>
      <c r="FF37" s="527"/>
      <c r="FG37" s="527"/>
      <c r="FH37" s="527"/>
      <c r="FI37" s="527"/>
      <c r="FJ37" s="527"/>
      <c r="FK37" s="527"/>
      <c r="FL37" s="527"/>
      <c r="FM37" s="527"/>
      <c r="FN37" s="527"/>
      <c r="FO37" s="527"/>
      <c r="FP37" s="527"/>
      <c r="FQ37" s="527"/>
      <c r="FR37" s="527"/>
      <c r="FS37" s="527"/>
      <c r="FT37" s="527"/>
      <c r="FU37" s="527"/>
      <c r="FV37" s="527"/>
      <c r="FW37" s="527"/>
      <c r="FX37" s="527"/>
      <c r="FY37" s="527"/>
      <c r="FZ37" s="527"/>
      <c r="GA37" s="527"/>
      <c r="GB37" s="527"/>
      <c r="GC37" s="527"/>
      <c r="GD37" s="527"/>
      <c r="GE37" s="527"/>
      <c r="GF37" s="527"/>
      <c r="GG37" s="527"/>
      <c r="GH37" s="527"/>
      <c r="GI37" s="527"/>
      <c r="GJ37" s="527"/>
      <c r="GK37" s="527"/>
      <c r="GL37" s="527"/>
      <c r="GM37" s="527"/>
      <c r="GN37" s="527"/>
      <c r="GO37" s="527"/>
      <c r="GP37" s="527"/>
      <c r="GQ37" s="527"/>
      <c r="GR37" s="527"/>
      <c r="GS37" s="527"/>
      <c r="GT37" s="527"/>
      <c r="GU37" s="527"/>
      <c r="GV37" s="527"/>
      <c r="GW37" s="527"/>
      <c r="GX37" s="527"/>
      <c r="GY37" s="527"/>
      <c r="GZ37" s="527"/>
      <c r="HA37" s="527"/>
      <c r="HB37" s="527"/>
      <c r="HC37" s="527"/>
      <c r="HD37" s="527"/>
      <c r="HE37" s="527"/>
      <c r="HF37" s="527"/>
      <c r="HG37" s="527"/>
      <c r="HH37" s="527"/>
      <c r="HI37" s="527"/>
      <c r="HJ37" s="527"/>
      <c r="HK37" s="527"/>
      <c r="HL37" s="527"/>
      <c r="HM37" s="527"/>
      <c r="HN37" s="527"/>
      <c r="HO37" s="527"/>
      <c r="HP37" s="527"/>
      <c r="HQ37" s="527"/>
      <c r="HR37" s="527"/>
      <c r="HS37" s="527"/>
      <c r="HT37" s="527"/>
      <c r="HU37" s="527"/>
      <c r="HV37" s="527"/>
      <c r="HW37" s="527"/>
      <c r="HX37" s="527"/>
      <c r="HY37" s="527"/>
      <c r="HZ37" s="527"/>
      <c r="IA37" s="527"/>
      <c r="IB37" s="527"/>
      <c r="IC37" s="527"/>
      <c r="ID37" s="527"/>
      <c r="IE37" s="527"/>
      <c r="IF37" s="527"/>
      <c r="IG37" s="527"/>
      <c r="IH37" s="527"/>
      <c r="II37" s="527"/>
      <c r="IJ37" s="527"/>
      <c r="IK37" s="527"/>
      <c r="IL37" s="527"/>
      <c r="IM37" s="527"/>
      <c r="IN37" s="527"/>
    </row>
    <row r="38" spans="1:248">
      <c r="F38" s="188" t="s">
        <v>114</v>
      </c>
      <c r="J38" s="188" t="s">
        <v>8</v>
      </c>
      <c r="L38" s="188"/>
      <c r="M38" s="527"/>
      <c r="N38" s="527"/>
      <c r="O38" s="527"/>
      <c r="P38" s="527"/>
      <c r="Q38" s="527"/>
      <c r="R38" s="527"/>
      <c r="S38" s="527"/>
      <c r="T38" s="527"/>
      <c r="U38" s="527"/>
      <c r="V38" s="527"/>
      <c r="W38" s="527"/>
      <c r="X38" s="527"/>
      <c r="Y38" s="527"/>
      <c r="Z38" s="527"/>
      <c r="AA38" s="527"/>
      <c r="AB38" s="527"/>
      <c r="AC38" s="527"/>
      <c r="AD38" s="527"/>
      <c r="AE38" s="527"/>
      <c r="AF38" s="527"/>
      <c r="AG38" s="527"/>
      <c r="AH38" s="527"/>
      <c r="AI38" s="527"/>
      <c r="AJ38" s="527"/>
      <c r="AK38" s="527"/>
      <c r="AL38" s="527"/>
      <c r="AM38" s="527"/>
      <c r="AN38" s="527"/>
      <c r="AO38" s="527"/>
      <c r="AP38" s="527"/>
      <c r="AQ38" s="527"/>
      <c r="AR38" s="527"/>
      <c r="AS38" s="527"/>
      <c r="AT38" s="527"/>
      <c r="AU38" s="527"/>
      <c r="AV38" s="527"/>
      <c r="AW38" s="527"/>
      <c r="AX38" s="527"/>
      <c r="AY38" s="527"/>
      <c r="AZ38" s="527"/>
      <c r="BA38" s="527"/>
      <c r="BB38" s="527"/>
      <c r="BC38" s="527"/>
      <c r="BD38" s="527"/>
      <c r="BE38" s="527"/>
      <c r="BF38" s="527"/>
      <c r="BG38" s="527"/>
      <c r="BH38" s="527"/>
      <c r="BI38" s="527"/>
      <c r="BJ38" s="527"/>
      <c r="BK38" s="527"/>
      <c r="BL38" s="527"/>
      <c r="BM38" s="527"/>
      <c r="BN38" s="527"/>
      <c r="BO38" s="527"/>
      <c r="BP38" s="527"/>
      <c r="BQ38" s="527"/>
      <c r="BR38" s="527"/>
      <c r="BS38" s="527"/>
      <c r="BT38" s="527"/>
      <c r="BU38" s="527"/>
      <c r="BV38" s="527"/>
      <c r="BW38" s="527"/>
      <c r="BX38" s="527"/>
      <c r="BY38" s="527"/>
      <c r="BZ38" s="527"/>
      <c r="CA38" s="527"/>
      <c r="CB38" s="527"/>
      <c r="CC38" s="527"/>
      <c r="CD38" s="527"/>
      <c r="CE38" s="527"/>
      <c r="CF38" s="527"/>
      <c r="CG38" s="527"/>
      <c r="CH38" s="527"/>
      <c r="CI38" s="527"/>
      <c r="CJ38" s="527"/>
      <c r="CK38" s="527"/>
      <c r="CL38" s="527"/>
      <c r="CM38" s="527"/>
      <c r="CN38" s="527"/>
      <c r="CO38" s="527"/>
      <c r="CP38" s="527"/>
      <c r="CQ38" s="527"/>
      <c r="CR38" s="527"/>
      <c r="CS38" s="527"/>
      <c r="CT38" s="527"/>
      <c r="CU38" s="527"/>
      <c r="CV38" s="527"/>
      <c r="CW38" s="527"/>
      <c r="CX38" s="527"/>
      <c r="CY38" s="527"/>
      <c r="CZ38" s="527"/>
      <c r="DA38" s="527"/>
      <c r="DB38" s="527"/>
      <c r="DC38" s="527"/>
      <c r="DD38" s="527"/>
      <c r="DE38" s="527"/>
      <c r="DF38" s="527"/>
      <c r="DG38" s="527"/>
      <c r="DH38" s="527"/>
      <c r="DI38" s="527"/>
      <c r="DJ38" s="527"/>
      <c r="DK38" s="527"/>
      <c r="DL38" s="527"/>
      <c r="DM38" s="527"/>
      <c r="DN38" s="527"/>
      <c r="DO38" s="527"/>
      <c r="DP38" s="527"/>
      <c r="DQ38" s="527"/>
      <c r="DR38" s="527"/>
      <c r="DS38" s="527"/>
      <c r="DT38" s="527"/>
      <c r="DU38" s="527"/>
      <c r="DV38" s="527"/>
      <c r="DW38" s="527"/>
      <c r="DX38" s="527"/>
      <c r="DY38" s="527"/>
      <c r="DZ38" s="527"/>
      <c r="EA38" s="527"/>
      <c r="EB38" s="527"/>
      <c r="EC38" s="527"/>
      <c r="ED38" s="527"/>
      <c r="EE38" s="527"/>
      <c r="EF38" s="527"/>
      <c r="EG38" s="527"/>
      <c r="EH38" s="527"/>
      <c r="EI38" s="527"/>
      <c r="EJ38" s="527"/>
      <c r="EK38" s="527"/>
      <c r="EL38" s="527"/>
      <c r="EM38" s="527"/>
      <c r="EN38" s="527"/>
      <c r="EO38" s="527"/>
      <c r="EP38" s="527"/>
      <c r="EQ38" s="527"/>
      <c r="ER38" s="527"/>
      <c r="ES38" s="527"/>
      <c r="ET38" s="527"/>
      <c r="EU38" s="527"/>
      <c r="EV38" s="527"/>
      <c r="EW38" s="527"/>
      <c r="EX38" s="527"/>
      <c r="EY38" s="527"/>
      <c r="EZ38" s="527"/>
      <c r="FA38" s="527"/>
      <c r="FB38" s="527"/>
      <c r="FC38" s="527"/>
      <c r="FD38" s="527"/>
      <c r="FE38" s="527"/>
      <c r="FF38" s="527"/>
      <c r="FG38" s="527"/>
      <c r="FH38" s="527"/>
      <c r="FI38" s="527"/>
      <c r="FJ38" s="527"/>
      <c r="FK38" s="527"/>
      <c r="FL38" s="527"/>
      <c r="FM38" s="527"/>
      <c r="FN38" s="527"/>
      <c r="FO38" s="527"/>
      <c r="FP38" s="527"/>
      <c r="FQ38" s="527"/>
      <c r="FR38" s="527"/>
      <c r="FS38" s="527"/>
      <c r="FT38" s="527"/>
      <c r="FU38" s="527"/>
      <c r="FV38" s="527"/>
      <c r="FW38" s="527"/>
      <c r="FX38" s="527"/>
      <c r="FY38" s="527"/>
      <c r="FZ38" s="527"/>
      <c r="GA38" s="527"/>
      <c r="GB38" s="527"/>
      <c r="GC38" s="527"/>
      <c r="GD38" s="527"/>
      <c r="GE38" s="527"/>
      <c r="GF38" s="527"/>
      <c r="GG38" s="527"/>
      <c r="GH38" s="527"/>
      <c r="GI38" s="527"/>
      <c r="GJ38" s="527"/>
      <c r="GK38" s="527"/>
      <c r="GL38" s="527"/>
      <c r="GM38" s="527"/>
      <c r="GN38" s="527"/>
      <c r="GO38" s="527"/>
      <c r="GP38" s="527"/>
      <c r="GQ38" s="527"/>
      <c r="GR38" s="527"/>
      <c r="GS38" s="527"/>
      <c r="GT38" s="527"/>
      <c r="GU38" s="527"/>
      <c r="GV38" s="527"/>
      <c r="GW38" s="527"/>
      <c r="GX38" s="527"/>
      <c r="GY38" s="527"/>
      <c r="GZ38" s="527"/>
      <c r="HA38" s="527"/>
      <c r="HB38" s="527"/>
      <c r="HC38" s="527"/>
      <c r="HD38" s="527"/>
      <c r="HE38" s="527"/>
      <c r="HF38" s="527"/>
      <c r="HG38" s="527"/>
      <c r="HH38" s="527"/>
      <c r="HI38" s="527"/>
      <c r="HJ38" s="527"/>
      <c r="HK38" s="527"/>
      <c r="HL38" s="527"/>
      <c r="HM38" s="527"/>
      <c r="HN38" s="527"/>
      <c r="HO38" s="527"/>
      <c r="HP38" s="527"/>
      <c r="HQ38" s="527"/>
      <c r="HR38" s="527"/>
      <c r="HS38" s="527"/>
      <c r="HT38" s="527"/>
      <c r="HU38" s="527"/>
      <c r="HV38" s="527"/>
      <c r="HW38" s="527"/>
      <c r="HX38" s="527"/>
      <c r="HY38" s="527"/>
      <c r="HZ38" s="527"/>
      <c r="IA38" s="527"/>
      <c r="IB38" s="527"/>
      <c r="IC38" s="527"/>
      <c r="ID38" s="527"/>
      <c r="IE38" s="527"/>
      <c r="IF38" s="527"/>
      <c r="IG38" s="527"/>
      <c r="IH38" s="527"/>
      <c r="II38" s="527"/>
      <c r="IJ38" s="527"/>
      <c r="IK38" s="527"/>
      <c r="IL38" s="527"/>
      <c r="IM38" s="527"/>
      <c r="IN38" s="527"/>
    </row>
    <row r="39" spans="1:248">
      <c r="B39" s="110" t="s">
        <v>389</v>
      </c>
      <c r="C39" s="110"/>
      <c r="F39" s="120" t="s">
        <v>154</v>
      </c>
      <c r="H39" s="120" t="s">
        <v>46</v>
      </c>
      <c r="J39" s="120" t="s">
        <v>1</v>
      </c>
      <c r="L39" s="120"/>
    </row>
    <row r="41" spans="1:248">
      <c r="B41" s="105" t="str">
        <f>+B$31</f>
        <v xml:space="preserve">  Secondary</v>
      </c>
      <c r="F41" s="581">
        <f>J31</f>
        <v>276</v>
      </c>
      <c r="H41" s="230">
        <f>+F31</f>
        <v>48</v>
      </c>
      <c r="J41" s="146">
        <f>ROUND((F41*H41),0)</f>
        <v>13248</v>
      </c>
    </row>
    <row r="42" spans="1:248">
      <c r="B42" s="105" t="str">
        <f>+B$32</f>
        <v xml:space="preserve">  Primary</v>
      </c>
      <c r="F42" s="581">
        <f>J32</f>
        <v>276</v>
      </c>
      <c r="H42" s="146">
        <f>+F32</f>
        <v>420</v>
      </c>
      <c r="J42" s="146">
        <f>ROUND((F42*H42),0)</f>
        <v>115920</v>
      </c>
    </row>
    <row r="43" spans="1:248">
      <c r="B43" s="105" t="str">
        <f>+B$33</f>
        <v xml:space="preserve">  Subtransmission</v>
      </c>
      <c r="F43" s="581">
        <f>J33</f>
        <v>794</v>
      </c>
      <c r="H43" s="146">
        <f>+F33</f>
        <v>312</v>
      </c>
      <c r="J43" s="146">
        <f>ROUND((F43*H43),0)</f>
        <v>247728</v>
      </c>
    </row>
    <row r="44" spans="1:248">
      <c r="B44" s="105" t="str">
        <f>+B$34</f>
        <v xml:space="preserve">  Transmission</v>
      </c>
      <c r="F44" s="581">
        <f>J34</f>
        <v>1353</v>
      </c>
      <c r="H44" s="146">
        <f>+F34</f>
        <v>36</v>
      </c>
      <c r="J44" s="146">
        <f>ROUND((F44*H44),0)</f>
        <v>48708</v>
      </c>
    </row>
    <row r="45" spans="1:248">
      <c r="H45" s="115"/>
      <c r="J45" s="115"/>
    </row>
    <row r="46" spans="1:248">
      <c r="B46" s="105" t="str">
        <f>+B$36</f>
        <v xml:space="preserve">  Total</v>
      </c>
      <c r="H46" s="146">
        <f>SUM(H41:H44)</f>
        <v>816</v>
      </c>
      <c r="J46" s="113">
        <f>SUM(J41:J44)</f>
        <v>425604</v>
      </c>
      <c r="L46" s="113"/>
    </row>
    <row r="47" spans="1:248">
      <c r="D47" s="146"/>
      <c r="H47" s="113"/>
    </row>
    <row r="48" spans="1:248">
      <c r="D48" s="146"/>
      <c r="H48" s="113"/>
    </row>
    <row r="49" spans="1:8">
      <c r="A49" s="110" t="s">
        <v>29</v>
      </c>
      <c r="B49" s="110" t="s">
        <v>485</v>
      </c>
      <c r="C49" s="110"/>
    </row>
    <row r="50" spans="1:8">
      <c r="A50" s="110"/>
      <c r="B50" s="110"/>
      <c r="C50" s="110"/>
    </row>
    <row r="51" spans="1:8">
      <c r="D51" s="121" t="s">
        <v>484</v>
      </c>
      <c r="F51" s="188" t="s">
        <v>428</v>
      </c>
    </row>
    <row r="52" spans="1:8">
      <c r="B52" s="110" t="s">
        <v>483</v>
      </c>
      <c r="C52" s="110"/>
      <c r="D52" s="120" t="s">
        <v>482</v>
      </c>
      <c r="F52" s="120" t="s">
        <v>452</v>
      </c>
      <c r="H52" s="120" t="s">
        <v>1</v>
      </c>
    </row>
    <row r="54" spans="1:8">
      <c r="B54" s="105" t="str">
        <f>+B$31</f>
        <v xml:space="preserve">  Secondary</v>
      </c>
      <c r="D54" s="112">
        <v>0.69</v>
      </c>
      <c r="F54" s="146">
        <f>D241</f>
        <v>26</v>
      </c>
      <c r="G54" s="146"/>
      <c r="H54" s="146">
        <f>ROUND((D54*F54),0)</f>
        <v>18</v>
      </c>
    </row>
    <row r="55" spans="1:8">
      <c r="B55" s="105" t="str">
        <f>+B$32</f>
        <v xml:space="preserve">  Primary</v>
      </c>
      <c r="D55" s="112">
        <f>D54</f>
        <v>0.69</v>
      </c>
      <c r="F55" s="146">
        <f>+D251</f>
        <v>97486</v>
      </c>
      <c r="G55" s="146"/>
      <c r="H55" s="146">
        <f>ROUND((D55*F55),0)</f>
        <v>67265</v>
      </c>
    </row>
    <row r="56" spans="1:8">
      <c r="B56" s="105" t="str">
        <f>+B$33</f>
        <v xml:space="preserve">  Subtransmission</v>
      </c>
      <c r="D56" s="112">
        <f>D55</f>
        <v>0.69</v>
      </c>
      <c r="F56" s="146">
        <f>+D262</f>
        <v>329002</v>
      </c>
      <c r="H56" s="146">
        <f>ROUND((D56*F56),0)</f>
        <v>227011</v>
      </c>
    </row>
    <row r="57" spans="1:8">
      <c r="B57" s="105" t="str">
        <f>+B$34</f>
        <v xml:space="preserve">  Transmission</v>
      </c>
      <c r="D57" s="112">
        <f>D56</f>
        <v>0.69</v>
      </c>
      <c r="F57" s="146">
        <f>+D272</f>
        <v>28674</v>
      </c>
      <c r="H57" s="146">
        <f>ROUND((D57*F57),0)</f>
        <v>19785</v>
      </c>
    </row>
    <row r="58" spans="1:8">
      <c r="F58" s="115"/>
      <c r="H58" s="115"/>
    </row>
    <row r="59" spans="1:8">
      <c r="B59" s="105" t="str">
        <f>+B$36</f>
        <v xml:space="preserve">  Total</v>
      </c>
      <c r="F59" s="146">
        <f>SUM(F54:F57)</f>
        <v>455188</v>
      </c>
      <c r="H59" s="113">
        <f>SUM(H54:H57)</f>
        <v>314079</v>
      </c>
    </row>
    <row r="62" spans="1:8">
      <c r="A62" s="110" t="s">
        <v>79</v>
      </c>
      <c r="B62" s="110" t="s">
        <v>481</v>
      </c>
      <c r="C62" s="110"/>
    </row>
    <row r="63" spans="1:8">
      <c r="A63" s="110"/>
      <c r="B63" s="110"/>
      <c r="C63" s="110"/>
    </row>
    <row r="64" spans="1:8" ht="15.75">
      <c r="D64" s="188" t="s">
        <v>480</v>
      </c>
      <c r="E64" s="524"/>
      <c r="F64" s="121" t="s">
        <v>114</v>
      </c>
    </row>
    <row r="65" spans="1:11" ht="15.75">
      <c r="C65" s="110"/>
      <c r="D65" s="120" t="s">
        <v>6</v>
      </c>
      <c r="E65" s="524"/>
      <c r="F65" s="120" t="s">
        <v>154</v>
      </c>
      <c r="H65" s="120" t="s">
        <v>1</v>
      </c>
    </row>
    <row r="66" spans="1:11" ht="15.75">
      <c r="E66" s="524"/>
    </row>
    <row r="67" spans="1:11" ht="15.75">
      <c r="B67" s="105" t="str">
        <f>+B$31</f>
        <v xml:space="preserve">  Secondary</v>
      </c>
      <c r="D67" s="230">
        <f>+D239</f>
        <v>17240</v>
      </c>
      <c r="E67" s="524"/>
      <c r="F67" s="112">
        <f>'off peak'!E18</f>
        <v>1.66</v>
      </c>
      <c r="H67" s="146">
        <f>ROUND((F67*D67),0)</f>
        <v>28618</v>
      </c>
    </row>
    <row r="68" spans="1:11" ht="15.75">
      <c r="B68" s="105" t="str">
        <f>+B$32</f>
        <v xml:space="preserve">  Primary</v>
      </c>
      <c r="D68" s="146">
        <f>+D249</f>
        <v>485643</v>
      </c>
      <c r="E68" s="524"/>
      <c r="F68" s="112">
        <f>'off peak'!E20</f>
        <v>1.61</v>
      </c>
      <c r="H68" s="146">
        <f>ROUND((F68*D68),0)</f>
        <v>781885</v>
      </c>
      <c r="K68" s="146"/>
    </row>
    <row r="69" spans="1:11" ht="15.75">
      <c r="B69" s="105" t="str">
        <f>+B$33</f>
        <v xml:space="preserve">  Subtransmission</v>
      </c>
      <c r="D69" s="146">
        <f>+D259</f>
        <v>2752830</v>
      </c>
      <c r="E69" s="524"/>
      <c r="F69" s="112">
        <f>'off peak'!E22</f>
        <v>1.58</v>
      </c>
      <c r="H69" s="146">
        <f>ROUND((F69*D69),0)</f>
        <v>4349471</v>
      </c>
    </row>
    <row r="70" spans="1:11" ht="15.75">
      <c r="B70" s="105" t="str">
        <f>+B$34</f>
        <v xml:space="preserve">  Transmission</v>
      </c>
      <c r="D70" s="146">
        <f>+D270</f>
        <v>164990.70000000001</v>
      </c>
      <c r="E70" s="524"/>
      <c r="F70" s="112">
        <f>'off peak'!E24</f>
        <v>1.55</v>
      </c>
      <c r="H70" s="146">
        <f>ROUND((F70*D70),0)</f>
        <v>255736</v>
      </c>
    </row>
    <row r="71" spans="1:11">
      <c r="D71" s="187" t="s">
        <v>72</v>
      </c>
      <c r="H71" s="187" t="s">
        <v>72</v>
      </c>
    </row>
    <row r="72" spans="1:11">
      <c r="B72" s="105" t="str">
        <f>+B$36</f>
        <v xml:space="preserve">  Total</v>
      </c>
      <c r="D72" s="146">
        <f>SUM(D67:D70)</f>
        <v>3420703.7</v>
      </c>
      <c r="H72" s="113">
        <f>SUM(H67:H70)</f>
        <v>5415710</v>
      </c>
    </row>
    <row r="73" spans="1:11">
      <c r="D73" s="146"/>
      <c r="H73" s="113"/>
    </row>
    <row r="74" spans="1:11">
      <c r="D74" s="146"/>
      <c r="H74" s="113"/>
    </row>
    <row r="75" spans="1:11">
      <c r="A75" s="110" t="s">
        <v>80</v>
      </c>
      <c r="B75" s="110" t="s">
        <v>330</v>
      </c>
      <c r="C75" s="110"/>
    </row>
    <row r="76" spans="1:11">
      <c r="D76" s="188" t="s">
        <v>192</v>
      </c>
      <c r="F76" s="188" t="s">
        <v>340</v>
      </c>
      <c r="H76" s="188" t="s">
        <v>424</v>
      </c>
      <c r="J76" s="122"/>
    </row>
    <row r="77" spans="1:11">
      <c r="B77" s="110" t="s">
        <v>367</v>
      </c>
      <c r="C77" s="110"/>
      <c r="D77" s="120" t="s">
        <v>7</v>
      </c>
      <c r="F77" s="120" t="s">
        <v>339</v>
      </c>
      <c r="H77" s="120" t="s">
        <v>7</v>
      </c>
      <c r="J77" s="122"/>
    </row>
    <row r="78" spans="1:11">
      <c r="J78" s="122"/>
    </row>
    <row r="79" spans="1:11">
      <c r="B79" s="105" t="str">
        <f>+B67</f>
        <v xml:space="preserve">  Secondary</v>
      </c>
      <c r="D79" s="146">
        <f>+D20</f>
        <v>15517623</v>
      </c>
      <c r="F79" s="118">
        <v>1</v>
      </c>
      <c r="H79" s="146">
        <f>ROUND((D79*F79),0)</f>
        <v>15517623</v>
      </c>
      <c r="J79" s="122"/>
    </row>
    <row r="80" spans="1:11">
      <c r="B80" s="105" t="str">
        <f>+B68</f>
        <v xml:space="preserve">  Primary</v>
      </c>
      <c r="D80" s="146">
        <f>+F20</f>
        <v>283398759</v>
      </c>
      <c r="F80" s="118">
        <f>'Energy Basis'!C15</f>
        <v>0.96167000000000002</v>
      </c>
      <c r="H80" s="146">
        <f>ROUND((D80*F80),0)</f>
        <v>272536085</v>
      </c>
      <c r="J80" s="122"/>
    </row>
    <row r="81" spans="2:10">
      <c r="B81" s="105" t="str">
        <f>+B69</f>
        <v xml:space="preserve">  Subtransmission</v>
      </c>
      <c r="D81" s="146">
        <f>+H20</f>
        <v>1778446706</v>
      </c>
      <c r="F81" s="118">
        <f>'Energy Basis'!D15</f>
        <v>0.94896999999999998</v>
      </c>
      <c r="H81" s="146">
        <f>ROUND((D81*F81),0)</f>
        <v>1687692571</v>
      </c>
      <c r="J81" s="122"/>
    </row>
    <row r="82" spans="2:10">
      <c r="B82" s="105" t="str">
        <f>+B70</f>
        <v xml:space="preserve">  Transmission</v>
      </c>
      <c r="D82" s="146">
        <f>+J20</f>
        <v>313600300</v>
      </c>
      <c r="F82" s="118">
        <f>'Energy Basis'!E15</f>
        <v>0.93584999999999996</v>
      </c>
      <c r="H82" s="146">
        <f>ROUND((D82*F82),0)</f>
        <v>293482841</v>
      </c>
      <c r="J82" s="122"/>
    </row>
    <row r="83" spans="2:10">
      <c r="D83" s="115"/>
      <c r="H83" s="115"/>
      <c r="J83" s="122"/>
    </row>
    <row r="84" spans="2:10">
      <c r="B84" s="105" t="s">
        <v>9</v>
      </c>
      <c r="D84" s="146">
        <f>SUM(D79:D82)</f>
        <v>2390963388</v>
      </c>
      <c r="H84" s="146">
        <f>SUM(H79:H82)</f>
        <v>2269229120</v>
      </c>
      <c r="J84" s="122"/>
    </row>
    <row r="85" spans="2:10">
      <c r="D85" s="122"/>
      <c r="E85" s="188"/>
      <c r="F85" s="118"/>
      <c r="G85" s="188"/>
      <c r="H85" s="122"/>
      <c r="J85" s="122"/>
    </row>
    <row r="86" spans="2:10">
      <c r="D86" s="122"/>
      <c r="E86" s="188"/>
      <c r="F86" s="118"/>
      <c r="G86" s="188"/>
      <c r="H86" s="122"/>
      <c r="J86" s="122"/>
    </row>
    <row r="87" spans="2:10">
      <c r="B87" s="110" t="s">
        <v>417</v>
      </c>
      <c r="C87" s="110"/>
      <c r="D87" s="113">
        <f>+J6</f>
        <v>69788797</v>
      </c>
      <c r="E87" s="188"/>
      <c r="F87" s="118"/>
      <c r="G87" s="188"/>
      <c r="H87" s="122"/>
      <c r="J87" s="122"/>
    </row>
    <row r="88" spans="2:10">
      <c r="B88" s="110" t="s">
        <v>416</v>
      </c>
      <c r="C88" s="110"/>
      <c r="D88" s="146">
        <f>+H84</f>
        <v>2269229120</v>
      </c>
      <c r="E88" s="188"/>
      <c r="F88" s="118"/>
      <c r="G88" s="188"/>
      <c r="H88" s="122"/>
      <c r="J88" s="122"/>
    </row>
    <row r="89" spans="2:10">
      <c r="D89" s="115"/>
      <c r="E89" s="188"/>
      <c r="F89" s="118"/>
      <c r="G89" s="188"/>
      <c r="H89" s="122"/>
      <c r="J89" s="122"/>
    </row>
    <row r="90" spans="2:10">
      <c r="B90" s="110" t="s">
        <v>415</v>
      </c>
      <c r="C90" s="110"/>
      <c r="D90" s="106">
        <f>ROUND((D87/D88),5)</f>
        <v>3.075E-2</v>
      </c>
      <c r="E90" s="188"/>
      <c r="F90" s="118"/>
      <c r="G90" s="188"/>
      <c r="H90" s="122"/>
      <c r="J90" s="122"/>
    </row>
    <row r="91" spans="2:10">
      <c r="D91" s="122"/>
      <c r="E91" s="188"/>
      <c r="F91" s="118"/>
      <c r="G91" s="188"/>
      <c r="H91" s="122"/>
      <c r="J91" s="122"/>
    </row>
    <row r="92" spans="2:10">
      <c r="D92" s="122"/>
      <c r="E92" s="188"/>
      <c r="F92" s="188" t="s">
        <v>114</v>
      </c>
      <c r="G92" s="188"/>
      <c r="H92" s="122"/>
      <c r="J92" s="122"/>
    </row>
    <row r="93" spans="2:10">
      <c r="C93" s="188" t="s">
        <v>319</v>
      </c>
      <c r="D93" s="188" t="s">
        <v>340</v>
      </c>
      <c r="F93" s="121" t="s">
        <v>7</v>
      </c>
      <c r="G93" s="121"/>
      <c r="H93" s="122"/>
      <c r="J93" s="122"/>
    </row>
    <row r="94" spans="2:10">
      <c r="C94" s="120" t="s">
        <v>154</v>
      </c>
      <c r="D94" s="120" t="s">
        <v>339</v>
      </c>
      <c r="F94" s="536" t="s">
        <v>154</v>
      </c>
      <c r="G94" s="536"/>
      <c r="H94" s="122"/>
      <c r="J94" s="122"/>
    </row>
    <row r="95" spans="2:10">
      <c r="H95" s="122"/>
      <c r="J95" s="122"/>
    </row>
    <row r="96" spans="2:10">
      <c r="B96" s="105" t="str">
        <f>+B$31</f>
        <v xml:space="preserve">  Secondary</v>
      </c>
      <c r="C96" s="537">
        <f>+D90</f>
        <v>3.075E-2</v>
      </c>
      <c r="D96" s="118">
        <f>+F79</f>
        <v>1</v>
      </c>
      <c r="E96" s="188"/>
      <c r="F96" s="538">
        <f>ROUND(C96*D96,5)</f>
        <v>3.075E-2</v>
      </c>
      <c r="H96" s="122"/>
      <c r="J96" s="122"/>
    </row>
    <row r="97" spans="2:10">
      <c r="B97" s="105" t="str">
        <f>+B$32</f>
        <v xml:space="preserve">  Primary</v>
      </c>
      <c r="C97" s="122">
        <f>+$C$96</f>
        <v>3.075E-2</v>
      </c>
      <c r="D97" s="118">
        <f>+F80</f>
        <v>0.96167000000000002</v>
      </c>
      <c r="E97" s="188"/>
      <c r="F97" s="538">
        <f>ROUND(C97*D97,5)</f>
        <v>2.9569999999999999E-2</v>
      </c>
      <c r="H97" s="122"/>
      <c r="J97" s="122"/>
    </row>
    <row r="98" spans="2:10">
      <c r="B98" s="105" t="str">
        <f>+B$33</f>
        <v xml:space="preserve">  Subtransmission</v>
      </c>
      <c r="C98" s="122">
        <f>+$C$96</f>
        <v>3.075E-2</v>
      </c>
      <c r="D98" s="118">
        <f>+F81</f>
        <v>0.94896999999999998</v>
      </c>
      <c r="E98" s="188"/>
      <c r="F98" s="538">
        <f>ROUND(C98*D98,5)</f>
        <v>2.9180000000000001E-2</v>
      </c>
      <c r="H98" s="122"/>
      <c r="J98" s="122"/>
    </row>
    <row r="99" spans="2:10">
      <c r="B99" s="105" t="str">
        <f>+B$34</f>
        <v xml:space="preserve">  Transmission</v>
      </c>
      <c r="C99" s="122">
        <f>+$C$96</f>
        <v>3.075E-2</v>
      </c>
      <c r="D99" s="118">
        <f>+F82</f>
        <v>0.93584999999999996</v>
      </c>
      <c r="E99" s="188"/>
      <c r="F99" s="538">
        <f>ROUND(C99*D99,5)</f>
        <v>2.878E-2</v>
      </c>
      <c r="H99" s="122"/>
      <c r="J99" s="122"/>
    </row>
    <row r="100" spans="2:10">
      <c r="D100" s="122"/>
      <c r="E100" s="188"/>
      <c r="F100" s="118"/>
      <c r="G100" s="188"/>
      <c r="H100" s="122"/>
      <c r="J100" s="122"/>
    </row>
    <row r="101" spans="2:10">
      <c r="D101" s="122"/>
      <c r="E101" s="188"/>
      <c r="F101" s="118"/>
      <c r="G101" s="188"/>
      <c r="H101" s="122"/>
      <c r="J101" s="122"/>
    </row>
    <row r="102" spans="2:10">
      <c r="D102" s="122"/>
      <c r="E102" s="188"/>
      <c r="F102" s="118"/>
      <c r="G102" s="188"/>
      <c r="H102" s="122"/>
      <c r="J102" s="122"/>
    </row>
    <row r="103" spans="2:10">
      <c r="B103" s="110" t="s">
        <v>479</v>
      </c>
    </row>
    <row r="104" spans="2:10">
      <c r="D104" s="188" t="s">
        <v>192</v>
      </c>
      <c r="F104" s="121" t="s">
        <v>114</v>
      </c>
    </row>
    <row r="105" spans="2:10">
      <c r="C105" s="110"/>
      <c r="D105" s="120" t="s">
        <v>7</v>
      </c>
      <c r="F105" s="120" t="s">
        <v>154</v>
      </c>
      <c r="H105" s="120" t="s">
        <v>1</v>
      </c>
    </row>
    <row r="107" spans="2:10">
      <c r="B107" s="105" t="str">
        <f>+B$31</f>
        <v xml:space="preserve">  Secondary</v>
      </c>
      <c r="D107" s="146">
        <f>+D20</f>
        <v>15517623</v>
      </c>
      <c r="F107" s="119">
        <f>+F96</f>
        <v>3.075E-2</v>
      </c>
      <c r="G107" s="146"/>
      <c r="H107" s="146">
        <f>ROUND((F107*D107),0)</f>
        <v>477167</v>
      </c>
    </row>
    <row r="108" spans="2:10">
      <c r="B108" s="105" t="str">
        <f>+B$32</f>
        <v xml:space="preserve">  Primary</v>
      </c>
      <c r="D108" s="146">
        <f>+F20</f>
        <v>283398759</v>
      </c>
      <c r="F108" s="119">
        <f>+F97</f>
        <v>2.9569999999999999E-2</v>
      </c>
      <c r="G108" s="146"/>
      <c r="H108" s="146">
        <f>ROUND((F108*D108),0)</f>
        <v>8380101</v>
      </c>
    </row>
    <row r="109" spans="2:10">
      <c r="B109" s="105" t="str">
        <f>+B$33</f>
        <v xml:space="preserve">  Subtransmission</v>
      </c>
      <c r="D109" s="146">
        <f>+H20</f>
        <v>1778446706</v>
      </c>
      <c r="F109" s="119">
        <f>+F98</f>
        <v>2.9180000000000001E-2</v>
      </c>
      <c r="H109" s="146">
        <f>ROUND((F109*D109),0)</f>
        <v>51895075</v>
      </c>
    </row>
    <row r="110" spans="2:10">
      <c r="B110" s="105" t="str">
        <f>+B$34</f>
        <v xml:space="preserve">  Transmission</v>
      </c>
      <c r="D110" s="146">
        <f>+J20</f>
        <v>313600300</v>
      </c>
      <c r="F110" s="119">
        <f>+F99</f>
        <v>2.878E-2</v>
      </c>
      <c r="H110" s="146">
        <f>ROUND((F110*D110),0)</f>
        <v>9025417</v>
      </c>
    </row>
    <row r="111" spans="2:10">
      <c r="D111" s="187" t="s">
        <v>72</v>
      </c>
      <c r="H111" s="187" t="s">
        <v>72</v>
      </c>
    </row>
    <row r="112" spans="2:10">
      <c r="B112" s="105" t="str">
        <f>+B$36</f>
        <v xml:space="preserve">  Total</v>
      </c>
      <c r="D112" s="146">
        <f>SUM(D107:D110)</f>
        <v>2390963388</v>
      </c>
      <c r="H112" s="113">
        <f>SUM(H107:H110)</f>
        <v>69777760</v>
      </c>
      <c r="J112" s="523"/>
    </row>
    <row r="114" spans="1:10">
      <c r="H114" s="582"/>
    </row>
    <row r="115" spans="1:10">
      <c r="A115" s="110" t="s">
        <v>81</v>
      </c>
      <c r="B115" s="110" t="s">
        <v>478</v>
      </c>
      <c r="C115" s="110"/>
      <c r="H115" s="582"/>
    </row>
    <row r="116" spans="1:10">
      <c r="H116" s="582"/>
    </row>
    <row r="117" spans="1:10">
      <c r="D117" s="188" t="s">
        <v>477</v>
      </c>
      <c r="F117" s="188" t="s">
        <v>340</v>
      </c>
      <c r="H117" s="188" t="s">
        <v>424</v>
      </c>
    </row>
    <row r="118" spans="1:10">
      <c r="B118" s="110" t="s">
        <v>470</v>
      </c>
      <c r="C118" s="110"/>
      <c r="D118" s="120" t="s">
        <v>6</v>
      </c>
      <c r="F118" s="120" t="s">
        <v>339</v>
      </c>
      <c r="G118" s="532"/>
      <c r="H118" s="120" t="s">
        <v>6</v>
      </c>
    </row>
    <row r="120" spans="1:10">
      <c r="B120" s="105" t="str">
        <f>+B$31</f>
        <v xml:space="preserve">  Secondary</v>
      </c>
      <c r="D120" s="230">
        <f>D18</f>
        <v>31924.7</v>
      </c>
      <c r="F120" s="118">
        <v>1</v>
      </c>
      <c r="H120" s="146">
        <f>ROUND((D120*F120),0)</f>
        <v>31925</v>
      </c>
      <c r="J120" s="230"/>
    </row>
    <row r="121" spans="1:10">
      <c r="B121" s="105" t="str">
        <f>+B$32</f>
        <v xml:space="preserve">  Primary</v>
      </c>
      <c r="D121" s="146">
        <f>F18</f>
        <v>627063</v>
      </c>
      <c r="F121" s="118">
        <f>'Demand Basis'!C15</f>
        <v>0.96704999999999997</v>
      </c>
      <c r="H121" s="146">
        <f>ROUND((D121*F121),0)</f>
        <v>606401</v>
      </c>
      <c r="J121" s="230"/>
    </row>
    <row r="122" spans="1:10">
      <c r="B122" s="105" t="str">
        <f>+B$33</f>
        <v xml:space="preserve">  Subtransmission</v>
      </c>
      <c r="D122" s="146">
        <f>H18</f>
        <v>3109431</v>
      </c>
      <c r="F122" s="118">
        <f>'Demand Basis'!D15</f>
        <v>0.95125000000000004</v>
      </c>
      <c r="H122" s="146">
        <f>ROUND((D122*F122),0)</f>
        <v>2957846</v>
      </c>
      <c r="J122" s="230"/>
    </row>
    <row r="123" spans="1:10">
      <c r="B123" s="105" t="str">
        <f>+B$34</f>
        <v xml:space="preserve">  Transmission</v>
      </c>
      <c r="D123" s="146">
        <f>J18</f>
        <v>519861.3</v>
      </c>
      <c r="F123" s="118">
        <f>'Demand Basis'!E15</f>
        <v>0.93389</v>
      </c>
      <c r="G123" s="532"/>
      <c r="H123" s="146">
        <f>ROUND((D123*F123),0)</f>
        <v>485493</v>
      </c>
      <c r="J123" s="230"/>
    </row>
    <row r="124" spans="1:10">
      <c r="D124" s="115"/>
      <c r="F124" s="217"/>
      <c r="H124" s="583"/>
      <c r="J124" s="230"/>
    </row>
    <row r="125" spans="1:10">
      <c r="B125" s="105" t="str">
        <f>+B$36</f>
        <v xml:space="preserve">  Total</v>
      </c>
      <c r="D125" s="146">
        <f>SUM(D120:D123)</f>
        <v>4288280</v>
      </c>
      <c r="F125" s="217"/>
      <c r="H125" s="146">
        <f>SUM(H120:H123)</f>
        <v>4081665</v>
      </c>
    </row>
    <row r="126" spans="1:10">
      <c r="B126" s="527"/>
      <c r="C126" s="527"/>
      <c r="D126" s="146"/>
      <c r="E126" s="527"/>
      <c r="F126" s="217"/>
      <c r="G126" s="527"/>
      <c r="H126" s="146"/>
    </row>
    <row r="127" spans="1:10">
      <c r="F127" s="532"/>
      <c r="G127" s="532"/>
      <c r="H127" s="532"/>
    </row>
    <row r="128" spans="1:10">
      <c r="D128" s="188" t="s">
        <v>477</v>
      </c>
      <c r="F128" s="188" t="s">
        <v>423</v>
      </c>
      <c r="H128" s="188" t="s">
        <v>413</v>
      </c>
    </row>
    <row r="129" spans="2:11">
      <c r="B129" s="110" t="s">
        <v>422</v>
      </c>
      <c r="C129" s="110"/>
      <c r="D129" s="120" t="s">
        <v>6</v>
      </c>
      <c r="F129" s="120" t="s">
        <v>413</v>
      </c>
      <c r="H129" s="120" t="s">
        <v>1</v>
      </c>
    </row>
    <row r="130" spans="2:11">
      <c r="F130" s="532"/>
      <c r="G130" s="532"/>
      <c r="H130" s="532"/>
    </row>
    <row r="131" spans="2:11">
      <c r="B131" s="105" t="str">
        <f>+B$31</f>
        <v xml:space="preserve">  Secondary</v>
      </c>
      <c r="D131" s="146">
        <f>D120</f>
        <v>31924.7</v>
      </c>
      <c r="F131" s="117">
        <v>0</v>
      </c>
      <c r="G131" s="532"/>
      <c r="H131" s="123">
        <f>ROUND((D131*F131),0)</f>
        <v>0</v>
      </c>
    </row>
    <row r="132" spans="2:11">
      <c r="B132" s="105" t="str">
        <f>+B$32</f>
        <v xml:space="preserve">  Primary</v>
      </c>
      <c r="D132" s="146">
        <f>D121</f>
        <v>627063</v>
      </c>
      <c r="F132" s="117">
        <f>'Demand Basis'!F32</f>
        <v>-2.4900000000000002</v>
      </c>
      <c r="H132" s="123">
        <f>ROUND((D132*F132),0)</f>
        <v>-1561387</v>
      </c>
    </row>
    <row r="133" spans="2:11">
      <c r="B133" s="105" t="str">
        <f>+B$33</f>
        <v xml:space="preserve">  Subtransmission</v>
      </c>
      <c r="D133" s="146">
        <f>D122</f>
        <v>3109431</v>
      </c>
      <c r="F133" s="117">
        <f>'Demand Basis'!F33</f>
        <v>-8.5500000000000007</v>
      </c>
      <c r="H133" s="123">
        <f>ROUND((D133*F133),0)</f>
        <v>-26585635</v>
      </c>
    </row>
    <row r="134" spans="2:11">
      <c r="B134" s="105" t="str">
        <f>+B$34</f>
        <v xml:space="preserve">  Transmission</v>
      </c>
      <c r="D134" s="146">
        <f>D123</f>
        <v>519861.3</v>
      </c>
      <c r="F134" s="117">
        <f>'Demand Basis'!F34</f>
        <v>-8.5500000000000007</v>
      </c>
      <c r="H134" s="123">
        <f>ROUND((D134*F134),0)</f>
        <v>-4444814</v>
      </c>
    </row>
    <row r="135" spans="2:11">
      <c r="D135" s="115"/>
      <c r="H135" s="114"/>
    </row>
    <row r="136" spans="2:11">
      <c r="B136" s="105" t="str">
        <f>+B$177</f>
        <v xml:space="preserve">  Total</v>
      </c>
      <c r="D136" s="146">
        <f>SUM(D131:D134)</f>
        <v>4288280</v>
      </c>
      <c r="H136" s="123">
        <f>SUM(H131:H134)</f>
        <v>-32591836</v>
      </c>
    </row>
    <row r="137" spans="2:11">
      <c r="H137" s="582"/>
    </row>
    <row r="138" spans="2:11">
      <c r="H138" s="582"/>
    </row>
    <row r="139" spans="2:11">
      <c r="B139" s="110" t="s">
        <v>476</v>
      </c>
      <c r="C139" s="110"/>
      <c r="D139" s="113">
        <f>J5</f>
        <v>78021424</v>
      </c>
      <c r="F139" s="298"/>
      <c r="G139" s="110"/>
      <c r="H139" s="110"/>
      <c r="I139" s="110"/>
      <c r="J139" s="12"/>
      <c r="K139" s="110"/>
    </row>
    <row r="140" spans="2:11">
      <c r="B140" s="110" t="s">
        <v>475</v>
      </c>
      <c r="C140" s="110"/>
      <c r="D140" s="584">
        <f>H136</f>
        <v>-32591836</v>
      </c>
      <c r="F140" s="299"/>
      <c r="G140" s="110"/>
      <c r="H140" s="110"/>
      <c r="I140" s="110"/>
      <c r="J140" s="12"/>
      <c r="K140" s="110"/>
    </row>
    <row r="141" spans="2:11">
      <c r="D141" s="125"/>
      <c r="F141" s="110"/>
      <c r="G141" s="110"/>
      <c r="H141" s="110"/>
      <c r="I141" s="110"/>
      <c r="J141" s="12"/>
      <c r="K141" s="110"/>
    </row>
    <row r="142" spans="2:11">
      <c r="B142" s="110" t="s">
        <v>461</v>
      </c>
      <c r="C142" s="110"/>
      <c r="D142" s="113">
        <f>D139-SUM(D140:D140)</f>
        <v>110613260</v>
      </c>
      <c r="F142" s="298"/>
      <c r="G142" s="110"/>
      <c r="H142" s="298"/>
      <c r="I142" s="110"/>
      <c r="J142" s="110"/>
      <c r="K142" s="110"/>
    </row>
    <row r="143" spans="2:11">
      <c r="B143" s="110" t="s">
        <v>474</v>
      </c>
      <c r="C143" s="110"/>
      <c r="D143" s="146">
        <f>H125</f>
        <v>4081665</v>
      </c>
      <c r="F143" s="298"/>
      <c r="G143" s="110"/>
      <c r="H143" s="298"/>
      <c r="I143" s="110"/>
      <c r="J143" s="298"/>
      <c r="K143" s="110"/>
    </row>
    <row r="144" spans="2:11">
      <c r="D144" s="115"/>
      <c r="F144" s="110"/>
      <c r="G144" s="110"/>
      <c r="H144" s="110"/>
      <c r="I144" s="110"/>
      <c r="J144" s="110"/>
      <c r="K144" s="110"/>
    </row>
    <row r="145" spans="2:12">
      <c r="B145" s="110" t="s">
        <v>459</v>
      </c>
      <c r="C145" s="116"/>
      <c r="D145" s="109">
        <f>ROUND(D142/D143,2)</f>
        <v>27.1</v>
      </c>
      <c r="F145" s="17"/>
      <c r="G145" s="110"/>
      <c r="H145" s="110"/>
      <c r="I145" s="110"/>
      <c r="J145" s="17"/>
      <c r="K145" s="110"/>
    </row>
    <row r="146" spans="2:12">
      <c r="B146" s="214"/>
      <c r="C146" s="214"/>
      <c r="D146" s="145"/>
    </row>
    <row r="147" spans="2:12">
      <c r="D147" s="188" t="s">
        <v>319</v>
      </c>
      <c r="F147" s="188" t="s">
        <v>340</v>
      </c>
      <c r="H147" s="188" t="s">
        <v>6</v>
      </c>
      <c r="J147" s="188" t="s">
        <v>423</v>
      </c>
      <c r="L147" s="188" t="s">
        <v>114</v>
      </c>
    </row>
    <row r="148" spans="2:12">
      <c r="B148" s="110" t="s">
        <v>426</v>
      </c>
      <c r="C148" s="110"/>
      <c r="D148" s="120" t="s">
        <v>154</v>
      </c>
      <c r="F148" s="120" t="s">
        <v>339</v>
      </c>
      <c r="H148" s="120" t="s">
        <v>154</v>
      </c>
      <c r="J148" s="120" t="s">
        <v>413</v>
      </c>
      <c r="L148" s="120" t="s">
        <v>154</v>
      </c>
    </row>
    <row r="150" spans="2:12">
      <c r="B150" s="105" t="str">
        <f>+B$31</f>
        <v xml:space="preserve">  Secondary</v>
      </c>
      <c r="D150" s="112">
        <f>D145</f>
        <v>27.1</v>
      </c>
      <c r="F150" s="118">
        <f>F120</f>
        <v>1</v>
      </c>
      <c r="G150" s="213"/>
      <c r="H150" s="112">
        <f>ROUND((D150*F150),2)</f>
        <v>27.1</v>
      </c>
      <c r="I150" s="213"/>
      <c r="J150" s="117">
        <f>F131</f>
        <v>0</v>
      </c>
      <c r="L150" s="112">
        <f>H150+J150</f>
        <v>27.1</v>
      </c>
    </row>
    <row r="151" spans="2:12">
      <c r="B151" s="105" t="str">
        <f>+B$32</f>
        <v xml:space="preserve">  Primary</v>
      </c>
      <c r="D151" s="112">
        <f>D150</f>
        <v>27.1</v>
      </c>
      <c r="F151" s="118">
        <f>F121</f>
        <v>0.96704999999999997</v>
      </c>
      <c r="G151" s="213"/>
      <c r="H151" s="112">
        <f>ROUND((D151*F151),2)</f>
        <v>26.21</v>
      </c>
      <c r="I151" s="213"/>
      <c r="J151" s="117">
        <f>F132</f>
        <v>-2.4900000000000002</v>
      </c>
      <c r="L151" s="112">
        <f>H151+J151</f>
        <v>23.72</v>
      </c>
    </row>
    <row r="152" spans="2:12">
      <c r="B152" s="105" t="str">
        <f>+B$33</f>
        <v xml:space="preserve">  Subtransmission</v>
      </c>
      <c r="D152" s="112">
        <f>D151</f>
        <v>27.1</v>
      </c>
      <c r="F152" s="118">
        <f>F122</f>
        <v>0.95125000000000004</v>
      </c>
      <c r="G152" s="213"/>
      <c r="H152" s="112">
        <f>ROUND((D152*F152),2)</f>
        <v>25.78</v>
      </c>
      <c r="I152" s="213"/>
      <c r="J152" s="117">
        <f>F133</f>
        <v>-8.5500000000000007</v>
      </c>
      <c r="L152" s="112">
        <f>H152+J152</f>
        <v>17.23</v>
      </c>
    </row>
    <row r="153" spans="2:12">
      <c r="B153" s="105" t="str">
        <f>+B$34</f>
        <v xml:space="preserve">  Transmission</v>
      </c>
      <c r="D153" s="112">
        <f>D152</f>
        <v>27.1</v>
      </c>
      <c r="F153" s="118">
        <f>F123</f>
        <v>0.93389</v>
      </c>
      <c r="G153" s="213"/>
      <c r="H153" s="112">
        <f>ROUND((D153*F153),2)</f>
        <v>25.31</v>
      </c>
      <c r="I153" s="213"/>
      <c r="J153" s="117">
        <f>F134</f>
        <v>-8.5500000000000007</v>
      </c>
      <c r="L153" s="112">
        <f>H153+J153</f>
        <v>16.759999999999998</v>
      </c>
    </row>
    <row r="154" spans="2:12">
      <c r="D154" s="112"/>
      <c r="F154" s="118"/>
      <c r="G154" s="213"/>
      <c r="H154" s="112"/>
      <c r="I154" s="213"/>
      <c r="J154" s="117"/>
      <c r="L154" s="112"/>
    </row>
    <row r="155" spans="2:12">
      <c r="B155" s="110" t="s">
        <v>473</v>
      </c>
    </row>
    <row r="156" spans="2:12">
      <c r="D156" s="188" t="s">
        <v>472</v>
      </c>
      <c r="F156" s="121" t="s">
        <v>114</v>
      </c>
    </row>
    <row r="157" spans="2:12">
      <c r="C157" s="110"/>
      <c r="D157" s="120" t="s">
        <v>6</v>
      </c>
      <c r="F157" s="120" t="s">
        <v>154</v>
      </c>
      <c r="H157" s="120" t="s">
        <v>1</v>
      </c>
    </row>
    <row r="159" spans="2:12">
      <c r="B159" s="105" t="str">
        <f>+B$31</f>
        <v xml:space="preserve">  Secondary</v>
      </c>
      <c r="D159" s="146">
        <f>D17</f>
        <v>13841</v>
      </c>
      <c r="F159" s="112">
        <f>L150</f>
        <v>27.1</v>
      </c>
      <c r="G159" s="146"/>
      <c r="H159" s="146">
        <f>ROUND((F159*D159),0)</f>
        <v>375091</v>
      </c>
    </row>
    <row r="160" spans="2:12">
      <c r="B160" s="105" t="str">
        <f>+B$32</f>
        <v xml:space="preserve">  Primary</v>
      </c>
      <c r="D160" s="146">
        <f>F17</f>
        <v>111893</v>
      </c>
      <c r="F160" s="112">
        <f>L151</f>
        <v>23.72</v>
      </c>
      <c r="G160" s="146"/>
      <c r="H160" s="146">
        <f>ROUND((F160*D160),0)</f>
        <v>2654102</v>
      </c>
      <c r="J160" s="531"/>
    </row>
    <row r="161" spans="1:10">
      <c r="B161" s="105" t="str">
        <f>+B$33</f>
        <v xml:space="preserve">  Subtransmission</v>
      </c>
      <c r="D161" s="146">
        <f>H17</f>
        <v>311262</v>
      </c>
      <c r="F161" s="112">
        <f>L152</f>
        <v>17.23</v>
      </c>
      <c r="H161" s="146">
        <f>ROUND((F161*D161),0)</f>
        <v>5363044</v>
      </c>
      <c r="J161" s="531"/>
    </row>
    <row r="162" spans="1:10">
      <c r="B162" s="105" t="str">
        <f>+B$34</f>
        <v xml:space="preserve">  Transmission</v>
      </c>
      <c r="D162" s="146">
        <f>J17</f>
        <v>350678.1</v>
      </c>
      <c r="F162" s="112">
        <f>L153</f>
        <v>16.759999999999998</v>
      </c>
      <c r="H162" s="146">
        <f>ROUND((F162*D162),0)</f>
        <v>5877365</v>
      </c>
      <c r="J162" s="531"/>
    </row>
    <row r="163" spans="1:10">
      <c r="D163" s="187" t="s">
        <v>72</v>
      </c>
      <c r="H163" s="187" t="s">
        <v>72</v>
      </c>
    </row>
    <row r="164" spans="1:10">
      <c r="B164" s="105" t="str">
        <f>+B$36</f>
        <v xml:space="preserve">  Total</v>
      </c>
      <c r="D164" s="146">
        <f>SUM(D159:D162)</f>
        <v>787674.1</v>
      </c>
      <c r="H164" s="113">
        <f>SUM(H159:H162)</f>
        <v>14269602</v>
      </c>
    </row>
    <row r="165" spans="1:10">
      <c r="D165" s="146"/>
      <c r="H165" s="113"/>
    </row>
    <row r="166" spans="1:10">
      <c r="D166" s="146"/>
      <c r="H166" s="113"/>
    </row>
    <row r="167" spans="1:10">
      <c r="A167" s="110" t="s">
        <v>81</v>
      </c>
      <c r="B167" s="110" t="s">
        <v>471</v>
      </c>
      <c r="C167" s="110"/>
    </row>
    <row r="169" spans="1:10">
      <c r="D169" s="188" t="s">
        <v>192</v>
      </c>
      <c r="F169" s="188" t="s">
        <v>340</v>
      </c>
      <c r="H169" s="188" t="s">
        <v>424</v>
      </c>
    </row>
    <row r="170" spans="1:10">
      <c r="B170" s="110" t="s">
        <v>470</v>
      </c>
      <c r="C170" s="110"/>
      <c r="D170" s="120" t="s">
        <v>6</v>
      </c>
      <c r="F170" s="120" t="s">
        <v>339</v>
      </c>
      <c r="G170" s="532"/>
      <c r="H170" s="120" t="s">
        <v>6</v>
      </c>
    </row>
    <row r="172" spans="1:10">
      <c r="B172" s="105" t="str">
        <f>+B$31</f>
        <v xml:space="preserve">  Secondary</v>
      </c>
      <c r="D172" s="230">
        <f>+D15</f>
        <v>18083.7</v>
      </c>
      <c r="F172" s="118">
        <f>F120</f>
        <v>1</v>
      </c>
      <c r="H172" s="146">
        <f>ROUND((D172*F172),0)</f>
        <v>18084</v>
      </c>
    </row>
    <row r="173" spans="1:10">
      <c r="B173" s="105" t="str">
        <f>+B$32</f>
        <v xml:space="preserve">  Primary</v>
      </c>
      <c r="D173" s="146">
        <f>+F15</f>
        <v>515170</v>
      </c>
      <c r="F173" s="118">
        <f>F121</f>
        <v>0.96704999999999997</v>
      </c>
      <c r="H173" s="146">
        <f>ROUND((D173*F173),0)</f>
        <v>498195</v>
      </c>
    </row>
    <row r="174" spans="1:10">
      <c r="B174" s="105" t="str">
        <f>+B$33</f>
        <v xml:space="preserve">  Subtransmission</v>
      </c>
      <c r="D174" s="146">
        <f>+H15</f>
        <v>2798169</v>
      </c>
      <c r="F174" s="118">
        <f>F122</f>
        <v>0.95125000000000004</v>
      </c>
      <c r="H174" s="146">
        <f>ROUND((D174*F174),0)</f>
        <v>2661758</v>
      </c>
    </row>
    <row r="175" spans="1:10">
      <c r="B175" s="105" t="str">
        <f>+B$34</f>
        <v xml:space="preserve">  Transmission</v>
      </c>
      <c r="D175" s="146">
        <f>+J15</f>
        <v>169183.2</v>
      </c>
      <c r="F175" s="118">
        <f>F123</f>
        <v>0.93389</v>
      </c>
      <c r="G175" s="532"/>
      <c r="H175" s="146">
        <f>ROUND((D175*F175),0)</f>
        <v>157998</v>
      </c>
    </row>
    <row r="176" spans="1:10">
      <c r="D176" s="115"/>
      <c r="F176" s="217"/>
      <c r="H176" s="583"/>
    </row>
    <row r="177" spans="1:248">
      <c r="B177" s="105" t="str">
        <f>+B$36</f>
        <v xml:space="preserve">  Total</v>
      </c>
      <c r="D177" s="146">
        <f>SUM(D172:D175)</f>
        <v>3500605.9000000004</v>
      </c>
      <c r="F177" s="217"/>
      <c r="H177" s="146">
        <f>SUM(H172:H175)</f>
        <v>3336035</v>
      </c>
    </row>
    <row r="178" spans="1:248">
      <c r="A178" s="527"/>
      <c r="B178" s="527"/>
      <c r="C178" s="527"/>
      <c r="D178" s="146"/>
      <c r="E178" s="527"/>
      <c r="F178" s="217"/>
      <c r="G178" s="527"/>
      <c r="H178" s="146"/>
      <c r="I178" s="527"/>
      <c r="J178" s="527"/>
      <c r="K178" s="527"/>
      <c r="L178" s="527"/>
      <c r="M178" s="527"/>
      <c r="N178" s="527"/>
      <c r="O178" s="527"/>
      <c r="P178" s="527"/>
      <c r="Q178" s="527"/>
      <c r="R178" s="527"/>
      <c r="S178" s="527"/>
      <c r="T178" s="527"/>
      <c r="U178" s="527"/>
      <c r="V178" s="527"/>
      <c r="W178" s="527"/>
      <c r="X178" s="527"/>
      <c r="Y178" s="527"/>
      <c r="Z178" s="527"/>
      <c r="AA178" s="527"/>
      <c r="AB178" s="527"/>
      <c r="AC178" s="527"/>
      <c r="AD178" s="527"/>
      <c r="AE178" s="527"/>
      <c r="AF178" s="527"/>
      <c r="AG178" s="527"/>
      <c r="AH178" s="527"/>
      <c r="AI178" s="527"/>
      <c r="AJ178" s="527"/>
      <c r="AK178" s="527"/>
      <c r="AL178" s="527"/>
      <c r="AM178" s="527"/>
      <c r="AN178" s="527"/>
      <c r="AO178" s="527"/>
      <c r="AP178" s="527"/>
      <c r="AQ178" s="527"/>
      <c r="AR178" s="527"/>
      <c r="AS178" s="527"/>
      <c r="AT178" s="527"/>
      <c r="AU178" s="527"/>
      <c r="AV178" s="527"/>
      <c r="AW178" s="527"/>
      <c r="AX178" s="527"/>
      <c r="AY178" s="527"/>
      <c r="AZ178" s="527"/>
      <c r="BA178" s="527"/>
      <c r="BB178" s="527"/>
      <c r="BC178" s="527"/>
      <c r="BD178" s="527"/>
      <c r="BE178" s="527"/>
      <c r="BF178" s="527"/>
      <c r="BG178" s="527"/>
      <c r="BH178" s="527"/>
      <c r="BI178" s="527"/>
      <c r="BJ178" s="527"/>
      <c r="BK178" s="527"/>
      <c r="BL178" s="527"/>
      <c r="BM178" s="527"/>
      <c r="BN178" s="527"/>
      <c r="BO178" s="527"/>
      <c r="BP178" s="527"/>
      <c r="BQ178" s="527"/>
      <c r="BR178" s="527"/>
      <c r="BS178" s="527"/>
      <c r="BT178" s="527"/>
      <c r="BU178" s="527"/>
      <c r="BV178" s="527"/>
      <c r="BW178" s="527"/>
      <c r="BX178" s="527"/>
      <c r="BY178" s="527"/>
      <c r="BZ178" s="527"/>
      <c r="CA178" s="527"/>
      <c r="CB178" s="527"/>
      <c r="CC178" s="527"/>
      <c r="CD178" s="527"/>
      <c r="CE178" s="527"/>
      <c r="CF178" s="527"/>
      <c r="CG178" s="527"/>
      <c r="CH178" s="527"/>
      <c r="CI178" s="527"/>
      <c r="CJ178" s="527"/>
      <c r="CK178" s="527"/>
      <c r="CL178" s="527"/>
      <c r="CM178" s="527"/>
      <c r="CN178" s="527"/>
      <c r="CO178" s="527"/>
      <c r="CP178" s="527"/>
      <c r="CQ178" s="527"/>
      <c r="CR178" s="527"/>
      <c r="CS178" s="527"/>
      <c r="CT178" s="527"/>
      <c r="CU178" s="527"/>
      <c r="CV178" s="527"/>
      <c r="CW178" s="527"/>
      <c r="CX178" s="527"/>
      <c r="CY178" s="527"/>
      <c r="CZ178" s="527"/>
      <c r="DA178" s="527"/>
      <c r="DB178" s="527"/>
      <c r="DC178" s="527"/>
      <c r="DD178" s="527"/>
      <c r="DE178" s="527"/>
      <c r="DF178" s="527"/>
      <c r="DG178" s="527"/>
      <c r="DH178" s="527"/>
      <c r="DI178" s="527"/>
      <c r="DJ178" s="527"/>
      <c r="DK178" s="527"/>
      <c r="DL178" s="527"/>
      <c r="DM178" s="527"/>
      <c r="DN178" s="527"/>
      <c r="DO178" s="527"/>
      <c r="DP178" s="527"/>
      <c r="DQ178" s="527"/>
      <c r="DR178" s="527"/>
      <c r="DS178" s="527"/>
      <c r="DT178" s="527"/>
      <c r="DU178" s="527"/>
      <c r="DV178" s="527"/>
      <c r="DW178" s="527"/>
      <c r="DX178" s="527"/>
      <c r="DY178" s="527"/>
      <c r="DZ178" s="527"/>
      <c r="EA178" s="527"/>
      <c r="EB178" s="527"/>
      <c r="EC178" s="527"/>
      <c r="ED178" s="527"/>
      <c r="EE178" s="527"/>
      <c r="EF178" s="527"/>
      <c r="EG178" s="527"/>
      <c r="EH178" s="527"/>
      <c r="EI178" s="527"/>
      <c r="EJ178" s="527"/>
      <c r="EK178" s="527"/>
      <c r="EL178" s="527"/>
      <c r="EM178" s="527"/>
      <c r="EN178" s="527"/>
      <c r="EO178" s="527"/>
      <c r="EP178" s="527"/>
      <c r="EQ178" s="527"/>
      <c r="ER178" s="527"/>
      <c r="ES178" s="527"/>
      <c r="ET178" s="527"/>
      <c r="EU178" s="527"/>
      <c r="EV178" s="527"/>
      <c r="EW178" s="527"/>
      <c r="EX178" s="527"/>
      <c r="EY178" s="527"/>
      <c r="EZ178" s="527"/>
      <c r="FA178" s="527"/>
      <c r="FB178" s="527"/>
      <c r="FC178" s="527"/>
      <c r="FD178" s="527"/>
      <c r="FE178" s="527"/>
      <c r="FF178" s="527"/>
      <c r="FG178" s="527"/>
      <c r="FH178" s="527"/>
      <c r="FI178" s="527"/>
      <c r="FJ178" s="527"/>
      <c r="FK178" s="527"/>
      <c r="FL178" s="527"/>
      <c r="FM178" s="527"/>
      <c r="FN178" s="527"/>
      <c r="FO178" s="527"/>
      <c r="FP178" s="527"/>
      <c r="FQ178" s="527"/>
      <c r="FR178" s="527"/>
      <c r="FS178" s="527"/>
      <c r="FT178" s="527"/>
      <c r="FU178" s="527"/>
      <c r="FV178" s="527"/>
      <c r="FW178" s="527"/>
      <c r="FX178" s="527"/>
      <c r="FY178" s="527"/>
      <c r="FZ178" s="527"/>
      <c r="GA178" s="527"/>
      <c r="GB178" s="527"/>
      <c r="GC178" s="527"/>
      <c r="GD178" s="527"/>
      <c r="GE178" s="527"/>
      <c r="GF178" s="527"/>
      <c r="GG178" s="527"/>
      <c r="GH178" s="527"/>
      <c r="GI178" s="527"/>
      <c r="GJ178" s="527"/>
      <c r="GK178" s="527"/>
      <c r="GL178" s="527"/>
      <c r="GM178" s="527"/>
      <c r="GN178" s="527"/>
      <c r="GO178" s="527"/>
      <c r="GP178" s="527"/>
      <c r="GQ178" s="527"/>
      <c r="GR178" s="527"/>
      <c r="GS178" s="527"/>
      <c r="GT178" s="527"/>
      <c r="GU178" s="527"/>
      <c r="GV178" s="527"/>
      <c r="GW178" s="527"/>
      <c r="GX178" s="527"/>
      <c r="GY178" s="527"/>
      <c r="GZ178" s="527"/>
      <c r="HA178" s="527"/>
      <c r="HB178" s="527"/>
      <c r="HC178" s="527"/>
      <c r="HD178" s="527"/>
      <c r="HE178" s="527"/>
      <c r="HF178" s="527"/>
      <c r="HG178" s="527"/>
      <c r="HH178" s="527"/>
      <c r="HI178" s="527"/>
      <c r="HJ178" s="527"/>
      <c r="HK178" s="527"/>
      <c r="HL178" s="527"/>
      <c r="HM178" s="527"/>
      <c r="HN178" s="527"/>
      <c r="HO178" s="527"/>
      <c r="HP178" s="527"/>
      <c r="HQ178" s="527"/>
      <c r="HR178" s="527"/>
      <c r="HS178" s="527"/>
      <c r="HT178" s="527"/>
      <c r="HU178" s="527"/>
      <c r="HV178" s="527"/>
      <c r="HW178" s="527"/>
      <c r="HX178" s="527"/>
      <c r="HY178" s="527"/>
      <c r="HZ178" s="527"/>
      <c r="IA178" s="527"/>
      <c r="IB178" s="527"/>
      <c r="IC178" s="527"/>
      <c r="ID178" s="527"/>
      <c r="IE178" s="527"/>
      <c r="IF178" s="527"/>
      <c r="IG178" s="527"/>
      <c r="IH178" s="527"/>
      <c r="II178" s="527"/>
      <c r="IJ178" s="527"/>
      <c r="IK178" s="527"/>
      <c r="IL178" s="527"/>
      <c r="IM178" s="527"/>
      <c r="IN178" s="527"/>
    </row>
    <row r="179" spans="1:248">
      <c r="F179" s="532"/>
      <c r="G179" s="532"/>
      <c r="H179" s="532"/>
    </row>
    <row r="180" spans="1:248">
      <c r="D180" s="188" t="s">
        <v>192</v>
      </c>
      <c r="F180" s="188" t="s">
        <v>423</v>
      </c>
      <c r="H180" s="188" t="s">
        <v>413</v>
      </c>
    </row>
    <row r="181" spans="1:248">
      <c r="B181" s="110" t="s">
        <v>422</v>
      </c>
      <c r="C181" s="110"/>
      <c r="D181" s="120" t="s">
        <v>6</v>
      </c>
      <c r="F181" s="120" t="s">
        <v>413</v>
      </c>
      <c r="H181" s="120" t="s">
        <v>1</v>
      </c>
    </row>
    <row r="182" spans="1:248">
      <c r="F182" s="532"/>
      <c r="G182" s="532"/>
      <c r="H182" s="532"/>
    </row>
    <row r="183" spans="1:248">
      <c r="B183" s="105" t="str">
        <f>+B$31</f>
        <v xml:space="preserve">  Secondary</v>
      </c>
      <c r="D183" s="146">
        <f>+D$172</f>
        <v>18083.7</v>
      </c>
      <c r="F183" s="117">
        <f>F131</f>
        <v>0</v>
      </c>
      <c r="G183" s="532"/>
      <c r="H183" s="123">
        <f>ROUND((D183*F183),0)</f>
        <v>0</v>
      </c>
    </row>
    <row r="184" spans="1:248">
      <c r="B184" s="105" t="str">
        <f>+B$32</f>
        <v xml:space="preserve">  Primary</v>
      </c>
      <c r="D184" s="146">
        <f>+D$173</f>
        <v>515170</v>
      </c>
      <c r="F184" s="117">
        <f>F132</f>
        <v>-2.4900000000000002</v>
      </c>
      <c r="H184" s="123">
        <f>ROUND((D184*F184),0)</f>
        <v>-1282773</v>
      </c>
    </row>
    <row r="185" spans="1:248">
      <c r="B185" s="105" t="str">
        <f>+B$33</f>
        <v xml:space="preserve">  Subtransmission</v>
      </c>
      <c r="D185" s="146">
        <f>+D$174</f>
        <v>2798169</v>
      </c>
      <c r="F185" s="117">
        <f>F133</f>
        <v>-8.5500000000000007</v>
      </c>
      <c r="H185" s="123">
        <f>ROUND((D185*F185),0)</f>
        <v>-23924345</v>
      </c>
    </row>
    <row r="186" spans="1:248">
      <c r="B186" s="105" t="str">
        <f>+B$34</f>
        <v xml:space="preserve">  Transmission</v>
      </c>
      <c r="D186" s="146">
        <f>+D$175</f>
        <v>169183.2</v>
      </c>
      <c r="F186" s="117">
        <f>F134</f>
        <v>-8.5500000000000007</v>
      </c>
      <c r="H186" s="123">
        <f>ROUND((D186*F186),0)</f>
        <v>-1446516</v>
      </c>
    </row>
    <row r="187" spans="1:248">
      <c r="D187" s="115"/>
      <c r="H187" s="114"/>
    </row>
    <row r="188" spans="1:248">
      <c r="B188" s="105" t="str">
        <f>+B$177</f>
        <v xml:space="preserve">  Total</v>
      </c>
      <c r="D188" s="146">
        <f>SUM(D183:D186)</f>
        <v>3500605.9000000004</v>
      </c>
      <c r="H188" s="123">
        <f>SUM(H183:H186)</f>
        <v>-26653634</v>
      </c>
    </row>
    <row r="189" spans="1:248">
      <c r="H189" s="582"/>
    </row>
    <row r="190" spans="1:248">
      <c r="H190" s="582"/>
    </row>
    <row r="191" spans="1:248">
      <c r="B191" s="110" t="s">
        <v>468</v>
      </c>
      <c r="C191" s="110"/>
      <c r="D191" s="113">
        <f>J9</f>
        <v>148066567</v>
      </c>
      <c r="F191" s="298"/>
      <c r="G191" s="110"/>
      <c r="H191" s="110"/>
      <c r="I191" s="110"/>
      <c r="J191" s="12"/>
      <c r="K191" s="110"/>
    </row>
    <row r="192" spans="1:248">
      <c r="B192" s="105" t="s">
        <v>467</v>
      </c>
      <c r="D192" s="523">
        <f>J46</f>
        <v>425604</v>
      </c>
      <c r="F192" s="523"/>
    </row>
    <row r="193" spans="2:12">
      <c r="B193" s="110" t="s">
        <v>466</v>
      </c>
      <c r="C193" s="110"/>
      <c r="D193" s="146">
        <f>H59</f>
        <v>314079</v>
      </c>
      <c r="F193" s="12"/>
      <c r="G193" s="110"/>
      <c r="H193" s="110"/>
      <c r="I193" s="110"/>
      <c r="J193" s="17"/>
      <c r="K193" s="110"/>
    </row>
    <row r="194" spans="2:12">
      <c r="B194" s="110" t="s">
        <v>465</v>
      </c>
      <c r="C194" s="110"/>
      <c r="D194" s="146">
        <f>H72</f>
        <v>5415710</v>
      </c>
      <c r="F194" s="12"/>
      <c r="G194" s="110"/>
      <c r="H194" s="110"/>
      <c r="I194" s="110"/>
      <c r="J194" s="17"/>
      <c r="K194" s="110"/>
    </row>
    <row r="195" spans="2:12">
      <c r="B195" s="110" t="s">
        <v>996</v>
      </c>
      <c r="C195" s="110"/>
      <c r="D195" s="146">
        <f>H261</f>
        <v>-42026</v>
      </c>
      <c r="F195" s="12"/>
      <c r="G195" s="110"/>
      <c r="H195" s="110"/>
      <c r="I195" s="110"/>
      <c r="J195" s="17"/>
      <c r="K195" s="110"/>
    </row>
    <row r="196" spans="2:12">
      <c r="B196" s="110" t="s">
        <v>464</v>
      </c>
      <c r="C196" s="110"/>
      <c r="D196" s="146">
        <f>H112</f>
        <v>69777760</v>
      </c>
      <c r="F196" s="298"/>
      <c r="G196" s="110"/>
      <c r="H196" s="298"/>
      <c r="I196" s="110"/>
      <c r="J196" s="17"/>
      <c r="K196" s="110"/>
    </row>
    <row r="197" spans="2:12">
      <c r="B197" s="110" t="s">
        <v>463</v>
      </c>
      <c r="C197" s="110"/>
      <c r="D197" s="146">
        <f>H164</f>
        <v>14269602</v>
      </c>
      <c r="F197" s="298"/>
      <c r="G197" s="110"/>
      <c r="H197" s="298"/>
      <c r="I197" s="110"/>
      <c r="J197" s="17"/>
      <c r="K197" s="110"/>
    </row>
    <row r="198" spans="2:12">
      <c r="B198" s="110" t="s">
        <v>462</v>
      </c>
      <c r="C198" s="110"/>
      <c r="D198" s="584">
        <f>+H188</f>
        <v>-26653634</v>
      </c>
      <c r="F198" s="299"/>
      <c r="G198" s="110"/>
      <c r="H198" s="110"/>
      <c r="I198" s="110"/>
      <c r="J198" s="12"/>
      <c r="K198" s="110"/>
    </row>
    <row r="199" spans="2:12">
      <c r="D199" s="125"/>
      <c r="F199" s="110"/>
      <c r="G199" s="110"/>
      <c r="H199" s="110"/>
      <c r="I199" s="110"/>
      <c r="J199" s="12"/>
      <c r="K199" s="110"/>
    </row>
    <row r="200" spans="2:12">
      <c r="B200" s="110" t="s">
        <v>461</v>
      </c>
      <c r="C200" s="110"/>
      <c r="D200" s="113">
        <f>D191-SUM(D192:D198)</f>
        <v>84559472</v>
      </c>
      <c r="F200" s="298"/>
      <c r="G200" s="110"/>
      <c r="H200" s="298"/>
      <c r="I200" s="110"/>
      <c r="J200" s="110"/>
      <c r="K200" s="110"/>
    </row>
    <row r="201" spans="2:12">
      <c r="B201" s="110" t="s">
        <v>460</v>
      </c>
      <c r="C201" s="110"/>
      <c r="D201" s="146">
        <f>+H177</f>
        <v>3336035</v>
      </c>
      <c r="F201" s="298"/>
      <c r="G201" s="110"/>
      <c r="H201" s="298"/>
      <c r="I201" s="110"/>
      <c r="J201" s="298"/>
      <c r="K201" s="110"/>
    </row>
    <row r="202" spans="2:12">
      <c r="D202" s="115"/>
      <c r="F202" s="110"/>
      <c r="G202" s="110"/>
      <c r="H202" s="110"/>
      <c r="I202" s="110"/>
      <c r="J202" s="110"/>
      <c r="K202" s="110"/>
    </row>
    <row r="203" spans="2:12">
      <c r="B203" s="110" t="s">
        <v>459</v>
      </c>
      <c r="C203" s="110"/>
      <c r="D203" s="109">
        <f>ROUND((D200/D201),2)</f>
        <v>25.35</v>
      </c>
      <c r="F203" s="298"/>
      <c r="G203" s="110"/>
      <c r="H203" s="110"/>
      <c r="I203" s="110"/>
      <c r="J203" s="17"/>
      <c r="K203" s="110"/>
    </row>
    <row r="204" spans="2:12">
      <c r="B204" s="110" t="s">
        <v>458</v>
      </c>
      <c r="C204" s="116">
        <v>1</v>
      </c>
      <c r="D204" s="109">
        <f>ROUND(D203*C204,2)</f>
        <v>25.35</v>
      </c>
      <c r="F204" s="17"/>
      <c r="G204" s="110"/>
      <c r="H204" s="110"/>
      <c r="I204" s="110"/>
      <c r="J204" s="17"/>
      <c r="K204" s="110"/>
    </row>
    <row r="205" spans="2:12">
      <c r="B205" s="214"/>
      <c r="C205" s="214"/>
      <c r="D205" s="145"/>
    </row>
    <row r="206" spans="2:12">
      <c r="D206" s="188" t="s">
        <v>319</v>
      </c>
      <c r="F206" s="188" t="s">
        <v>340</v>
      </c>
      <c r="H206" s="188" t="s">
        <v>6</v>
      </c>
      <c r="J206" s="188" t="s">
        <v>423</v>
      </c>
      <c r="L206" s="188" t="s">
        <v>114</v>
      </c>
    </row>
    <row r="207" spans="2:12">
      <c r="B207" s="110" t="s">
        <v>426</v>
      </c>
      <c r="C207" s="110"/>
      <c r="D207" s="120" t="s">
        <v>154</v>
      </c>
      <c r="F207" s="120" t="s">
        <v>339</v>
      </c>
      <c r="H207" s="120" t="s">
        <v>154</v>
      </c>
      <c r="J207" s="120" t="s">
        <v>413</v>
      </c>
      <c r="L207" s="120" t="s">
        <v>154</v>
      </c>
    </row>
    <row r="209" spans="2:12">
      <c r="B209" s="105" t="str">
        <f>+B$31</f>
        <v xml:space="preserve">  Secondary</v>
      </c>
      <c r="D209" s="112">
        <f>D204</f>
        <v>25.35</v>
      </c>
      <c r="F209" s="118">
        <f>F172</f>
        <v>1</v>
      </c>
      <c r="G209" s="213"/>
      <c r="H209" s="112">
        <f>ROUND((D209*F209),2)</f>
        <v>25.35</v>
      </c>
      <c r="I209" s="213"/>
      <c r="J209" s="117">
        <f>F183</f>
        <v>0</v>
      </c>
      <c r="L209" s="112">
        <f>H209+J209</f>
        <v>25.35</v>
      </c>
    </row>
    <row r="210" spans="2:12">
      <c r="B210" s="105" t="str">
        <f>+B$32</f>
        <v xml:space="preserve">  Primary</v>
      </c>
      <c r="D210" s="112">
        <f>D209</f>
        <v>25.35</v>
      </c>
      <c r="F210" s="118">
        <f>F173</f>
        <v>0.96704999999999997</v>
      </c>
      <c r="G210" s="213"/>
      <c r="H210" s="112">
        <f>ROUND((D210*F210),2)</f>
        <v>24.51</v>
      </c>
      <c r="I210" s="213"/>
      <c r="J210" s="117">
        <f>F184</f>
        <v>-2.4900000000000002</v>
      </c>
      <c r="L210" s="112">
        <f>H210+J210</f>
        <v>22.020000000000003</v>
      </c>
    </row>
    <row r="211" spans="2:12">
      <c r="B211" s="105" t="str">
        <f>+B$33</f>
        <v xml:space="preserve">  Subtransmission</v>
      </c>
      <c r="D211" s="112">
        <f>D210</f>
        <v>25.35</v>
      </c>
      <c r="F211" s="118">
        <f>F174</f>
        <v>0.95125000000000004</v>
      </c>
      <c r="G211" s="213"/>
      <c r="H211" s="112">
        <f>ROUND((D211*F211),2)</f>
        <v>24.11</v>
      </c>
      <c r="I211" s="213"/>
      <c r="J211" s="117">
        <f>F185</f>
        <v>-8.5500000000000007</v>
      </c>
      <c r="L211" s="112">
        <f>H211+J211</f>
        <v>15.559999999999999</v>
      </c>
    </row>
    <row r="212" spans="2:12">
      <c r="B212" s="105" t="str">
        <f>+B$34</f>
        <v xml:space="preserve">  Transmission</v>
      </c>
      <c r="D212" s="112">
        <f>D211</f>
        <v>25.35</v>
      </c>
      <c r="F212" s="118">
        <f>F175</f>
        <v>0.93389</v>
      </c>
      <c r="G212" s="213"/>
      <c r="H212" s="112">
        <f>ROUND((D212*F212),2)</f>
        <v>23.67</v>
      </c>
      <c r="I212" s="213"/>
      <c r="J212" s="117">
        <f>F186</f>
        <v>-8.5500000000000007</v>
      </c>
      <c r="L212" s="112">
        <f>H212+J212</f>
        <v>15.120000000000001</v>
      </c>
    </row>
    <row r="213" spans="2:12">
      <c r="D213" s="112"/>
      <c r="F213" s="118"/>
      <c r="G213" s="213"/>
      <c r="H213" s="112"/>
      <c r="I213" s="213"/>
      <c r="J213" s="117"/>
      <c r="L213" s="112"/>
    </row>
    <row r="214" spans="2:12">
      <c r="B214" s="110" t="s">
        <v>457</v>
      </c>
    </row>
    <row r="215" spans="2:12">
      <c r="D215" s="188" t="s">
        <v>43</v>
      </c>
      <c r="F215" s="121" t="s">
        <v>114</v>
      </c>
    </row>
    <row r="216" spans="2:12">
      <c r="C216" s="110"/>
      <c r="D216" s="120" t="s">
        <v>6</v>
      </c>
      <c r="F216" s="120" t="s">
        <v>154</v>
      </c>
      <c r="H216" s="120" t="s">
        <v>1</v>
      </c>
    </row>
    <row r="218" spans="2:12">
      <c r="B218" s="105" t="str">
        <f>+B$31</f>
        <v xml:space="preserve">  Secondary</v>
      </c>
      <c r="D218" s="146">
        <f>D172</f>
        <v>18083.7</v>
      </c>
      <c r="F218" s="112">
        <f>L209</f>
        <v>25.35</v>
      </c>
      <c r="G218" s="146"/>
      <c r="H218" s="146">
        <f>ROUND((F218*D218),0)</f>
        <v>458422</v>
      </c>
    </row>
    <row r="219" spans="2:12">
      <c r="B219" s="105" t="str">
        <f>+B$32</f>
        <v xml:space="preserve">  Primary</v>
      </c>
      <c r="D219" s="146">
        <f>D173</f>
        <v>515170</v>
      </c>
      <c r="F219" s="112">
        <f>L210</f>
        <v>22.020000000000003</v>
      </c>
      <c r="G219" s="146"/>
      <c r="H219" s="146">
        <f>ROUND((F219*D219),0)</f>
        <v>11344043</v>
      </c>
      <c r="J219" s="531"/>
    </row>
    <row r="220" spans="2:12">
      <c r="B220" s="105" t="str">
        <f>+B$33</f>
        <v xml:space="preserve">  Subtransmission</v>
      </c>
      <c r="D220" s="146">
        <f>D174</f>
        <v>2798169</v>
      </c>
      <c r="F220" s="112">
        <f>L211</f>
        <v>15.559999999999999</v>
      </c>
      <c r="H220" s="146">
        <f>ROUND((F220*D220),0)</f>
        <v>43539510</v>
      </c>
      <c r="J220" s="531"/>
    </row>
    <row r="221" spans="2:12">
      <c r="B221" s="105" t="str">
        <f>+B$34</f>
        <v xml:space="preserve">  Transmission</v>
      </c>
      <c r="D221" s="146">
        <f>D175</f>
        <v>169183.2</v>
      </c>
      <c r="F221" s="112">
        <f>L212</f>
        <v>15.120000000000001</v>
      </c>
      <c r="H221" s="146">
        <f>ROUND((F221*D221),0)</f>
        <v>2558050</v>
      </c>
      <c r="J221" s="531"/>
    </row>
    <row r="222" spans="2:12">
      <c r="D222" s="187" t="s">
        <v>72</v>
      </c>
      <c r="H222" s="187" t="s">
        <v>72</v>
      </c>
    </row>
    <row r="223" spans="2:12">
      <c r="B223" s="105" t="str">
        <f>+B$36</f>
        <v xml:space="preserve">  Total</v>
      </c>
      <c r="D223" s="146">
        <f>SUM(D218:D221)</f>
        <v>3500605.9000000004</v>
      </c>
      <c r="H223" s="113">
        <f>SUM(H218:H221)</f>
        <v>57900025</v>
      </c>
    </row>
    <row r="224" spans="2:12">
      <c r="D224" s="146"/>
      <c r="H224" s="113"/>
    </row>
    <row r="225" spans="1:12" hidden="1">
      <c r="B225" s="110"/>
      <c r="D225" s="146"/>
      <c r="H225" s="113"/>
    </row>
    <row r="226" spans="1:12" hidden="1">
      <c r="D226" s="310"/>
      <c r="F226" s="121"/>
      <c r="H226" s="113"/>
    </row>
    <row r="227" spans="1:12" hidden="1">
      <c r="D227" s="585"/>
      <c r="F227" s="120"/>
      <c r="H227" s="120"/>
    </row>
    <row r="228" spans="1:12" hidden="1">
      <c r="D228" s="146"/>
      <c r="H228" s="113"/>
    </row>
    <row r="229" spans="1:12" hidden="1">
      <c r="D229" s="146"/>
      <c r="F229" s="586"/>
      <c r="H229" s="113"/>
    </row>
    <row r="230" spans="1:12" hidden="1">
      <c r="D230" s="146"/>
      <c r="F230" s="586"/>
      <c r="H230" s="113"/>
    </row>
    <row r="231" spans="1:12" hidden="1">
      <c r="D231" s="146"/>
      <c r="F231" s="586"/>
      <c r="H231" s="113"/>
    </row>
    <row r="232" spans="1:12" hidden="1">
      <c r="D232" s="548"/>
      <c r="F232" s="586"/>
      <c r="H232" s="113"/>
    </row>
    <row r="233" spans="1:12">
      <c r="D233" s="146"/>
      <c r="H233" s="113"/>
    </row>
    <row r="234" spans="1:12">
      <c r="D234" s="112"/>
      <c r="F234" s="118"/>
      <c r="G234" s="213"/>
      <c r="H234" s="112"/>
      <c r="I234" s="213"/>
      <c r="J234" s="147"/>
      <c r="L234" s="112"/>
    </row>
    <row r="235" spans="1:12">
      <c r="D235" s="112"/>
      <c r="F235" s="118"/>
      <c r="G235" s="213"/>
      <c r="H235" s="112"/>
      <c r="I235" s="213"/>
      <c r="J235" s="147"/>
      <c r="L235" s="112"/>
    </row>
    <row r="236" spans="1:12">
      <c r="A236" s="110" t="s">
        <v>82</v>
      </c>
      <c r="B236" s="110" t="s">
        <v>39</v>
      </c>
      <c r="C236" s="110"/>
      <c r="D236" s="120" t="s">
        <v>40</v>
      </c>
      <c r="F236" s="120" t="s">
        <v>154</v>
      </c>
      <c r="H236" s="120" t="s">
        <v>1</v>
      </c>
      <c r="J236" s="120" t="s">
        <v>320</v>
      </c>
      <c r="L236" s="120" t="s">
        <v>42</v>
      </c>
    </row>
    <row r="238" spans="1:12">
      <c r="B238" s="110" t="s">
        <v>319</v>
      </c>
      <c r="C238" s="110" t="s">
        <v>456</v>
      </c>
      <c r="D238" s="146">
        <f>D15</f>
        <v>18083.7</v>
      </c>
      <c r="E238" s="110" t="s">
        <v>185</v>
      </c>
      <c r="F238" s="109">
        <f>L209</f>
        <v>25.35</v>
      </c>
      <c r="G238" s="110" t="s">
        <v>314</v>
      </c>
      <c r="H238" s="113">
        <f t="shared" ref="H238:H243" si="0">ROUND((D238*F238),0)</f>
        <v>458422</v>
      </c>
      <c r="J238" s="587"/>
    </row>
    <row r="239" spans="1:12">
      <c r="B239" s="110"/>
      <c r="C239" s="110" t="s">
        <v>455</v>
      </c>
      <c r="D239" s="146">
        <f>D16</f>
        <v>17240</v>
      </c>
      <c r="E239" s="110" t="s">
        <v>185</v>
      </c>
      <c r="F239" s="148">
        <f>+F67</f>
        <v>1.66</v>
      </c>
      <c r="G239" s="110" t="s">
        <v>314</v>
      </c>
      <c r="H239" s="146">
        <f t="shared" si="0"/>
        <v>28618</v>
      </c>
      <c r="J239" s="587"/>
    </row>
    <row r="240" spans="1:12">
      <c r="B240" s="110"/>
      <c r="C240" s="110" t="s">
        <v>454</v>
      </c>
      <c r="D240" s="146">
        <f>D17</f>
        <v>13841</v>
      </c>
      <c r="E240" s="110" t="s">
        <v>185</v>
      </c>
      <c r="F240" s="148">
        <f>F159</f>
        <v>27.1</v>
      </c>
      <c r="G240" s="110" t="s">
        <v>314</v>
      </c>
      <c r="H240" s="146">
        <f t="shared" si="0"/>
        <v>375091</v>
      </c>
      <c r="J240" s="587"/>
    </row>
    <row r="241" spans="2:10">
      <c r="B241" s="110"/>
      <c r="C241" s="110" t="s">
        <v>453</v>
      </c>
      <c r="D241" s="146">
        <f>D19</f>
        <v>26</v>
      </c>
      <c r="E241" s="110" t="s">
        <v>452</v>
      </c>
      <c r="F241" s="148">
        <f>+D54</f>
        <v>0.69</v>
      </c>
      <c r="G241" s="110" t="s">
        <v>451</v>
      </c>
      <c r="H241" s="146">
        <f t="shared" si="0"/>
        <v>18</v>
      </c>
      <c r="J241" s="587"/>
    </row>
    <row r="242" spans="2:10">
      <c r="B242" s="110"/>
      <c r="C242" s="110" t="s">
        <v>7</v>
      </c>
      <c r="D242" s="146">
        <f>D20</f>
        <v>15517623</v>
      </c>
      <c r="E242" s="110" t="s">
        <v>44</v>
      </c>
      <c r="F242" s="214">
        <f>F107</f>
        <v>3.075E-2</v>
      </c>
      <c r="G242" s="110" t="s">
        <v>23</v>
      </c>
      <c r="H242" s="146">
        <f t="shared" si="0"/>
        <v>477167</v>
      </c>
      <c r="J242" s="587"/>
    </row>
    <row r="243" spans="2:10">
      <c r="B243" s="110"/>
      <c r="C243" s="110" t="s">
        <v>8</v>
      </c>
      <c r="D243" s="146">
        <f>D21</f>
        <v>48</v>
      </c>
      <c r="E243" s="110" t="s">
        <v>46</v>
      </c>
      <c r="F243" s="215">
        <f>+F$41</f>
        <v>276</v>
      </c>
      <c r="G243" s="110" t="s">
        <v>397</v>
      </c>
      <c r="H243" s="146">
        <f t="shared" si="0"/>
        <v>13248</v>
      </c>
    </row>
    <row r="244" spans="2:10">
      <c r="F244" s="216"/>
      <c r="H244" s="115"/>
    </row>
    <row r="245" spans="2:10">
      <c r="B245" s="110"/>
      <c r="C245" s="110" t="s">
        <v>71</v>
      </c>
      <c r="F245" s="213"/>
      <c r="H245" s="113">
        <f>SUM(H238:H243)</f>
        <v>1352564</v>
      </c>
    </row>
    <row r="248" spans="2:10">
      <c r="B248" s="110" t="s">
        <v>318</v>
      </c>
      <c r="C248" s="110" t="s">
        <v>456</v>
      </c>
      <c r="D248" s="146">
        <f>F15</f>
        <v>515170</v>
      </c>
      <c r="E248" s="110" t="s">
        <v>185</v>
      </c>
      <c r="F248" s="109">
        <f>L210</f>
        <v>22.020000000000003</v>
      </c>
      <c r="G248" s="110" t="s">
        <v>314</v>
      </c>
      <c r="H248" s="113">
        <f t="shared" ref="H248:H253" si="1">ROUND((D248*F248),0)</f>
        <v>11344043</v>
      </c>
      <c r="J248" s="587"/>
    </row>
    <row r="249" spans="2:10">
      <c r="B249" s="110"/>
      <c r="C249" s="110" t="s">
        <v>455</v>
      </c>
      <c r="D249" s="146">
        <f>F16</f>
        <v>485643</v>
      </c>
      <c r="E249" s="110" t="s">
        <v>185</v>
      </c>
      <c r="F249" s="148">
        <f>+F68</f>
        <v>1.61</v>
      </c>
      <c r="G249" s="110" t="s">
        <v>314</v>
      </c>
      <c r="H249" s="146">
        <f t="shared" si="1"/>
        <v>781885</v>
      </c>
      <c r="J249" s="588"/>
    </row>
    <row r="250" spans="2:10">
      <c r="B250" s="110"/>
      <c r="C250" s="110" t="s">
        <v>454</v>
      </c>
      <c r="D250" s="146">
        <f>F17</f>
        <v>111893</v>
      </c>
      <c r="E250" s="110" t="s">
        <v>185</v>
      </c>
      <c r="F250" s="148">
        <f>F160</f>
        <v>23.72</v>
      </c>
      <c r="G250" s="110" t="s">
        <v>314</v>
      </c>
      <c r="H250" s="146">
        <f t="shared" si="1"/>
        <v>2654102</v>
      </c>
      <c r="J250" s="587"/>
    </row>
    <row r="251" spans="2:10">
      <c r="B251" s="110"/>
      <c r="C251" s="110" t="s">
        <v>453</v>
      </c>
      <c r="D251" s="146">
        <f>F19</f>
        <v>97486</v>
      </c>
      <c r="E251" s="110" t="s">
        <v>452</v>
      </c>
      <c r="F251" s="148">
        <f>+D55</f>
        <v>0.69</v>
      </c>
      <c r="G251" s="110" t="s">
        <v>451</v>
      </c>
      <c r="H251" s="146">
        <f t="shared" si="1"/>
        <v>67265</v>
      </c>
      <c r="J251" s="587"/>
    </row>
    <row r="252" spans="2:10">
      <c r="B252" s="110"/>
      <c r="C252" s="110" t="s">
        <v>7</v>
      </c>
      <c r="D252" s="146">
        <f>F20</f>
        <v>283398759</v>
      </c>
      <c r="E252" s="110" t="s">
        <v>44</v>
      </c>
      <c r="F252" s="214">
        <f>F108+0.00002</f>
        <v>2.9589999999999998E-2</v>
      </c>
      <c r="G252" s="110" t="s">
        <v>412</v>
      </c>
      <c r="H252" s="146">
        <f t="shared" si="1"/>
        <v>8385769</v>
      </c>
      <c r="J252" s="587"/>
    </row>
    <row r="253" spans="2:10">
      <c r="B253" s="110"/>
      <c r="C253" s="110" t="s">
        <v>8</v>
      </c>
      <c r="D253" s="146">
        <f>F21</f>
        <v>420</v>
      </c>
      <c r="E253" s="110" t="s">
        <v>46</v>
      </c>
      <c r="F253" s="215">
        <f>+F$42</f>
        <v>276</v>
      </c>
      <c r="G253" s="110" t="s">
        <v>397</v>
      </c>
      <c r="H253" s="146">
        <f t="shared" si="1"/>
        <v>115920</v>
      </c>
    </row>
    <row r="254" spans="2:10">
      <c r="F254" s="216"/>
      <c r="H254" s="115"/>
    </row>
    <row r="255" spans="2:10">
      <c r="B255" s="110"/>
      <c r="C255" s="110" t="s">
        <v>71</v>
      </c>
      <c r="F255" s="213"/>
      <c r="H255" s="113">
        <f>SUM(H248:H253)</f>
        <v>23348984</v>
      </c>
    </row>
    <row r="256" spans="2:10">
      <c r="B256" s="110"/>
      <c r="C256" s="110"/>
      <c r="F256" s="213"/>
      <c r="H256" s="113"/>
    </row>
    <row r="258" spans="2:12">
      <c r="B258" s="110" t="s">
        <v>373</v>
      </c>
      <c r="C258" s="110" t="s">
        <v>456</v>
      </c>
      <c r="D258" s="146">
        <f>+H15</f>
        <v>2798169</v>
      </c>
      <c r="E258" s="105" t="str">
        <f>+E248</f>
        <v>kW</v>
      </c>
      <c r="F258" s="109">
        <f>L211</f>
        <v>15.559999999999999</v>
      </c>
      <c r="G258" s="110" t="s">
        <v>903</v>
      </c>
      <c r="H258" s="113">
        <f t="shared" ref="H258:H264" si="2">ROUND((D258*F258),0)</f>
        <v>43539510</v>
      </c>
      <c r="J258" s="587"/>
      <c r="L258" s="589"/>
    </row>
    <row r="259" spans="2:12">
      <c r="B259" s="110"/>
      <c r="C259" s="110" t="s">
        <v>455</v>
      </c>
      <c r="D259" s="146">
        <f>+H16</f>
        <v>2752830</v>
      </c>
      <c r="E259" s="110" t="s">
        <v>185</v>
      </c>
      <c r="F259" s="148">
        <f>+F69</f>
        <v>1.58</v>
      </c>
      <c r="G259" s="110" t="s">
        <v>314</v>
      </c>
      <c r="H259" s="146">
        <f t="shared" si="2"/>
        <v>4349471</v>
      </c>
      <c r="J259" s="587"/>
    </row>
    <row r="260" spans="2:12">
      <c r="B260" s="110"/>
      <c r="C260" s="110" t="s">
        <v>454</v>
      </c>
      <c r="D260" s="146">
        <f>+H17</f>
        <v>311262</v>
      </c>
      <c r="E260" s="110" t="s">
        <v>185</v>
      </c>
      <c r="F260" s="148">
        <f>F161</f>
        <v>17.23</v>
      </c>
      <c r="G260" s="110" t="s">
        <v>314</v>
      </c>
      <c r="H260" s="146">
        <f t="shared" si="2"/>
        <v>5363044</v>
      </c>
      <c r="J260" s="587"/>
      <c r="L260" s="589"/>
    </row>
    <row r="261" spans="2:12">
      <c r="B261" s="110"/>
      <c r="C261" s="110" t="s">
        <v>995</v>
      </c>
      <c r="D261" s="146">
        <v>11420</v>
      </c>
      <c r="E261" s="110"/>
      <c r="F261" s="148">
        <v>-3.68</v>
      </c>
      <c r="G261" s="110" t="s">
        <v>314</v>
      </c>
      <c r="H261" s="146">
        <f t="shared" ref="H261" si="3">ROUND((D261*F261),0)</f>
        <v>-42026</v>
      </c>
      <c r="J261" s="587"/>
      <c r="L261" s="589"/>
    </row>
    <row r="262" spans="2:12">
      <c r="B262" s="110"/>
      <c r="C262" s="110" t="s">
        <v>453</v>
      </c>
      <c r="D262" s="146">
        <f>+H19</f>
        <v>329002</v>
      </c>
      <c r="E262" s="110" t="s">
        <v>452</v>
      </c>
      <c r="F262" s="148">
        <f>+D56</f>
        <v>0.69</v>
      </c>
      <c r="G262" s="110" t="s">
        <v>451</v>
      </c>
      <c r="H262" s="146">
        <f t="shared" si="2"/>
        <v>227011</v>
      </c>
      <c r="J262" s="587"/>
      <c r="L262" s="589"/>
    </row>
    <row r="263" spans="2:12">
      <c r="B263" s="110"/>
      <c r="C263" s="110" t="s">
        <v>7</v>
      </c>
      <c r="D263" s="146">
        <f>+H20</f>
        <v>1778446706</v>
      </c>
      <c r="E263" s="105" t="str">
        <f>+E252</f>
        <v>kWh</v>
      </c>
      <c r="F263" s="214">
        <f>F109</f>
        <v>2.9180000000000001E-2</v>
      </c>
      <c r="G263" s="110" t="s">
        <v>23</v>
      </c>
      <c r="H263" s="146">
        <f t="shared" si="2"/>
        <v>51895075</v>
      </c>
      <c r="J263" s="587"/>
      <c r="L263" s="589"/>
    </row>
    <row r="264" spans="2:12">
      <c r="B264" s="110"/>
      <c r="C264" s="110" t="s">
        <v>8</v>
      </c>
      <c r="D264" s="146">
        <f>+H21</f>
        <v>312</v>
      </c>
      <c r="E264" s="105" t="str">
        <f>+E253</f>
        <v>Bills</v>
      </c>
      <c r="F264" s="215">
        <f>+F$43</f>
        <v>794</v>
      </c>
      <c r="G264" s="110" t="s">
        <v>397</v>
      </c>
      <c r="H264" s="146">
        <f t="shared" si="2"/>
        <v>247728</v>
      </c>
      <c r="L264" s="589"/>
    </row>
    <row r="265" spans="2:12">
      <c r="H265" s="115"/>
    </row>
    <row r="266" spans="2:12">
      <c r="B266" s="110"/>
      <c r="C266" s="110" t="s">
        <v>71</v>
      </c>
      <c r="H266" s="113">
        <f>SUM(H258:H264)</f>
        <v>105579813</v>
      </c>
    </row>
    <row r="267" spans="2:12">
      <c r="F267" s="217"/>
      <c r="H267" s="125"/>
    </row>
    <row r="269" spans="2:12">
      <c r="B269" s="110" t="s">
        <v>411</v>
      </c>
      <c r="C269" s="110" t="s">
        <v>456</v>
      </c>
      <c r="D269" s="146">
        <f>+J15</f>
        <v>169183.2</v>
      </c>
      <c r="E269" s="105" t="str">
        <f>+E258</f>
        <v>kW</v>
      </c>
      <c r="F269" s="109">
        <f>L212</f>
        <v>15.120000000000001</v>
      </c>
      <c r="G269" s="110" t="s">
        <v>314</v>
      </c>
      <c r="H269" s="113">
        <f t="shared" ref="H269:H274" si="4">ROUND((D269*F269),0)</f>
        <v>2558050</v>
      </c>
      <c r="J269" s="587"/>
    </row>
    <row r="270" spans="2:12">
      <c r="B270" s="110"/>
      <c r="C270" s="110" t="s">
        <v>455</v>
      </c>
      <c r="D270" s="146">
        <f>+J16</f>
        <v>164990.70000000001</v>
      </c>
      <c r="E270" s="110" t="s">
        <v>185</v>
      </c>
      <c r="F270" s="148">
        <f>+F70</f>
        <v>1.55</v>
      </c>
      <c r="G270" s="110" t="s">
        <v>314</v>
      </c>
      <c r="H270" s="146">
        <f t="shared" si="4"/>
        <v>255736</v>
      </c>
      <c r="J270" s="587"/>
    </row>
    <row r="271" spans="2:12">
      <c r="B271" s="110"/>
      <c r="C271" s="110" t="s">
        <v>454</v>
      </c>
      <c r="D271" s="146">
        <f>+J17</f>
        <v>350678.1</v>
      </c>
      <c r="E271" s="110" t="s">
        <v>185</v>
      </c>
      <c r="F271" s="148">
        <f>F162</f>
        <v>16.759999999999998</v>
      </c>
      <c r="G271" s="110" t="s">
        <v>314</v>
      </c>
      <c r="H271" s="146">
        <f t="shared" si="4"/>
        <v>5877365</v>
      </c>
      <c r="J271" s="587"/>
    </row>
    <row r="272" spans="2:12">
      <c r="B272" s="110"/>
      <c r="C272" s="110" t="s">
        <v>453</v>
      </c>
      <c r="D272" s="146">
        <f>+J19</f>
        <v>28674</v>
      </c>
      <c r="E272" s="110" t="s">
        <v>452</v>
      </c>
      <c r="F272" s="148">
        <f>+D57</f>
        <v>0.69</v>
      </c>
      <c r="G272" s="110" t="s">
        <v>451</v>
      </c>
      <c r="H272" s="146">
        <f t="shared" si="4"/>
        <v>19785</v>
      </c>
      <c r="J272" s="587"/>
    </row>
    <row r="273" spans="2:12">
      <c r="B273" s="110"/>
      <c r="C273" s="110" t="s">
        <v>7</v>
      </c>
      <c r="D273" s="146">
        <f>+J20</f>
        <v>313600300</v>
      </c>
      <c r="E273" s="105" t="str">
        <f>+E263</f>
        <v>kWh</v>
      </c>
      <c r="F273" s="214">
        <f>F110</f>
        <v>2.878E-2</v>
      </c>
      <c r="G273" s="110" t="s">
        <v>23</v>
      </c>
      <c r="H273" s="146">
        <f t="shared" si="4"/>
        <v>9025417</v>
      </c>
      <c r="J273" s="587"/>
    </row>
    <row r="274" spans="2:12">
      <c r="B274" s="110"/>
      <c r="C274" s="110" t="s">
        <v>8</v>
      </c>
      <c r="D274" s="146">
        <f>+J21</f>
        <v>36</v>
      </c>
      <c r="E274" s="105" t="str">
        <f>+E264</f>
        <v>Bills</v>
      </c>
      <c r="F274" s="148">
        <f>+F44</f>
        <v>1353</v>
      </c>
      <c r="G274" s="110" t="s">
        <v>397</v>
      </c>
      <c r="H274" s="146">
        <f t="shared" si="4"/>
        <v>48708</v>
      </c>
    </row>
    <row r="275" spans="2:12">
      <c r="H275" s="115"/>
    </row>
    <row r="276" spans="2:12">
      <c r="B276" s="110"/>
      <c r="C276" s="110" t="s">
        <v>71</v>
      </c>
      <c r="H276" s="113">
        <f>SUM(H269:H274)</f>
        <v>17785061</v>
      </c>
    </row>
    <row r="278" spans="2:12">
      <c r="B278" s="110" t="s">
        <v>450</v>
      </c>
      <c r="C278" s="110"/>
      <c r="H278" s="113">
        <f>H245+H255+H266+H276</f>
        <v>148066422</v>
      </c>
      <c r="I278" s="113"/>
      <c r="J278" s="113">
        <f>J9</f>
        <v>148066567</v>
      </c>
      <c r="L278" s="123">
        <f>H278-J278</f>
        <v>-145</v>
      </c>
    </row>
    <row r="279" spans="2:12">
      <c r="B279" s="110"/>
      <c r="C279" s="110"/>
      <c r="H279" s="123"/>
      <c r="J279" s="523"/>
    </row>
    <row r="280" spans="2:12">
      <c r="B280" s="105" t="s">
        <v>159</v>
      </c>
    </row>
    <row r="281" spans="2:12">
      <c r="B281" s="105" t="s">
        <v>72</v>
      </c>
    </row>
    <row r="282" spans="2:12">
      <c r="D282" s="536"/>
      <c r="E282" s="536"/>
      <c r="F282" s="536"/>
    </row>
  </sheetData>
  <printOptions horizontalCentered="1"/>
  <pageMargins left="0.75" right="0.5" top="1.25" bottom="0.5" header="0.5" footer="0.5"/>
  <pageSetup scale="60" fitToHeight="12" orientation="portrait" r:id="rId1"/>
  <headerFooter alignWithMargins="0">
    <oddHeader>&amp;L&amp;"Arial,Regular"&amp;F
Page &amp;P of &amp;N&amp;C&amp;"Arial,Regular"KENTUCKY POWER COMPANY
IGS Rate Design
Twelve Months Ended December 31, 2016</oddHeader>
  </headerFooter>
  <rowBreaks count="1" manualBreakCount="1">
    <brk id="235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50"/>
  <sheetViews>
    <sheetView showOutlineSymbols="0" zoomScaleNormal="100" workbookViewId="0">
      <selection activeCell="F35" sqref="B35:F35"/>
    </sheetView>
  </sheetViews>
  <sheetFormatPr defaultColWidth="9.75" defaultRowHeight="15"/>
  <cols>
    <col min="1" max="1" width="36.875" style="105" customWidth="1"/>
    <col min="2" max="2" width="15.625" style="105" customWidth="1"/>
    <col min="3" max="3" width="11.75" style="105" customWidth="1"/>
    <col min="4" max="4" width="11.375" style="105" bestFit="1" customWidth="1"/>
    <col min="5" max="6" width="12.625" style="105" customWidth="1"/>
    <col min="7" max="7" width="10" style="105" bestFit="1" customWidth="1"/>
    <col min="8" max="16384" width="9.75" style="105"/>
  </cols>
  <sheetData>
    <row r="1" spans="1:7">
      <c r="A1" s="590" t="s">
        <v>520</v>
      </c>
      <c r="B1" s="590"/>
      <c r="C1" s="590"/>
      <c r="D1" s="590"/>
      <c r="E1" s="590"/>
      <c r="F1" s="590"/>
    </row>
    <row r="2" spans="1:7">
      <c r="A2" s="590" t="s">
        <v>519</v>
      </c>
      <c r="B2" s="590"/>
      <c r="C2" s="590"/>
      <c r="D2" s="590"/>
      <c r="E2" s="590"/>
      <c r="F2" s="590"/>
    </row>
    <row r="3" spans="1:7">
      <c r="A3" s="590" t="s">
        <v>913</v>
      </c>
      <c r="B3" s="590"/>
      <c r="C3" s="590"/>
      <c r="D3" s="590"/>
      <c r="E3" s="590"/>
      <c r="F3" s="590"/>
    </row>
    <row r="7" spans="1:7">
      <c r="A7" s="501" t="s">
        <v>527</v>
      </c>
      <c r="E7" s="188" t="s">
        <v>498</v>
      </c>
      <c r="F7" s="188"/>
    </row>
    <row r="8" spans="1:7">
      <c r="B8" s="188" t="s">
        <v>319</v>
      </c>
      <c r="C8" s="188" t="s">
        <v>318</v>
      </c>
      <c r="D8" s="188" t="s">
        <v>373</v>
      </c>
      <c r="E8" s="188" t="s">
        <v>411</v>
      </c>
      <c r="F8" s="188" t="s">
        <v>119</v>
      </c>
    </row>
    <row r="10" spans="1:7">
      <c r="A10" s="110" t="s">
        <v>517</v>
      </c>
      <c r="B10" s="146">
        <f>C43+F44+F45+F46</f>
        <v>1878683</v>
      </c>
      <c r="C10" s="146">
        <f>MGS!C150+MGS!C151</f>
        <v>43956</v>
      </c>
      <c r="D10" s="146">
        <f>MGS!C159+MGS!C160</f>
        <v>4276</v>
      </c>
      <c r="E10" s="146"/>
      <c r="F10" s="146"/>
    </row>
    <row r="11" spans="1:7">
      <c r="A11" s="110" t="s">
        <v>516</v>
      </c>
      <c r="B11" s="146">
        <f>C48+F49+C50</f>
        <v>1521912.2</v>
      </c>
      <c r="C11" s="146">
        <f>LGS!D188</f>
        <v>281383</v>
      </c>
      <c r="D11" s="146">
        <f>LGS!D196</f>
        <v>129190.6</v>
      </c>
      <c r="E11" s="146">
        <f>LGS!D204</f>
        <v>6693.4</v>
      </c>
      <c r="F11" s="146"/>
    </row>
    <row r="12" spans="1:7">
      <c r="A12" s="110" t="s">
        <v>936</v>
      </c>
      <c r="B12" s="12">
        <f>IGS!D238+IGS!D240</f>
        <v>31924.7</v>
      </c>
      <c r="C12" s="12">
        <f>IGS!D248+IGS!D250</f>
        <v>627063</v>
      </c>
      <c r="D12" s="12">
        <f>IGS!D258+IGS!D260</f>
        <v>3109431</v>
      </c>
      <c r="E12" s="12">
        <f>IGS!D269+IGS!D271</f>
        <v>519861.3</v>
      </c>
      <c r="F12" s="210"/>
    </row>
    <row r="13" spans="1:7">
      <c r="A13" s="187" t="s">
        <v>54</v>
      </c>
      <c r="B13" s="530">
        <f>SUM(B10:B12)</f>
        <v>3432519.9000000004</v>
      </c>
      <c r="C13" s="530">
        <f>SUM(C10:C12)</f>
        <v>952402</v>
      </c>
      <c r="D13" s="530">
        <f>SUM(D10:D12)</f>
        <v>3242897.6</v>
      </c>
      <c r="E13" s="530">
        <f>SUM(E10:E12)</f>
        <v>526554.69999999995</v>
      </c>
      <c r="F13" s="127"/>
      <c r="G13" s="230"/>
    </row>
    <row r="15" spans="1:7">
      <c r="A15" s="110" t="s">
        <v>515</v>
      </c>
      <c r="B15" s="145">
        <v>1</v>
      </c>
      <c r="C15" s="145">
        <v>0.96704999999999997</v>
      </c>
      <c r="D15" s="145">
        <v>0.95125000000000004</v>
      </c>
      <c r="E15" s="145">
        <v>0.93389</v>
      </c>
      <c r="F15" s="216"/>
    </row>
    <row r="17" spans="1:6">
      <c r="A17" s="110" t="s">
        <v>526</v>
      </c>
      <c r="B17" s="146">
        <f>ROUND((B13*B15),0)</f>
        <v>3432520</v>
      </c>
      <c r="C17" s="146">
        <f>ROUND((C13*C15),0)</f>
        <v>921020</v>
      </c>
      <c r="D17" s="146">
        <f>ROUND((D13*D15),0)</f>
        <v>3084806</v>
      </c>
      <c r="E17" s="146">
        <f>ROUND((E13*E15),0)</f>
        <v>491744</v>
      </c>
      <c r="F17" s="146"/>
    </row>
    <row r="18" spans="1:6">
      <c r="B18" s="591">
        <v>0.76100000000000001</v>
      </c>
      <c r="C18" s="182">
        <f>B18</f>
        <v>0.76100000000000001</v>
      </c>
    </row>
    <row r="19" spans="1:6">
      <c r="A19" s="110" t="s">
        <v>525</v>
      </c>
      <c r="B19" s="146">
        <f>ROUND(B18*B17,0)</f>
        <v>2612148</v>
      </c>
      <c r="C19" s="146">
        <f>ROUND(C18*C17,0)</f>
        <v>700896</v>
      </c>
      <c r="D19" s="146">
        <f>D17</f>
        <v>3084806</v>
      </c>
    </row>
    <row r="22" spans="1:6">
      <c r="A22" s="110" t="s">
        <v>512</v>
      </c>
      <c r="B22" s="146">
        <f>'EX AEV-1'!I10+'EX AEV-1'!N10+'EX AEV-1'!Q10+'EX AEV-1'!V10</f>
        <v>8559227</v>
      </c>
      <c r="C22" s="146">
        <f>'EX AEV-1'!I9+'EX AEV-1'!N9+'EX AEV-1'!Q9+'EX AEV-1'!V9</f>
        <v>26391020</v>
      </c>
      <c r="D22" s="146">
        <v>0</v>
      </c>
      <c r="E22" s="146">
        <v>0</v>
      </c>
      <c r="F22" s="146">
        <f>'EX AEV-1'!I7+'EX AEV-1'!N7+'EX AEV-1'!Q7+'EX AEV-1'!V7</f>
        <v>131789145</v>
      </c>
    </row>
    <row r="24" spans="1:6">
      <c r="A24" s="110" t="s">
        <v>524</v>
      </c>
      <c r="B24" s="146">
        <f>+B17</f>
        <v>3432520</v>
      </c>
      <c r="C24" s="146">
        <f>B24+C17</f>
        <v>4353540</v>
      </c>
      <c r="D24" s="146">
        <f>SUM(B19:D19)</f>
        <v>6397850</v>
      </c>
      <c r="E24" s="146">
        <f>SUM(B17:E17)</f>
        <v>7930090</v>
      </c>
      <c r="F24" s="146">
        <f>E24</f>
        <v>7930090</v>
      </c>
    </row>
    <row r="26" spans="1:6">
      <c r="A26" s="110" t="s">
        <v>510</v>
      </c>
      <c r="B26" s="592">
        <f>ROUND((B22/B24),2)</f>
        <v>2.4900000000000002</v>
      </c>
      <c r="C26" s="105">
        <f>ROUND((C22/C24),2)</f>
        <v>6.06</v>
      </c>
      <c r="D26" s="592">
        <f>ROUND((D22/D24),2)</f>
        <v>0</v>
      </c>
      <c r="E26" s="148">
        <f>ROUND((E22/E24),2)</f>
        <v>0</v>
      </c>
      <c r="F26" s="148">
        <f>ROUND((F22/F24),2)</f>
        <v>16.62</v>
      </c>
    </row>
    <row r="27" spans="1:6">
      <c r="A27" s="110"/>
      <c r="E27" s="148"/>
      <c r="F27" s="148"/>
    </row>
    <row r="28" spans="1:6">
      <c r="A28" s="110"/>
      <c r="B28" s="105" t="s">
        <v>72</v>
      </c>
      <c r="C28" s="105" t="s">
        <v>72</v>
      </c>
      <c r="D28" s="105" t="s">
        <v>72</v>
      </c>
      <c r="E28" s="148"/>
      <c r="F28" s="148"/>
    </row>
    <row r="29" spans="1:6">
      <c r="A29" s="110"/>
      <c r="E29" s="148"/>
      <c r="F29" s="148"/>
    </row>
    <row r="30" spans="1:6">
      <c r="A30" s="501" t="s">
        <v>523</v>
      </c>
      <c r="F30" s="148"/>
    </row>
    <row r="31" spans="1:6">
      <c r="B31" s="188" t="s">
        <v>319</v>
      </c>
      <c r="C31" s="188" t="s">
        <v>318</v>
      </c>
      <c r="D31" s="188" t="s">
        <v>373</v>
      </c>
      <c r="E31" s="188" t="s">
        <v>9</v>
      </c>
      <c r="F31" s="148"/>
    </row>
    <row r="32" spans="1:6" ht="15.75">
      <c r="A32" s="110" t="s">
        <v>318</v>
      </c>
      <c r="B32" s="147">
        <f>+B26</f>
        <v>2.4900000000000002</v>
      </c>
      <c r="C32" s="148"/>
      <c r="D32" s="148"/>
      <c r="E32" s="593">
        <f>SUM(B32:D32)</f>
        <v>2.4900000000000002</v>
      </c>
      <c r="F32" s="148">
        <f>-E32</f>
        <v>-2.4900000000000002</v>
      </c>
    </row>
    <row r="33" spans="1:6" ht="15.75">
      <c r="A33" s="110" t="s">
        <v>317</v>
      </c>
      <c r="B33" s="147">
        <f>+B32</f>
        <v>2.4900000000000002</v>
      </c>
      <c r="C33" s="147">
        <f>+C26</f>
        <v>6.06</v>
      </c>
      <c r="D33" s="148"/>
      <c r="E33" s="593">
        <f>SUM(B33:D33)</f>
        <v>8.5500000000000007</v>
      </c>
      <c r="F33" s="148">
        <f>-E33</f>
        <v>-8.5500000000000007</v>
      </c>
    </row>
    <row r="34" spans="1:6" ht="15.75">
      <c r="A34" s="110" t="s">
        <v>443</v>
      </c>
      <c r="B34" s="147">
        <f>+B32</f>
        <v>2.4900000000000002</v>
      </c>
      <c r="C34" s="147">
        <f>+C33</f>
        <v>6.06</v>
      </c>
      <c r="D34" s="147">
        <f>+D26</f>
        <v>0</v>
      </c>
      <c r="E34" s="593">
        <f>SUM(B34:D34)</f>
        <v>8.5500000000000007</v>
      </c>
      <c r="F34" s="148">
        <f>-E34</f>
        <v>-8.5500000000000007</v>
      </c>
    </row>
    <row r="37" spans="1:6">
      <c r="A37" s="501"/>
    </row>
    <row r="38" spans="1:6">
      <c r="B38" s="188"/>
      <c r="C38" s="188"/>
      <c r="D38" s="188"/>
      <c r="E38" s="188"/>
    </row>
    <row r="39" spans="1:6">
      <c r="A39" s="501" t="s">
        <v>522</v>
      </c>
      <c r="B39" s="590" t="s">
        <v>521</v>
      </c>
      <c r="C39" s="590"/>
      <c r="E39" s="855" t="s">
        <v>143</v>
      </c>
      <c r="F39" s="855"/>
    </row>
    <row r="40" spans="1:6">
      <c r="B40" s="594" t="s">
        <v>507</v>
      </c>
      <c r="C40" s="594" t="s">
        <v>192</v>
      </c>
      <c r="E40" s="594" t="s">
        <v>507</v>
      </c>
      <c r="F40" s="594" t="s">
        <v>192</v>
      </c>
    </row>
    <row r="41" spans="1:6">
      <c r="B41" s="188" t="s">
        <v>44</v>
      </c>
      <c r="C41" s="188" t="s">
        <v>6</v>
      </c>
      <c r="E41" s="188" t="s">
        <v>44</v>
      </c>
      <c r="F41" s="188" t="s">
        <v>6</v>
      </c>
    </row>
    <row r="42" spans="1:6">
      <c r="B42" s="146"/>
      <c r="C42" s="146"/>
      <c r="E42" s="146"/>
      <c r="F42" s="146"/>
    </row>
    <row r="43" spans="1:6">
      <c r="A43" s="110" t="s">
        <v>506</v>
      </c>
      <c r="B43" s="146">
        <f>MGS!E46+MGS!E47</f>
        <v>438448702</v>
      </c>
      <c r="C43" s="146">
        <f>MGS!C142+MGS!C143</f>
        <v>1854278</v>
      </c>
      <c r="E43" s="146"/>
      <c r="F43" s="146"/>
    </row>
    <row r="44" spans="1:6">
      <c r="A44" s="110" t="s">
        <v>293</v>
      </c>
      <c r="B44" s="146"/>
      <c r="C44" s="146"/>
      <c r="E44" s="146">
        <f>MGS!C234+MGS!C235</f>
        <v>3585557</v>
      </c>
      <c r="F44" s="146">
        <f>ROUND(((E44/B43)*C43),0)</f>
        <v>15164</v>
      </c>
    </row>
    <row r="45" spans="1:6">
      <c r="A45" s="110" t="s">
        <v>292</v>
      </c>
      <c r="B45" s="146"/>
      <c r="C45" s="146"/>
      <c r="E45" s="146">
        <f>MGS!C242+MGS!C243</f>
        <v>813104</v>
      </c>
      <c r="F45" s="146">
        <f>ROUND(((E45/B43)*C43),0)</f>
        <v>3439</v>
      </c>
    </row>
    <row r="46" spans="1:6">
      <c r="A46" s="110" t="s">
        <v>985</v>
      </c>
      <c r="B46" s="146"/>
      <c r="C46" s="146"/>
      <c r="E46" s="146">
        <f>MGS!C260</f>
        <v>1372008</v>
      </c>
      <c r="F46" s="146">
        <f>ROUND(((E46/B43)*C43),0)</f>
        <v>5802</v>
      </c>
    </row>
    <row r="48" spans="1:6">
      <c r="A48" s="110" t="s">
        <v>503</v>
      </c>
      <c r="B48" s="146">
        <f>400083459+109712261</f>
        <v>509795720</v>
      </c>
      <c r="C48" s="146">
        <f>LGS!D180</f>
        <v>1510142</v>
      </c>
      <c r="E48" s="146"/>
      <c r="F48" s="146"/>
    </row>
    <row r="49" spans="1:6">
      <c r="A49" s="110" t="s">
        <v>396</v>
      </c>
      <c r="B49" s="146"/>
      <c r="C49" s="146"/>
      <c r="E49" s="146">
        <f>LGS!D268+LGS!D269</f>
        <v>1930735</v>
      </c>
      <c r="F49" s="146">
        <f>ROUND(((E49/B48)*C48),0)</f>
        <v>5719</v>
      </c>
    </row>
    <row r="50" spans="1:6">
      <c r="A50" s="105" t="s">
        <v>1034</v>
      </c>
      <c r="B50" s="230">
        <f>LGS!D273+LGS!D274</f>
        <v>2985027</v>
      </c>
      <c r="C50" s="146">
        <f>LGS!D275</f>
        <v>6051.2</v>
      </c>
    </row>
  </sheetData>
  <mergeCells count="1">
    <mergeCell ref="E39:F39"/>
  </mergeCells>
  <printOptions horizontalCentered="1"/>
  <pageMargins left="0.5" right="0.5" top="0.5" bottom="0.5" header="0.5" footer="0.5"/>
  <pageSetup scale="98" orientation="portrait" r:id="rId1"/>
  <headerFooter alignWithMargins="0">
    <oddHeader xml:space="preserve">&amp;L&amp;F
&amp;A&amp;C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F53"/>
  <sheetViews>
    <sheetView showOutlineSymbols="0" zoomScale="87" zoomScaleNormal="87" workbookViewId="0">
      <selection activeCell="D11" sqref="D11"/>
    </sheetView>
  </sheetViews>
  <sheetFormatPr defaultColWidth="9.75" defaultRowHeight="15"/>
  <cols>
    <col min="1" max="1" width="26" style="105" customWidth="1"/>
    <col min="2" max="2" width="15.625" style="105" customWidth="1"/>
    <col min="3" max="3" width="15" style="105" customWidth="1"/>
    <col min="4" max="4" width="14.375" style="105" bestFit="1" customWidth="1"/>
    <col min="5" max="5" width="15.375" style="105" customWidth="1"/>
    <col min="6" max="6" width="15.875" style="105" customWidth="1"/>
    <col min="7" max="16384" width="9.75" style="105"/>
  </cols>
  <sheetData>
    <row r="1" spans="1:6">
      <c r="A1" s="590" t="s">
        <v>520</v>
      </c>
      <c r="B1" s="590"/>
      <c r="C1" s="590"/>
      <c r="D1" s="590"/>
      <c r="E1" s="590"/>
      <c r="F1" s="590"/>
    </row>
    <row r="2" spans="1:6">
      <c r="A2" s="590" t="s">
        <v>519</v>
      </c>
      <c r="B2" s="590"/>
      <c r="C2" s="590"/>
      <c r="D2" s="590"/>
      <c r="E2" s="590"/>
      <c r="F2" s="590"/>
    </row>
    <row r="3" spans="1:6">
      <c r="A3" s="590" t="str">
        <f>'Demand Basis'!A3</f>
        <v>Twelve Months Ended February 28, 2017</v>
      </c>
      <c r="B3" s="590"/>
      <c r="C3" s="590"/>
      <c r="D3" s="590"/>
      <c r="E3" s="590"/>
      <c r="F3" s="590"/>
    </row>
    <row r="7" spans="1:6">
      <c r="A7" s="501" t="s">
        <v>518</v>
      </c>
      <c r="E7" s="188" t="s">
        <v>498</v>
      </c>
      <c r="F7" s="188"/>
    </row>
    <row r="8" spans="1:6">
      <c r="B8" s="188" t="s">
        <v>319</v>
      </c>
      <c r="C8" s="188" t="s">
        <v>318</v>
      </c>
      <c r="D8" s="188" t="s">
        <v>373</v>
      </c>
      <c r="E8" s="188" t="s">
        <v>411</v>
      </c>
      <c r="F8" s="188" t="s">
        <v>119</v>
      </c>
    </row>
    <row r="10" spans="1:6">
      <c r="A10" s="110" t="s">
        <v>517</v>
      </c>
      <c r="B10" s="146">
        <f>B47</f>
        <v>444219371</v>
      </c>
      <c r="C10" s="146">
        <v>14673547</v>
      </c>
      <c r="D10" s="146">
        <v>1369265</v>
      </c>
      <c r="E10" s="146"/>
      <c r="F10" s="146"/>
    </row>
    <row r="11" spans="1:6">
      <c r="A11" s="110" t="s">
        <v>516</v>
      </c>
      <c r="B11" s="146">
        <f>B53</f>
        <v>514711482</v>
      </c>
      <c r="C11" s="146">
        <f>78019019+1855532</f>
        <v>79874551</v>
      </c>
      <c r="D11" s="146">
        <v>35936561</v>
      </c>
      <c r="E11" s="146">
        <v>1688152</v>
      </c>
      <c r="F11" s="146"/>
    </row>
    <row r="12" spans="1:6">
      <c r="A12" s="110" t="s">
        <v>936</v>
      </c>
      <c r="B12" s="12">
        <v>15517623</v>
      </c>
      <c r="C12" s="12">
        <v>283356811</v>
      </c>
      <c r="D12" s="12">
        <f>1630090947+148272000</f>
        <v>1778362947</v>
      </c>
      <c r="E12" s="12">
        <v>313600300</v>
      </c>
      <c r="F12" s="210"/>
    </row>
    <row r="13" spans="1:6">
      <c r="A13" s="187" t="s">
        <v>54</v>
      </c>
      <c r="B13" s="530">
        <f>SUM(B10:B12)</f>
        <v>974448476</v>
      </c>
      <c r="C13" s="530">
        <f>SUM(C10:C12)</f>
        <v>377904909</v>
      </c>
      <c r="D13" s="530">
        <f>SUM(D10:D12)</f>
        <v>1815668773</v>
      </c>
      <c r="E13" s="530">
        <f>SUM(E10:E12)</f>
        <v>315288452</v>
      </c>
      <c r="F13" s="127"/>
    </row>
    <row r="15" spans="1:6">
      <c r="A15" s="110" t="s">
        <v>515</v>
      </c>
      <c r="B15" s="145">
        <v>1</v>
      </c>
      <c r="C15" s="145">
        <v>0.96167000000000002</v>
      </c>
      <c r="D15" s="145">
        <v>0.94896999999999998</v>
      </c>
      <c r="E15" s="145">
        <v>0.93584999999999996</v>
      </c>
      <c r="F15" s="216"/>
    </row>
    <row r="17" spans="1:6">
      <c r="A17" s="110" t="s">
        <v>514</v>
      </c>
      <c r="B17" s="146">
        <f>ROUND((B13*B15),0)</f>
        <v>974448476</v>
      </c>
      <c r="C17" s="146">
        <f>ROUND((C13*C15),0)</f>
        <v>363419814</v>
      </c>
      <c r="D17" s="146">
        <f>ROUND((D13*D15),0)</f>
        <v>1723015196</v>
      </c>
      <c r="E17" s="146">
        <f>ROUND((E13*E15),0)</f>
        <v>295062698</v>
      </c>
      <c r="F17" s="146"/>
    </row>
    <row r="18" spans="1:6">
      <c r="B18" s="182">
        <f>'Demand Basis'!B18</f>
        <v>0.76100000000000001</v>
      </c>
      <c r="C18" s="182">
        <f>B18</f>
        <v>0.76100000000000001</v>
      </c>
    </row>
    <row r="19" spans="1:6">
      <c r="A19" s="110" t="s">
        <v>513</v>
      </c>
      <c r="B19" s="146">
        <f>ROUND(B18*B17,0)</f>
        <v>741555290</v>
      </c>
      <c r="C19" s="146">
        <f>ROUND(C18*C17,0)</f>
        <v>276562478</v>
      </c>
      <c r="D19" s="146">
        <f>D17</f>
        <v>1723015196</v>
      </c>
    </row>
    <row r="22" spans="1:6">
      <c r="A22" s="110" t="s">
        <v>512</v>
      </c>
      <c r="B22" s="146">
        <f>'Demand Basis'!B22</f>
        <v>8559227</v>
      </c>
      <c r="C22" s="146">
        <f>'Demand Basis'!C22</f>
        <v>26391020</v>
      </c>
      <c r="D22" s="146">
        <f>'Demand Basis'!D22</f>
        <v>0</v>
      </c>
      <c r="E22" s="146">
        <f>'Demand Basis'!E22</f>
        <v>0</v>
      </c>
      <c r="F22" s="146">
        <f>'Demand Basis'!F22</f>
        <v>131789145</v>
      </c>
    </row>
    <row r="24" spans="1:6">
      <c r="A24" s="110" t="s">
        <v>511</v>
      </c>
      <c r="B24" s="146">
        <f>+B17</f>
        <v>974448476</v>
      </c>
      <c r="C24" s="146">
        <f>B24+C17</f>
        <v>1337868290</v>
      </c>
      <c r="D24" s="146">
        <f>SUM(B19:D19)</f>
        <v>2741132964</v>
      </c>
      <c r="E24" s="146">
        <f>SUM(B17:E17)</f>
        <v>3355946184</v>
      </c>
      <c r="F24" s="146">
        <f>E24</f>
        <v>3355946184</v>
      </c>
    </row>
    <row r="26" spans="1:6">
      <c r="A26" s="110" t="s">
        <v>510</v>
      </c>
      <c r="B26" s="569">
        <f>ROUND((B22/B24),5)</f>
        <v>8.7799999999999996E-3</v>
      </c>
      <c r="C26" s="569">
        <f>ROUND((C22/C24),5)</f>
        <v>1.9730000000000001E-2</v>
      </c>
      <c r="D26" s="569">
        <f>ROUND((D22/D24),5)</f>
        <v>0</v>
      </c>
      <c r="E26" s="214">
        <f>ROUND((E22/E24),5)</f>
        <v>0</v>
      </c>
      <c r="F26" s="214">
        <f>ROUND((F22/F24),5)</f>
        <v>3.9269999999999999E-2</v>
      </c>
    </row>
    <row r="27" spans="1:6">
      <c r="A27" s="110"/>
      <c r="E27" s="148"/>
      <c r="F27" s="148"/>
    </row>
    <row r="28" spans="1:6">
      <c r="A28" s="110"/>
      <c r="E28" s="148"/>
      <c r="F28" s="148"/>
    </row>
    <row r="29" spans="1:6">
      <c r="A29" s="110"/>
      <c r="E29" s="148"/>
      <c r="F29" s="148"/>
    </row>
    <row r="30" spans="1:6">
      <c r="A30" s="501" t="s">
        <v>509</v>
      </c>
      <c r="F30" s="148"/>
    </row>
    <row r="31" spans="1:6">
      <c r="B31" s="188" t="s">
        <v>319</v>
      </c>
      <c r="C31" s="188" t="s">
        <v>318</v>
      </c>
      <c r="D31" s="188" t="s">
        <v>373</v>
      </c>
      <c r="E31" s="188" t="s">
        <v>9</v>
      </c>
      <c r="F31" s="148"/>
    </row>
    <row r="32" spans="1:6">
      <c r="A32" s="110" t="s">
        <v>318</v>
      </c>
      <c r="B32" s="108">
        <f>+B26</f>
        <v>8.7799999999999996E-3</v>
      </c>
      <c r="C32" s="145"/>
      <c r="D32" s="145"/>
      <c r="E32" s="108">
        <f>SUM(B32:D32)</f>
        <v>8.7799999999999996E-3</v>
      </c>
      <c r="F32" s="145">
        <f>-ROUND(E32,5)</f>
        <v>-8.7799999999999996E-3</v>
      </c>
    </row>
    <row r="33" spans="1:6">
      <c r="A33" s="110" t="s">
        <v>317</v>
      </c>
      <c r="B33" s="108">
        <f>+B32</f>
        <v>8.7799999999999996E-3</v>
      </c>
      <c r="C33" s="108">
        <f>+C26</f>
        <v>1.9730000000000001E-2</v>
      </c>
      <c r="D33" s="145"/>
      <c r="E33" s="108">
        <f>SUM(B33:D33)</f>
        <v>2.8510000000000001E-2</v>
      </c>
      <c r="F33" s="145">
        <f>-ROUND(E33,5)</f>
        <v>-2.8510000000000001E-2</v>
      </c>
    </row>
    <row r="34" spans="1:6">
      <c r="A34" s="110" t="s">
        <v>443</v>
      </c>
      <c r="B34" s="108">
        <f>+B32</f>
        <v>8.7799999999999996E-3</v>
      </c>
      <c r="C34" s="108">
        <f>+C33</f>
        <v>1.9730000000000001E-2</v>
      </c>
      <c r="D34" s="108">
        <f>+D26</f>
        <v>0</v>
      </c>
      <c r="E34" s="108">
        <f>SUM(B34:D34)</f>
        <v>2.8510000000000001E-2</v>
      </c>
      <c r="F34" s="145">
        <f>-ROUND(E34,5)</f>
        <v>-2.8510000000000001E-2</v>
      </c>
    </row>
    <row r="38" spans="1:6">
      <c r="A38" s="501" t="s">
        <v>508</v>
      </c>
      <c r="B38" s="595"/>
      <c r="C38" s="595"/>
      <c r="E38" s="856"/>
      <c r="F38" s="856"/>
    </row>
    <row r="39" spans="1:6">
      <c r="B39" s="596" t="s">
        <v>507</v>
      </c>
      <c r="C39" s="596"/>
      <c r="E39" s="596"/>
      <c r="F39" s="596"/>
    </row>
    <row r="40" spans="1:6">
      <c r="B40" s="188" t="s">
        <v>44</v>
      </c>
      <c r="C40" s="188"/>
      <c r="E40" s="188"/>
      <c r="F40" s="188"/>
    </row>
    <row r="41" spans="1:6">
      <c r="B41" s="146"/>
      <c r="C41" s="146"/>
      <c r="E41" s="146"/>
      <c r="F41" s="146"/>
    </row>
    <row r="42" spans="1:6">
      <c r="A42" s="110" t="s">
        <v>506</v>
      </c>
      <c r="B42" s="146">
        <f>'Demand Basis'!B43</f>
        <v>438448702</v>
      </c>
      <c r="C42" s="146"/>
      <c r="E42" s="146"/>
      <c r="F42" s="146"/>
    </row>
    <row r="43" spans="1:6">
      <c r="A43" s="110" t="s">
        <v>293</v>
      </c>
      <c r="B43" s="146">
        <f>'Demand Basis'!E44</f>
        <v>3585557</v>
      </c>
      <c r="C43" s="146"/>
      <c r="E43" s="146"/>
      <c r="F43" s="146"/>
    </row>
    <row r="44" spans="1:6">
      <c r="A44" s="110" t="s">
        <v>292</v>
      </c>
      <c r="B44" s="146">
        <f>'Demand Basis'!E45</f>
        <v>813104</v>
      </c>
      <c r="C44" s="146"/>
      <c r="E44" s="146"/>
      <c r="F44" s="146"/>
    </row>
    <row r="45" spans="1:6">
      <c r="A45" s="110" t="s">
        <v>505</v>
      </c>
      <c r="B45" s="548">
        <f>'Demand Basis'!E46</f>
        <v>1372008</v>
      </c>
      <c r="C45" s="146"/>
      <c r="E45" s="146"/>
      <c r="F45" s="146"/>
    </row>
    <row r="46" spans="1:6">
      <c r="A46" s="110"/>
      <c r="B46" s="146"/>
      <c r="C46" s="146"/>
      <c r="E46" s="146"/>
      <c r="F46" s="146"/>
    </row>
    <row r="47" spans="1:6">
      <c r="A47" s="110" t="s">
        <v>504</v>
      </c>
      <c r="B47" s="146">
        <f>SUM(B42:B45)</f>
        <v>444219371</v>
      </c>
      <c r="C47" s="146"/>
      <c r="E47" s="146"/>
      <c r="F47" s="146"/>
    </row>
    <row r="49" spans="1:6">
      <c r="A49" s="110" t="s">
        <v>503</v>
      </c>
      <c r="B49" s="146">
        <f>'Demand Basis'!B48</f>
        <v>509795720</v>
      </c>
      <c r="C49" s="146"/>
      <c r="E49" s="146"/>
      <c r="F49" s="146"/>
    </row>
    <row r="50" spans="1:6">
      <c r="A50" s="110" t="s">
        <v>396</v>
      </c>
      <c r="B50" s="146">
        <f>'Demand Basis'!E49</f>
        <v>1930735</v>
      </c>
      <c r="C50" s="146"/>
      <c r="E50" s="146"/>
      <c r="F50" s="146"/>
    </row>
    <row r="51" spans="1:6">
      <c r="A51" s="110" t="s">
        <v>1033</v>
      </c>
      <c r="B51" s="548">
        <f>'Demand Basis'!B50</f>
        <v>2985027</v>
      </c>
      <c r="C51" s="146"/>
      <c r="E51" s="146"/>
      <c r="F51" s="146"/>
    </row>
    <row r="53" spans="1:6">
      <c r="A53" s="105" t="s">
        <v>502</v>
      </c>
      <c r="B53" s="230">
        <f>SUM(B49:B51)</f>
        <v>514711482</v>
      </c>
    </row>
  </sheetData>
  <mergeCells count="1">
    <mergeCell ref="E38:F38"/>
  </mergeCells>
  <printOptions horizontalCentered="1"/>
  <pageMargins left="0.5" right="0.5" top="0.5" bottom="0.5" header="0.5" footer="0.5"/>
  <pageSetup scale="86" orientation="portrait" r:id="rId1"/>
  <headerFooter alignWithMargins="0">
    <oddHeader xml:space="preserve">&amp;L&amp;F
&amp;A&amp;C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D10" sqref="D10"/>
    </sheetView>
  </sheetViews>
  <sheetFormatPr defaultRowHeight="15.75"/>
  <cols>
    <col min="1" max="1" width="24" style="524" bestFit="1" customWidth="1"/>
    <col min="2" max="2" width="9" style="524"/>
    <col min="3" max="3" width="10.5" style="524" bestFit="1" customWidth="1"/>
    <col min="4" max="16384" width="9" style="524"/>
  </cols>
  <sheetData>
    <row r="1" spans="1:10">
      <c r="A1" s="597" t="str">
        <f>'Demand Basis'!$A$1</f>
        <v>KENTUCKY POWER COMPANY</v>
      </c>
      <c r="B1" s="597"/>
      <c r="C1" s="597"/>
      <c r="D1" s="597"/>
      <c r="E1" s="597"/>
      <c r="F1" s="598"/>
      <c r="G1" s="598"/>
      <c r="H1" s="598"/>
      <c r="I1" s="598"/>
      <c r="J1" s="598"/>
    </row>
    <row r="2" spans="1:10">
      <c r="A2" s="597" t="s">
        <v>501</v>
      </c>
      <c r="B2" s="597"/>
      <c r="C2" s="597"/>
      <c r="D2" s="597"/>
      <c r="E2" s="597"/>
      <c r="F2" s="598"/>
      <c r="G2" s="598"/>
      <c r="H2" s="598"/>
      <c r="I2" s="598"/>
      <c r="J2" s="598"/>
    </row>
    <row r="3" spans="1:10">
      <c r="A3" s="597" t="str">
        <f>'Demand Basis'!$A$3</f>
        <v>Twelve Months Ended February 28, 2017</v>
      </c>
      <c r="B3" s="597"/>
      <c r="C3" s="597"/>
      <c r="D3" s="597"/>
      <c r="E3" s="597"/>
      <c r="F3" s="598"/>
      <c r="G3" s="598"/>
      <c r="H3" s="598"/>
      <c r="I3" s="598"/>
      <c r="J3" s="598"/>
    </row>
    <row r="4" spans="1:10">
      <c r="A4" s="597"/>
      <c r="B4" s="597"/>
      <c r="C4" s="597"/>
      <c r="D4" s="597"/>
      <c r="E4" s="597"/>
      <c r="F4" s="598"/>
      <c r="G4" s="598"/>
      <c r="H4" s="598"/>
      <c r="I4" s="598"/>
      <c r="J4" s="598"/>
    </row>
    <row r="5" spans="1:10">
      <c r="A5" s="598"/>
      <c r="B5" s="598"/>
      <c r="C5" s="598"/>
      <c r="D5" s="598"/>
      <c r="E5" s="598"/>
      <c r="F5" s="598"/>
      <c r="G5" s="598"/>
      <c r="H5" s="598"/>
      <c r="I5" s="598"/>
      <c r="J5" s="598"/>
    </row>
    <row r="6" spans="1:10">
      <c r="A6" s="598"/>
      <c r="B6" s="598"/>
      <c r="C6" s="598"/>
      <c r="D6" s="598"/>
      <c r="E6" s="598"/>
      <c r="F6" s="598"/>
      <c r="G6" s="598"/>
      <c r="H6" s="598"/>
      <c r="I6" s="598"/>
      <c r="J6" s="598"/>
    </row>
    <row r="7" spans="1:10">
      <c r="A7" s="598"/>
      <c r="B7" s="599" t="s">
        <v>6</v>
      </c>
      <c r="C7" s="598"/>
      <c r="D7" s="598"/>
      <c r="E7" s="599" t="s">
        <v>500</v>
      </c>
      <c r="F7" s="598"/>
      <c r="G7" s="598"/>
      <c r="H7" s="598"/>
      <c r="I7" s="598"/>
      <c r="J7" s="598"/>
    </row>
    <row r="8" spans="1:10">
      <c r="A8" s="598"/>
      <c r="B8" s="599" t="s">
        <v>340</v>
      </c>
      <c r="C8" s="598"/>
      <c r="D8" s="598"/>
      <c r="E8" s="599" t="s">
        <v>497</v>
      </c>
      <c r="F8" s="598"/>
      <c r="G8" s="598"/>
      <c r="H8" s="598"/>
      <c r="I8" s="598"/>
      <c r="J8" s="598"/>
    </row>
    <row r="9" spans="1:10">
      <c r="A9" s="598"/>
      <c r="B9" s="600" t="s">
        <v>496</v>
      </c>
      <c r="C9" s="600" t="s">
        <v>119</v>
      </c>
      <c r="D9" s="601"/>
      <c r="E9" s="600" t="s">
        <v>324</v>
      </c>
      <c r="F9" s="598"/>
      <c r="G9" s="598"/>
      <c r="H9" s="598"/>
      <c r="I9" s="598"/>
      <c r="J9" s="598"/>
    </row>
    <row r="10" spans="1:10">
      <c r="A10" s="598"/>
      <c r="B10" s="599"/>
      <c r="C10" s="599"/>
      <c r="D10" s="598"/>
      <c r="E10" s="599"/>
      <c r="F10" s="598"/>
      <c r="G10" s="598"/>
      <c r="H10" s="598"/>
      <c r="I10" s="598"/>
      <c r="J10" s="598"/>
    </row>
    <row r="11" spans="1:10">
      <c r="A11" s="598"/>
      <c r="B11" s="598"/>
      <c r="C11" s="598"/>
      <c r="D11" s="598"/>
      <c r="E11" s="598"/>
      <c r="F11" s="598"/>
      <c r="G11" s="598"/>
      <c r="H11" s="598"/>
      <c r="I11" s="598"/>
      <c r="J11" s="598"/>
    </row>
    <row r="12" spans="1:10">
      <c r="A12" s="601" t="s">
        <v>495</v>
      </c>
      <c r="B12" s="139"/>
      <c r="C12" s="138">
        <f>+'Demand Basis'!$F$26</f>
        <v>16.62</v>
      </c>
      <c r="D12" s="139"/>
      <c r="E12" s="139"/>
      <c r="F12" s="598"/>
      <c r="G12" s="598"/>
      <c r="H12" s="598"/>
      <c r="I12" s="598"/>
      <c r="J12" s="598"/>
    </row>
    <row r="13" spans="1:10">
      <c r="A13" s="598"/>
      <c r="B13" s="139"/>
      <c r="C13" s="139"/>
      <c r="D13" s="139"/>
      <c r="E13" s="139"/>
      <c r="F13" s="598"/>
      <c r="G13" s="598"/>
      <c r="H13" s="598"/>
      <c r="I13" s="598"/>
      <c r="J13" s="598"/>
    </row>
    <row r="14" spans="1:10">
      <c r="A14" s="601" t="s">
        <v>494</v>
      </c>
      <c r="B14" s="139"/>
      <c r="C14" s="140">
        <v>0.1</v>
      </c>
      <c r="D14" s="139"/>
      <c r="E14" s="139"/>
      <c r="F14" s="598"/>
      <c r="G14" s="598"/>
      <c r="H14" s="598"/>
      <c r="I14" s="598"/>
      <c r="J14" s="598"/>
    </row>
    <row r="15" spans="1:10">
      <c r="A15" s="598"/>
      <c r="B15" s="139"/>
      <c r="C15" s="139"/>
      <c r="D15" s="139"/>
      <c r="E15" s="139"/>
      <c r="F15" s="598"/>
      <c r="G15" s="598"/>
      <c r="H15" s="598"/>
      <c r="I15" s="598"/>
      <c r="J15" s="598"/>
    </row>
    <row r="16" spans="1:10">
      <c r="A16" s="601" t="s">
        <v>493</v>
      </c>
      <c r="B16" s="139"/>
      <c r="C16" s="138">
        <f>ROUND((C12*C14),2)</f>
        <v>1.66</v>
      </c>
      <c r="D16" s="139"/>
      <c r="E16" s="602"/>
      <c r="F16" s="598"/>
      <c r="G16" s="598"/>
      <c r="H16" s="598"/>
      <c r="I16" s="598"/>
      <c r="J16" s="598"/>
    </row>
    <row r="17" spans="1:10">
      <c r="A17" s="598"/>
      <c r="B17" s="139"/>
      <c r="C17" s="603"/>
      <c r="D17" s="139"/>
      <c r="E17" s="139"/>
      <c r="F17" s="598"/>
      <c r="G17" s="598"/>
      <c r="H17" s="598"/>
      <c r="I17" s="598"/>
      <c r="J17" s="598"/>
    </row>
    <row r="18" spans="1:10">
      <c r="A18" s="601" t="s">
        <v>492</v>
      </c>
      <c r="B18" s="604">
        <f>'Demand Basis'!$B$15</f>
        <v>1</v>
      </c>
      <c r="C18" s="138">
        <f>ROUND((C$16*$B18),2)</f>
        <v>1.66</v>
      </c>
      <c r="D18" s="139"/>
      <c r="E18" s="602">
        <f>SUM(C18:C18)</f>
        <v>1.66</v>
      </c>
      <c r="F18" s="598"/>
      <c r="G18" s="598"/>
      <c r="H18" s="598"/>
      <c r="I18" s="598"/>
      <c r="J18" s="598"/>
    </row>
    <row r="19" spans="1:10">
      <c r="A19" s="598"/>
      <c r="B19" s="604"/>
      <c r="C19" s="138"/>
      <c r="D19" s="139"/>
      <c r="E19" s="139"/>
      <c r="F19" s="598"/>
      <c r="G19" s="598"/>
      <c r="H19" s="598"/>
      <c r="I19" s="598"/>
      <c r="J19" s="598"/>
    </row>
    <row r="20" spans="1:10">
      <c r="A20" s="601" t="s">
        <v>491</v>
      </c>
      <c r="B20" s="604">
        <f>'Demand Basis'!$C$15</f>
        <v>0.96704999999999997</v>
      </c>
      <c r="C20" s="138">
        <f>ROUND((C$16*$B20),2)</f>
        <v>1.61</v>
      </c>
      <c r="D20" s="139"/>
      <c r="E20" s="602">
        <f>SUM(C20:C20)</f>
        <v>1.61</v>
      </c>
      <c r="F20" s="598"/>
      <c r="G20" s="598"/>
      <c r="H20" s="598"/>
      <c r="I20" s="598"/>
      <c r="J20" s="598"/>
    </row>
    <row r="21" spans="1:10">
      <c r="A21" s="598"/>
      <c r="B21" s="604"/>
      <c r="C21" s="138"/>
      <c r="D21" s="139"/>
      <c r="E21" s="139"/>
      <c r="F21" s="598"/>
      <c r="G21" s="598"/>
      <c r="H21" s="598"/>
      <c r="I21" s="598"/>
      <c r="J21" s="598"/>
    </row>
    <row r="22" spans="1:10">
      <c r="A22" s="601" t="s">
        <v>490</v>
      </c>
      <c r="B22" s="604">
        <f>'Demand Basis'!$D$15</f>
        <v>0.95125000000000004</v>
      </c>
      <c r="C22" s="138">
        <f>ROUND((C$16*$B22),2)</f>
        <v>1.58</v>
      </c>
      <c r="D22" s="139"/>
      <c r="E22" s="602">
        <f>SUM(C22:C22)</f>
        <v>1.58</v>
      </c>
      <c r="F22" s="598"/>
      <c r="G22" s="598"/>
      <c r="H22" s="598"/>
      <c r="I22" s="598"/>
      <c r="J22" s="598"/>
    </row>
    <row r="23" spans="1:10">
      <c r="A23" s="598"/>
      <c r="B23" s="604"/>
      <c r="C23" s="138"/>
      <c r="D23" s="603"/>
      <c r="E23" s="139"/>
      <c r="F23" s="598"/>
      <c r="G23" s="598"/>
      <c r="H23" s="598"/>
      <c r="I23" s="598"/>
      <c r="J23" s="598"/>
    </row>
    <row r="24" spans="1:10">
      <c r="A24" s="601" t="s">
        <v>489</v>
      </c>
      <c r="B24" s="604">
        <f>'Demand Basis'!$E$15</f>
        <v>0.93389</v>
      </c>
      <c r="C24" s="138">
        <f>ROUND((C$16*$B24),2)</f>
        <v>1.55</v>
      </c>
      <c r="D24" s="139"/>
      <c r="E24" s="602">
        <f>SUM(C24:C24)</f>
        <v>1.55</v>
      </c>
      <c r="F24" s="598"/>
      <c r="G24" s="598"/>
      <c r="H24" s="598"/>
      <c r="I24" s="598"/>
      <c r="J24" s="598"/>
    </row>
    <row r="25" spans="1:10">
      <c r="A25" s="598"/>
      <c r="B25" s="598"/>
      <c r="C25" s="598"/>
      <c r="D25" s="598"/>
      <c r="E25" s="598"/>
      <c r="F25" s="598"/>
      <c r="G25" s="598"/>
      <c r="H25" s="598"/>
      <c r="I25" s="598"/>
      <c r="J25" s="598"/>
    </row>
    <row r="26" spans="1:10">
      <c r="A26" s="601"/>
      <c r="B26" s="598"/>
      <c r="C26" s="598"/>
      <c r="D26" s="598"/>
      <c r="E26" s="598"/>
      <c r="F26" s="598"/>
      <c r="G26" s="598"/>
      <c r="H26" s="598"/>
      <c r="I26" s="598"/>
      <c r="J26" s="598"/>
    </row>
    <row r="27" spans="1:10">
      <c r="A27" s="601"/>
      <c r="B27" s="598"/>
      <c r="C27" s="598"/>
      <c r="D27" s="598"/>
      <c r="E27" s="598"/>
      <c r="F27" s="598"/>
      <c r="G27" s="598"/>
      <c r="H27" s="598"/>
      <c r="I27" s="598"/>
      <c r="J27" s="598"/>
    </row>
    <row r="28" spans="1:10">
      <c r="A28" s="598"/>
      <c r="B28" s="598"/>
      <c r="C28" s="598"/>
      <c r="D28" s="598"/>
      <c r="E28" s="598"/>
      <c r="F28" s="598"/>
      <c r="G28" s="598"/>
      <c r="H28" s="598"/>
      <c r="I28" s="598"/>
      <c r="J28" s="598"/>
    </row>
    <row r="29" spans="1:10">
      <c r="A29" s="598"/>
      <c r="B29" s="598"/>
      <c r="C29" s="598"/>
      <c r="D29" s="598"/>
      <c r="E29" s="598"/>
      <c r="F29" s="598"/>
      <c r="G29" s="598"/>
      <c r="H29" s="598"/>
      <c r="I29" s="598"/>
      <c r="J29" s="598"/>
    </row>
    <row r="30" spans="1:10">
      <c r="A30" s="598"/>
      <c r="B30" s="598"/>
      <c r="C30" s="598"/>
      <c r="D30" s="598"/>
      <c r="E30" s="598"/>
      <c r="F30" s="598"/>
      <c r="G30" s="598"/>
      <c r="H30" s="598"/>
      <c r="I30" s="598"/>
      <c r="J30" s="598"/>
    </row>
    <row r="31" spans="1:10">
      <c r="A31" s="598"/>
      <c r="B31" s="598"/>
      <c r="C31" s="598"/>
      <c r="D31" s="598"/>
      <c r="E31" s="598"/>
      <c r="F31" s="598"/>
      <c r="G31" s="598"/>
      <c r="H31" s="598"/>
      <c r="I31" s="598"/>
      <c r="J31" s="598"/>
    </row>
    <row r="32" spans="1:10">
      <c r="A32" s="598"/>
      <c r="B32" s="598"/>
      <c r="C32" s="598"/>
      <c r="D32" s="598"/>
      <c r="E32" s="598"/>
      <c r="F32" s="598"/>
      <c r="G32" s="598"/>
      <c r="H32" s="598"/>
      <c r="I32" s="598"/>
      <c r="J32" s="598"/>
    </row>
    <row r="33" spans="1:10">
      <c r="A33" s="598"/>
      <c r="B33" s="598"/>
      <c r="C33" s="598"/>
      <c r="D33" s="598"/>
      <c r="E33" s="598"/>
      <c r="F33" s="598"/>
      <c r="G33" s="598"/>
      <c r="H33" s="598"/>
      <c r="I33" s="598"/>
      <c r="J33" s="598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27"/>
  <sheetViews>
    <sheetView showOutlineSymbols="0" zoomScale="87" workbookViewId="0">
      <selection activeCell="K32" sqref="K32"/>
    </sheetView>
  </sheetViews>
  <sheetFormatPr defaultColWidth="9.75" defaultRowHeight="15"/>
  <cols>
    <col min="1" max="1" width="25" style="130" bestFit="1" customWidth="1"/>
    <col min="2" max="2" width="8.625" style="130" bestFit="1" customWidth="1"/>
    <col min="3" max="3" width="10.75" style="130" bestFit="1" customWidth="1"/>
    <col min="4" max="4" width="7.875" style="130" bestFit="1" customWidth="1"/>
    <col min="5" max="5" width="8.125" style="130" bestFit="1" customWidth="1"/>
    <col min="6" max="6" width="5.25" style="130" bestFit="1" customWidth="1"/>
    <col min="7" max="7" width="10.75" style="130" bestFit="1" customWidth="1"/>
    <col min="8" max="8" width="2.75" style="130" customWidth="1"/>
    <col min="9" max="9" width="8.75" style="130" bestFit="1" customWidth="1"/>
    <col min="10" max="16384" width="9.75" style="130"/>
  </cols>
  <sheetData>
    <row r="1" spans="1:9">
      <c r="A1" s="144" t="str">
        <f>'Demand Basis'!$A$1</f>
        <v>KENTUCKY POWER COMPANY</v>
      </c>
      <c r="B1" s="144"/>
      <c r="C1" s="144"/>
      <c r="D1" s="144"/>
      <c r="E1" s="144"/>
      <c r="F1" s="144"/>
      <c r="G1" s="144"/>
      <c r="H1" s="144"/>
      <c r="I1" s="144"/>
    </row>
    <row r="2" spans="1:9">
      <c r="A2" s="144" t="s">
        <v>1035</v>
      </c>
      <c r="B2" s="144"/>
      <c r="C2" s="144"/>
      <c r="D2" s="144"/>
      <c r="E2" s="144"/>
      <c r="F2" s="144"/>
      <c r="G2" s="144"/>
      <c r="H2" s="144"/>
      <c r="I2" s="144"/>
    </row>
    <row r="3" spans="1:9">
      <c r="A3" s="144" t="str">
        <f>'Demand Basis'!$A$3</f>
        <v>Twelve Months Ended February 28, 2017</v>
      </c>
      <c r="B3" s="144"/>
      <c r="C3" s="144"/>
      <c r="D3" s="144"/>
      <c r="E3" s="144"/>
      <c r="F3" s="144"/>
      <c r="G3" s="144"/>
      <c r="H3" s="144"/>
      <c r="I3" s="144"/>
    </row>
    <row r="4" spans="1:9">
      <c r="A4" s="144"/>
      <c r="B4" s="144"/>
      <c r="C4" s="144"/>
      <c r="D4" s="144"/>
      <c r="E4" s="144"/>
      <c r="F4" s="144"/>
      <c r="G4" s="144"/>
      <c r="H4" s="144"/>
      <c r="I4" s="144"/>
    </row>
    <row r="7" spans="1:9">
      <c r="B7" s="141" t="s">
        <v>6</v>
      </c>
      <c r="I7" s="141" t="s">
        <v>500</v>
      </c>
    </row>
    <row r="8" spans="1:9">
      <c r="B8" s="141" t="s">
        <v>340</v>
      </c>
      <c r="C8" s="144" t="s">
        <v>499</v>
      </c>
      <c r="D8" s="144"/>
      <c r="F8" s="141" t="s">
        <v>498</v>
      </c>
      <c r="I8" s="141" t="s">
        <v>497</v>
      </c>
    </row>
    <row r="9" spans="1:9">
      <c r="B9" s="142" t="s">
        <v>496</v>
      </c>
      <c r="C9" s="143" t="s">
        <v>319</v>
      </c>
      <c r="D9" s="143" t="s">
        <v>318</v>
      </c>
      <c r="E9" s="142" t="s">
        <v>373</v>
      </c>
      <c r="F9" s="142" t="s">
        <v>411</v>
      </c>
      <c r="G9" s="142" t="s">
        <v>119</v>
      </c>
      <c r="H9" s="131"/>
      <c r="I9" s="142" t="s">
        <v>324</v>
      </c>
    </row>
    <row r="10" spans="1:9">
      <c r="B10" s="599"/>
      <c r="C10" s="599"/>
      <c r="D10" s="599"/>
      <c r="E10" s="599"/>
      <c r="F10" s="599"/>
      <c r="G10" s="599"/>
      <c r="I10" s="141"/>
    </row>
    <row r="11" spans="1:9">
      <c r="B11" s="598"/>
      <c r="C11" s="605"/>
      <c r="D11" s="605"/>
      <c r="E11" s="605"/>
      <c r="F11" s="605"/>
      <c r="G11" s="598"/>
    </row>
    <row r="12" spans="1:9">
      <c r="A12" s="131" t="s">
        <v>495</v>
      </c>
      <c r="B12" s="139"/>
      <c r="C12" s="138">
        <f>+'Demand Basis'!$B$26</f>
        <v>2.4900000000000002</v>
      </c>
      <c r="D12" s="138">
        <f>+'Demand Basis'!$C$26</f>
        <v>6.06</v>
      </c>
      <c r="E12" s="138">
        <f>+'Demand Basis'!$D$26</f>
        <v>0</v>
      </c>
      <c r="F12" s="138">
        <f>+'Demand Basis'!$E$26</f>
        <v>0</v>
      </c>
      <c r="G12" s="138">
        <f>+'Demand Basis'!$F$26</f>
        <v>16.62</v>
      </c>
      <c r="H12" s="134"/>
      <c r="I12" s="134"/>
    </row>
    <row r="13" spans="1:9">
      <c r="B13" s="139"/>
      <c r="C13" s="603"/>
      <c r="D13" s="603"/>
      <c r="E13" s="603"/>
      <c r="F13" s="603"/>
      <c r="G13" s="139"/>
      <c r="H13" s="134"/>
      <c r="I13" s="134"/>
    </row>
    <row r="14" spans="1:9">
      <c r="A14" s="131" t="s">
        <v>494</v>
      </c>
      <c r="B14" s="139"/>
      <c r="C14" s="140">
        <v>1</v>
      </c>
      <c r="D14" s="140">
        <v>1</v>
      </c>
      <c r="E14" s="140">
        <v>0.1</v>
      </c>
      <c r="F14" s="140">
        <f>E14</f>
        <v>0.1</v>
      </c>
      <c r="G14" s="140">
        <f>F14</f>
        <v>0.1</v>
      </c>
      <c r="H14" s="134"/>
      <c r="I14" s="134"/>
    </row>
    <row r="15" spans="1:9">
      <c r="B15" s="139"/>
      <c r="C15" s="139"/>
      <c r="D15" s="139"/>
      <c r="E15" s="139"/>
      <c r="F15" s="139"/>
      <c r="G15" s="139"/>
      <c r="H15" s="134"/>
      <c r="I15" s="134"/>
    </row>
    <row r="16" spans="1:9">
      <c r="A16" s="131" t="s">
        <v>493</v>
      </c>
      <c r="B16" s="139"/>
      <c r="C16" s="138">
        <f>ROUND((C12*C14),2)</f>
        <v>2.4900000000000002</v>
      </c>
      <c r="D16" s="138">
        <f>ROUND((D12*D14),2)</f>
        <v>6.06</v>
      </c>
      <c r="E16" s="138">
        <f>ROUND((E12*E14),2)</f>
        <v>0</v>
      </c>
      <c r="F16" s="138">
        <f>ROUND((F12*F14),2)</f>
        <v>0</v>
      </c>
      <c r="G16" s="138">
        <f>ROUND((G12*G14),2)</f>
        <v>1.66</v>
      </c>
      <c r="H16" s="134"/>
      <c r="I16" s="133"/>
    </row>
    <row r="17" spans="1:9">
      <c r="B17" s="134"/>
      <c r="C17" s="137"/>
      <c r="D17" s="137"/>
      <c r="E17" s="137"/>
      <c r="F17" s="137"/>
      <c r="G17" s="137"/>
      <c r="H17" s="134"/>
      <c r="I17" s="134"/>
    </row>
    <row r="18" spans="1:9">
      <c r="A18" s="131" t="s">
        <v>492</v>
      </c>
      <c r="B18" s="136">
        <f>'Demand Basis'!$B$15</f>
        <v>1</v>
      </c>
      <c r="C18" s="135">
        <f>ROUND((C$16*$B18),2)</f>
        <v>2.4900000000000002</v>
      </c>
      <c r="D18" s="135">
        <f>ROUND((D$16*$B18),2)</f>
        <v>6.06</v>
      </c>
      <c r="E18" s="135">
        <f>ROUND((E$16*$B18),2)</f>
        <v>0</v>
      </c>
      <c r="F18" s="135">
        <f>ROUND((F$16*$B18),2)</f>
        <v>0</v>
      </c>
      <c r="G18" s="135">
        <f>ROUND((G$16*$B18),2)</f>
        <v>1.66</v>
      </c>
      <c r="H18" s="134"/>
      <c r="I18" s="133">
        <f>SUM(C18:G18)</f>
        <v>10.210000000000001</v>
      </c>
    </row>
    <row r="19" spans="1:9">
      <c r="B19" s="136"/>
      <c r="C19" s="135"/>
      <c r="D19" s="135"/>
      <c r="E19" s="135"/>
      <c r="F19" s="135"/>
      <c r="G19" s="135"/>
      <c r="H19" s="134"/>
      <c r="I19" s="134"/>
    </row>
    <row r="20" spans="1:9">
      <c r="A20" s="131" t="s">
        <v>491</v>
      </c>
      <c r="B20" s="136">
        <f>'Demand Basis'!$C$15</f>
        <v>0.96704999999999997</v>
      </c>
      <c r="C20" s="135"/>
      <c r="D20" s="135">
        <f>ROUND((D$16*$B20),2)</f>
        <v>5.86</v>
      </c>
      <c r="E20" s="135">
        <f>ROUND((E$16*$B20),2)</f>
        <v>0</v>
      </c>
      <c r="F20" s="135">
        <f>ROUND((F$16*$B20),2)</f>
        <v>0</v>
      </c>
      <c r="G20" s="135">
        <f>ROUND((G$16*$B20),2)</f>
        <v>1.61</v>
      </c>
      <c r="H20" s="134"/>
      <c r="I20" s="133">
        <f>SUM(C20:G20)</f>
        <v>7.4700000000000006</v>
      </c>
    </row>
    <row r="21" spans="1:9">
      <c r="B21" s="136"/>
      <c r="C21" s="135"/>
      <c r="D21" s="135"/>
      <c r="E21" s="135"/>
      <c r="F21" s="135"/>
      <c r="G21" s="135"/>
      <c r="H21" s="134"/>
      <c r="I21" s="134"/>
    </row>
    <row r="22" spans="1:9">
      <c r="A22" s="131" t="s">
        <v>490</v>
      </c>
      <c r="B22" s="136">
        <f>'Demand Basis'!$D$15</f>
        <v>0.95125000000000004</v>
      </c>
      <c r="C22" s="135"/>
      <c r="D22" s="135"/>
      <c r="E22" s="135">
        <f>ROUND((E$16*$B22),2)</f>
        <v>0</v>
      </c>
      <c r="F22" s="135">
        <f>ROUND((F$16*$B22),2)</f>
        <v>0</v>
      </c>
      <c r="G22" s="135">
        <f>ROUND((G$16*$B22),2)</f>
        <v>1.58</v>
      </c>
      <c r="H22" s="134"/>
      <c r="I22" s="133">
        <f>SUM(C22:G22)</f>
        <v>1.58</v>
      </c>
    </row>
    <row r="23" spans="1:9">
      <c r="B23" s="136"/>
      <c r="C23" s="135"/>
      <c r="D23" s="135"/>
      <c r="E23" s="135"/>
      <c r="F23" s="135"/>
      <c r="G23" s="135"/>
      <c r="H23" s="137"/>
      <c r="I23" s="134"/>
    </row>
    <row r="24" spans="1:9">
      <c r="A24" s="131" t="s">
        <v>489</v>
      </c>
      <c r="B24" s="136">
        <f>'Demand Basis'!$E$15</f>
        <v>0.93389</v>
      </c>
      <c r="C24" s="135"/>
      <c r="D24" s="135"/>
      <c r="E24" s="135"/>
      <c r="F24" s="135">
        <f>ROUND((F$16*$B24),2)</f>
        <v>0</v>
      </c>
      <c r="G24" s="135">
        <f>ROUND((G$16*$B24),2)</f>
        <v>1.55</v>
      </c>
      <c r="H24" s="134"/>
      <c r="I24" s="133">
        <f>SUM(C24:G24)</f>
        <v>1.55</v>
      </c>
    </row>
    <row r="26" spans="1:9">
      <c r="A26" s="131"/>
      <c r="E26" s="132"/>
    </row>
    <row r="27" spans="1:9">
      <c r="A27" s="131"/>
    </row>
  </sheetData>
  <printOptions horizontalCentered="1"/>
  <pageMargins left="0.5" right="0.5" top="0.5" bottom="0.5" header="0.5" footer="0.5"/>
  <pageSetup orientation="portrait" r:id="rId1"/>
  <headerFooter alignWithMargins="0">
    <oddHeader xml:space="preserve">&amp;L&amp;F
&amp;A&amp;C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H36"/>
  <sheetViews>
    <sheetView showOutlineSymbols="0" zoomScaleNormal="100" workbookViewId="0">
      <selection activeCell="D3" sqref="D3"/>
    </sheetView>
  </sheetViews>
  <sheetFormatPr defaultColWidth="9.75" defaultRowHeight="15.75"/>
  <cols>
    <col min="1" max="1" width="7.25" style="151" customWidth="1"/>
    <col min="2" max="2" width="27.625" style="151" customWidth="1"/>
    <col min="3" max="3" width="13.125" style="151" customWidth="1"/>
    <col min="4" max="4" width="11.5" style="151" customWidth="1"/>
    <col min="5" max="5" width="8.875" style="151" customWidth="1"/>
    <col min="6" max="6" width="13.375" style="151" bestFit="1" customWidth="1"/>
    <col min="7" max="7" width="8.75" style="607" customWidth="1"/>
    <col min="8" max="8" width="9.625" style="151" customWidth="1"/>
    <col min="9" max="16384" width="9.75" style="151"/>
  </cols>
  <sheetData>
    <row r="3" spans="1:8">
      <c r="A3" s="606" t="s">
        <v>520</v>
      </c>
      <c r="B3" s="606"/>
      <c r="C3" s="606"/>
      <c r="D3" s="606"/>
      <c r="E3" s="606"/>
      <c r="F3" s="606"/>
      <c r="H3" s="608"/>
    </row>
    <row r="4" spans="1:8" ht="18">
      <c r="A4" s="609" t="s">
        <v>542</v>
      </c>
      <c r="B4" s="606"/>
      <c r="C4" s="606"/>
      <c r="D4" s="606"/>
      <c r="E4" s="606"/>
      <c r="F4" s="606"/>
      <c r="H4" s="608"/>
    </row>
    <row r="5" spans="1:8" ht="18">
      <c r="A5" s="609" t="s">
        <v>913</v>
      </c>
      <c r="B5" s="606"/>
      <c r="C5" s="606"/>
      <c r="D5" s="606"/>
      <c r="E5" s="606"/>
      <c r="F5" s="606"/>
      <c r="H5" s="608"/>
    </row>
    <row r="6" spans="1:8">
      <c r="A6" s="608"/>
      <c r="B6" s="608"/>
      <c r="C6" s="608"/>
      <c r="D6" s="608"/>
      <c r="E6" s="608"/>
      <c r="F6" s="608"/>
      <c r="H6" s="608"/>
    </row>
    <row r="10" spans="1:8">
      <c r="A10" s="610" t="s">
        <v>541</v>
      </c>
    </row>
    <row r="13" spans="1:8">
      <c r="A13" s="151" t="s">
        <v>540</v>
      </c>
      <c r="B13" s="151" t="s">
        <v>539</v>
      </c>
      <c r="F13" s="611">
        <f>'Demand Basis'!C22</f>
        <v>26391020</v>
      </c>
    </row>
    <row r="15" spans="1:8">
      <c r="B15" s="612" t="s">
        <v>538</v>
      </c>
      <c r="C15" s="612"/>
      <c r="D15" s="612"/>
      <c r="E15" s="613" t="s">
        <v>530</v>
      </c>
      <c r="F15" s="614">
        <f>'Demand Basis'!C24</f>
        <v>4353540</v>
      </c>
    </row>
    <row r="17" spans="1:6">
      <c r="B17" s="151" t="s">
        <v>537</v>
      </c>
      <c r="E17" s="615" t="s">
        <v>528</v>
      </c>
      <c r="F17" s="149">
        <f>F13/F15</f>
        <v>6.0619679617047275</v>
      </c>
    </row>
    <row r="20" spans="1:6">
      <c r="B20" s="612" t="s">
        <v>536</v>
      </c>
      <c r="C20" s="612"/>
      <c r="D20" s="612"/>
      <c r="E20" s="613" t="s">
        <v>535</v>
      </c>
      <c r="F20" s="616">
        <f>'Demand Basis'!C15</f>
        <v>0.96704999999999997</v>
      </c>
    </row>
    <row r="23" spans="1:6">
      <c r="B23" s="151" t="s">
        <v>534</v>
      </c>
      <c r="E23" s="615" t="s">
        <v>528</v>
      </c>
      <c r="F23" s="150">
        <f>F17*F20</f>
        <v>5.8622261173665562</v>
      </c>
    </row>
    <row r="28" spans="1:6">
      <c r="A28" s="610" t="s">
        <v>533</v>
      </c>
    </row>
    <row r="31" spans="1:6">
      <c r="B31" s="151" t="s">
        <v>532</v>
      </c>
      <c r="E31" s="149"/>
      <c r="F31" s="617">
        <v>175.99</v>
      </c>
    </row>
    <row r="32" spans="1:6">
      <c r="E32" s="149"/>
      <c r="F32" s="618"/>
    </row>
    <row r="33" spans="2:6">
      <c r="B33" s="612" t="s">
        <v>531</v>
      </c>
      <c r="C33" s="612"/>
      <c r="D33" s="612"/>
      <c r="E33" s="613" t="s">
        <v>530</v>
      </c>
      <c r="F33" s="619">
        <v>12</v>
      </c>
    </row>
    <row r="34" spans="2:6">
      <c r="E34" s="149"/>
    </row>
    <row r="35" spans="2:6">
      <c r="E35" s="149"/>
    </row>
    <row r="36" spans="2:6">
      <c r="B36" s="151" t="s">
        <v>529</v>
      </c>
      <c r="E36" s="615" t="s">
        <v>528</v>
      </c>
      <c r="F36" s="620">
        <f>ROUND(F31/F33,2)</f>
        <v>14.67</v>
      </c>
    </row>
  </sheetData>
  <printOptions horizontalCentered="1"/>
  <pageMargins left="0.25" right="0.25" top="0.75" bottom="0.5" header="0.5" footer="0.5"/>
  <pageSetup scale="94" orientation="portrait" r:id="rId1"/>
  <headerFooter alignWithMargins="0">
    <oddHeader xml:space="preserve">&amp;L&amp;F
&amp;A&amp;C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topLeftCell="A37" zoomScaleNormal="100" workbookViewId="0">
      <selection activeCell="K66" sqref="K66"/>
    </sheetView>
  </sheetViews>
  <sheetFormatPr defaultRowHeight="15"/>
  <cols>
    <col min="1" max="1" width="4.125" style="621" customWidth="1"/>
    <col min="2" max="2" width="33.375" style="621" customWidth="1"/>
    <col min="3" max="3" width="11.25" style="621" bestFit="1" customWidth="1"/>
    <col min="4" max="4" width="10.5" style="621" bestFit="1" customWidth="1"/>
    <col min="5" max="5" width="1.5" style="621" bestFit="1" customWidth="1"/>
    <col min="6" max="6" width="9.625" style="621" bestFit="1" customWidth="1"/>
    <col min="7" max="7" width="2.375" style="621" bestFit="1" customWidth="1"/>
    <col min="8" max="8" width="13.75" style="621" customWidth="1"/>
    <col min="9" max="9" width="9.125" style="621" bestFit="1" customWidth="1"/>
    <col min="10" max="10" width="4.125" style="621" bestFit="1" customWidth="1"/>
    <col min="11" max="11" width="11.125" style="621" bestFit="1" customWidth="1"/>
    <col min="12" max="12" width="9.25" style="621" bestFit="1" customWidth="1"/>
    <col min="13" max="13" width="9.25" style="621" customWidth="1"/>
    <col min="14" max="14" width="10.25" style="621" bestFit="1" customWidth="1"/>
    <col min="15" max="16384" width="9" style="621"/>
  </cols>
  <sheetData>
    <row r="1" spans="1:14">
      <c r="B1" s="857" t="s">
        <v>563</v>
      </c>
      <c r="C1" s="857"/>
      <c r="D1" s="857"/>
      <c r="E1" s="857"/>
      <c r="F1" s="857"/>
      <c r="G1" s="857"/>
      <c r="H1" s="857"/>
      <c r="I1" s="857"/>
    </row>
    <row r="2" spans="1:14">
      <c r="B2" s="857" t="s">
        <v>562</v>
      </c>
      <c r="C2" s="857"/>
      <c r="D2" s="857"/>
      <c r="E2" s="857"/>
      <c r="F2" s="857"/>
      <c r="G2" s="857"/>
      <c r="H2" s="857"/>
      <c r="I2" s="857"/>
    </row>
    <row r="3" spans="1:14">
      <c r="B3" s="857" t="s">
        <v>913</v>
      </c>
      <c r="C3" s="857"/>
      <c r="D3" s="857"/>
      <c r="E3" s="857"/>
      <c r="F3" s="857"/>
      <c r="G3" s="857"/>
      <c r="H3" s="857"/>
      <c r="I3" s="857"/>
    </row>
    <row r="4" spans="1:14">
      <c r="B4" s="857"/>
      <c r="C4" s="857"/>
      <c r="D4" s="857"/>
      <c r="E4" s="857"/>
      <c r="F4" s="857"/>
      <c r="G4" s="857"/>
      <c r="H4" s="857"/>
      <c r="I4" s="857"/>
    </row>
    <row r="5" spans="1:14">
      <c r="B5" s="622"/>
      <c r="C5" s="622"/>
      <c r="D5" s="622"/>
      <c r="E5" s="622"/>
      <c r="F5" s="622"/>
      <c r="G5" s="622"/>
      <c r="H5" s="622"/>
      <c r="I5" s="622"/>
    </row>
    <row r="6" spans="1:14">
      <c r="B6" s="235"/>
      <c r="C6" s="235"/>
      <c r="D6" s="233"/>
      <c r="E6" s="233"/>
      <c r="F6" s="235"/>
      <c r="G6" s="235"/>
      <c r="H6" s="235"/>
      <c r="I6" s="235"/>
      <c r="J6" s="235"/>
    </row>
    <row r="7" spans="1:14">
      <c r="A7" s="621" t="s">
        <v>561</v>
      </c>
      <c r="B7" s="236" t="s">
        <v>1</v>
      </c>
      <c r="C7" s="233" t="s">
        <v>2</v>
      </c>
      <c r="D7" s="233"/>
      <c r="E7" s="233"/>
    </row>
    <row r="8" spans="1:14">
      <c r="B8" s="236"/>
      <c r="C8" s="233" t="s">
        <v>3</v>
      </c>
      <c r="D8" s="233"/>
      <c r="E8" s="233"/>
      <c r="F8" s="233" t="s">
        <v>560</v>
      </c>
      <c r="G8" s="233"/>
    </row>
    <row r="9" spans="1:14">
      <c r="B9" s="236"/>
      <c r="C9" s="234" t="s">
        <v>1</v>
      </c>
      <c r="D9" s="234" t="s">
        <v>74</v>
      </c>
      <c r="E9" s="234"/>
      <c r="F9" s="234" t="s">
        <v>1</v>
      </c>
      <c r="G9" s="234"/>
    </row>
    <row r="10" spans="1:14">
      <c r="B10" s="236"/>
      <c r="C10" s="235"/>
      <c r="D10" s="233"/>
      <c r="E10" s="233"/>
    </row>
    <row r="11" spans="1:14">
      <c r="B11" s="233"/>
      <c r="C11" s="235"/>
      <c r="D11" s="233"/>
      <c r="E11" s="233"/>
    </row>
    <row r="12" spans="1:14">
      <c r="B12" s="236" t="s">
        <v>6</v>
      </c>
      <c r="C12" s="240">
        <f>'EX AEV-1'!W7+'EX AEV-1'!W9+'EX AEV-1'!W10</f>
        <v>138493</v>
      </c>
      <c r="D12" s="237">
        <f>D15-D13-D14</f>
        <v>0</v>
      </c>
      <c r="E12" s="237"/>
      <c r="F12" s="623">
        <f>C12-D12</f>
        <v>138493</v>
      </c>
      <c r="G12" s="623"/>
    </row>
    <row r="13" spans="1:14">
      <c r="B13" s="236" t="s">
        <v>7</v>
      </c>
      <c r="C13" s="240">
        <f>'EX AEV-1'!W8</f>
        <v>71333</v>
      </c>
      <c r="D13" s="237">
        <f>D15</f>
        <v>3184</v>
      </c>
      <c r="E13" s="237"/>
      <c r="F13" s="623">
        <f>C13-D13</f>
        <v>68149</v>
      </c>
      <c r="G13" s="623"/>
    </row>
    <row r="14" spans="1:14">
      <c r="B14" s="238" t="s">
        <v>8</v>
      </c>
      <c r="C14" s="624">
        <f>'EX AEV-1'!W11</f>
        <v>1530</v>
      </c>
      <c r="D14" s="239">
        <v>0</v>
      </c>
      <c r="E14" s="239"/>
      <c r="F14" s="624">
        <f>C14-D14</f>
        <v>1530</v>
      </c>
      <c r="G14" s="240"/>
    </row>
    <row r="15" spans="1:14">
      <c r="B15" s="236" t="s">
        <v>9</v>
      </c>
      <c r="C15" s="240">
        <f>SUM(C12:C14)</f>
        <v>211356</v>
      </c>
      <c r="D15" s="240">
        <f>'EX AEV-1'!W15</f>
        <v>3184</v>
      </c>
      <c r="E15" s="240"/>
      <c r="F15" s="623">
        <f>SUM(F12:F14)</f>
        <v>208172</v>
      </c>
      <c r="G15" s="623"/>
    </row>
    <row r="16" spans="1:14">
      <c r="B16" s="235"/>
      <c r="C16" s="240"/>
      <c r="D16" s="240"/>
      <c r="E16" s="240"/>
      <c r="F16" s="240"/>
      <c r="G16" s="240"/>
      <c r="H16" s="240"/>
      <c r="I16" s="240"/>
      <c r="J16" s="240"/>
      <c r="K16" s="623"/>
      <c r="L16" s="623"/>
      <c r="M16" s="623"/>
      <c r="N16" s="623"/>
    </row>
    <row r="17" spans="1:10">
      <c r="B17" s="235"/>
      <c r="C17" s="235"/>
      <c r="D17" s="235"/>
      <c r="E17" s="235"/>
      <c r="F17" s="235"/>
      <c r="G17" s="235"/>
      <c r="H17" s="235"/>
      <c r="I17" s="235"/>
      <c r="J17" s="235"/>
    </row>
    <row r="18" spans="1:10">
      <c r="A18" s="621" t="s">
        <v>274</v>
      </c>
      <c r="B18" s="235" t="s">
        <v>13</v>
      </c>
      <c r="C18" s="235"/>
      <c r="D18" s="235"/>
      <c r="E18" s="235"/>
      <c r="F18" s="235"/>
      <c r="G18" s="235"/>
      <c r="H18" s="235"/>
      <c r="I18" s="235"/>
      <c r="J18" s="235"/>
    </row>
    <row r="19" spans="1:10">
      <c r="B19" s="235"/>
      <c r="C19" s="235"/>
      <c r="D19" s="235"/>
      <c r="E19" s="235"/>
      <c r="F19" s="235"/>
      <c r="G19" s="235"/>
      <c r="H19" s="235"/>
      <c r="I19" s="235"/>
      <c r="J19" s="235"/>
    </row>
    <row r="20" spans="1:10">
      <c r="B20" s="235" t="s">
        <v>559</v>
      </c>
      <c r="C20" s="241">
        <f>F14</f>
        <v>1530</v>
      </c>
      <c r="D20" s="233" t="s">
        <v>197</v>
      </c>
      <c r="E20" s="233"/>
      <c r="F20" s="242">
        <v>120</v>
      </c>
      <c r="G20" s="242"/>
      <c r="H20" s="235" t="s">
        <v>311</v>
      </c>
      <c r="I20" s="243">
        <f>C20/F20</f>
        <v>12.75</v>
      </c>
      <c r="J20" s="244" t="s">
        <v>14</v>
      </c>
    </row>
    <row r="21" spans="1:10">
      <c r="B21" s="235"/>
      <c r="C21" s="235"/>
      <c r="D21" s="235"/>
      <c r="E21" s="235"/>
      <c r="F21" s="235"/>
      <c r="G21" s="235"/>
      <c r="H21" s="235"/>
      <c r="I21" s="235"/>
      <c r="J21" s="235"/>
    </row>
    <row r="22" spans="1:10">
      <c r="B22" s="235"/>
      <c r="C22" s="235"/>
      <c r="F22" s="235"/>
      <c r="G22" s="235"/>
      <c r="H22" s="235" t="s">
        <v>558</v>
      </c>
      <c r="I22" s="625">
        <v>22.9</v>
      </c>
      <c r="J22" s="244" t="s">
        <v>14</v>
      </c>
    </row>
    <row r="23" spans="1:10">
      <c r="C23" s="235"/>
      <c r="D23" s="235"/>
      <c r="E23" s="235"/>
      <c r="F23" s="235"/>
      <c r="G23" s="235"/>
      <c r="H23" s="235"/>
      <c r="I23" s="235"/>
      <c r="J23" s="235"/>
    </row>
    <row r="24" spans="1:10">
      <c r="B24" s="235" t="s">
        <v>17</v>
      </c>
      <c r="C24" s="245">
        <f>F20</f>
        <v>120</v>
      </c>
      <c r="D24" s="235" t="s">
        <v>557</v>
      </c>
      <c r="E24" s="235"/>
      <c r="F24" s="246">
        <f>I22</f>
        <v>22.9</v>
      </c>
      <c r="G24" s="246"/>
      <c r="H24" s="244" t="s">
        <v>14</v>
      </c>
      <c r="I24" s="241">
        <f>ROUND(C24*F24,0)</f>
        <v>2748</v>
      </c>
      <c r="J24" s="235"/>
    </row>
    <row r="25" spans="1:10">
      <c r="B25" s="235"/>
      <c r="C25" s="235"/>
      <c r="D25" s="235"/>
      <c r="E25" s="235"/>
      <c r="F25" s="235"/>
      <c r="G25" s="235"/>
      <c r="H25" s="235"/>
      <c r="I25" s="235"/>
      <c r="J25" s="235"/>
    </row>
    <row r="26" spans="1:10">
      <c r="B26" s="235"/>
      <c r="C26" s="235"/>
      <c r="D26" s="235"/>
      <c r="E26" s="235"/>
      <c r="F26" s="235"/>
      <c r="G26" s="235"/>
      <c r="H26" s="235"/>
      <c r="I26" s="235"/>
      <c r="J26" s="235"/>
    </row>
    <row r="27" spans="1:10">
      <c r="A27" s="621" t="s">
        <v>18</v>
      </c>
      <c r="B27" s="235" t="s">
        <v>383</v>
      </c>
      <c r="C27" s="235"/>
      <c r="D27" s="235"/>
      <c r="E27" s="235"/>
      <c r="F27" s="235"/>
      <c r="G27" s="235"/>
      <c r="H27" s="235"/>
      <c r="I27" s="235"/>
      <c r="J27" s="235"/>
    </row>
    <row r="28" spans="1:10">
      <c r="B28" s="235"/>
      <c r="C28" s="235"/>
      <c r="D28" s="235"/>
      <c r="E28" s="235"/>
      <c r="F28" s="235"/>
      <c r="G28" s="235"/>
      <c r="H28" s="235"/>
      <c r="I28" s="235"/>
      <c r="J28" s="235"/>
    </row>
    <row r="29" spans="1:10">
      <c r="B29" s="235" t="s">
        <v>556</v>
      </c>
      <c r="C29" s="241">
        <f>F12</f>
        <v>138493</v>
      </c>
      <c r="D29" s="235"/>
      <c r="E29" s="235"/>
      <c r="F29" s="235"/>
      <c r="G29" s="235"/>
      <c r="H29" s="235"/>
      <c r="I29" s="235"/>
      <c r="J29" s="235"/>
    </row>
    <row r="30" spans="1:10" ht="15.75">
      <c r="B30" s="235" t="s">
        <v>555</v>
      </c>
      <c r="C30" s="240">
        <v>3690</v>
      </c>
      <c r="D30" s="247"/>
      <c r="E30" s="235"/>
      <c r="F30" s="235"/>
      <c r="G30" s="235"/>
      <c r="H30" s="235"/>
      <c r="I30" s="235"/>
      <c r="J30" s="235"/>
    </row>
    <row r="31" spans="1:10">
      <c r="B31" s="235" t="s">
        <v>469</v>
      </c>
      <c r="C31" s="248">
        <f>C29/C30</f>
        <v>37.5319783197832</v>
      </c>
      <c r="D31" s="235"/>
      <c r="E31" s="235"/>
      <c r="F31" s="233"/>
      <c r="G31" s="233"/>
      <c r="H31" s="235"/>
      <c r="I31" s="235"/>
      <c r="J31" s="235"/>
    </row>
    <row r="32" spans="1:10">
      <c r="B32" s="235"/>
      <c r="C32" s="248"/>
      <c r="D32" s="235"/>
      <c r="E32" s="235"/>
      <c r="F32" s="234"/>
      <c r="G32" s="234"/>
      <c r="H32" s="235"/>
      <c r="I32" s="235"/>
      <c r="J32" s="235"/>
    </row>
    <row r="33" spans="1:10">
      <c r="B33" s="235" t="s">
        <v>554</v>
      </c>
      <c r="C33" s="248">
        <v>8.1999999999999993</v>
      </c>
      <c r="D33" s="233"/>
      <c r="E33" s="233"/>
      <c r="F33" s="249"/>
      <c r="G33" s="250"/>
      <c r="H33" s="251"/>
      <c r="I33" s="235"/>
      <c r="J33" s="235"/>
    </row>
    <row r="34" spans="1:10">
      <c r="B34" s="235" t="s">
        <v>1041</v>
      </c>
      <c r="C34" s="626">
        <v>8.4500000000000006E-2</v>
      </c>
      <c r="D34" s="233"/>
      <c r="E34" s="233"/>
      <c r="F34" s="249"/>
      <c r="G34" s="250"/>
      <c r="H34" s="251"/>
      <c r="I34" s="235"/>
      <c r="J34" s="235"/>
    </row>
    <row r="35" spans="1:10">
      <c r="B35" s="235" t="s">
        <v>989</v>
      </c>
      <c r="C35" s="252">
        <f>ROUND(C33*(1+C34),2)</f>
        <v>8.89</v>
      </c>
      <c r="D35" s="235"/>
      <c r="E35" s="235"/>
      <c r="F35" s="235"/>
      <c r="G35" s="235"/>
      <c r="H35" s="235"/>
      <c r="I35" s="235"/>
      <c r="J35" s="235"/>
    </row>
    <row r="36" spans="1:10">
      <c r="B36" s="235"/>
      <c r="C36" s="248"/>
      <c r="D36" s="235"/>
      <c r="E36" s="235"/>
      <c r="F36" s="235"/>
      <c r="G36" s="235"/>
      <c r="H36" s="235"/>
      <c r="I36" s="235"/>
      <c r="J36" s="235"/>
    </row>
    <row r="37" spans="1:10">
      <c r="B37" s="235" t="s">
        <v>553</v>
      </c>
      <c r="C37" s="242">
        <v>1791.3</v>
      </c>
      <c r="D37" s="235"/>
      <c r="E37" s="235"/>
      <c r="F37" s="242"/>
      <c r="G37" s="242"/>
      <c r="H37" s="253"/>
      <c r="I37" s="241"/>
      <c r="J37" s="235"/>
    </row>
    <row r="38" spans="1:10">
      <c r="B38" s="235"/>
      <c r="C38" s="242"/>
      <c r="D38" s="235"/>
      <c r="E38" s="235"/>
      <c r="F38" s="242"/>
      <c r="G38" s="242"/>
      <c r="H38" s="245"/>
      <c r="I38" s="253"/>
      <c r="J38" s="235"/>
    </row>
    <row r="39" spans="1:10">
      <c r="B39" s="235" t="s">
        <v>552</v>
      </c>
      <c r="C39" s="241">
        <f>C37*C35</f>
        <v>15924.657000000001</v>
      </c>
      <c r="D39" s="235"/>
      <c r="E39" s="235"/>
      <c r="F39" s="242"/>
      <c r="G39" s="242"/>
      <c r="H39" s="245"/>
      <c r="I39" s="253"/>
      <c r="J39" s="235"/>
    </row>
    <row r="40" spans="1:10">
      <c r="B40" s="235"/>
      <c r="C40" s="242"/>
      <c r="D40" s="235"/>
      <c r="E40" s="235"/>
      <c r="F40" s="242"/>
      <c r="G40" s="242"/>
      <c r="H40" s="245"/>
      <c r="I40" s="253"/>
      <c r="J40" s="235"/>
    </row>
    <row r="41" spans="1:10">
      <c r="A41" s="621" t="s">
        <v>551</v>
      </c>
      <c r="B41" s="235" t="s">
        <v>550</v>
      </c>
      <c r="C41" s="235"/>
      <c r="D41" s="235"/>
      <c r="E41" s="235"/>
      <c r="F41" s="235"/>
      <c r="G41" s="235"/>
      <c r="H41" s="235"/>
      <c r="I41" s="235"/>
      <c r="J41" s="235"/>
    </row>
    <row r="42" spans="1:10">
      <c r="B42" s="235"/>
      <c r="C42" s="235"/>
      <c r="D42" s="235"/>
      <c r="E42" s="235"/>
      <c r="F42" s="235"/>
      <c r="G42" s="235"/>
      <c r="H42" s="235"/>
      <c r="I42" s="235"/>
      <c r="J42" s="235"/>
    </row>
    <row r="43" spans="1:10">
      <c r="B43" s="235" t="s">
        <v>20</v>
      </c>
      <c r="C43" s="235"/>
      <c r="D43" s="235"/>
      <c r="E43" s="235"/>
      <c r="F43" s="235"/>
      <c r="G43" s="235"/>
      <c r="H43" s="235"/>
      <c r="I43" s="235"/>
      <c r="J43" s="235"/>
    </row>
    <row r="44" spans="1:10">
      <c r="B44" s="235" t="s">
        <v>549</v>
      </c>
      <c r="C44" s="241">
        <f>F15</f>
        <v>208172</v>
      </c>
      <c r="D44" s="235"/>
      <c r="E44" s="235"/>
      <c r="F44" s="235"/>
      <c r="G44" s="235"/>
      <c r="H44" s="235"/>
      <c r="I44" s="235"/>
      <c r="J44" s="235"/>
    </row>
    <row r="45" spans="1:10">
      <c r="B45" s="235" t="s">
        <v>32</v>
      </c>
      <c r="C45" s="245">
        <f>I24</f>
        <v>2748</v>
      </c>
      <c r="D45" s="235"/>
      <c r="E45" s="235"/>
      <c r="F45" s="235"/>
      <c r="G45" s="235"/>
      <c r="H45" s="235"/>
      <c r="I45" s="235"/>
      <c r="J45" s="235"/>
    </row>
    <row r="46" spans="1:10">
      <c r="B46" s="235" t="s">
        <v>548</v>
      </c>
      <c r="C46" s="254">
        <f>C39</f>
        <v>15924.657000000001</v>
      </c>
      <c r="D46" s="235"/>
      <c r="E46" s="235"/>
      <c r="F46" s="235"/>
      <c r="G46" s="235"/>
      <c r="H46" s="235"/>
      <c r="I46" s="235"/>
      <c r="J46" s="235"/>
    </row>
    <row r="47" spans="1:10">
      <c r="B47" s="235" t="s">
        <v>547</v>
      </c>
      <c r="C47" s="241">
        <f>C44-C45-C46</f>
        <v>189499.34299999999</v>
      </c>
      <c r="D47" s="235"/>
      <c r="E47" s="235"/>
      <c r="F47" s="235"/>
      <c r="G47" s="235"/>
      <c r="H47" s="235"/>
      <c r="I47" s="235"/>
      <c r="J47" s="235"/>
    </row>
    <row r="48" spans="1:10">
      <c r="B48" s="235"/>
      <c r="C48" s="241"/>
      <c r="D48" s="235"/>
      <c r="E48" s="235"/>
      <c r="F48" s="235"/>
      <c r="G48" s="235"/>
      <c r="H48" s="235"/>
      <c r="I48" s="235"/>
      <c r="J48" s="235"/>
    </row>
    <row r="49" spans="1:10">
      <c r="B49" s="235" t="s">
        <v>546</v>
      </c>
      <c r="C49" s="245">
        <v>1909870</v>
      </c>
      <c r="D49" s="235"/>
      <c r="E49" s="235"/>
      <c r="F49" s="235"/>
      <c r="G49" s="235"/>
      <c r="H49" s="235"/>
      <c r="I49" s="235"/>
      <c r="J49" s="235"/>
    </row>
    <row r="50" spans="1:10">
      <c r="B50" s="235"/>
      <c r="C50" s="245"/>
      <c r="D50" s="235"/>
      <c r="E50" s="235"/>
      <c r="F50" s="235"/>
      <c r="G50" s="235"/>
      <c r="H50" s="235"/>
      <c r="I50" s="235"/>
      <c r="J50" s="235"/>
    </row>
    <row r="51" spans="1:10">
      <c r="B51" s="235" t="s">
        <v>545</v>
      </c>
      <c r="C51" s="255">
        <f>ROUND(C47/C49,5)</f>
        <v>9.9220000000000003E-2</v>
      </c>
      <c r="D51" s="235"/>
      <c r="E51" s="235"/>
      <c r="F51" s="235"/>
      <c r="G51" s="235"/>
      <c r="H51" s="235"/>
      <c r="I51" s="235"/>
      <c r="J51" s="235"/>
    </row>
    <row r="52" spans="1:10">
      <c r="B52" s="235"/>
      <c r="C52" s="253"/>
      <c r="D52" s="235"/>
      <c r="E52" s="235"/>
      <c r="F52" s="235"/>
      <c r="G52" s="235"/>
      <c r="H52" s="235"/>
      <c r="I52" s="235"/>
      <c r="J52" s="235"/>
    </row>
    <row r="53" spans="1:10">
      <c r="B53" s="235"/>
      <c r="C53" s="235"/>
      <c r="D53" s="235"/>
      <c r="E53" s="235"/>
      <c r="F53" s="235"/>
      <c r="G53" s="235"/>
      <c r="H53" s="235"/>
      <c r="I53" s="235"/>
      <c r="J53" s="235"/>
    </row>
    <row r="54" spans="1:10">
      <c r="A54" s="621" t="s">
        <v>236</v>
      </c>
      <c r="B54" s="235" t="s">
        <v>39</v>
      </c>
      <c r="D54" s="233" t="s">
        <v>381</v>
      </c>
      <c r="E54" s="233"/>
      <c r="F54" s="235"/>
      <c r="G54" s="235"/>
      <c r="H54" s="233" t="s">
        <v>544</v>
      </c>
      <c r="I54" s="233"/>
      <c r="J54" s="235"/>
    </row>
    <row r="55" spans="1:10">
      <c r="B55" s="244"/>
      <c r="C55" s="256" t="s">
        <v>40</v>
      </c>
      <c r="D55" s="234" t="s">
        <v>324</v>
      </c>
      <c r="E55" s="233"/>
      <c r="F55" s="234" t="s">
        <v>1</v>
      </c>
      <c r="G55" s="234"/>
      <c r="H55" s="234" t="s">
        <v>1</v>
      </c>
      <c r="I55" s="234" t="s">
        <v>42</v>
      </c>
      <c r="J55" s="244"/>
    </row>
    <row r="56" spans="1:10">
      <c r="B56" s="244"/>
      <c r="C56" s="235"/>
      <c r="D56" s="233"/>
      <c r="E56" s="233"/>
      <c r="F56" s="233"/>
      <c r="G56" s="233"/>
      <c r="H56" s="233"/>
      <c r="I56" s="233"/>
      <c r="J56" s="244"/>
    </row>
    <row r="57" spans="1:10">
      <c r="B57" s="235" t="s">
        <v>7</v>
      </c>
      <c r="C57" s="242">
        <f>C49</f>
        <v>1909870</v>
      </c>
      <c r="D57" s="257">
        <f>C51</f>
        <v>9.9220000000000003E-2</v>
      </c>
      <c r="E57" s="233"/>
      <c r="F57" s="245">
        <f>ROUND(C57*D57,0)</f>
        <v>189497</v>
      </c>
      <c r="G57" s="245"/>
      <c r="H57" s="235"/>
      <c r="I57" s="235"/>
      <c r="J57" s="235"/>
    </row>
    <row r="58" spans="1:10">
      <c r="B58" s="235" t="s">
        <v>6</v>
      </c>
      <c r="C58" s="242">
        <f>C37</f>
        <v>1791.3</v>
      </c>
      <c r="D58" s="251">
        <f>C35</f>
        <v>8.89</v>
      </c>
      <c r="E58" s="258"/>
      <c r="F58" s="245">
        <f>ROUND(C58*D58,0)</f>
        <v>15925</v>
      </c>
      <c r="G58" s="245"/>
      <c r="H58" s="235"/>
      <c r="I58" s="235"/>
      <c r="J58" s="235"/>
    </row>
    <row r="59" spans="1:10">
      <c r="B59" s="235" t="s">
        <v>8</v>
      </c>
      <c r="C59" s="242">
        <f>F20</f>
        <v>120</v>
      </c>
      <c r="D59" s="259">
        <f>I22</f>
        <v>22.9</v>
      </c>
      <c r="E59" s="259"/>
      <c r="F59" s="254">
        <f>ROUND(C59*D59,0)</f>
        <v>2748</v>
      </c>
      <c r="G59" s="245"/>
      <c r="H59" s="235"/>
      <c r="I59" s="235"/>
      <c r="J59" s="235"/>
    </row>
    <row r="60" spans="1:10">
      <c r="B60" s="235"/>
      <c r="C60" s="235"/>
      <c r="D60" s="235"/>
      <c r="E60" s="235"/>
      <c r="F60" s="235"/>
      <c r="G60" s="235"/>
      <c r="H60" s="235"/>
      <c r="I60" s="235"/>
      <c r="J60" s="235"/>
    </row>
    <row r="61" spans="1:10">
      <c r="B61" s="235" t="s">
        <v>543</v>
      </c>
      <c r="C61" s="245"/>
      <c r="D61" s="235"/>
      <c r="E61" s="235"/>
      <c r="F61" s="245">
        <f>SUM(F57:F59)</f>
        <v>208170</v>
      </c>
      <c r="G61" s="245"/>
      <c r="H61" s="240">
        <f>F15</f>
        <v>208172</v>
      </c>
      <c r="I61" s="245">
        <f>F61-H61</f>
        <v>-2</v>
      </c>
      <c r="J61" s="235"/>
    </row>
    <row r="62" spans="1:10">
      <c r="B62" s="235"/>
      <c r="C62" s="245"/>
      <c r="D62" s="235"/>
      <c r="E62" s="235"/>
      <c r="F62" s="245"/>
      <c r="G62" s="245"/>
      <c r="H62" s="235"/>
      <c r="I62" s="235"/>
      <c r="J62" s="235"/>
    </row>
    <row r="63" spans="1:10">
      <c r="B63" s="235"/>
      <c r="C63" s="235"/>
      <c r="D63" s="244"/>
      <c r="E63" s="244"/>
      <c r="F63" s="260"/>
      <c r="G63" s="260"/>
      <c r="H63" s="260"/>
      <c r="I63" s="240"/>
      <c r="J63" s="235"/>
    </row>
    <row r="64" spans="1:10">
      <c r="B64" s="235"/>
      <c r="C64" s="235"/>
      <c r="D64" s="235"/>
      <c r="E64" s="235"/>
      <c r="F64" s="253"/>
      <c r="G64" s="253"/>
      <c r="H64" s="235"/>
      <c r="I64" s="235"/>
      <c r="J64" s="235"/>
    </row>
    <row r="65" spans="2:10">
      <c r="B65" s="235"/>
      <c r="C65" s="235"/>
      <c r="D65" s="235"/>
      <c r="E65" s="235"/>
      <c r="F65" s="245"/>
      <c r="G65" s="245"/>
      <c r="H65" s="235"/>
      <c r="I65" s="235"/>
      <c r="J65" s="235"/>
    </row>
    <row r="66" spans="2:10">
      <c r="B66" s="235"/>
      <c r="C66" s="235"/>
      <c r="D66" s="235"/>
      <c r="E66" s="235"/>
      <c r="F66" s="235"/>
      <c r="G66" s="235"/>
      <c r="H66" s="235"/>
      <c r="I66" s="235"/>
      <c r="J66" s="235"/>
    </row>
    <row r="67" spans="2:10">
      <c r="B67" s="235"/>
      <c r="C67" s="235"/>
      <c r="D67" s="235"/>
      <c r="E67" s="235"/>
      <c r="F67" s="235"/>
      <c r="G67" s="235"/>
      <c r="H67" s="235"/>
      <c r="I67" s="235"/>
      <c r="J67" s="235"/>
    </row>
    <row r="68" spans="2:10">
      <c r="B68" s="235"/>
      <c r="C68" s="235"/>
      <c r="D68" s="235"/>
      <c r="E68" s="235"/>
      <c r="F68" s="235"/>
      <c r="G68" s="235"/>
      <c r="H68" s="235"/>
      <c r="I68" s="235"/>
      <c r="J68" s="235"/>
    </row>
    <row r="69" spans="2:10">
      <c r="B69" s="235"/>
      <c r="C69" s="235"/>
      <c r="D69" s="235"/>
      <c r="E69" s="235"/>
      <c r="F69" s="235"/>
      <c r="G69" s="235"/>
      <c r="H69" s="235"/>
      <c r="I69" s="235"/>
      <c r="J69" s="235"/>
    </row>
    <row r="70" spans="2:10">
      <c r="B70" s="235"/>
      <c r="C70" s="235"/>
      <c r="D70" s="235"/>
      <c r="E70" s="235"/>
      <c r="F70" s="235"/>
      <c r="G70" s="235"/>
      <c r="H70" s="235"/>
      <c r="I70" s="235"/>
      <c r="J70" s="235"/>
    </row>
    <row r="71" spans="2:10">
      <c r="B71" s="235"/>
      <c r="C71" s="235"/>
      <c r="D71" s="235"/>
      <c r="E71" s="235"/>
      <c r="F71" s="235"/>
      <c r="G71" s="235"/>
      <c r="H71" s="235"/>
      <c r="I71" s="235"/>
      <c r="J71" s="235"/>
    </row>
    <row r="72" spans="2:10">
      <c r="B72" s="235"/>
      <c r="C72" s="235"/>
      <c r="D72" s="235"/>
      <c r="E72" s="235"/>
      <c r="F72" s="235"/>
      <c r="G72" s="235"/>
      <c r="H72" s="235"/>
      <c r="I72" s="235"/>
      <c r="J72" s="235"/>
    </row>
    <row r="73" spans="2:10">
      <c r="B73" s="235"/>
      <c r="C73" s="235"/>
      <c r="D73" s="235"/>
      <c r="E73" s="235"/>
      <c r="F73" s="235"/>
      <c r="G73" s="235"/>
      <c r="H73" s="235"/>
      <c r="I73" s="235"/>
      <c r="J73" s="235"/>
    </row>
    <row r="74" spans="2:10">
      <c r="B74" s="235"/>
      <c r="C74" s="235"/>
      <c r="D74" s="235"/>
      <c r="E74" s="235"/>
      <c r="F74" s="235"/>
      <c r="G74" s="235"/>
      <c r="H74" s="235"/>
      <c r="I74" s="235"/>
      <c r="J74" s="235"/>
    </row>
    <row r="75" spans="2:10">
      <c r="B75" s="235"/>
      <c r="C75" s="235"/>
      <c r="D75" s="235"/>
      <c r="E75" s="235"/>
      <c r="F75" s="235"/>
      <c r="G75" s="235"/>
      <c r="H75" s="235"/>
      <c r="I75" s="235"/>
      <c r="J75" s="235"/>
    </row>
    <row r="76" spans="2:10">
      <c r="B76" s="235"/>
      <c r="C76" s="235"/>
      <c r="D76" s="235"/>
      <c r="E76" s="235"/>
      <c r="F76" s="235"/>
      <c r="G76" s="235"/>
      <c r="H76" s="235"/>
      <c r="I76" s="235"/>
      <c r="J76" s="235"/>
    </row>
    <row r="77" spans="2:10">
      <c r="B77" s="235"/>
      <c r="C77" s="235"/>
      <c r="D77" s="235"/>
      <c r="E77" s="235"/>
      <c r="F77" s="235"/>
      <c r="G77" s="235"/>
      <c r="H77" s="235"/>
      <c r="I77" s="235"/>
      <c r="J77" s="235"/>
    </row>
    <row r="78" spans="2:10">
      <c r="B78" s="235"/>
      <c r="C78" s="235"/>
      <c r="D78" s="235"/>
      <c r="E78" s="235"/>
      <c r="F78" s="235"/>
      <c r="G78" s="235"/>
      <c r="H78" s="235"/>
      <c r="I78" s="235"/>
      <c r="J78" s="235"/>
    </row>
    <row r="79" spans="2:10">
      <c r="B79" s="235"/>
      <c r="C79" s="235"/>
      <c r="D79" s="235"/>
      <c r="E79" s="235"/>
      <c r="F79" s="235"/>
      <c r="G79" s="235"/>
      <c r="H79" s="235"/>
      <c r="I79" s="235"/>
      <c r="J79" s="235"/>
    </row>
    <row r="80" spans="2:10">
      <c r="B80" s="235"/>
      <c r="C80" s="235"/>
      <c r="D80" s="235"/>
      <c r="E80" s="235"/>
      <c r="F80" s="235"/>
      <c r="G80" s="235"/>
      <c r="H80" s="235"/>
      <c r="I80" s="235"/>
      <c r="J80" s="235"/>
    </row>
    <row r="81" spans="2:10">
      <c r="B81" s="235"/>
      <c r="C81" s="235"/>
      <c r="D81" s="235"/>
      <c r="E81" s="235"/>
      <c r="F81" s="235"/>
      <c r="G81" s="235"/>
      <c r="H81" s="235"/>
      <c r="I81" s="235"/>
      <c r="J81" s="235"/>
    </row>
    <row r="82" spans="2:10">
      <c r="B82" s="235"/>
      <c r="C82" s="235"/>
      <c r="D82" s="235"/>
      <c r="E82" s="235"/>
      <c r="F82" s="235"/>
      <c r="G82" s="235"/>
      <c r="H82" s="235"/>
      <c r="I82" s="235"/>
      <c r="J82" s="235"/>
    </row>
    <row r="83" spans="2:10">
      <c r="B83" s="235"/>
      <c r="C83" s="235"/>
      <c r="D83" s="235"/>
      <c r="E83" s="235"/>
      <c r="F83" s="235"/>
      <c r="G83" s="235"/>
      <c r="H83" s="235"/>
      <c r="I83" s="235"/>
      <c r="J83" s="235"/>
    </row>
    <row r="84" spans="2:10">
      <c r="B84" s="235"/>
      <c r="C84" s="235"/>
      <c r="D84" s="235"/>
      <c r="E84" s="235"/>
      <c r="F84" s="235"/>
      <c r="G84" s="235"/>
      <c r="H84" s="235"/>
      <c r="I84" s="235"/>
      <c r="J84" s="235"/>
    </row>
    <row r="85" spans="2:10">
      <c r="B85" s="235"/>
      <c r="C85" s="235"/>
      <c r="D85" s="235"/>
      <c r="E85" s="235"/>
      <c r="F85" s="235"/>
      <c r="G85" s="235"/>
      <c r="H85" s="235"/>
      <c r="I85" s="235"/>
      <c r="J85" s="235"/>
    </row>
    <row r="86" spans="2:10">
      <c r="B86" s="235"/>
      <c r="C86" s="235"/>
      <c r="D86" s="235"/>
      <c r="E86" s="235"/>
      <c r="F86" s="235"/>
      <c r="G86" s="235"/>
      <c r="H86" s="235"/>
      <c r="I86" s="235"/>
      <c r="J86" s="235"/>
    </row>
    <row r="87" spans="2:10">
      <c r="B87" s="235"/>
      <c r="C87" s="235"/>
      <c r="D87" s="235"/>
      <c r="E87" s="235"/>
      <c r="F87" s="235"/>
      <c r="G87" s="235"/>
      <c r="H87" s="235"/>
      <c r="I87" s="235"/>
      <c r="J87" s="235"/>
    </row>
    <row r="88" spans="2:10">
      <c r="B88" s="235"/>
      <c r="C88" s="235"/>
      <c r="D88" s="235"/>
      <c r="E88" s="235"/>
      <c r="F88" s="235"/>
      <c r="G88" s="235"/>
      <c r="H88" s="235"/>
      <c r="I88" s="235"/>
      <c r="J88" s="235"/>
    </row>
    <row r="89" spans="2:10">
      <c r="B89" s="235"/>
      <c r="C89" s="235"/>
      <c r="D89" s="235"/>
      <c r="E89" s="235"/>
      <c r="F89" s="235"/>
      <c r="G89" s="235"/>
      <c r="H89" s="235"/>
      <c r="I89" s="235"/>
      <c r="J89" s="235"/>
    </row>
    <row r="90" spans="2:10">
      <c r="B90" s="235"/>
      <c r="C90" s="235"/>
      <c r="D90" s="235"/>
      <c r="E90" s="235"/>
      <c r="F90" s="235"/>
      <c r="G90" s="235"/>
      <c r="H90" s="235"/>
      <c r="I90" s="235"/>
      <c r="J90" s="235"/>
    </row>
    <row r="91" spans="2:10">
      <c r="B91" s="235"/>
      <c r="C91" s="235"/>
      <c r="D91" s="235"/>
      <c r="E91" s="235"/>
      <c r="F91" s="235"/>
      <c r="G91" s="235"/>
      <c r="H91" s="235"/>
      <c r="I91" s="235"/>
      <c r="J91" s="235"/>
    </row>
    <row r="92" spans="2:10">
      <c r="B92" s="235"/>
      <c r="C92" s="235"/>
      <c r="D92" s="235"/>
      <c r="E92" s="235"/>
      <c r="F92" s="235"/>
      <c r="G92" s="235"/>
      <c r="H92" s="235"/>
      <c r="I92" s="235"/>
      <c r="J92" s="235"/>
    </row>
    <row r="93" spans="2:10">
      <c r="B93" s="235"/>
      <c r="C93" s="235"/>
      <c r="D93" s="235"/>
      <c r="E93" s="235"/>
      <c r="F93" s="235"/>
      <c r="G93" s="235"/>
      <c r="H93" s="235"/>
      <c r="I93" s="235"/>
      <c r="J93" s="235"/>
    </row>
    <row r="94" spans="2:10">
      <c r="B94" s="235"/>
      <c r="C94" s="235"/>
      <c r="D94" s="235"/>
      <c r="E94" s="235"/>
      <c r="F94" s="235"/>
      <c r="G94" s="235"/>
      <c r="H94" s="235"/>
      <c r="I94" s="235"/>
      <c r="J94" s="235"/>
    </row>
    <row r="95" spans="2:10">
      <c r="B95" s="235"/>
      <c r="C95" s="235"/>
      <c r="D95" s="235"/>
      <c r="E95" s="235"/>
      <c r="F95" s="235"/>
      <c r="G95" s="235"/>
      <c r="H95" s="235"/>
      <c r="I95" s="235"/>
      <c r="J95" s="235"/>
    </row>
    <row r="96" spans="2:10">
      <c r="B96" s="235"/>
      <c r="C96" s="235"/>
      <c r="D96" s="235"/>
      <c r="E96" s="235"/>
      <c r="F96" s="235"/>
      <c r="G96" s="235"/>
      <c r="H96" s="235"/>
      <c r="I96" s="235"/>
      <c r="J96" s="235"/>
    </row>
    <row r="97" spans="2:10">
      <c r="B97" s="235"/>
      <c r="C97" s="235"/>
      <c r="D97" s="235"/>
      <c r="E97" s="235"/>
      <c r="F97" s="235"/>
      <c r="G97" s="235"/>
      <c r="H97" s="235"/>
      <c r="I97" s="235"/>
      <c r="J97" s="235"/>
    </row>
    <row r="98" spans="2:10">
      <c r="B98" s="235"/>
      <c r="C98" s="235"/>
      <c r="D98" s="235"/>
      <c r="E98" s="235"/>
      <c r="F98" s="235"/>
      <c r="G98" s="235"/>
      <c r="H98" s="235"/>
      <c r="I98" s="235"/>
      <c r="J98" s="235"/>
    </row>
    <row r="99" spans="2:10">
      <c r="B99" s="235"/>
      <c r="C99" s="235"/>
      <c r="D99" s="235"/>
      <c r="E99" s="235"/>
      <c r="F99" s="235"/>
      <c r="G99" s="235"/>
      <c r="H99" s="235"/>
      <c r="I99" s="235"/>
      <c r="J99" s="235"/>
    </row>
    <row r="100" spans="2:10">
      <c r="B100" s="235"/>
      <c r="C100" s="235"/>
      <c r="D100" s="235"/>
      <c r="E100" s="235"/>
      <c r="F100" s="235"/>
      <c r="G100" s="235"/>
      <c r="H100" s="235"/>
      <c r="I100" s="235"/>
      <c r="J100" s="235"/>
    </row>
    <row r="101" spans="2:10">
      <c r="B101" s="235"/>
      <c r="C101" s="235"/>
      <c r="D101" s="235"/>
      <c r="E101" s="235"/>
      <c r="F101" s="235"/>
      <c r="G101" s="235"/>
      <c r="H101" s="235"/>
      <c r="I101" s="235"/>
      <c r="J101" s="235"/>
    </row>
    <row r="102" spans="2:10">
      <c r="B102" s="235"/>
      <c r="C102" s="235"/>
      <c r="D102" s="235"/>
      <c r="E102" s="235"/>
      <c r="F102" s="235"/>
      <c r="G102" s="235"/>
      <c r="H102" s="235"/>
      <c r="I102" s="235"/>
      <c r="J102" s="235"/>
    </row>
    <row r="103" spans="2:10">
      <c r="B103" s="235"/>
      <c r="C103" s="235"/>
      <c r="D103" s="235"/>
      <c r="E103" s="235"/>
      <c r="F103" s="235"/>
      <c r="G103" s="235"/>
      <c r="H103" s="235"/>
      <c r="I103" s="235"/>
      <c r="J103" s="235"/>
    </row>
    <row r="104" spans="2:10">
      <c r="B104" s="235"/>
      <c r="C104" s="235"/>
      <c r="D104" s="235"/>
      <c r="E104" s="235"/>
      <c r="F104" s="235"/>
      <c r="G104" s="235"/>
      <c r="H104" s="235"/>
      <c r="I104" s="235"/>
      <c r="J104" s="235"/>
    </row>
    <row r="105" spans="2:10">
      <c r="B105" s="235"/>
      <c r="C105" s="235"/>
      <c r="D105" s="235"/>
      <c r="E105" s="235"/>
      <c r="F105" s="235"/>
      <c r="G105" s="235"/>
      <c r="H105" s="235"/>
      <c r="I105" s="235"/>
      <c r="J105" s="235"/>
    </row>
    <row r="106" spans="2:10">
      <c r="B106" s="235"/>
      <c r="C106" s="235"/>
      <c r="D106" s="235"/>
      <c r="E106" s="235"/>
      <c r="F106" s="235"/>
      <c r="G106" s="235"/>
      <c r="H106" s="235"/>
      <c r="I106" s="235"/>
      <c r="J106" s="235"/>
    </row>
    <row r="107" spans="2:10">
      <c r="B107" s="235"/>
      <c r="C107" s="235"/>
      <c r="D107" s="235"/>
      <c r="E107" s="235"/>
      <c r="F107" s="235"/>
      <c r="G107" s="235"/>
      <c r="H107" s="235"/>
      <c r="I107" s="235"/>
      <c r="J107" s="235"/>
    </row>
    <row r="108" spans="2:10">
      <c r="B108" s="235"/>
      <c r="C108" s="235"/>
      <c r="D108" s="235"/>
      <c r="E108" s="235"/>
      <c r="F108" s="235"/>
      <c r="G108" s="235"/>
      <c r="H108" s="235"/>
      <c r="I108" s="235"/>
      <c r="J108" s="235"/>
    </row>
    <row r="109" spans="2:10">
      <c r="B109" s="235"/>
      <c r="C109" s="235"/>
      <c r="D109" s="235"/>
      <c r="E109" s="235"/>
      <c r="F109" s="235"/>
      <c r="G109" s="235"/>
      <c r="H109" s="235"/>
      <c r="I109" s="235"/>
      <c r="J109" s="235"/>
    </row>
    <row r="110" spans="2:10">
      <c r="B110" s="235"/>
      <c r="C110" s="235"/>
      <c r="D110" s="235"/>
      <c r="E110" s="235"/>
      <c r="F110" s="235"/>
      <c r="G110" s="235"/>
      <c r="H110" s="235"/>
      <c r="I110" s="235"/>
      <c r="J110" s="235"/>
    </row>
    <row r="111" spans="2:10">
      <c r="B111" s="235"/>
      <c r="C111" s="235"/>
      <c r="D111" s="235"/>
      <c r="E111" s="235"/>
      <c r="F111" s="235"/>
      <c r="G111" s="235"/>
      <c r="H111" s="235"/>
      <c r="I111" s="235"/>
      <c r="J111" s="235"/>
    </row>
    <row r="112" spans="2:10">
      <c r="B112" s="235"/>
      <c r="C112" s="235"/>
      <c r="D112" s="235"/>
      <c r="E112" s="235"/>
      <c r="F112" s="235"/>
      <c r="G112" s="235"/>
      <c r="H112" s="235"/>
      <c r="I112" s="235"/>
      <c r="J112" s="235"/>
    </row>
  </sheetData>
  <mergeCells count="4">
    <mergeCell ref="B1:I1"/>
    <mergeCell ref="B2:I2"/>
    <mergeCell ref="B3:I3"/>
    <mergeCell ref="B4:I4"/>
  </mergeCells>
  <printOptions horizontalCentered="1"/>
  <pageMargins left="0.75" right="0.5" top="0.5" bottom="0.5" header="0.5" footer="0.5"/>
  <pageSetup scale="82" orientation="portrait" r:id="rId1"/>
  <headerFooter alignWithMargins="0"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37"/>
  <sheetViews>
    <sheetView showOutlineSymbols="0" zoomScale="90" zoomScaleNormal="90" zoomScaleSheetLayoutView="85" workbookViewId="0">
      <selection activeCell="B22" sqref="B22"/>
    </sheetView>
  </sheetViews>
  <sheetFormatPr defaultRowHeight="15"/>
  <cols>
    <col min="1" max="1" width="4.75" style="28" customWidth="1"/>
    <col min="2" max="2" width="23" style="28" customWidth="1"/>
    <col min="3" max="3" width="19.25" style="28" customWidth="1"/>
    <col min="4" max="4" width="14" style="28" bestFit="1" customWidth="1"/>
    <col min="5" max="5" width="26.875" style="28" bestFit="1" customWidth="1"/>
    <col min="6" max="6" width="14.875" style="28" bestFit="1" customWidth="1"/>
    <col min="7" max="7" width="13.625" style="28" bestFit="1" customWidth="1"/>
    <col min="8" max="8" width="15.375" style="28" bestFit="1" customWidth="1"/>
    <col min="9" max="9" width="12.25" style="28" bestFit="1" customWidth="1"/>
    <col min="10" max="16384" width="9" style="28"/>
  </cols>
  <sheetData>
    <row r="1" spans="1:9" ht="15.75">
      <c r="A1" s="292" t="s">
        <v>0</v>
      </c>
      <c r="B1" s="293" t="s">
        <v>87</v>
      </c>
      <c r="G1" s="207"/>
      <c r="H1" s="207"/>
      <c r="I1" s="207"/>
    </row>
    <row r="2" spans="1:9">
      <c r="D2" s="294" t="s">
        <v>2</v>
      </c>
      <c r="E2" s="294"/>
      <c r="F2" s="294"/>
      <c r="G2" s="208"/>
      <c r="H2" s="208"/>
      <c r="I2" s="208"/>
    </row>
    <row r="3" spans="1:9" ht="15.75">
      <c r="B3" s="293"/>
      <c r="D3" s="294" t="s">
        <v>3</v>
      </c>
      <c r="E3" s="294" t="s">
        <v>74</v>
      </c>
      <c r="F3" s="294" t="s">
        <v>10</v>
      </c>
      <c r="G3" s="208"/>
      <c r="H3" s="208"/>
      <c r="I3" s="207"/>
    </row>
    <row r="4" spans="1:9">
      <c r="D4" s="295" t="s">
        <v>1</v>
      </c>
      <c r="E4" s="295" t="s">
        <v>1</v>
      </c>
      <c r="F4" s="295" t="s">
        <v>1</v>
      </c>
      <c r="G4" s="209"/>
      <c r="H4" s="209"/>
      <c r="I4" s="207"/>
    </row>
    <row r="5" spans="1:9">
      <c r="B5" s="28" t="s">
        <v>5</v>
      </c>
      <c r="D5" s="294"/>
      <c r="F5" s="294"/>
      <c r="G5" s="207"/>
      <c r="H5" s="208"/>
      <c r="I5" s="207"/>
    </row>
    <row r="6" spans="1:9">
      <c r="B6" s="28" t="s">
        <v>6</v>
      </c>
      <c r="D6" s="296">
        <f>'EX AEV-1'!D7+'EX AEV-1'!D9+'EX AEV-1'!D10</f>
        <v>168263846</v>
      </c>
      <c r="E6" s="297">
        <v>0</v>
      </c>
      <c r="F6" s="298">
        <f>D6-E6</f>
        <v>168263846</v>
      </c>
      <c r="G6" s="31"/>
      <c r="H6" s="31"/>
      <c r="I6" s="207"/>
    </row>
    <row r="7" spans="1:9">
      <c r="B7" s="28" t="s">
        <v>7</v>
      </c>
      <c r="D7" s="296">
        <f>'EX AEV-1'!D8</f>
        <v>73064956</v>
      </c>
      <c r="E7" s="299">
        <f>E9</f>
        <v>3264810</v>
      </c>
      <c r="F7" s="298">
        <f>D7-E7</f>
        <v>69800146</v>
      </c>
      <c r="G7" s="31"/>
      <c r="H7" s="210"/>
      <c r="I7" s="207"/>
    </row>
    <row r="8" spans="1:9">
      <c r="B8" s="28" t="s">
        <v>8</v>
      </c>
      <c r="D8" s="296">
        <f>'EX AEV-1'!D11</f>
        <v>12249602</v>
      </c>
      <c r="E8" s="299">
        <f>(E9-E6)-E7</f>
        <v>0</v>
      </c>
      <c r="F8" s="298">
        <f>D8-E8</f>
        <v>12249602</v>
      </c>
      <c r="G8" s="31"/>
      <c r="H8" s="210"/>
      <c r="I8" s="207"/>
    </row>
    <row r="9" spans="1:9">
      <c r="B9" s="300" t="s">
        <v>9</v>
      </c>
      <c r="C9" s="300"/>
      <c r="D9" s="301">
        <f>SUM(D6:D8)</f>
        <v>253578404</v>
      </c>
      <c r="E9" s="302">
        <f>'EX AEV-1'!D15</f>
        <v>3264810</v>
      </c>
      <c r="F9" s="301">
        <f>SUM(F6:F8)</f>
        <v>250313594</v>
      </c>
      <c r="G9" s="211"/>
      <c r="H9" s="31"/>
      <c r="I9" s="207"/>
    </row>
    <row r="10" spans="1:9">
      <c r="B10" s="207"/>
      <c r="C10" s="207"/>
      <c r="D10" s="207"/>
      <c r="E10" s="207"/>
      <c r="F10" s="31"/>
      <c r="G10" s="16"/>
      <c r="H10" s="31"/>
      <c r="I10" s="298"/>
    </row>
    <row r="12" spans="1:9" ht="15.75">
      <c r="A12" s="292" t="s">
        <v>12</v>
      </c>
      <c r="B12" s="293" t="s">
        <v>13</v>
      </c>
      <c r="E12" s="298"/>
      <c r="G12" s="12"/>
      <c r="I12" s="12"/>
    </row>
    <row r="14" spans="1:9">
      <c r="E14" s="28" t="s">
        <v>16</v>
      </c>
      <c r="G14" s="303" t="s">
        <v>15</v>
      </c>
      <c r="H14" s="17">
        <v>17.5</v>
      </c>
      <c r="I14" s="28" t="s">
        <v>14</v>
      </c>
    </row>
    <row r="16" spans="1:9">
      <c r="B16" s="28" t="s">
        <v>112</v>
      </c>
      <c r="E16" s="296">
        <f>1631330+6086+1699+106+60</f>
        <v>1639281</v>
      </c>
      <c r="F16" s="294" t="s">
        <v>89</v>
      </c>
      <c r="G16" s="17">
        <f>H14</f>
        <v>17.5</v>
      </c>
      <c r="H16" s="304" t="s">
        <v>15</v>
      </c>
      <c r="I16" s="298">
        <f>E16*G16</f>
        <v>28687417.5</v>
      </c>
    </row>
    <row r="17" spans="1:9">
      <c r="E17" s="12"/>
      <c r="G17" s="17"/>
      <c r="I17" s="298"/>
    </row>
    <row r="18" spans="1:9">
      <c r="E18" s="12"/>
      <c r="G18" s="17"/>
      <c r="I18" s="298"/>
    </row>
    <row r="19" spans="1:9" ht="15.75">
      <c r="A19" s="292" t="s">
        <v>18</v>
      </c>
      <c r="B19" s="293" t="s">
        <v>19</v>
      </c>
      <c r="C19" s="292"/>
    </row>
    <row r="21" spans="1:9">
      <c r="B21" s="28" t="s">
        <v>20</v>
      </c>
      <c r="E21" s="305">
        <f>F7</f>
        <v>69800146</v>
      </c>
      <c r="F21" s="306"/>
      <c r="G21" s="12"/>
      <c r="H21" s="298"/>
      <c r="I21" s="12"/>
    </row>
    <row r="22" spans="1:9">
      <c r="B22" s="28" t="s">
        <v>21</v>
      </c>
      <c r="E22" s="12">
        <f>E110+E102+D87+D86</f>
        <v>2042413438</v>
      </c>
      <c r="F22" s="306"/>
      <c r="G22" s="12"/>
      <c r="H22" s="12"/>
      <c r="I22" s="12"/>
    </row>
    <row r="23" spans="1:9">
      <c r="F23" s="12"/>
      <c r="G23" s="12"/>
      <c r="H23" s="12"/>
      <c r="I23" s="12"/>
    </row>
    <row r="24" spans="1:9">
      <c r="B24" s="28" t="s">
        <v>22</v>
      </c>
      <c r="E24" s="307">
        <f>ROUND((E21/E22),5)</f>
        <v>3.4180000000000002E-2</v>
      </c>
      <c r="F24" s="307" t="s">
        <v>23</v>
      </c>
      <c r="G24" s="307"/>
      <c r="H24" s="307"/>
      <c r="I24" s="307"/>
    </row>
    <row r="25" spans="1:9">
      <c r="B25" s="28" t="s">
        <v>24</v>
      </c>
      <c r="E25" s="307">
        <v>0.03</v>
      </c>
      <c r="F25" s="307" t="s">
        <v>23</v>
      </c>
      <c r="G25" s="307"/>
      <c r="H25" s="307"/>
      <c r="I25" s="307"/>
    </row>
    <row r="26" spans="1:9">
      <c r="B26" s="300"/>
      <c r="C26" s="300"/>
      <c r="D26" s="300"/>
      <c r="E26" s="300"/>
      <c r="F26" s="307"/>
      <c r="G26" s="307"/>
      <c r="H26" s="307"/>
      <c r="I26" s="307"/>
    </row>
    <row r="27" spans="1:9">
      <c r="B27" s="28" t="s">
        <v>25</v>
      </c>
      <c r="E27" s="307">
        <f>E24+E25</f>
        <v>6.4180000000000001E-2</v>
      </c>
      <c r="F27" s="307" t="s">
        <v>23</v>
      </c>
      <c r="G27" s="307"/>
      <c r="H27" s="307"/>
      <c r="I27" s="307"/>
    </row>
    <row r="28" spans="1:9">
      <c r="H28" s="307"/>
    </row>
    <row r="29" spans="1:9">
      <c r="B29" s="28" t="s">
        <v>26</v>
      </c>
      <c r="E29" s="308">
        <v>0.56259999999999999</v>
      </c>
      <c r="F29" s="12"/>
      <c r="G29" s="12"/>
      <c r="H29" s="111"/>
      <c r="I29" s="12"/>
    </row>
    <row r="30" spans="1:9">
      <c r="B30" s="28" t="s">
        <v>27</v>
      </c>
      <c r="E30" s="12">
        <f>ROUND((E22*E29),0)</f>
        <v>1149061800</v>
      </c>
      <c r="G30" s="12"/>
      <c r="H30" s="12"/>
      <c r="I30" s="12"/>
    </row>
    <row r="31" spans="1:9">
      <c r="G31" s="12"/>
      <c r="H31" s="309"/>
      <c r="I31" s="12"/>
    </row>
    <row r="32" spans="1:9">
      <c r="B32" s="28" t="s">
        <v>28</v>
      </c>
      <c r="E32" s="12">
        <f>+E30</f>
        <v>1149061800</v>
      </c>
      <c r="F32" s="310" t="s">
        <v>89</v>
      </c>
      <c r="G32" s="307">
        <f>+E27</f>
        <v>6.4180000000000001E-2</v>
      </c>
      <c r="H32" s="304" t="s">
        <v>15</v>
      </c>
      <c r="I32" s="298">
        <f>ROUND((E30*E27),0)</f>
        <v>73746786</v>
      </c>
    </row>
    <row r="33" spans="1:9">
      <c r="F33" s="12"/>
      <c r="G33" s="12"/>
      <c r="H33" s="298"/>
      <c r="I33" s="12"/>
    </row>
    <row r="34" spans="1:9">
      <c r="D34" s="12"/>
      <c r="E34" s="12"/>
      <c r="F34" s="12"/>
      <c r="G34" s="12"/>
      <c r="H34" s="12"/>
      <c r="I34" s="12"/>
    </row>
    <row r="35" spans="1:9" ht="15.75">
      <c r="A35" s="292" t="s">
        <v>29</v>
      </c>
      <c r="B35" s="293" t="s">
        <v>30</v>
      </c>
      <c r="D35" s="298"/>
      <c r="F35" s="12"/>
      <c r="G35" s="12"/>
      <c r="H35" s="12"/>
      <c r="I35" s="12"/>
    </row>
    <row r="36" spans="1:9">
      <c r="D36" s="12"/>
      <c r="E36" s="12"/>
      <c r="F36" s="12"/>
      <c r="G36" s="12"/>
      <c r="H36" s="12"/>
      <c r="I36" s="12"/>
    </row>
    <row r="37" spans="1:9">
      <c r="B37" s="28" t="s">
        <v>31</v>
      </c>
      <c r="E37" s="305">
        <f>F9</f>
        <v>250313594</v>
      </c>
      <c r="F37" s="298"/>
      <c r="G37" s="298"/>
      <c r="H37" s="298"/>
      <c r="I37" s="12"/>
    </row>
    <row r="38" spans="1:9">
      <c r="B38" s="28" t="s">
        <v>32</v>
      </c>
      <c r="E38" s="311">
        <f>+I16</f>
        <v>28687417.5</v>
      </c>
      <c r="F38" s="12"/>
      <c r="G38" s="12"/>
      <c r="H38" s="12"/>
      <c r="I38" s="12"/>
    </row>
    <row r="39" spans="1:9">
      <c r="B39" s="28" t="s">
        <v>33</v>
      </c>
      <c r="E39" s="311">
        <f>+I32</f>
        <v>73746786</v>
      </c>
      <c r="F39" s="12"/>
      <c r="G39" s="12"/>
      <c r="H39" s="12"/>
      <c r="I39" s="12"/>
    </row>
    <row r="40" spans="1:9">
      <c r="B40" s="300" t="s">
        <v>34</v>
      </c>
      <c r="C40" s="300"/>
      <c r="D40" s="312"/>
      <c r="E40" s="301">
        <f>(E37-E38)-E39</f>
        <v>147879390.5</v>
      </c>
      <c r="F40" s="17"/>
      <c r="G40" s="12"/>
      <c r="H40" s="298"/>
    </row>
    <row r="41" spans="1:9">
      <c r="D41" s="12"/>
      <c r="E41" s="12"/>
      <c r="F41" s="313"/>
      <c r="H41" s="12"/>
    </row>
    <row r="42" spans="1:9">
      <c r="D42" s="12"/>
      <c r="F42" s="313"/>
      <c r="H42" s="298"/>
    </row>
    <row r="43" spans="1:9">
      <c r="B43" s="28" t="s">
        <v>35</v>
      </c>
      <c r="E43" s="12">
        <f>E22</f>
        <v>2042413438</v>
      </c>
      <c r="F43" s="307"/>
      <c r="H43" s="307"/>
    </row>
    <row r="44" spans="1:9">
      <c r="B44" s="28" t="s">
        <v>36</v>
      </c>
      <c r="D44" s="12"/>
      <c r="E44" s="311">
        <f>E30</f>
        <v>1149061800</v>
      </c>
      <c r="F44" s="307"/>
      <c r="H44" s="298"/>
    </row>
    <row r="45" spans="1:9">
      <c r="B45" s="300" t="s">
        <v>37</v>
      </c>
      <c r="C45" s="300"/>
      <c r="D45" s="300"/>
      <c r="E45" s="312">
        <f>E22-E30</f>
        <v>893351638</v>
      </c>
    </row>
    <row r="48" spans="1:9">
      <c r="B48" s="28" t="s">
        <v>38</v>
      </c>
      <c r="E48" s="307">
        <f>ROUND((E40/E45),5)</f>
        <v>0.16553000000000001</v>
      </c>
      <c r="F48" s="307" t="s">
        <v>23</v>
      </c>
    </row>
    <row r="49" spans="1:11">
      <c r="E49" s="307"/>
      <c r="F49" s="307"/>
    </row>
    <row r="51" spans="1:11" ht="15.75">
      <c r="A51" s="292" t="s">
        <v>79</v>
      </c>
      <c r="B51" s="293" t="s">
        <v>39</v>
      </c>
    </row>
    <row r="52" spans="1:11">
      <c r="D52" s="310" t="s">
        <v>40</v>
      </c>
      <c r="E52" s="294"/>
      <c r="F52" s="310" t="s">
        <v>41</v>
      </c>
      <c r="G52" s="294"/>
      <c r="H52" s="310" t="s">
        <v>1</v>
      </c>
      <c r="I52" s="294" t="s">
        <v>42</v>
      </c>
      <c r="J52" s="314" t="s">
        <v>975</v>
      </c>
    </row>
    <row r="53" spans="1:11">
      <c r="D53" s="294"/>
      <c r="F53" s="294"/>
      <c r="H53" s="294"/>
      <c r="I53" s="119"/>
      <c r="J53" s="314"/>
    </row>
    <row r="54" spans="1:11">
      <c r="B54" s="28" t="s">
        <v>43</v>
      </c>
      <c r="D54" s="12">
        <f>E45</f>
        <v>893351638</v>
      </c>
      <c r="E54" s="28" t="s">
        <v>44</v>
      </c>
      <c r="F54" s="307">
        <f>E48</f>
        <v>0.16553000000000001</v>
      </c>
      <c r="G54" s="307" t="s">
        <v>23</v>
      </c>
      <c r="H54" s="298">
        <f>ROUND((D54*F54),0)</f>
        <v>147876497</v>
      </c>
      <c r="I54" s="299" t="s">
        <v>72</v>
      </c>
      <c r="J54" s="314">
        <v>0.13600000000000001</v>
      </c>
      <c r="K54" s="17"/>
    </row>
    <row r="55" spans="1:11">
      <c r="B55" s="28" t="s">
        <v>45</v>
      </c>
      <c r="D55" s="12">
        <f>E44</f>
        <v>1149061800</v>
      </c>
      <c r="E55" s="28" t="s">
        <v>44</v>
      </c>
      <c r="F55" s="307">
        <f>E27</f>
        <v>6.4180000000000001E-2</v>
      </c>
      <c r="G55" s="307" t="s">
        <v>23</v>
      </c>
      <c r="H55" s="12">
        <f>ROUND((D55*F55),0)</f>
        <v>73746786</v>
      </c>
      <c r="I55" s="299" t="s">
        <v>72</v>
      </c>
      <c r="J55" s="314">
        <v>5.0939999999999999E-2</v>
      </c>
      <c r="K55" s="17"/>
    </row>
    <row r="56" spans="1:11">
      <c r="B56" s="28" t="s">
        <v>8</v>
      </c>
      <c r="D56" s="12">
        <f>E16</f>
        <v>1639281</v>
      </c>
      <c r="E56" s="28" t="s">
        <v>46</v>
      </c>
      <c r="F56" s="17">
        <f>H14</f>
        <v>17.5</v>
      </c>
      <c r="G56" s="28" t="s">
        <v>47</v>
      </c>
      <c r="H56" s="12">
        <f>ROUND((D56*F56),0)</f>
        <v>28687418</v>
      </c>
      <c r="I56" s="315" t="s">
        <v>72</v>
      </c>
      <c r="K56" s="17"/>
    </row>
    <row r="57" spans="1:11">
      <c r="D57" s="12"/>
      <c r="H57" s="312"/>
      <c r="I57" s="315"/>
    </row>
    <row r="58" spans="1:11">
      <c r="B58" s="28" t="s">
        <v>9</v>
      </c>
      <c r="D58" s="12">
        <f>D54+D55</f>
        <v>2042413438</v>
      </c>
      <c r="E58" s="28" t="s">
        <v>44</v>
      </c>
      <c r="F58" s="298"/>
      <c r="H58" s="298">
        <f>SUM(H54:H56)</f>
        <v>250310701</v>
      </c>
      <c r="I58" s="299">
        <f>H58-F9</f>
        <v>-2893</v>
      </c>
    </row>
    <row r="59" spans="1:11">
      <c r="D59" s="12"/>
      <c r="F59" s="298"/>
      <c r="H59" s="298"/>
    </row>
    <row r="60" spans="1:11">
      <c r="D60" s="12"/>
      <c r="F60" s="298"/>
      <c r="H60" s="298"/>
    </row>
    <row r="61" spans="1:11" ht="15.75">
      <c r="A61" s="292" t="s">
        <v>80</v>
      </c>
      <c r="B61" s="293" t="s">
        <v>48</v>
      </c>
      <c r="C61" s="293"/>
    </row>
    <row r="62" spans="1:11">
      <c r="D62" s="294"/>
      <c r="E62" s="294"/>
      <c r="F62" s="294"/>
    </row>
    <row r="63" spans="1:11">
      <c r="B63" s="28" t="s">
        <v>72</v>
      </c>
      <c r="D63" s="295"/>
      <c r="E63" s="295"/>
      <c r="F63" s="295"/>
      <c r="G63" s="295"/>
    </row>
    <row r="64" spans="1:11">
      <c r="D64" s="295"/>
      <c r="E64" s="295"/>
      <c r="F64" s="295"/>
      <c r="G64" s="295"/>
      <c r="H64" s="295"/>
    </row>
    <row r="65" spans="2:9">
      <c r="B65" s="28" t="s">
        <v>108</v>
      </c>
      <c r="D65" s="316">
        <v>13.6</v>
      </c>
      <c r="E65" s="17"/>
      <c r="G65" s="17"/>
    </row>
    <row r="67" spans="2:9">
      <c r="B67" s="28" t="s">
        <v>88</v>
      </c>
      <c r="D67" s="17">
        <f>+H14</f>
        <v>17.5</v>
      </c>
      <c r="F67" s="294" t="s">
        <v>115</v>
      </c>
    </row>
    <row r="68" spans="2:9">
      <c r="B68" s="28" t="s">
        <v>100</v>
      </c>
      <c r="F68" s="294" t="s">
        <v>113</v>
      </c>
    </row>
    <row r="69" spans="2:9">
      <c r="B69" s="28" t="s">
        <v>101</v>
      </c>
      <c r="D69" s="195">
        <v>362.34</v>
      </c>
      <c r="F69" s="17">
        <f>D69</f>
        <v>362.34</v>
      </c>
    </row>
    <row r="70" spans="2:9">
      <c r="B70" s="28" t="s">
        <v>102</v>
      </c>
      <c r="D70" s="195">
        <v>106.69</v>
      </c>
      <c r="F70" s="195"/>
    </row>
    <row r="71" spans="2:9">
      <c r="B71" s="28" t="s">
        <v>103</v>
      </c>
      <c r="D71" s="317">
        <f>D69-D70</f>
        <v>255.64999999999998</v>
      </c>
      <c r="F71" s="317">
        <f>F69-F70</f>
        <v>362.34</v>
      </c>
    </row>
    <row r="72" spans="2:9">
      <c r="D72" s="195"/>
      <c r="F72" s="195"/>
    </row>
    <row r="73" spans="2:9">
      <c r="B73" s="28" t="s">
        <v>107</v>
      </c>
      <c r="D73" s="318">
        <f>'Carrying Charge'!J18/100</f>
        <v>0.11633959925300505</v>
      </c>
      <c r="F73" s="318">
        <f>D73</f>
        <v>0.11633959925300505</v>
      </c>
      <c r="H73" s="319"/>
      <c r="I73" s="319" t="s">
        <v>110</v>
      </c>
    </row>
    <row r="74" spans="2:9">
      <c r="B74" s="28" t="s">
        <v>104</v>
      </c>
      <c r="D74" s="210">
        <v>12</v>
      </c>
      <c r="F74" s="210">
        <v>12</v>
      </c>
    </row>
    <row r="75" spans="2:9">
      <c r="B75" s="28" t="s">
        <v>105</v>
      </c>
      <c r="D75" s="320">
        <f>ROUND(D71*(D73/12),2)</f>
        <v>2.48</v>
      </c>
      <c r="F75" s="320">
        <f>ROUND(F71*(F73/12),2)</f>
        <v>3.51</v>
      </c>
    </row>
    <row r="76" spans="2:9">
      <c r="D76" s="17"/>
      <c r="F76" s="17"/>
    </row>
    <row r="77" spans="2:9">
      <c r="B77" s="28" t="s">
        <v>189</v>
      </c>
      <c r="D77" s="17">
        <f>ROUND((D67+D75),0)</f>
        <v>20</v>
      </c>
      <c r="F77" s="17">
        <f>ROUND((F75)*20,0)/20</f>
        <v>3.5</v>
      </c>
    </row>
    <row r="78" spans="2:9">
      <c r="D78" s="17"/>
    </row>
    <row r="79" spans="2:9">
      <c r="B79" s="28" t="s">
        <v>95</v>
      </c>
      <c r="E79" s="319" t="s">
        <v>96</v>
      </c>
      <c r="F79" s="17">
        <v>3.75</v>
      </c>
      <c r="G79" s="295"/>
    </row>
    <row r="80" spans="2:9">
      <c r="E80" s="319" t="s">
        <v>109</v>
      </c>
      <c r="F80" s="17">
        <f>F79</f>
        <v>3.75</v>
      </c>
    </row>
    <row r="81" spans="1:9">
      <c r="E81" s="18"/>
      <c r="G81" s="18"/>
    </row>
    <row r="83" spans="1:9" ht="15.75">
      <c r="A83" s="292" t="s">
        <v>81</v>
      </c>
      <c r="B83" s="293" t="s">
        <v>111</v>
      </c>
      <c r="C83" s="293"/>
      <c r="F83" s="12"/>
      <c r="H83" s="12"/>
    </row>
    <row r="84" spans="1:9">
      <c r="D84" s="321" t="s">
        <v>49</v>
      </c>
      <c r="F84" s="321" t="s">
        <v>41</v>
      </c>
      <c r="H84" s="321" t="s">
        <v>50</v>
      </c>
      <c r="I84" s="307"/>
    </row>
    <row r="85" spans="1:9">
      <c r="D85" s="294"/>
      <c r="F85" s="294"/>
      <c r="H85" s="294"/>
    </row>
    <row r="86" spans="1:9">
      <c r="B86" s="28" t="s">
        <v>51</v>
      </c>
      <c r="D86" s="296">
        <f>1151984+26598</f>
        <v>1178582</v>
      </c>
      <c r="E86" s="28" t="s">
        <v>44</v>
      </c>
      <c r="F86" s="307">
        <f>E48</f>
        <v>0.16553000000000001</v>
      </c>
      <c r="G86" s="28" t="s">
        <v>23</v>
      </c>
      <c r="H86" s="298">
        <f>ROUND((D86*F86),0)</f>
        <v>195091</v>
      </c>
    </row>
    <row r="87" spans="1:9">
      <c r="B87" s="28" t="s">
        <v>52</v>
      </c>
      <c r="D87" s="296">
        <f>2226851+51806</f>
        <v>2278657</v>
      </c>
      <c r="E87" s="28" t="s">
        <v>44</v>
      </c>
      <c r="F87" s="307">
        <f>E27</f>
        <v>6.4180000000000001E-2</v>
      </c>
      <c r="G87" s="28" t="s">
        <v>23</v>
      </c>
      <c r="H87" s="12">
        <f>ROUND((D87*F87),0)</f>
        <v>146244</v>
      </c>
    </row>
    <row r="88" spans="1:9">
      <c r="B88" s="28" t="s">
        <v>97</v>
      </c>
      <c r="D88" s="296">
        <v>1759</v>
      </c>
      <c r="E88" s="28" t="s">
        <v>46</v>
      </c>
      <c r="F88" s="17">
        <f>D77</f>
        <v>20</v>
      </c>
      <c r="G88" s="28" t="s">
        <v>47</v>
      </c>
      <c r="H88" s="12">
        <f>ROUND((D88*F88),0)</f>
        <v>35180</v>
      </c>
    </row>
    <row r="89" spans="1:9">
      <c r="B89" s="28" t="s">
        <v>98</v>
      </c>
      <c r="D89" s="296">
        <v>106</v>
      </c>
      <c r="E89" s="28" t="s">
        <v>46</v>
      </c>
      <c r="F89" s="17">
        <f>F80</f>
        <v>3.75</v>
      </c>
      <c r="G89" s="28" t="s">
        <v>47</v>
      </c>
      <c r="H89" s="12">
        <f>ROUND((D89*F89),0)</f>
        <v>398</v>
      </c>
    </row>
    <row r="90" spans="1:9">
      <c r="D90" s="12"/>
      <c r="H90" s="312"/>
    </row>
    <row r="91" spans="1:9">
      <c r="B91" s="28" t="s">
        <v>54</v>
      </c>
      <c r="D91" s="12">
        <f>D86+D87</f>
        <v>3457239</v>
      </c>
      <c r="E91" s="28" t="s">
        <v>44</v>
      </c>
      <c r="F91" s="298"/>
      <c r="H91" s="298">
        <f>SUM(H86:H89)</f>
        <v>376913</v>
      </c>
    </row>
    <row r="92" spans="1:9">
      <c r="F92" s="309"/>
    </row>
    <row r="94" spans="1:9">
      <c r="E94" s="298"/>
      <c r="G94" s="298"/>
      <c r="H94" s="298"/>
    </row>
    <row r="96" spans="1:9" ht="15.75">
      <c r="A96" s="292" t="s">
        <v>82</v>
      </c>
      <c r="B96" s="293" t="s">
        <v>17</v>
      </c>
      <c r="E96" s="298"/>
      <c r="G96" s="12"/>
      <c r="I96" s="12"/>
    </row>
    <row r="97" spans="1:9">
      <c r="B97" s="28" t="s">
        <v>55</v>
      </c>
      <c r="D97" s="28" t="s">
        <v>72</v>
      </c>
      <c r="E97" s="12">
        <f>E16-D88-D89</f>
        <v>1637416</v>
      </c>
      <c r="F97" s="28" t="s">
        <v>91</v>
      </c>
      <c r="G97" s="17">
        <f>$H$14</f>
        <v>17.5</v>
      </c>
      <c r="H97" s="28" t="s">
        <v>856</v>
      </c>
      <c r="I97" s="298">
        <f>ROUND((E97*G97),0)</f>
        <v>28654780</v>
      </c>
    </row>
    <row r="99" spans="1:9">
      <c r="E99" s="298"/>
      <c r="F99" s="298"/>
      <c r="G99" s="298"/>
      <c r="H99" s="322"/>
      <c r="I99" s="298"/>
    </row>
    <row r="101" spans="1:9" ht="15.75">
      <c r="A101" s="292" t="s">
        <v>83</v>
      </c>
      <c r="B101" s="293" t="s">
        <v>56</v>
      </c>
      <c r="C101" s="293"/>
    </row>
    <row r="102" spans="1:9">
      <c r="B102" s="28" t="s">
        <v>57</v>
      </c>
      <c r="D102" s="28" t="s">
        <v>72</v>
      </c>
      <c r="E102" s="323">
        <v>254765</v>
      </c>
      <c r="F102" s="28" t="s">
        <v>90</v>
      </c>
      <c r="G102" s="307">
        <f>+F55</f>
        <v>6.4180000000000001E-2</v>
      </c>
      <c r="H102" s="28" t="s">
        <v>855</v>
      </c>
      <c r="I102" s="298">
        <f>ROUND((E102*G102),0)</f>
        <v>16351</v>
      </c>
    </row>
    <row r="104" spans="1:9">
      <c r="B104" s="28" t="s">
        <v>116</v>
      </c>
      <c r="E104" s="311">
        <f>F9</f>
        <v>250313594</v>
      </c>
      <c r="H104" s="298"/>
    </row>
    <row r="105" spans="1:9">
      <c r="B105" s="28" t="s">
        <v>106</v>
      </c>
      <c r="E105" s="311">
        <f>H91</f>
        <v>376913</v>
      </c>
      <c r="H105" s="298"/>
    </row>
    <row r="106" spans="1:9">
      <c r="B106" s="28" t="s">
        <v>32</v>
      </c>
      <c r="E106" s="311">
        <f>I97</f>
        <v>28654780</v>
      </c>
      <c r="H106" s="12"/>
    </row>
    <row r="107" spans="1:9">
      <c r="B107" s="28" t="s">
        <v>92</v>
      </c>
      <c r="E107" s="311">
        <f>I102</f>
        <v>16351</v>
      </c>
      <c r="H107" s="12"/>
    </row>
    <row r="108" spans="1:9">
      <c r="B108" s="300"/>
      <c r="C108" s="300"/>
      <c r="D108" s="300"/>
      <c r="E108" s="324"/>
      <c r="H108" s="12"/>
    </row>
    <row r="109" spans="1:9">
      <c r="B109" s="28" t="s">
        <v>58</v>
      </c>
      <c r="E109" s="298">
        <f>((E104-E106)-E107-E105)</f>
        <v>221265550</v>
      </c>
    </row>
    <row r="110" spans="1:9">
      <c r="B110" s="28" t="s">
        <v>59</v>
      </c>
      <c r="E110" s="296">
        <v>2038701434</v>
      </c>
      <c r="F110" s="12"/>
      <c r="H110" s="12"/>
    </row>
    <row r="111" spans="1:9">
      <c r="E111" s="311"/>
      <c r="H111" s="12"/>
    </row>
    <row r="112" spans="1:9">
      <c r="B112" s="28" t="s">
        <v>93</v>
      </c>
      <c r="E112" s="307">
        <f>ROUND((E109/E110),5)</f>
        <v>0.10853</v>
      </c>
      <c r="F112" s="28" t="s">
        <v>23</v>
      </c>
      <c r="H112" s="325"/>
    </row>
    <row r="115" spans="1:10" ht="15.75">
      <c r="A115" s="292" t="s">
        <v>84</v>
      </c>
      <c r="B115" s="293" t="s">
        <v>60</v>
      </c>
    </row>
    <row r="116" spans="1:10" ht="15.75">
      <c r="D116" s="326" t="s">
        <v>61</v>
      </c>
      <c r="E116" s="292"/>
      <c r="F116" s="326" t="s">
        <v>62</v>
      </c>
      <c r="G116" s="292"/>
      <c r="H116" s="326" t="s">
        <v>4</v>
      </c>
      <c r="I116" s="326" t="s">
        <v>63</v>
      </c>
      <c r="J116" s="292"/>
    </row>
    <row r="117" spans="1:10">
      <c r="F117" s="294"/>
      <c r="H117" s="294"/>
    </row>
    <row r="118" spans="1:10">
      <c r="B118" s="28" t="s">
        <v>94</v>
      </c>
      <c r="C118" s="28" t="s">
        <v>72</v>
      </c>
      <c r="D118" s="12">
        <f>E110</f>
        <v>2038701434</v>
      </c>
      <c r="E118" s="28" t="s">
        <v>44</v>
      </c>
      <c r="F118" s="307">
        <f>E112</f>
        <v>0.10853</v>
      </c>
      <c r="G118" s="28" t="s">
        <v>400</v>
      </c>
      <c r="H118" s="298">
        <f>ROUND((D118*F118),0)</f>
        <v>221260267</v>
      </c>
    </row>
    <row r="119" spans="1:10">
      <c r="B119" s="28" t="s">
        <v>64</v>
      </c>
      <c r="D119" s="12">
        <f>+E102</f>
        <v>254765</v>
      </c>
      <c r="E119" s="28" t="s">
        <v>44</v>
      </c>
      <c r="F119" s="307">
        <f>+G102</f>
        <v>6.4180000000000001E-2</v>
      </c>
      <c r="G119" s="28" t="s">
        <v>23</v>
      </c>
      <c r="H119" s="12">
        <f>ROUND((D119*F119),0)</f>
        <v>16351</v>
      </c>
    </row>
    <row r="120" spans="1:10">
      <c r="B120" s="28" t="s">
        <v>53</v>
      </c>
      <c r="D120" s="12">
        <f>+E97</f>
        <v>1637416</v>
      </c>
      <c r="E120" s="28" t="s">
        <v>46</v>
      </c>
      <c r="F120" s="17">
        <f>+G97</f>
        <v>17.5</v>
      </c>
      <c r="G120" s="28" t="s">
        <v>14</v>
      </c>
      <c r="H120" s="12">
        <f>ROUND((D120*F120),0)</f>
        <v>28654780</v>
      </c>
    </row>
    <row r="121" spans="1:10">
      <c r="D121" s="12"/>
      <c r="G121" s="17"/>
      <c r="H121" s="300"/>
      <c r="I121" s="298"/>
    </row>
    <row r="122" spans="1:10">
      <c r="B122" s="28" t="s">
        <v>54</v>
      </c>
      <c r="D122" s="12">
        <f>SUM(D118:D119)</f>
        <v>2038956199</v>
      </c>
      <c r="E122" s="28" t="s">
        <v>44</v>
      </c>
      <c r="H122" s="298">
        <f>SUM(H118:H120)</f>
        <v>249931398</v>
      </c>
      <c r="I122" s="327">
        <f>H122-E109-E106-E107</f>
        <v>-5283</v>
      </c>
    </row>
    <row r="124" spans="1:10">
      <c r="B124" s="28" t="s">
        <v>73</v>
      </c>
      <c r="D124" s="12"/>
    </row>
    <row r="127" spans="1:10" ht="15.75">
      <c r="A127" s="292" t="s">
        <v>86</v>
      </c>
      <c r="B127" s="293" t="s">
        <v>65</v>
      </c>
    </row>
    <row r="129" spans="2:8">
      <c r="B129" s="294" t="s">
        <v>66</v>
      </c>
      <c r="D129" s="319" t="s">
        <v>67</v>
      </c>
      <c r="E129" s="319" t="s">
        <v>68</v>
      </c>
      <c r="G129" s="319" t="s">
        <v>11</v>
      </c>
      <c r="H129" s="294" t="s">
        <v>69</v>
      </c>
    </row>
    <row r="130" spans="2:8">
      <c r="E130" s="294"/>
      <c r="G130" s="294"/>
    </row>
    <row r="131" spans="2:8">
      <c r="B131" s="28" t="s">
        <v>70</v>
      </c>
      <c r="D131" s="12">
        <f>+D120</f>
        <v>1637416</v>
      </c>
      <c r="E131" s="12">
        <f>D122</f>
        <v>2038956199</v>
      </c>
      <c r="G131" s="298">
        <f>+H122</f>
        <v>249931398</v>
      </c>
    </row>
    <row r="132" spans="2:8">
      <c r="B132" s="28" t="s">
        <v>117</v>
      </c>
      <c r="D132" s="12">
        <f>+D88+D89</f>
        <v>1865</v>
      </c>
      <c r="E132" s="12">
        <f>+D91</f>
        <v>3457239</v>
      </c>
      <c r="G132" s="12">
        <f>+H91</f>
        <v>376913</v>
      </c>
    </row>
    <row r="133" spans="2:8">
      <c r="B133" s="300"/>
      <c r="C133" s="300"/>
      <c r="D133" s="312"/>
      <c r="E133" s="312"/>
      <c r="F133" s="300"/>
      <c r="G133" s="312"/>
      <c r="H133" s="300"/>
    </row>
    <row r="134" spans="2:8">
      <c r="B134" s="28" t="s">
        <v>71</v>
      </c>
      <c r="D134" s="12">
        <f>SUM(D131:D132)</f>
        <v>1639281</v>
      </c>
      <c r="E134" s="12">
        <f>SUM(E131:E132)</f>
        <v>2042413438</v>
      </c>
      <c r="G134" s="298">
        <f>SUM(G131:G132)</f>
        <v>250308311</v>
      </c>
      <c r="H134" s="297">
        <f>G134-F9</f>
        <v>-5283</v>
      </c>
    </row>
    <row r="135" spans="2:8">
      <c r="H135" s="12"/>
    </row>
    <row r="137" spans="2:8" ht="15.75">
      <c r="B137" s="292"/>
    </row>
  </sheetData>
  <phoneticPr fontId="0" type="noConversion"/>
  <printOptions horizontalCentered="1"/>
  <pageMargins left="0.5" right="0.5" top="1" bottom="0.5" header="0.5" footer="0.5"/>
  <pageSetup scale="56" fitToHeight="0" orientation="portrait" r:id="rId1"/>
  <headerFooter alignWithMargins="0">
    <oddHeader xml:space="preserve">&amp;L&amp;"Arial,Regular"&amp;F
Page &amp;P of &amp;N&amp;C&amp;"Arial,Regular"KENTUCKY POWER COMPANY
RS Rate Design
Twelve Months Ended December 31, 2016
</oddHeader>
  </headerFooter>
  <rowBreaks count="1" manualBreakCount="1">
    <brk id="124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W62"/>
  <sheetViews>
    <sheetView showOutlineSymbols="0" zoomScale="70" zoomScaleNormal="70" workbookViewId="0">
      <selection activeCell="S40" sqref="S40:S41"/>
    </sheetView>
  </sheetViews>
  <sheetFormatPr defaultColWidth="15.5" defaultRowHeight="15"/>
  <cols>
    <col min="1" max="1" width="12.625" style="158" customWidth="1"/>
    <col min="2" max="2" width="37.25" style="158" bestFit="1" customWidth="1"/>
    <col min="3" max="3" width="10.375" style="158" bestFit="1" customWidth="1"/>
    <col min="4" max="4" width="2.125" style="158" customWidth="1"/>
    <col min="5" max="5" width="7.25" style="158" bestFit="1" customWidth="1"/>
    <col min="6" max="6" width="2" style="158" customWidth="1"/>
    <col min="7" max="7" width="11.375" style="158" customWidth="1"/>
    <col min="8" max="8" width="2" style="158" customWidth="1"/>
    <col min="9" max="9" width="8.25" style="158" customWidth="1"/>
    <col min="10" max="10" width="2" style="158" customWidth="1"/>
    <col min="11" max="11" width="9.125" style="158" customWidth="1"/>
    <col min="12" max="12" width="2" style="158" customWidth="1"/>
    <col min="13" max="13" width="12.625" style="158" customWidth="1"/>
    <col min="14" max="14" width="2" style="158" customWidth="1"/>
    <col min="15" max="15" width="11.375" style="158" customWidth="1"/>
    <col min="16" max="16" width="2" style="158" customWidth="1"/>
    <col min="17" max="17" width="9" style="158" customWidth="1"/>
    <col min="18" max="18" width="3.625" style="158" customWidth="1"/>
    <col min="19" max="19" width="12.125" style="158" bestFit="1" customWidth="1"/>
    <col min="20" max="20" width="10" style="158" bestFit="1" customWidth="1"/>
    <col min="21" max="21" width="10.875" style="158" bestFit="1" customWidth="1"/>
    <col min="22" max="22" width="15" style="158" bestFit="1" customWidth="1"/>
    <col min="23" max="16384" width="15.5" style="158"/>
  </cols>
  <sheetData>
    <row r="1" spans="1:22" ht="15.75">
      <c r="B1" s="627"/>
      <c r="C1" s="628" t="s">
        <v>605</v>
      </c>
      <c r="D1" s="628"/>
      <c r="G1" s="627"/>
      <c r="H1" s="629"/>
      <c r="I1" s="628" t="s">
        <v>497</v>
      </c>
      <c r="J1" s="628"/>
      <c r="K1" s="156"/>
      <c r="L1" s="156"/>
      <c r="M1" s="627"/>
      <c r="N1" s="627"/>
      <c r="O1" s="627"/>
      <c r="P1" s="627"/>
      <c r="Q1" s="627"/>
    </row>
    <row r="2" spans="1:22" ht="15.75">
      <c r="B2" s="628" t="s">
        <v>609</v>
      </c>
      <c r="C2" s="628" t="s">
        <v>608</v>
      </c>
      <c r="D2" s="628"/>
      <c r="E2" s="630" t="s">
        <v>607</v>
      </c>
      <c r="F2" s="630"/>
      <c r="G2" s="631"/>
      <c r="H2" s="629"/>
      <c r="I2" s="628" t="s">
        <v>606</v>
      </c>
      <c r="J2" s="628"/>
      <c r="K2" s="630" t="s">
        <v>114</v>
      </c>
      <c r="L2" s="630"/>
      <c r="M2" s="631"/>
      <c r="N2" s="631"/>
      <c r="O2" s="632" t="s">
        <v>605</v>
      </c>
      <c r="P2" s="632"/>
      <c r="Q2" s="632" t="s">
        <v>604</v>
      </c>
      <c r="S2" s="633"/>
      <c r="T2" s="633" t="s">
        <v>999</v>
      </c>
      <c r="U2" s="634" t="s">
        <v>1000</v>
      </c>
    </row>
    <row r="3" spans="1:22" ht="15.75">
      <c r="B3" s="635" t="s">
        <v>603</v>
      </c>
      <c r="C3" s="635" t="s">
        <v>602</v>
      </c>
      <c r="D3" s="635"/>
      <c r="E3" s="636" t="s">
        <v>154</v>
      </c>
      <c r="F3" s="636"/>
      <c r="G3" s="636" t="s">
        <v>1</v>
      </c>
      <c r="H3" s="629"/>
      <c r="I3" s="637" t="s">
        <v>154</v>
      </c>
      <c r="J3" s="637"/>
      <c r="K3" s="636" t="s">
        <v>154</v>
      </c>
      <c r="L3" s="636"/>
      <c r="M3" s="636" t="s">
        <v>1</v>
      </c>
      <c r="N3" s="636"/>
      <c r="O3" s="635" t="s">
        <v>343</v>
      </c>
      <c r="P3" s="635"/>
      <c r="Q3" s="635" t="s">
        <v>343</v>
      </c>
      <c r="S3" s="633" t="s">
        <v>997</v>
      </c>
      <c r="T3" s="633" t="s">
        <v>998</v>
      </c>
      <c r="U3" s="634" t="s">
        <v>150</v>
      </c>
      <c r="V3" s="158" t="s">
        <v>1001</v>
      </c>
    </row>
    <row r="4" spans="1:22" ht="15.75">
      <c r="B4" s="632" t="s">
        <v>121</v>
      </c>
      <c r="C4" s="632" t="s">
        <v>122</v>
      </c>
      <c r="D4" s="632"/>
      <c r="E4" s="632" t="s">
        <v>601</v>
      </c>
      <c r="F4" s="632"/>
      <c r="G4" s="632" t="s">
        <v>600</v>
      </c>
      <c r="H4" s="629"/>
      <c r="I4" s="632" t="s">
        <v>599</v>
      </c>
      <c r="J4" s="632"/>
      <c r="K4" s="632" t="s">
        <v>598</v>
      </c>
      <c r="L4" s="632"/>
      <c r="M4" s="632" t="s">
        <v>597</v>
      </c>
      <c r="N4" s="632"/>
      <c r="O4" s="632" t="s">
        <v>596</v>
      </c>
      <c r="P4" s="632"/>
      <c r="Q4" s="628" t="s">
        <v>595</v>
      </c>
      <c r="T4" s="158">
        <v>2.725E-2</v>
      </c>
    </row>
    <row r="6" spans="1:22" ht="16.5" customHeight="1">
      <c r="A6" s="638" t="s">
        <v>594</v>
      </c>
      <c r="B6" s="157" t="s">
        <v>593</v>
      </c>
      <c r="K6" s="166"/>
      <c r="L6" s="156"/>
    </row>
    <row r="7" spans="1:22">
      <c r="A7" s="633">
        <v>94</v>
      </c>
      <c r="B7" s="156" t="s">
        <v>592</v>
      </c>
      <c r="C7" s="154">
        <v>271740</v>
      </c>
      <c r="D7" s="155"/>
      <c r="E7" s="639">
        <v>9.3000000000000007</v>
      </c>
      <c r="F7" s="166"/>
      <c r="G7" s="153">
        <f>ROUND((C7*E7),0)</f>
        <v>2527182</v>
      </c>
      <c r="H7" s="153"/>
      <c r="I7" s="166">
        <f>'OL 2'!$Q$8</f>
        <v>9.8808333333333334</v>
      </c>
      <c r="J7" s="166"/>
      <c r="K7" s="166">
        <f>ROUND(IF(I7*$C$51&gt;(1+$C$49)*E7,(1+$C$49)*E7,MAX(I7*$C$51,E7))*20,0)/20</f>
        <v>10.6</v>
      </c>
      <c r="L7" s="166" t="s">
        <v>72</v>
      </c>
      <c r="M7" s="153">
        <f>ROUND((C7*K7),0)</f>
        <v>2880444</v>
      </c>
      <c r="N7" s="153"/>
      <c r="O7" s="153">
        <f t="shared" ref="O7:O18" si="0">M7-G7</f>
        <v>353262</v>
      </c>
      <c r="P7" s="153"/>
      <c r="Q7" s="191">
        <f>ROUND(((K7/E7)-1),4)</f>
        <v>0.13980000000000001</v>
      </c>
      <c r="S7" s="158">
        <f>'OL 2'!K8</f>
        <v>40.299999999999997</v>
      </c>
      <c r="T7" s="640">
        <f>ROUND(S7*T$4,2)</f>
        <v>1.1000000000000001</v>
      </c>
      <c r="U7" s="641">
        <f>K7-T7</f>
        <v>9.5</v>
      </c>
      <c r="V7" s="642">
        <f>T7*C7+(U7*C7)</f>
        <v>2880444</v>
      </c>
    </row>
    <row r="8" spans="1:22">
      <c r="A8" s="633">
        <v>113</v>
      </c>
      <c r="B8" s="156" t="s">
        <v>591</v>
      </c>
      <c r="C8" s="154">
        <v>266040</v>
      </c>
      <c r="D8" s="155"/>
      <c r="E8" s="639">
        <v>10.58</v>
      </c>
      <c r="F8" s="166"/>
      <c r="G8" s="153">
        <f>ROUND((C8*E8),0)</f>
        <v>2814703</v>
      </c>
      <c r="H8" s="153"/>
      <c r="I8" s="166">
        <f>'OL 2'!$Q$9</f>
        <v>11.2525</v>
      </c>
      <c r="J8" s="166"/>
      <c r="K8" s="166">
        <f>ROUND(IF(I8*$C$51&gt;(1+$C$49)*E8,(1+$C$49)*E8,MAX(I8*$C$51,E8))*20,0)/20</f>
        <v>12.1</v>
      </c>
      <c r="L8" s="166"/>
      <c r="M8" s="153">
        <f t="shared" ref="M8:M18" si="1">ROUND((C8*K8),0)</f>
        <v>3219084</v>
      </c>
      <c r="N8" s="153"/>
      <c r="O8" s="153">
        <f t="shared" si="0"/>
        <v>404381</v>
      </c>
      <c r="P8" s="153"/>
      <c r="Q8" s="191">
        <f t="shared" ref="Q8:Q18" si="2">ROUND(((K8/E8)-1),4)</f>
        <v>0.14369999999999999</v>
      </c>
      <c r="S8" s="158">
        <f>'OL 2'!K9</f>
        <v>58.7</v>
      </c>
      <c r="T8" s="640">
        <f>ROUND(S8*T$4,2)</f>
        <v>1.6</v>
      </c>
      <c r="U8" s="641">
        <f t="shared" ref="U8:U18" si="3">K8-T8</f>
        <v>10.5</v>
      </c>
      <c r="V8" s="642">
        <f t="shared" ref="V8:V18" si="4">T8*C8+(U8*C8)</f>
        <v>3219084</v>
      </c>
    </row>
    <row r="9" spans="1:22">
      <c r="A9" s="633">
        <v>97</v>
      </c>
      <c r="B9" s="156" t="s">
        <v>590</v>
      </c>
      <c r="C9" s="154">
        <v>22356</v>
      </c>
      <c r="D9" s="155"/>
      <c r="E9" s="639">
        <v>12.3</v>
      </c>
      <c r="F9" s="166"/>
      <c r="G9" s="153">
        <f>ROUND((C9*E9),0)</f>
        <v>274979</v>
      </c>
      <c r="H9" s="153"/>
      <c r="I9" s="166">
        <f>'OL 2'!$Q$10</f>
        <v>13.880833333333333</v>
      </c>
      <c r="J9" s="166"/>
      <c r="K9" s="166">
        <f>ROUND(IF(I9*$C$51&gt;(1+$C$49)*E9,(1+$C$49)*E9,MAX(I9*$C$51,E9))*20,0)/20-0.05</f>
        <v>14.149999999999999</v>
      </c>
      <c r="L9" s="166" t="s">
        <v>161</v>
      </c>
      <c r="M9" s="153">
        <f t="shared" si="1"/>
        <v>316337</v>
      </c>
      <c r="N9" s="153"/>
      <c r="O9" s="153">
        <f t="shared" si="0"/>
        <v>41358</v>
      </c>
      <c r="P9" s="153"/>
      <c r="Q9" s="191">
        <f t="shared" si="2"/>
        <v>0.15040000000000001</v>
      </c>
      <c r="S9" s="158">
        <f>'OL 2'!K10</f>
        <v>84.3</v>
      </c>
      <c r="T9" s="640">
        <f t="shared" ref="T9:T18" si="5">ROUND(S9*T$4,2)</f>
        <v>2.2999999999999998</v>
      </c>
      <c r="U9" s="641">
        <f t="shared" si="3"/>
        <v>11.849999999999998</v>
      </c>
      <c r="V9" s="642">
        <f t="shared" si="4"/>
        <v>316337.39999999997</v>
      </c>
    </row>
    <row r="10" spans="1:22">
      <c r="A10" s="633">
        <v>103</v>
      </c>
      <c r="B10" s="156" t="s">
        <v>589</v>
      </c>
      <c r="C10" s="643">
        <v>0</v>
      </c>
      <c r="D10" s="155"/>
      <c r="E10" s="639">
        <v>17.63</v>
      </c>
      <c r="F10" s="166"/>
      <c r="G10" s="153"/>
      <c r="H10" s="153"/>
      <c r="I10" s="166">
        <f>'OL 2'!$Q$11</f>
        <v>18.430833333333332</v>
      </c>
      <c r="J10" s="166"/>
      <c r="K10" s="166">
        <f>ROUND((I10)*20,0)/20</f>
        <v>18.45</v>
      </c>
      <c r="L10" s="166"/>
      <c r="M10" s="153">
        <f t="shared" si="1"/>
        <v>0</v>
      </c>
      <c r="N10" s="153"/>
      <c r="O10" s="153">
        <f t="shared" si="0"/>
        <v>0</v>
      </c>
      <c r="P10" s="153"/>
      <c r="Q10" s="191">
        <f t="shared" si="2"/>
        <v>4.65E-2</v>
      </c>
      <c r="S10" s="158">
        <f>'OL 2'!K11</f>
        <v>103</v>
      </c>
      <c r="T10" s="640">
        <f t="shared" si="5"/>
        <v>2.81</v>
      </c>
      <c r="U10" s="641">
        <f t="shared" si="3"/>
        <v>15.639999999999999</v>
      </c>
      <c r="V10" s="642">
        <f t="shared" si="4"/>
        <v>0</v>
      </c>
    </row>
    <row r="11" spans="1:22">
      <c r="A11" s="633">
        <v>98</v>
      </c>
      <c r="B11" s="156" t="s">
        <v>574</v>
      </c>
      <c r="C11" s="154">
        <v>2496</v>
      </c>
      <c r="D11" s="155"/>
      <c r="E11" s="639">
        <v>19.010000000000002</v>
      </c>
      <c r="F11" s="166"/>
      <c r="G11" s="153">
        <f t="shared" ref="G11:G18" si="6">ROUND((C11*E11),0)</f>
        <v>47449</v>
      </c>
      <c r="H11" s="153"/>
      <c r="I11" s="166">
        <f>'OL 2'!$Q$12</f>
        <v>21.616666666666667</v>
      </c>
      <c r="J11" s="166"/>
      <c r="K11" s="166">
        <f>ROUND(IF(I11*$C$51&gt;(1+$C$49)*E11,(1+$C$49)*E11,MAX(I11*$C$51,E11))*20,0)/20</f>
        <v>22</v>
      </c>
      <c r="L11" s="166"/>
      <c r="M11" s="153">
        <f t="shared" si="1"/>
        <v>54912</v>
      </c>
      <c r="N11" s="153"/>
      <c r="O11" s="153">
        <f t="shared" si="0"/>
        <v>7463</v>
      </c>
      <c r="P11" s="153"/>
      <c r="Q11" s="191">
        <f t="shared" si="2"/>
        <v>0.1573</v>
      </c>
      <c r="S11" s="158">
        <f>'OL 2'!K12</f>
        <v>166.7</v>
      </c>
      <c r="T11" s="640">
        <f t="shared" si="5"/>
        <v>4.54</v>
      </c>
      <c r="U11" s="641">
        <f t="shared" si="3"/>
        <v>17.46</v>
      </c>
      <c r="V11" s="642">
        <f t="shared" si="4"/>
        <v>54912</v>
      </c>
    </row>
    <row r="12" spans="1:22">
      <c r="A12" s="633">
        <v>111</v>
      </c>
      <c r="B12" s="156" t="s">
        <v>588</v>
      </c>
      <c r="C12" s="154">
        <v>9384</v>
      </c>
      <c r="D12" s="154"/>
      <c r="E12" s="639">
        <v>14.1</v>
      </c>
      <c r="F12" s="166"/>
      <c r="G12" s="153">
        <f t="shared" si="6"/>
        <v>132314</v>
      </c>
      <c r="H12" s="153"/>
      <c r="I12" s="166">
        <f>'OL 2'!$Q$14</f>
        <v>29.016666666666669</v>
      </c>
      <c r="J12" s="166"/>
      <c r="K12" s="166">
        <f>ROUND(IF(I12*$C$51&gt;(1+$C$49)*E12,(1+$C$49)*E12,MAX(I12*$C$51,E12))*20,0)/20</f>
        <v>16.3</v>
      </c>
      <c r="M12" s="153">
        <f t="shared" si="1"/>
        <v>152959</v>
      </c>
      <c r="N12" s="153"/>
      <c r="O12" s="153">
        <f t="shared" si="0"/>
        <v>20645</v>
      </c>
      <c r="P12" s="153"/>
      <c r="Q12" s="191">
        <f t="shared" si="2"/>
        <v>0.156</v>
      </c>
      <c r="S12" s="158">
        <f>S7</f>
        <v>40.299999999999997</v>
      </c>
      <c r="T12" s="640">
        <f t="shared" si="5"/>
        <v>1.1000000000000001</v>
      </c>
      <c r="U12" s="641">
        <f t="shared" si="3"/>
        <v>15.200000000000001</v>
      </c>
      <c r="V12" s="642">
        <f t="shared" si="4"/>
        <v>152959.20000000001</v>
      </c>
    </row>
    <row r="13" spans="1:22">
      <c r="A13" s="633">
        <v>122</v>
      </c>
      <c r="B13" s="156" t="s">
        <v>587</v>
      </c>
      <c r="C13" s="154">
        <v>864</v>
      </c>
      <c r="D13" s="154"/>
      <c r="E13" s="639">
        <v>23.13</v>
      </c>
      <c r="F13" s="166"/>
      <c r="G13" s="153">
        <f t="shared" si="6"/>
        <v>19984</v>
      </c>
      <c r="H13" s="153"/>
      <c r="I13" s="166">
        <f>'OL 2'!$Q$15</f>
        <v>30.522499999999997</v>
      </c>
      <c r="J13" s="166"/>
      <c r="K13" s="166">
        <f>ROUND(IF(I13*$C$51&gt;(1+$C$49)*E13,(1+$C$49)*E13,MAX(I13*$C$51,E13))*20,0)/20-0.05</f>
        <v>26.7</v>
      </c>
      <c r="L13" s="166" t="s">
        <v>161</v>
      </c>
      <c r="M13" s="153">
        <f t="shared" si="1"/>
        <v>23069</v>
      </c>
      <c r="N13" s="153"/>
      <c r="O13" s="153">
        <f t="shared" si="0"/>
        <v>3085</v>
      </c>
      <c r="P13" s="153"/>
      <c r="Q13" s="191">
        <f t="shared" si="2"/>
        <v>0.15429999999999999</v>
      </c>
      <c r="S13" s="158">
        <f t="shared" ref="S13:S14" si="7">S8</f>
        <v>58.7</v>
      </c>
      <c r="T13" s="640">
        <f t="shared" si="5"/>
        <v>1.6</v>
      </c>
      <c r="U13" s="641">
        <f t="shared" si="3"/>
        <v>25.099999999999998</v>
      </c>
      <c r="V13" s="642">
        <f t="shared" si="4"/>
        <v>23068.799999999999</v>
      </c>
    </row>
    <row r="14" spans="1:22">
      <c r="A14" s="633">
        <v>107</v>
      </c>
      <c r="B14" s="156" t="s">
        <v>586</v>
      </c>
      <c r="C14" s="154">
        <v>22080</v>
      </c>
      <c r="D14" s="154"/>
      <c r="E14" s="639">
        <v>14.4</v>
      </c>
      <c r="F14" s="644"/>
      <c r="G14" s="153">
        <f t="shared" si="6"/>
        <v>317952</v>
      </c>
      <c r="H14" s="153"/>
      <c r="I14" s="166">
        <f>'OL 2'!$Q$17</f>
        <v>16.110833333333332</v>
      </c>
      <c r="J14" s="166"/>
      <c r="K14" s="166">
        <f>ROUND(IF(I14*$C$51&gt;(1+$C$49)*E14,(1+$C$49)*E14,MAX(I14*$C$51,E14))*20,0)/20-0.05</f>
        <v>16.599999999999998</v>
      </c>
      <c r="L14" s="166" t="s">
        <v>161</v>
      </c>
      <c r="M14" s="153">
        <f t="shared" si="1"/>
        <v>366528</v>
      </c>
      <c r="N14" s="153"/>
      <c r="O14" s="153">
        <f t="shared" si="0"/>
        <v>48576</v>
      </c>
      <c r="P14" s="153"/>
      <c r="Q14" s="191">
        <f t="shared" si="2"/>
        <v>0.15279999999999999</v>
      </c>
      <c r="S14" s="158">
        <f t="shared" si="7"/>
        <v>84.3</v>
      </c>
      <c r="T14" s="640">
        <f t="shared" si="5"/>
        <v>2.2999999999999998</v>
      </c>
      <c r="U14" s="641">
        <f t="shared" si="3"/>
        <v>14.299999999999997</v>
      </c>
      <c r="V14" s="642">
        <f t="shared" si="4"/>
        <v>366527.99999999994</v>
      </c>
    </row>
    <row r="15" spans="1:22">
      <c r="A15" s="633">
        <v>109</v>
      </c>
      <c r="B15" s="156" t="s">
        <v>580</v>
      </c>
      <c r="C15" s="154">
        <v>52008</v>
      </c>
      <c r="D15" s="154"/>
      <c r="E15" s="639">
        <v>20.16</v>
      </c>
      <c r="F15" s="644"/>
      <c r="G15" s="153">
        <f t="shared" si="6"/>
        <v>1048481</v>
      </c>
      <c r="H15" s="153"/>
      <c r="I15" s="166">
        <f>'OL 2'!$Q$18</f>
        <v>23.076666666666664</v>
      </c>
      <c r="J15" s="166"/>
      <c r="K15" s="166">
        <f>ROUND(IF(I15*$C$51&gt;(1+$C$49)*E15,(1+$C$49)*E15,MAX(I15*$C$51,E15))*20,0)/20</f>
        <v>23.3</v>
      </c>
      <c r="L15" s="166"/>
      <c r="M15" s="153">
        <f t="shared" si="1"/>
        <v>1211786</v>
      </c>
      <c r="N15" s="153"/>
      <c r="O15" s="153">
        <f t="shared" si="0"/>
        <v>163305</v>
      </c>
      <c r="P15" s="153"/>
      <c r="Q15" s="191">
        <f t="shared" si="2"/>
        <v>0.15579999999999999</v>
      </c>
      <c r="S15" s="158">
        <f>S11</f>
        <v>166.7</v>
      </c>
      <c r="T15" s="640">
        <f>ROUND(S15*T$4,2)</f>
        <v>4.54</v>
      </c>
      <c r="U15" s="641">
        <f t="shared" si="3"/>
        <v>18.760000000000002</v>
      </c>
      <c r="V15" s="642">
        <f t="shared" si="4"/>
        <v>1211786.4000000001</v>
      </c>
    </row>
    <row r="16" spans="1:22">
      <c r="A16" s="633">
        <v>121</v>
      </c>
      <c r="B16" s="156" t="s">
        <v>585</v>
      </c>
      <c r="C16" s="643">
        <v>0</v>
      </c>
      <c r="D16" s="155"/>
      <c r="E16" s="639">
        <v>32.85</v>
      </c>
      <c r="F16" s="644"/>
      <c r="G16" s="153">
        <f t="shared" si="6"/>
        <v>0</v>
      </c>
      <c r="H16" s="153"/>
      <c r="I16" s="166">
        <f>'OL 2'!$Q$20</f>
        <v>31.346666666666668</v>
      </c>
      <c r="J16" s="166"/>
      <c r="K16" s="166">
        <f>ROUND((I16)*20,0)/20</f>
        <v>31.35</v>
      </c>
      <c r="L16" s="166"/>
      <c r="M16" s="153">
        <f t="shared" si="1"/>
        <v>0</v>
      </c>
      <c r="N16" s="153"/>
      <c r="O16" s="153">
        <f t="shared" si="0"/>
        <v>0</v>
      </c>
      <c r="P16" s="153"/>
      <c r="Q16" s="191">
        <f t="shared" si="2"/>
        <v>-4.5699999999999998E-2</v>
      </c>
      <c r="S16" s="158">
        <f>S7</f>
        <v>40.299999999999997</v>
      </c>
      <c r="T16" s="640">
        <f t="shared" si="5"/>
        <v>1.1000000000000001</v>
      </c>
      <c r="U16" s="641">
        <f t="shared" si="3"/>
        <v>30.25</v>
      </c>
      <c r="V16" s="642">
        <f t="shared" si="4"/>
        <v>0</v>
      </c>
    </row>
    <row r="17" spans="1:22">
      <c r="A17" s="633">
        <v>120</v>
      </c>
      <c r="B17" s="156" t="s">
        <v>584</v>
      </c>
      <c r="C17" s="154">
        <v>12</v>
      </c>
      <c r="D17" s="154"/>
      <c r="E17" s="639">
        <v>25.83</v>
      </c>
      <c r="F17" s="644"/>
      <c r="G17" s="153">
        <f t="shared" si="6"/>
        <v>310</v>
      </c>
      <c r="H17" s="153"/>
      <c r="I17" s="166">
        <f>'OL 2'!$Q$21</f>
        <v>36.630833333333335</v>
      </c>
      <c r="J17" s="166"/>
      <c r="K17" s="166">
        <f>ROUND(IF(I17*$C$51&gt;(1+$C$49)*E17,(1+$C$49)*E17,MAX(I17*$C$51,E17))*20,0)/20</f>
        <v>29.85</v>
      </c>
      <c r="L17" s="166"/>
      <c r="M17" s="153">
        <f t="shared" si="1"/>
        <v>358</v>
      </c>
      <c r="N17" s="153"/>
      <c r="O17" s="153">
        <f t="shared" si="0"/>
        <v>48</v>
      </c>
      <c r="P17" s="153"/>
      <c r="Q17" s="191">
        <f t="shared" si="2"/>
        <v>0.15559999999999999</v>
      </c>
      <c r="S17" s="158">
        <f>S10</f>
        <v>103</v>
      </c>
      <c r="T17" s="640">
        <f t="shared" si="5"/>
        <v>2.81</v>
      </c>
      <c r="U17" s="641">
        <f t="shared" si="3"/>
        <v>27.040000000000003</v>
      </c>
      <c r="V17" s="642">
        <f t="shared" si="4"/>
        <v>358.20000000000005</v>
      </c>
    </row>
    <row r="18" spans="1:22">
      <c r="A18" s="633">
        <v>126</v>
      </c>
      <c r="B18" s="156" t="s">
        <v>583</v>
      </c>
      <c r="C18" s="643">
        <v>0</v>
      </c>
      <c r="D18" s="155"/>
      <c r="E18" s="639">
        <v>42.96</v>
      </c>
      <c r="F18" s="644"/>
      <c r="G18" s="153">
        <f t="shared" si="6"/>
        <v>0</v>
      </c>
      <c r="H18" s="153"/>
      <c r="I18" s="166">
        <f>'OL 2'!$Q$22</f>
        <v>41.916666666666671</v>
      </c>
      <c r="J18" s="166"/>
      <c r="K18" s="166">
        <f>ROUND((I18)*20,0)/20</f>
        <v>41.9</v>
      </c>
      <c r="L18" s="166"/>
      <c r="M18" s="153">
        <f t="shared" si="1"/>
        <v>0</v>
      </c>
      <c r="N18" s="153"/>
      <c r="O18" s="153">
        <f t="shared" si="0"/>
        <v>0</v>
      </c>
      <c r="P18" s="153"/>
      <c r="Q18" s="191">
        <f t="shared" si="2"/>
        <v>-2.47E-2</v>
      </c>
      <c r="S18" s="158">
        <f>S11</f>
        <v>166.7</v>
      </c>
      <c r="T18" s="640">
        <f t="shared" si="5"/>
        <v>4.54</v>
      </c>
      <c r="U18" s="641">
        <f t="shared" si="3"/>
        <v>37.36</v>
      </c>
      <c r="V18" s="642">
        <f t="shared" si="4"/>
        <v>0</v>
      </c>
    </row>
    <row r="19" spans="1:22">
      <c r="A19" s="633"/>
      <c r="C19" s="155"/>
      <c r="D19" s="155"/>
      <c r="E19" s="639"/>
      <c r="F19" s="166"/>
      <c r="G19" s="153"/>
      <c r="H19" s="153"/>
      <c r="I19" s="166"/>
      <c r="J19" s="166"/>
      <c r="K19" s="166" t="s">
        <v>72</v>
      </c>
      <c r="L19" s="166"/>
      <c r="M19" s="153"/>
      <c r="N19" s="153"/>
      <c r="O19" s="153"/>
      <c r="P19" s="153"/>
      <c r="Q19" s="191"/>
      <c r="T19" s="640"/>
    </row>
    <row r="20" spans="1:22" ht="15.75">
      <c r="A20" s="633"/>
      <c r="B20" s="157" t="s">
        <v>582</v>
      </c>
      <c r="C20" s="155"/>
      <c r="D20" s="155"/>
      <c r="E20" s="639"/>
      <c r="F20" s="166"/>
      <c r="G20" s="153"/>
      <c r="H20" s="153"/>
      <c r="I20" s="166"/>
      <c r="J20" s="166"/>
      <c r="K20" s="166" t="s">
        <v>72</v>
      </c>
      <c r="L20" s="166"/>
      <c r="M20" s="153"/>
      <c r="N20" s="153"/>
      <c r="O20" s="153"/>
      <c r="P20" s="153"/>
      <c r="Q20" s="191"/>
      <c r="T20" s="640"/>
    </row>
    <row r="21" spans="1:22">
      <c r="A21" s="633">
        <v>110</v>
      </c>
      <c r="B21" s="156" t="s">
        <v>581</v>
      </c>
      <c r="C21" s="154">
        <v>1668</v>
      </c>
      <c r="D21" s="154"/>
      <c r="E21" s="639">
        <v>17.88</v>
      </c>
      <c r="F21" s="166"/>
      <c r="G21" s="153">
        <f>ROUND((C21*E21),0)</f>
        <v>29824</v>
      </c>
      <c r="H21" s="153"/>
      <c r="I21" s="166">
        <f>+'OL 2'!Q27</f>
        <v>18.426666666666666</v>
      </c>
      <c r="J21" s="166"/>
      <c r="K21" s="166">
        <f>ROUND(IF(I21*$C$51&gt;(1+$C$49)*E21,(1+$C$49)*E21,MAX(I21*$C$51,E21))*20,0)/20</f>
        <v>19.75</v>
      </c>
      <c r="L21" s="166"/>
      <c r="M21" s="153">
        <f>ROUND((C21*K21),0)</f>
        <v>32943</v>
      </c>
      <c r="N21" s="153"/>
      <c r="O21" s="153">
        <f>M21-G21</f>
        <v>3119</v>
      </c>
      <c r="P21" s="153"/>
      <c r="Q21" s="191">
        <f>ROUND(((K21/E21)-1),4)</f>
        <v>0.1046</v>
      </c>
      <c r="S21" s="158">
        <f>'OL 2'!K27</f>
        <v>100.3</v>
      </c>
      <c r="T21" s="640">
        <f t="shared" ref="T21:T25" si="8">ROUND(S21*T$4,2)</f>
        <v>2.73</v>
      </c>
      <c r="U21" s="641">
        <f t="shared" ref="U21:U25" si="9">K21-T21</f>
        <v>17.02</v>
      </c>
      <c r="V21" s="642">
        <f t="shared" ref="V21:V25" si="10">T21*C21+(U21*C21)</f>
        <v>32943</v>
      </c>
    </row>
    <row r="22" spans="1:22">
      <c r="A22" s="633">
        <v>116</v>
      </c>
      <c r="B22" s="156" t="s">
        <v>580</v>
      </c>
      <c r="C22" s="154">
        <v>11520</v>
      </c>
      <c r="D22" s="154"/>
      <c r="E22" s="639">
        <v>22.57</v>
      </c>
      <c r="F22" s="644"/>
      <c r="G22" s="153">
        <f>ROUND((C22*E22),0)</f>
        <v>260006</v>
      </c>
      <c r="H22" s="153"/>
      <c r="I22" s="166">
        <f>'OL 2'!$Q$28</f>
        <v>23.266666666666669</v>
      </c>
      <c r="J22" s="166"/>
      <c r="K22" s="166">
        <f>ROUND(IF(I22*$C$51&gt;(1+$C$49)*E22,(1+$C$49)*E22,MAX(I22*$C$51,E22))*20,0)/20</f>
        <v>24.95</v>
      </c>
      <c r="L22" s="166"/>
      <c r="M22" s="153">
        <f>ROUND((C22*K22),0)</f>
        <v>287424</v>
      </c>
      <c r="N22" s="153"/>
      <c r="O22" s="153">
        <f>M22-G22</f>
        <v>27418</v>
      </c>
      <c r="P22" s="153"/>
      <c r="Q22" s="191">
        <f>ROUND(((K22/E22)-1),4)</f>
        <v>0.10539999999999999</v>
      </c>
      <c r="S22" s="158">
        <f>'OL 2'!K28</f>
        <v>158</v>
      </c>
      <c r="T22" s="640">
        <f t="shared" si="8"/>
        <v>4.3099999999999996</v>
      </c>
      <c r="U22" s="641">
        <f t="shared" si="9"/>
        <v>20.64</v>
      </c>
      <c r="V22" s="642">
        <f t="shared" si="10"/>
        <v>287424</v>
      </c>
    </row>
    <row r="23" spans="1:22">
      <c r="A23" s="633">
        <v>131</v>
      </c>
      <c r="B23" s="156" t="s">
        <v>579</v>
      </c>
      <c r="C23" s="154">
        <v>972</v>
      </c>
      <c r="D23" s="154"/>
      <c r="E23" s="639">
        <v>41.06</v>
      </c>
      <c r="F23" s="644"/>
      <c r="G23" s="153">
        <f>ROUND((C23*E23),0)</f>
        <v>39910</v>
      </c>
      <c r="H23" s="153"/>
      <c r="I23" s="166">
        <f>'OL 2'!$Q$29</f>
        <v>42.715833333333336</v>
      </c>
      <c r="J23" s="166"/>
      <c r="K23" s="166">
        <f>ROUND(IF(I23*$C$51&gt;(1+$C$49)*E23,(1+$C$49)*E23,MAX(I23*$C$51,E23))*20,0)/20</f>
        <v>45.85</v>
      </c>
      <c r="L23" s="166"/>
      <c r="M23" s="153">
        <f>ROUND((C23*K23),0)</f>
        <v>44566</v>
      </c>
      <c r="N23" s="153"/>
      <c r="O23" s="153">
        <f>M23-G23</f>
        <v>4656</v>
      </c>
      <c r="P23" s="153"/>
      <c r="Q23" s="191">
        <f>ROUND(((K23/E23)-1),4)</f>
        <v>0.1167</v>
      </c>
      <c r="S23" s="158">
        <f>'OL 2'!K29</f>
        <v>378.3</v>
      </c>
      <c r="T23" s="640">
        <f t="shared" si="8"/>
        <v>10.31</v>
      </c>
      <c r="U23" s="641">
        <f t="shared" si="9"/>
        <v>35.54</v>
      </c>
      <c r="V23" s="642">
        <f t="shared" si="10"/>
        <v>44566.2</v>
      </c>
    </row>
    <row r="24" spans="1:22">
      <c r="A24" s="633">
        <v>130</v>
      </c>
      <c r="B24" s="156" t="s">
        <v>578</v>
      </c>
      <c r="C24" s="643">
        <v>0</v>
      </c>
      <c r="D24" s="154"/>
      <c r="E24" s="639">
        <v>24.63</v>
      </c>
      <c r="F24" s="644"/>
      <c r="G24" s="153">
        <f>ROUND((C24*E24),0)</f>
        <v>0</v>
      </c>
      <c r="H24" s="153"/>
      <c r="I24" s="166">
        <f>'OL 2'!$Q$31</f>
        <v>23.996666666666666</v>
      </c>
      <c r="J24" s="166"/>
      <c r="K24" s="166">
        <f>ROUND((I24)*20,0)/20</f>
        <v>24</v>
      </c>
      <c r="L24" s="166"/>
      <c r="M24" s="153">
        <f>ROUND((C24*K24),0)</f>
        <v>0</v>
      </c>
      <c r="N24" s="153"/>
      <c r="O24" s="153">
        <f>M24-G24</f>
        <v>0</v>
      </c>
      <c r="P24" s="153"/>
      <c r="Q24" s="191">
        <f>ROUND(((K24/E24)-1),4)</f>
        <v>-2.5600000000000001E-2</v>
      </c>
      <c r="S24" s="158">
        <f>S21</f>
        <v>100.3</v>
      </c>
      <c r="T24" s="640">
        <f t="shared" si="8"/>
        <v>2.73</v>
      </c>
      <c r="U24" s="641">
        <f t="shared" si="9"/>
        <v>21.27</v>
      </c>
      <c r="V24" s="642">
        <f t="shared" si="10"/>
        <v>0</v>
      </c>
    </row>
    <row r="25" spans="1:22">
      <c r="A25" s="633">
        <v>136</v>
      </c>
      <c r="B25" s="156" t="s">
        <v>577</v>
      </c>
      <c r="C25" s="643">
        <v>0</v>
      </c>
      <c r="D25" s="155"/>
      <c r="E25" s="639">
        <v>29.42</v>
      </c>
      <c r="F25" s="644"/>
      <c r="G25" s="153">
        <f>ROUND((C25*E25),0)</f>
        <v>0</v>
      </c>
      <c r="H25" s="153"/>
      <c r="I25" s="166">
        <f>'OL 2'!$Q$32</f>
        <v>28.856666666666666</v>
      </c>
      <c r="J25" s="166"/>
      <c r="K25" s="166">
        <f>ROUND((I25)*20,0)/20</f>
        <v>28.85</v>
      </c>
      <c r="L25" s="166"/>
      <c r="M25" s="153">
        <f>ROUND((C25*K25),0)</f>
        <v>0</v>
      </c>
      <c r="N25" s="153"/>
      <c r="O25" s="153">
        <f>M25-G25</f>
        <v>0</v>
      </c>
      <c r="P25" s="153"/>
      <c r="Q25" s="191">
        <f>ROUND(((K25/E25)-1),4)</f>
        <v>-1.9400000000000001E-2</v>
      </c>
      <c r="S25" s="158">
        <f>S22</f>
        <v>158</v>
      </c>
      <c r="T25" s="640">
        <f t="shared" si="8"/>
        <v>4.3099999999999996</v>
      </c>
      <c r="U25" s="641">
        <f t="shared" si="9"/>
        <v>24.540000000000003</v>
      </c>
      <c r="V25" s="642">
        <f t="shared" si="10"/>
        <v>0</v>
      </c>
    </row>
    <row r="26" spans="1:22">
      <c r="A26" s="633"/>
      <c r="B26" s="156"/>
      <c r="C26" s="155"/>
      <c r="D26" s="155"/>
      <c r="E26" s="639"/>
      <c r="F26" s="644"/>
      <c r="G26" s="153"/>
      <c r="H26" s="153"/>
      <c r="I26" s="166"/>
      <c r="J26" s="166"/>
      <c r="K26" s="166"/>
      <c r="L26" s="166"/>
      <c r="M26" s="153"/>
      <c r="N26" s="153"/>
      <c r="O26" s="153"/>
      <c r="P26" s="153"/>
      <c r="Q26" s="645"/>
      <c r="T26" s="640"/>
    </row>
    <row r="27" spans="1:22">
      <c r="A27" s="633"/>
      <c r="C27" s="155"/>
      <c r="D27" s="155"/>
      <c r="E27" s="639"/>
      <c r="F27" s="166"/>
      <c r="G27" s="153"/>
      <c r="H27" s="153"/>
      <c r="I27" s="166"/>
      <c r="J27" s="166"/>
      <c r="K27" s="166"/>
      <c r="L27" s="166"/>
      <c r="M27" s="153"/>
      <c r="N27" s="153"/>
      <c r="O27" s="153"/>
      <c r="P27" s="153"/>
      <c r="Q27" s="645"/>
      <c r="T27" s="640"/>
    </row>
    <row r="28" spans="1:22" ht="15.75">
      <c r="A28" s="633"/>
      <c r="B28" s="157" t="s">
        <v>576</v>
      </c>
      <c r="C28" s="155"/>
      <c r="D28" s="155"/>
      <c r="E28" s="639"/>
      <c r="F28" s="166"/>
      <c r="G28" s="153"/>
      <c r="H28" s="153"/>
      <c r="I28" s="166"/>
      <c r="J28" s="166"/>
      <c r="K28" s="166"/>
      <c r="L28" s="166"/>
      <c r="M28" s="153"/>
      <c r="N28" s="153"/>
      <c r="O28" s="153"/>
      <c r="P28" s="153"/>
      <c r="Q28" s="191"/>
      <c r="T28" s="640"/>
    </row>
    <row r="29" spans="1:22">
      <c r="A29" s="633">
        <v>93</v>
      </c>
      <c r="B29" s="156" t="s">
        <v>575</v>
      </c>
      <c r="C29" s="154">
        <v>10056</v>
      </c>
      <c r="D29" s="154"/>
      <c r="E29" s="639">
        <v>10.47</v>
      </c>
      <c r="F29" s="166"/>
      <c r="G29" s="153">
        <f>ROUND((C29*E29),0)</f>
        <v>105286</v>
      </c>
      <c r="H29" s="153"/>
      <c r="I29" s="646"/>
      <c r="K29" s="166">
        <f>ROUND(E29*(1+C$48)*20,0)/20</f>
        <v>11.55</v>
      </c>
      <c r="L29" s="166"/>
      <c r="M29" s="153">
        <f>ROUND((C29*K29),0)</f>
        <v>116147</v>
      </c>
      <c r="N29" s="153"/>
      <c r="O29" s="153">
        <f>M29-G29</f>
        <v>10861</v>
      </c>
      <c r="P29" s="153"/>
      <c r="Q29" s="191">
        <f>ROUND(((K29/E29)-1),4)</f>
        <v>0.1032</v>
      </c>
      <c r="S29" s="647">
        <f>864/12</f>
        <v>72</v>
      </c>
      <c r="T29" s="640">
        <f t="shared" ref="T29:T31" si="11">ROUND(S29*T$4,2)</f>
        <v>1.96</v>
      </c>
      <c r="U29" s="641">
        <f t="shared" ref="U29:U31" si="12">K29-T29</f>
        <v>9.59</v>
      </c>
      <c r="V29" s="642">
        <f t="shared" ref="V29:V31" si="13">T29*C29+(U29*C29)</f>
        <v>116146.79999999999</v>
      </c>
    </row>
    <row r="30" spans="1:22">
      <c r="A30" s="633">
        <v>95</v>
      </c>
      <c r="B30" s="156" t="s">
        <v>574</v>
      </c>
      <c r="C30" s="154">
        <v>1032</v>
      </c>
      <c r="D30" s="154"/>
      <c r="E30" s="639">
        <v>18.07</v>
      </c>
      <c r="F30" s="166"/>
      <c r="G30" s="153">
        <f>ROUND((C30*E30),0)</f>
        <v>18648</v>
      </c>
      <c r="H30" s="153"/>
      <c r="I30" s="646"/>
      <c r="K30" s="166">
        <f>ROUND(E30*(1+C$48)*20,0)/20-0.05</f>
        <v>19.899999999999999</v>
      </c>
      <c r="L30" s="166" t="s">
        <v>161</v>
      </c>
      <c r="M30" s="153">
        <f>ROUND((C30*K30),0)</f>
        <v>20537</v>
      </c>
      <c r="N30" s="153"/>
      <c r="O30" s="153">
        <f>M30-G30</f>
        <v>1889</v>
      </c>
      <c r="P30" s="153"/>
      <c r="Q30" s="191">
        <f>ROUND(((K30/E30)-1),4)</f>
        <v>0.1013</v>
      </c>
      <c r="S30" s="158">
        <f>1896/12</f>
        <v>158</v>
      </c>
      <c r="T30" s="640">
        <f t="shared" si="11"/>
        <v>4.3099999999999996</v>
      </c>
      <c r="U30" s="641">
        <f t="shared" si="12"/>
        <v>15.59</v>
      </c>
      <c r="V30" s="642">
        <f t="shared" si="13"/>
        <v>20536.8</v>
      </c>
    </row>
    <row r="31" spans="1:22">
      <c r="A31" s="633">
        <v>99</v>
      </c>
      <c r="B31" s="156" t="s">
        <v>573</v>
      </c>
      <c r="C31" s="154">
        <v>108</v>
      </c>
      <c r="D31" s="154"/>
      <c r="E31" s="639">
        <v>12.02</v>
      </c>
      <c r="F31" s="166"/>
      <c r="G31" s="153">
        <f>ROUND((C31*E31),0)</f>
        <v>1298</v>
      </c>
      <c r="H31" s="153"/>
      <c r="I31" s="646"/>
      <c r="K31" s="166">
        <f>ROUND(E31*(1+C$48)*20,0)/20</f>
        <v>13.25</v>
      </c>
      <c r="L31" s="166"/>
      <c r="M31" s="153">
        <f>ROUND((C31*K31),0)</f>
        <v>1431</v>
      </c>
      <c r="N31" s="153"/>
      <c r="O31" s="153">
        <f>M31-G31</f>
        <v>133</v>
      </c>
      <c r="P31" s="153"/>
      <c r="Q31" s="191">
        <f>ROUND(((K31/E31)-1),4)</f>
        <v>0.1023</v>
      </c>
      <c r="S31" s="647">
        <f>S29</f>
        <v>72</v>
      </c>
      <c r="T31" s="640">
        <f t="shared" si="11"/>
        <v>1.96</v>
      </c>
      <c r="U31" s="641">
        <f t="shared" si="12"/>
        <v>11.29</v>
      </c>
      <c r="V31" s="642">
        <f t="shared" si="13"/>
        <v>1431</v>
      </c>
    </row>
    <row r="32" spans="1:22">
      <c r="A32" s="633"/>
      <c r="B32" s="156"/>
      <c r="C32" s="155"/>
      <c r="D32" s="155"/>
      <c r="E32" s="639"/>
      <c r="F32" s="166"/>
      <c r="G32" s="153"/>
      <c r="H32" s="153"/>
      <c r="I32" s="166"/>
      <c r="J32" s="166"/>
      <c r="K32" s="166"/>
      <c r="L32" s="166"/>
      <c r="M32" s="153"/>
      <c r="N32" s="153"/>
      <c r="O32" s="153"/>
      <c r="P32" s="153"/>
      <c r="Q32" s="191"/>
    </row>
    <row r="33" spans="1:23">
      <c r="A33" s="633"/>
      <c r="B33" s="648" t="s">
        <v>572</v>
      </c>
      <c r="C33" s="155"/>
      <c r="D33" s="155"/>
      <c r="E33" s="639"/>
      <c r="F33" s="166"/>
      <c r="G33" s="153"/>
      <c r="H33" s="153"/>
      <c r="I33" s="166"/>
      <c r="J33" s="166"/>
      <c r="K33" s="166"/>
      <c r="L33" s="166"/>
      <c r="M33" s="153"/>
      <c r="N33" s="153"/>
      <c r="O33" s="153"/>
      <c r="P33" s="153"/>
      <c r="Q33" s="191"/>
    </row>
    <row r="34" spans="1:23">
      <c r="A34" s="633"/>
      <c r="B34" s="648" t="s">
        <v>571</v>
      </c>
      <c r="C34" s="649">
        <v>52992</v>
      </c>
      <c r="D34" s="154"/>
      <c r="E34" s="639">
        <v>3.1</v>
      </c>
      <c r="F34" s="166"/>
      <c r="G34" s="153">
        <f>C34*E34</f>
        <v>164275.20000000001</v>
      </c>
      <c r="H34" s="153"/>
      <c r="I34" s="166">
        <f>'OL Detail'!D8</f>
        <v>10.445</v>
      </c>
      <c r="J34" s="166"/>
      <c r="K34" s="166">
        <f>ROUND(IF(I34*$C$51&gt;(1+$C$49)*E34,(1+$C$49)*E34,MAX(I34*$C$51,E34))*20,0)/20</f>
        <v>3.6</v>
      </c>
      <c r="L34" s="166"/>
      <c r="M34" s="153">
        <f>ROUND((C34*K34),0)</f>
        <v>190771</v>
      </c>
      <c r="N34" s="153"/>
      <c r="O34" s="153">
        <f>M34-G34</f>
        <v>26495.799999999988</v>
      </c>
      <c r="P34" s="153"/>
      <c r="Q34" s="191">
        <f>ROUND(((K34/E34)-1),4)</f>
        <v>0.1613</v>
      </c>
    </row>
    <row r="35" spans="1:23">
      <c r="A35" s="633"/>
      <c r="B35" s="648" t="s">
        <v>570</v>
      </c>
      <c r="C35" s="649">
        <v>56652</v>
      </c>
      <c r="D35" s="154"/>
      <c r="E35" s="639">
        <v>1.8</v>
      </c>
      <c r="F35" s="166"/>
      <c r="G35" s="153">
        <f>C35*E35</f>
        <v>101973.6</v>
      </c>
      <c r="H35" s="153"/>
      <c r="I35" s="166">
        <f>'OL Detail'!D11</f>
        <v>2.2400000000000002</v>
      </c>
      <c r="J35" s="166"/>
      <c r="K35" s="166">
        <f>ROUND(IF(I35*$C$51&gt;(1+$C$49)*E35,(1+$C$49)*E35,MAX(I35*$C$51,E35))*20,0)/20</f>
        <v>2.1</v>
      </c>
      <c r="L35" s="166"/>
      <c r="M35" s="153">
        <f>ROUND((C35*K35),0)</f>
        <v>118969</v>
      </c>
      <c r="N35" s="153"/>
      <c r="O35" s="153">
        <f>M35-G35</f>
        <v>16995.399999999994</v>
      </c>
      <c r="P35" s="153"/>
      <c r="Q35" s="191">
        <f>ROUND(((K35/E35)-1),4)</f>
        <v>0.16669999999999999</v>
      </c>
    </row>
    <row r="36" spans="1:23">
      <c r="A36" s="633"/>
      <c r="B36" s="648" t="s">
        <v>569</v>
      </c>
      <c r="C36" s="649">
        <v>744</v>
      </c>
      <c r="D36" s="154"/>
      <c r="E36" s="639">
        <v>6.75</v>
      </c>
      <c r="F36" s="166"/>
      <c r="G36" s="153">
        <f>C36*E36</f>
        <v>5022</v>
      </c>
      <c r="H36" s="153"/>
      <c r="I36" s="166">
        <f>'OL Detail'!D14</f>
        <v>7.82</v>
      </c>
      <c r="J36" s="166"/>
      <c r="K36" s="166">
        <f>ROUND(IF(I36*$C$51&gt;(1+$C$49)*E36,(1+$C$49)*E36,MAX(I36*$C$51,E36))*20,0)/20</f>
        <v>7.8</v>
      </c>
      <c r="L36" s="166"/>
      <c r="M36" s="153">
        <f>ROUND((C36*K36),0)</f>
        <v>5803</v>
      </c>
      <c r="N36" s="153"/>
      <c r="O36" s="153">
        <f>M36-G36</f>
        <v>781</v>
      </c>
      <c r="P36" s="153"/>
      <c r="Q36" s="191">
        <f>ROUND(((K36/E36)-1),4)</f>
        <v>0.15559999999999999</v>
      </c>
    </row>
    <row r="37" spans="1:23">
      <c r="A37" s="633"/>
      <c r="B37" s="156"/>
      <c r="C37" s="155"/>
      <c r="D37" s="155"/>
      <c r="E37" s="166"/>
      <c r="F37" s="166"/>
      <c r="G37" s="153"/>
      <c r="H37" s="153"/>
      <c r="I37" s="166"/>
      <c r="J37" s="166"/>
      <c r="K37" s="166"/>
      <c r="L37" s="166"/>
      <c r="M37" s="153"/>
      <c r="N37" s="153"/>
      <c r="O37" s="153"/>
      <c r="P37" s="153"/>
      <c r="Q37" s="191"/>
    </row>
    <row r="38" spans="1:23" ht="15.75" thickBot="1">
      <c r="A38" s="633"/>
      <c r="B38" s="156"/>
      <c r="C38" s="155"/>
      <c r="D38" s="155"/>
      <c r="E38" s="166"/>
      <c r="F38" s="166"/>
      <c r="G38" s="153"/>
      <c r="H38" s="153"/>
      <c r="I38" s="166"/>
      <c r="J38" s="166"/>
      <c r="K38" s="166"/>
      <c r="L38" s="166"/>
      <c r="M38" s="153"/>
      <c r="N38" s="153"/>
      <c r="O38" s="153"/>
      <c r="P38" s="153"/>
      <c r="Q38" s="191"/>
    </row>
    <row r="39" spans="1:23" ht="12.75" customHeight="1" thickTop="1">
      <c r="A39" s="633"/>
      <c r="B39" s="650"/>
      <c r="C39" s="155"/>
      <c r="D39" s="155"/>
      <c r="E39" s="166"/>
      <c r="F39" s="166"/>
      <c r="G39" s="651"/>
      <c r="I39" s="166"/>
      <c r="J39" s="166"/>
      <c r="K39" s="166"/>
      <c r="L39" s="166"/>
      <c r="M39" s="651"/>
      <c r="N39" s="651"/>
      <c r="O39" s="651"/>
      <c r="Q39" s="191"/>
    </row>
    <row r="40" spans="1:23">
      <c r="A40" s="633"/>
      <c r="B40" s="156" t="s">
        <v>568</v>
      </c>
      <c r="C40" s="155"/>
      <c r="D40" s="155"/>
      <c r="E40" s="166"/>
      <c r="F40" s="166"/>
      <c r="G40" s="153">
        <f>SUMPRODUCT(E7:E36,C7:C36)</f>
        <v>7909599.0000000019</v>
      </c>
      <c r="I40" s="166"/>
      <c r="J40" s="166"/>
      <c r="K40" s="153"/>
      <c r="L40" s="166"/>
      <c r="M40" s="153">
        <f>SUM(M7:M36)</f>
        <v>9044068</v>
      </c>
      <c r="N40" s="153"/>
      <c r="O40" s="153">
        <f>SUM(O7:O36)</f>
        <v>1134471.2</v>
      </c>
      <c r="Q40" s="191"/>
      <c r="V40" s="642">
        <f>SUM(V7:V31,M34:M36)</f>
        <v>9044068.8000000007</v>
      </c>
    </row>
    <row r="41" spans="1:23" ht="15.75" thickBot="1">
      <c r="A41" s="633"/>
      <c r="B41" s="156" t="s">
        <v>567</v>
      </c>
      <c r="C41" s="155"/>
      <c r="D41" s="155"/>
      <c r="E41" s="166"/>
      <c r="F41" s="166"/>
      <c r="J41" s="166"/>
      <c r="K41" s="166"/>
      <c r="L41" s="166"/>
      <c r="M41" s="652">
        <f>'EX AEV-1'!X15</f>
        <v>68807</v>
      </c>
      <c r="N41" s="153"/>
      <c r="O41" s="153"/>
      <c r="Q41" s="191"/>
      <c r="V41" s="642">
        <f>M41</f>
        <v>68807</v>
      </c>
    </row>
    <row r="42" spans="1:23" ht="15.75" thickTop="1">
      <c r="A42" s="633"/>
      <c r="B42" s="156" t="s">
        <v>9</v>
      </c>
      <c r="C42" s="155"/>
      <c r="D42" s="155"/>
      <c r="E42" s="166"/>
      <c r="F42" s="166"/>
      <c r="I42" s="166"/>
      <c r="J42" s="166"/>
      <c r="K42" s="166"/>
      <c r="L42" s="166"/>
      <c r="M42" s="651">
        <f>SUM(M40:M41)</f>
        <v>9112875</v>
      </c>
      <c r="N42" s="153"/>
      <c r="O42" s="153"/>
      <c r="P42" s="153"/>
      <c r="Q42" s="191"/>
      <c r="V42" s="642">
        <f>V41+V40</f>
        <v>9112875.8000000007</v>
      </c>
    </row>
    <row r="43" spans="1:23">
      <c r="A43" s="633"/>
      <c r="C43" s="155"/>
      <c r="D43" s="155"/>
      <c r="E43" s="166"/>
      <c r="F43" s="166"/>
      <c r="G43" s="153"/>
      <c r="I43" s="166"/>
      <c r="J43" s="166"/>
      <c r="K43" s="653"/>
      <c r="L43" s="166"/>
      <c r="M43" s="153"/>
      <c r="N43" s="153"/>
      <c r="O43" s="153"/>
      <c r="P43" s="153"/>
      <c r="Q43" s="191"/>
      <c r="V43" s="642">
        <f>M42-V42</f>
        <v>-0.80000000074505806</v>
      </c>
      <c r="W43" s="158" t="s">
        <v>1002</v>
      </c>
    </row>
    <row r="44" spans="1:23">
      <c r="A44" s="633"/>
      <c r="B44" s="156" t="s">
        <v>566</v>
      </c>
      <c r="M44" s="652">
        <f>'EX AEV-1'!X12</f>
        <v>9112878</v>
      </c>
      <c r="N44" s="153"/>
      <c r="O44" s="153"/>
      <c r="P44" s="153"/>
      <c r="Q44" s="191"/>
    </row>
    <row r="45" spans="1:23">
      <c r="A45" s="633"/>
      <c r="B45" s="156" t="s">
        <v>72</v>
      </c>
      <c r="C45" s="654"/>
      <c r="D45" s="654"/>
      <c r="E45" s="166"/>
      <c r="F45" s="166"/>
      <c r="G45" s="153"/>
      <c r="H45" s="153"/>
      <c r="I45" s="166"/>
      <c r="J45" s="166"/>
      <c r="K45" s="166"/>
      <c r="L45" s="166"/>
      <c r="M45" s="153"/>
      <c r="N45" s="153"/>
      <c r="O45" s="153"/>
      <c r="P45" s="153"/>
      <c r="Q45" s="191"/>
    </row>
    <row r="46" spans="1:23">
      <c r="A46" s="633"/>
      <c r="B46" s="156" t="s">
        <v>42</v>
      </c>
      <c r="C46" s="155"/>
      <c r="D46" s="155"/>
      <c r="E46" s="166"/>
      <c r="F46" s="166"/>
      <c r="G46" s="153"/>
      <c r="H46" s="153"/>
      <c r="I46" s="166"/>
      <c r="J46" s="166"/>
      <c r="K46" s="166"/>
      <c r="L46" s="166"/>
      <c r="M46" s="153">
        <f>M42-M44</f>
        <v>-3</v>
      </c>
      <c r="N46" s="153"/>
      <c r="O46" s="153"/>
      <c r="P46" s="153"/>
      <c r="Q46" s="191"/>
    </row>
    <row r="47" spans="1:23">
      <c r="A47" s="633"/>
      <c r="B47" s="156"/>
      <c r="C47" s="155"/>
      <c r="D47" s="155"/>
      <c r="E47" s="166"/>
      <c r="F47" s="166"/>
      <c r="G47" s="153"/>
      <c r="H47" s="153"/>
      <c r="I47" s="166"/>
      <c r="J47" s="166"/>
      <c r="K47" s="166"/>
      <c r="L47" s="166"/>
      <c r="M47" s="153"/>
      <c r="N47" s="153"/>
      <c r="O47" s="153"/>
      <c r="P47" s="153"/>
      <c r="Q47" s="191"/>
    </row>
    <row r="48" spans="1:23">
      <c r="A48" s="633"/>
      <c r="B48" s="156" t="s">
        <v>1041</v>
      </c>
      <c r="C48" s="655">
        <v>0.1041</v>
      </c>
      <c r="D48" s="155"/>
      <c r="E48" s="166"/>
      <c r="F48" s="166"/>
      <c r="G48" s="153"/>
      <c r="H48" s="153"/>
      <c r="I48" s="166"/>
      <c r="J48" s="166"/>
      <c r="K48" s="166"/>
      <c r="L48" s="166"/>
      <c r="M48" s="153"/>
      <c r="N48" s="153"/>
      <c r="O48" s="153"/>
      <c r="P48" s="153"/>
      <c r="Q48" s="191"/>
    </row>
    <row r="49" spans="1:17">
      <c r="A49" s="633"/>
      <c r="B49" s="158" t="s">
        <v>1044</v>
      </c>
      <c r="C49" s="656">
        <f>C48*1.5</f>
        <v>0.15615000000000001</v>
      </c>
      <c r="D49" s="155"/>
      <c r="E49" s="356"/>
      <c r="F49" s="166"/>
      <c r="G49" s="153"/>
      <c r="H49" s="153"/>
      <c r="I49" s="166"/>
      <c r="J49" s="166"/>
      <c r="K49" s="166"/>
      <c r="L49" s="166"/>
      <c r="M49" s="153"/>
      <c r="N49" s="153"/>
      <c r="O49" s="153"/>
      <c r="P49" s="153"/>
      <c r="Q49" s="191"/>
    </row>
    <row r="50" spans="1:17">
      <c r="A50" s="633"/>
      <c r="C50" s="155"/>
      <c r="D50" s="155"/>
      <c r="E50" s="166"/>
      <c r="F50" s="166"/>
      <c r="G50" s="153"/>
      <c r="H50" s="153"/>
      <c r="I50" s="166"/>
      <c r="J50" s="166"/>
      <c r="K50" s="166"/>
      <c r="L50" s="166"/>
      <c r="M50" s="166"/>
      <c r="N50" s="153"/>
      <c r="O50" s="153"/>
      <c r="P50" s="153"/>
      <c r="Q50" s="191"/>
    </row>
    <row r="51" spans="1:17">
      <c r="A51" s="633"/>
      <c r="B51" s="156" t="s">
        <v>565</v>
      </c>
      <c r="C51" s="657">
        <v>1.0730999999999999</v>
      </c>
      <c r="D51" s="658"/>
      <c r="E51" s="166"/>
      <c r="F51" s="166"/>
      <c r="G51" s="153"/>
      <c r="H51" s="153"/>
      <c r="I51" s="166"/>
      <c r="J51" s="166"/>
      <c r="K51" s="166"/>
      <c r="L51" s="166"/>
      <c r="M51" s="153" t="s">
        <v>72</v>
      </c>
      <c r="N51" s="153"/>
      <c r="O51" s="153"/>
      <c r="P51" s="153"/>
      <c r="Q51" s="191"/>
    </row>
    <row r="52" spans="1:17">
      <c r="A52" s="633"/>
      <c r="C52" s="658"/>
      <c r="D52" s="658"/>
      <c r="E52" s="166"/>
      <c r="F52" s="166"/>
      <c r="G52" s="153"/>
      <c r="H52" s="153"/>
      <c r="I52" s="166"/>
      <c r="J52" s="166"/>
      <c r="K52" s="166"/>
      <c r="L52" s="166"/>
      <c r="M52" s="153"/>
      <c r="N52" s="153"/>
      <c r="O52" s="153"/>
      <c r="P52" s="153"/>
      <c r="Q52" s="191"/>
    </row>
    <row r="53" spans="1:17">
      <c r="A53" s="633"/>
      <c r="B53" s="156" t="s">
        <v>564</v>
      </c>
      <c r="C53" s="155"/>
      <c r="D53" s="155"/>
      <c r="E53" s="166"/>
      <c r="F53" s="166"/>
      <c r="G53" s="627"/>
      <c r="H53" s="627"/>
      <c r="I53" s="166"/>
      <c r="J53" s="166"/>
      <c r="K53" s="166"/>
      <c r="L53" s="166"/>
      <c r="M53" s="153"/>
      <c r="N53" s="153"/>
      <c r="O53" s="153"/>
      <c r="P53" s="153"/>
      <c r="Q53" s="191"/>
    </row>
    <row r="54" spans="1:17">
      <c r="A54" s="633"/>
      <c r="C54" s="155"/>
      <c r="D54" s="155"/>
      <c r="E54" s="166"/>
      <c r="F54" s="166"/>
      <c r="G54" s="153"/>
      <c r="H54" s="153"/>
      <c r="I54" s="166"/>
      <c r="J54" s="166"/>
      <c r="K54" s="166"/>
      <c r="L54" s="166"/>
      <c r="M54" s="153"/>
      <c r="N54" s="153"/>
      <c r="O54" s="153"/>
      <c r="P54" s="153"/>
      <c r="Q54" s="191"/>
    </row>
    <row r="55" spans="1:17">
      <c r="B55" s="158" t="s">
        <v>72</v>
      </c>
      <c r="C55" s="155"/>
      <c r="D55" s="155"/>
      <c r="E55" s="166"/>
      <c r="F55" s="166"/>
      <c r="G55" s="153"/>
      <c r="H55" s="153"/>
      <c r="I55" s="166"/>
      <c r="J55" s="166"/>
      <c r="K55" s="166"/>
      <c r="L55" s="166"/>
      <c r="M55" s="153"/>
      <c r="N55" s="153"/>
      <c r="O55" s="153"/>
      <c r="P55" s="153"/>
      <c r="Q55" s="191"/>
    </row>
    <row r="56" spans="1:17">
      <c r="C56" s="155"/>
      <c r="D56" s="155"/>
      <c r="E56" s="166"/>
      <c r="F56" s="166"/>
      <c r="G56" s="153"/>
      <c r="H56" s="153"/>
      <c r="I56" s="166"/>
      <c r="J56" s="166"/>
      <c r="K56" s="166"/>
      <c r="L56" s="166"/>
      <c r="M56" s="153"/>
      <c r="N56" s="153"/>
      <c r="O56" s="153"/>
      <c r="P56" s="153"/>
      <c r="Q56" s="191"/>
    </row>
    <row r="57" spans="1:17">
      <c r="C57" s="155"/>
      <c r="D57" s="155"/>
      <c r="E57" s="166"/>
      <c r="F57" s="166"/>
      <c r="G57" s="153"/>
      <c r="H57" s="153"/>
      <c r="I57" s="166"/>
      <c r="J57" s="166"/>
      <c r="K57" s="166"/>
      <c r="L57" s="166"/>
      <c r="M57" s="153"/>
      <c r="N57" s="153"/>
      <c r="O57" s="153"/>
      <c r="P57" s="153"/>
      <c r="Q57" s="191"/>
    </row>
    <row r="58" spans="1:17">
      <c r="C58" s="155"/>
      <c r="D58" s="155"/>
      <c r="E58" s="166"/>
      <c r="F58" s="166"/>
      <c r="G58" s="153"/>
      <c r="H58" s="153"/>
      <c r="I58" s="166"/>
      <c r="J58" s="166"/>
      <c r="K58" s="166"/>
      <c r="L58" s="166"/>
      <c r="M58" s="153"/>
      <c r="N58" s="153"/>
      <c r="O58" s="153"/>
      <c r="P58" s="153"/>
      <c r="Q58" s="191"/>
    </row>
    <row r="59" spans="1:17">
      <c r="C59" s="155"/>
      <c r="D59" s="155"/>
      <c r="E59" s="166"/>
      <c r="F59" s="166"/>
      <c r="G59" s="153"/>
      <c r="H59" s="153"/>
      <c r="I59" s="166"/>
      <c r="J59" s="166"/>
      <c r="K59" s="166"/>
      <c r="L59" s="166"/>
      <c r="M59" s="153"/>
      <c r="N59" s="153"/>
      <c r="O59" s="153"/>
      <c r="P59" s="153"/>
      <c r="Q59" s="191"/>
    </row>
    <row r="60" spans="1:17">
      <c r="C60" s="155"/>
      <c r="D60" s="155"/>
      <c r="E60" s="166"/>
      <c r="F60" s="166"/>
      <c r="G60" s="153"/>
      <c r="H60" s="153"/>
      <c r="I60" s="166"/>
      <c r="J60" s="166"/>
      <c r="K60" s="166"/>
      <c r="L60" s="166"/>
      <c r="M60" s="153"/>
      <c r="N60" s="153"/>
      <c r="O60" s="153"/>
      <c r="P60" s="153"/>
      <c r="Q60" s="191"/>
    </row>
    <row r="61" spans="1:17">
      <c r="C61" s="155"/>
      <c r="D61" s="155"/>
      <c r="E61" s="166"/>
      <c r="F61" s="166"/>
      <c r="G61" s="153"/>
      <c r="H61" s="153"/>
      <c r="I61" s="166"/>
      <c r="J61" s="166"/>
      <c r="K61" s="166"/>
      <c r="L61" s="166"/>
      <c r="M61" s="153"/>
      <c r="N61" s="153"/>
      <c r="O61" s="153"/>
      <c r="P61" s="153"/>
      <c r="Q61" s="191"/>
    </row>
    <row r="62" spans="1:17">
      <c r="C62" s="155"/>
      <c r="D62" s="155"/>
      <c r="E62" s="166"/>
      <c r="F62" s="166"/>
      <c r="G62" s="153"/>
      <c r="H62" s="153"/>
      <c r="I62" s="166"/>
      <c r="J62" s="166"/>
      <c r="K62" s="166"/>
      <c r="L62" s="166"/>
      <c r="M62" s="153"/>
      <c r="N62" s="153"/>
      <c r="O62" s="153"/>
      <c r="P62" s="153"/>
      <c r="Q62" s="191"/>
    </row>
  </sheetData>
  <printOptions horizontalCentered="1"/>
  <pageMargins left="0.5" right="0.5" top="1.25" bottom="0.5" header="0.5" footer="0.5"/>
  <pageSetup scale="62" orientation="portrait" r:id="rId1"/>
  <headerFooter alignWithMargins="0">
    <oddHeader>&amp;L&amp;F
Page &amp;P of &amp;N&amp;CKentucky Power Company 
OL Rate Design
Twelve Months Ended March 31, 2013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49"/>
  <sheetViews>
    <sheetView showOutlineSymbols="0" topLeftCell="A22" zoomScaleNormal="100" workbookViewId="0">
      <selection activeCell="E44" sqref="E44"/>
    </sheetView>
  </sheetViews>
  <sheetFormatPr defaultColWidth="23.375" defaultRowHeight="15"/>
  <cols>
    <col min="1" max="1" width="23.375" style="158" customWidth="1"/>
    <col min="2" max="2" width="2" style="158" customWidth="1"/>
    <col min="3" max="3" width="10.125" style="158" bestFit="1" customWidth="1"/>
    <col min="4" max="4" width="2" style="158" customWidth="1"/>
    <col min="5" max="5" width="13.625" style="158" bestFit="1" customWidth="1"/>
    <col min="6" max="6" width="2" style="158" customWidth="1"/>
    <col min="7" max="7" width="12.625" style="158" customWidth="1"/>
    <col min="8" max="8" width="2" style="158" customWidth="1"/>
    <col min="9" max="9" width="7.25" style="158" bestFit="1" customWidth="1"/>
    <col min="10" max="10" width="2" style="158" customWidth="1"/>
    <col min="11" max="11" width="14.375" style="158" customWidth="1"/>
    <col min="12" max="12" width="2" style="158" customWidth="1"/>
    <col min="13" max="13" width="14.875" style="158" customWidth="1"/>
    <col min="14" max="14" width="2" style="158" customWidth="1"/>
    <col min="15" max="15" width="12.625" style="158" bestFit="1" customWidth="1"/>
    <col min="16" max="16" width="2" style="158" customWidth="1"/>
    <col min="17" max="17" width="11.875" style="158" bestFit="1" customWidth="1"/>
    <col min="18" max="16384" width="23.375" style="158"/>
  </cols>
  <sheetData>
    <row r="1" spans="1:17">
      <c r="C1" s="628" t="s">
        <v>638</v>
      </c>
      <c r="E1" s="628" t="s">
        <v>633</v>
      </c>
      <c r="G1" s="628" t="s">
        <v>605</v>
      </c>
      <c r="M1" s="628" t="s">
        <v>639</v>
      </c>
      <c r="O1" s="628" t="s">
        <v>638</v>
      </c>
      <c r="Q1" s="628" t="s">
        <v>637</v>
      </c>
    </row>
    <row r="2" spans="1:17">
      <c r="A2" s="628" t="s">
        <v>609</v>
      </c>
      <c r="C2" s="628" t="s">
        <v>636</v>
      </c>
      <c r="E2" s="628" t="s">
        <v>635</v>
      </c>
      <c r="G2" s="628" t="s">
        <v>631</v>
      </c>
      <c r="I2" s="630" t="s">
        <v>634</v>
      </c>
      <c r="J2" s="630"/>
      <c r="K2" s="630"/>
      <c r="M2" s="659">
        <f>O49</f>
        <v>7.8469999999999998E-2</v>
      </c>
      <c r="O2" s="628" t="s">
        <v>633</v>
      </c>
      <c r="Q2" s="628" t="s">
        <v>497</v>
      </c>
    </row>
    <row r="3" spans="1:17">
      <c r="A3" s="637" t="s">
        <v>603</v>
      </c>
      <c r="B3" s="660"/>
      <c r="C3" s="637" t="s">
        <v>497</v>
      </c>
      <c r="D3" s="660"/>
      <c r="E3" s="637" t="s">
        <v>497</v>
      </c>
      <c r="F3" s="660"/>
      <c r="G3" s="637" t="s">
        <v>497</v>
      </c>
      <c r="H3" s="660"/>
      <c r="I3" s="661" t="s">
        <v>605</v>
      </c>
      <c r="J3" s="662"/>
      <c r="K3" s="661" t="s">
        <v>633</v>
      </c>
      <c r="L3" s="660"/>
      <c r="M3" s="637" t="s">
        <v>632</v>
      </c>
      <c r="N3" s="660"/>
      <c r="O3" s="637" t="s">
        <v>631</v>
      </c>
      <c r="P3" s="660"/>
      <c r="Q3" s="637" t="s">
        <v>630</v>
      </c>
    </row>
    <row r="4" spans="1:17">
      <c r="A4" s="632" t="s">
        <v>121</v>
      </c>
      <c r="C4" s="632" t="s">
        <v>122</v>
      </c>
      <c r="E4" s="628" t="s">
        <v>629</v>
      </c>
      <c r="G4" s="632" t="s">
        <v>151</v>
      </c>
      <c r="I4" s="632" t="s">
        <v>139</v>
      </c>
      <c r="K4" s="632" t="s">
        <v>598</v>
      </c>
      <c r="M4" s="628" t="s">
        <v>628</v>
      </c>
      <c r="O4" s="632" t="s">
        <v>596</v>
      </c>
      <c r="Q4" s="628" t="s">
        <v>627</v>
      </c>
    </row>
    <row r="5" spans="1:17">
      <c r="E5" s="156"/>
      <c r="M5" s="628"/>
      <c r="Q5" s="628"/>
    </row>
    <row r="6" spans="1:17" ht="15.75">
      <c r="A6" s="157" t="s">
        <v>626</v>
      </c>
      <c r="C6" s="166"/>
    </row>
    <row r="7" spans="1:17">
      <c r="O7" s="166"/>
    </row>
    <row r="8" spans="1:17">
      <c r="A8" s="156" t="s">
        <v>592</v>
      </c>
      <c r="C8" s="663">
        <v>283.12</v>
      </c>
      <c r="E8" s="166">
        <f>ROUND(C8*$C45,2)</f>
        <v>4.22</v>
      </c>
      <c r="G8" s="663">
        <f>ROUND((80.07+69.96)*2/10,2)</f>
        <v>30.01</v>
      </c>
      <c r="I8" s="155">
        <v>484</v>
      </c>
      <c r="K8" s="664">
        <f>ROUND(I8/12,1)</f>
        <v>40.299999999999997</v>
      </c>
      <c r="M8" s="166">
        <f>ROUND(K8*$O$49,2)</f>
        <v>3.16</v>
      </c>
      <c r="O8" s="166">
        <f>G8/12</f>
        <v>2.5008333333333335</v>
      </c>
      <c r="Q8" s="166">
        <f>E8+M8+O8</f>
        <v>9.8808333333333334</v>
      </c>
    </row>
    <row r="9" spans="1:17">
      <c r="A9" s="158" t="s">
        <v>591</v>
      </c>
      <c r="C9" s="663">
        <v>280.86</v>
      </c>
      <c r="E9" s="166">
        <f>ROUND(C9*$C45,2)</f>
        <v>4.18</v>
      </c>
      <c r="G9" s="663">
        <f>ROUND((77.81+69.96)*2/10,2)</f>
        <v>29.55</v>
      </c>
      <c r="I9" s="155">
        <v>704</v>
      </c>
      <c r="K9" s="664">
        <f>ROUND(I9/12,1)</f>
        <v>58.7</v>
      </c>
      <c r="M9" s="166">
        <f>ROUND(K9*$O$49,2)</f>
        <v>4.6100000000000003</v>
      </c>
      <c r="O9" s="166">
        <f>G9/12</f>
        <v>2.4624999999999999</v>
      </c>
      <c r="Q9" s="166">
        <f>E9+M9+O9</f>
        <v>11.2525</v>
      </c>
    </row>
    <row r="10" spans="1:17">
      <c r="A10" s="156" t="s">
        <v>590</v>
      </c>
      <c r="C10" s="663">
        <v>321.64999999999998</v>
      </c>
      <c r="E10" s="166">
        <f>ROUND(C10*$C45,2)</f>
        <v>4.79</v>
      </c>
      <c r="G10" s="663">
        <f>ROUND((78.3+69.96)*2/10,2)</f>
        <v>29.65</v>
      </c>
      <c r="I10" s="155">
        <v>1012</v>
      </c>
      <c r="K10" s="664">
        <f>ROUND(I10/12,1)</f>
        <v>84.3</v>
      </c>
      <c r="M10" s="166">
        <f>ROUND(K10*$O$49,2)</f>
        <v>6.62</v>
      </c>
      <c r="O10" s="166">
        <f>G10/12</f>
        <v>2.4708333333333332</v>
      </c>
      <c r="Q10" s="166">
        <f>E10+M10+O10</f>
        <v>13.880833333333333</v>
      </c>
    </row>
    <row r="11" spans="1:17">
      <c r="A11" s="156" t="s">
        <v>589</v>
      </c>
      <c r="C11" s="663">
        <v>529.30999999999995</v>
      </c>
      <c r="E11" s="166">
        <f>ROUND(C11*$C45,2)</f>
        <v>7.89</v>
      </c>
      <c r="G11" s="663">
        <f>ROUND((77.67+69.96)*2/10,2)</f>
        <v>29.53</v>
      </c>
      <c r="I11" s="155">
        <v>1236</v>
      </c>
      <c r="K11" s="664">
        <f>ROUND(I11/12,1)</f>
        <v>103</v>
      </c>
      <c r="M11" s="166">
        <f>ROUND(K11*$O$49,2)</f>
        <v>8.08</v>
      </c>
      <c r="O11" s="166">
        <f>G11/12</f>
        <v>2.4608333333333334</v>
      </c>
      <c r="Q11" s="166">
        <f>E11+M11+O11</f>
        <v>18.430833333333332</v>
      </c>
    </row>
    <row r="12" spans="1:17">
      <c r="A12" s="156" t="s">
        <v>574</v>
      </c>
      <c r="C12" s="663">
        <v>405.63</v>
      </c>
      <c r="E12" s="166">
        <f>ROUND(C12*$C$45,2)</f>
        <v>6.04</v>
      </c>
      <c r="G12" s="663">
        <f>ROUND((79.82+69.96)*2/10,2)</f>
        <v>29.96</v>
      </c>
      <c r="I12" s="155">
        <v>2000</v>
      </c>
      <c r="K12" s="664">
        <f>ROUND(I12/12,1)</f>
        <v>166.7</v>
      </c>
      <c r="M12" s="166">
        <f>ROUND(K12*$O$49,2)</f>
        <v>13.08</v>
      </c>
      <c r="O12" s="166">
        <f>G12/12</f>
        <v>2.4966666666666666</v>
      </c>
      <c r="Q12" s="166">
        <f>E12+M12+O12</f>
        <v>21.616666666666667</v>
      </c>
    </row>
    <row r="13" spans="1:17">
      <c r="A13" s="156"/>
      <c r="B13" s="156"/>
      <c r="C13" s="156"/>
      <c r="D13" s="156"/>
      <c r="E13" s="156"/>
      <c r="F13" s="156"/>
      <c r="G13" s="156"/>
      <c r="I13" s="155"/>
      <c r="K13" s="664"/>
      <c r="M13" s="166"/>
      <c r="O13" s="166"/>
      <c r="Q13" s="166"/>
    </row>
    <row r="14" spans="1:17">
      <c r="A14" s="156" t="s">
        <v>588</v>
      </c>
      <c r="C14" s="663">
        <v>1572.06</v>
      </c>
      <c r="E14" s="166">
        <f>ROUND(C14*$C$45,2)</f>
        <v>23.42</v>
      </c>
      <c r="G14" s="663">
        <f>ROUND((76.23+69.96)*2/10,2)</f>
        <v>29.24</v>
      </c>
      <c r="I14" s="155">
        <v>484</v>
      </c>
      <c r="K14" s="664">
        <f>ROUND(I14/12,1)</f>
        <v>40.299999999999997</v>
      </c>
      <c r="M14" s="166">
        <f>ROUND(K14*$O$49,2)</f>
        <v>3.16</v>
      </c>
      <c r="O14" s="166">
        <f>G14/12</f>
        <v>2.4366666666666665</v>
      </c>
      <c r="Q14" s="166">
        <f>E14+M14+O14</f>
        <v>29.016666666666669</v>
      </c>
    </row>
    <row r="15" spans="1:17">
      <c r="A15" s="156" t="s">
        <v>587</v>
      </c>
      <c r="C15" s="663">
        <v>1573.64</v>
      </c>
      <c r="E15" s="166">
        <f>ROUND(C15*$C$45,2)</f>
        <v>23.45</v>
      </c>
      <c r="G15" s="663">
        <f>ROUND((77.81+69.96)*2/10,2)</f>
        <v>29.55</v>
      </c>
      <c r="I15" s="155">
        <v>704</v>
      </c>
      <c r="K15" s="664">
        <f>ROUND(I15/12,1)</f>
        <v>58.7</v>
      </c>
      <c r="M15" s="166">
        <f>ROUND(K15*$O$49,2)</f>
        <v>4.6100000000000003</v>
      </c>
      <c r="O15" s="166">
        <f>G15/12</f>
        <v>2.4624999999999999</v>
      </c>
      <c r="Q15" s="166">
        <f>E15+M15+O15</f>
        <v>30.522499999999997</v>
      </c>
    </row>
    <row r="16" spans="1:17">
      <c r="A16" s="156"/>
      <c r="B16" s="156"/>
      <c r="C16" s="156"/>
      <c r="D16" s="156"/>
      <c r="E16" s="156"/>
      <c r="F16" s="156"/>
      <c r="G16" s="156"/>
      <c r="I16" s="155"/>
      <c r="K16" s="664"/>
      <c r="M16" s="166"/>
      <c r="O16" s="166"/>
      <c r="Q16" s="166"/>
    </row>
    <row r="17" spans="1:17">
      <c r="A17" s="156" t="s">
        <v>586</v>
      </c>
      <c r="C17" s="663">
        <v>471.29</v>
      </c>
      <c r="E17" s="166">
        <f>ROUND(C17*$C$45,2)</f>
        <v>7.02</v>
      </c>
      <c r="G17" s="663">
        <f>ROUND((78.3+69.96)*2/10,2)</f>
        <v>29.65</v>
      </c>
      <c r="I17" s="155">
        <v>1012</v>
      </c>
      <c r="K17" s="665">
        <f>ROUND(I17/12,1)</f>
        <v>84.3</v>
      </c>
      <c r="M17" s="166">
        <f>ROUND(K17*$O$49,2)</f>
        <v>6.62</v>
      </c>
      <c r="O17" s="166">
        <f>G17/12</f>
        <v>2.4708333333333332</v>
      </c>
      <c r="Q17" s="166">
        <f>E17+M17+O17</f>
        <v>16.110833333333332</v>
      </c>
    </row>
    <row r="18" spans="1:17">
      <c r="A18" s="156" t="s">
        <v>580</v>
      </c>
      <c r="C18" s="663">
        <v>503.05</v>
      </c>
      <c r="E18" s="166">
        <f>ROUND(C18*$C$45,2)</f>
        <v>7.5</v>
      </c>
      <c r="G18" s="663">
        <f>ROUND((79.82+69.96)*2/10,2)</f>
        <v>29.96</v>
      </c>
      <c r="I18" s="155">
        <v>2000</v>
      </c>
      <c r="K18" s="664">
        <f>ROUND(I18/12,1)</f>
        <v>166.7</v>
      </c>
      <c r="M18" s="166">
        <f>ROUND(K18*$O$49,2)</f>
        <v>13.08</v>
      </c>
      <c r="O18" s="166">
        <f>G18/12</f>
        <v>2.4966666666666666</v>
      </c>
      <c r="Q18" s="166">
        <f>E18+M18+O18</f>
        <v>23.076666666666664</v>
      </c>
    </row>
    <row r="19" spans="1:17">
      <c r="A19" s="156"/>
      <c r="B19" s="156"/>
      <c r="C19" s="156"/>
      <c r="D19" s="156"/>
      <c r="E19" s="156"/>
      <c r="F19" s="156"/>
      <c r="G19" s="156"/>
      <c r="H19" s="156"/>
      <c r="I19" s="155"/>
      <c r="K19" s="664"/>
      <c r="M19" s="166"/>
      <c r="O19" s="166"/>
      <c r="Q19" s="166"/>
    </row>
    <row r="20" spans="1:17">
      <c r="A20" s="156" t="s">
        <v>585</v>
      </c>
      <c r="C20" s="663">
        <v>1728.32</v>
      </c>
      <c r="E20" s="166">
        <f>ROUND(C20*$C$45,2)</f>
        <v>25.75</v>
      </c>
      <c r="G20" s="663">
        <f t="shared" ref="G20" si="0">ROUND((76.23+69.96)*2/10,2)</f>
        <v>29.24</v>
      </c>
      <c r="I20" s="155">
        <v>484</v>
      </c>
      <c r="K20" s="664">
        <f>ROUND(I20/12,1)</f>
        <v>40.299999999999997</v>
      </c>
      <c r="M20" s="166">
        <f>ROUND(K20*$O$49,2)</f>
        <v>3.16</v>
      </c>
      <c r="O20" s="166">
        <f>G20/12</f>
        <v>2.4366666666666665</v>
      </c>
      <c r="Q20" s="166">
        <f>E20+M20+O20</f>
        <v>31.346666666666668</v>
      </c>
    </row>
    <row r="21" spans="1:17">
      <c r="A21" s="156" t="s">
        <v>584</v>
      </c>
      <c r="C21" s="663">
        <v>1751.27</v>
      </c>
      <c r="E21" s="166">
        <f>ROUND(C21*$C$45,2)</f>
        <v>26.09</v>
      </c>
      <c r="G21" s="663">
        <f>ROUND((77.67+69.96)*2/10,2)</f>
        <v>29.53</v>
      </c>
      <c r="I21" s="155">
        <v>1236</v>
      </c>
      <c r="K21" s="664">
        <f>ROUND(I21/12,1)</f>
        <v>103</v>
      </c>
      <c r="M21" s="166">
        <f>ROUND(K21*$O$49,2)</f>
        <v>8.08</v>
      </c>
      <c r="O21" s="166">
        <f>G21/12</f>
        <v>2.4608333333333334</v>
      </c>
      <c r="Q21" s="166">
        <f>E21+M21+O21</f>
        <v>36.630833333333335</v>
      </c>
    </row>
    <row r="22" spans="1:17">
      <c r="A22" s="156" t="s">
        <v>583</v>
      </c>
      <c r="C22" s="663">
        <v>1767.7</v>
      </c>
      <c r="E22" s="166">
        <f>ROUND(C22*$C$45,2)</f>
        <v>26.34</v>
      </c>
      <c r="G22" s="663">
        <f>ROUND((79.82+69.96)*2/10,2)</f>
        <v>29.96</v>
      </c>
      <c r="I22" s="155">
        <v>2000</v>
      </c>
      <c r="K22" s="664">
        <f>ROUND(I22/12,1)</f>
        <v>166.7</v>
      </c>
      <c r="M22" s="166">
        <f>ROUND(K22*$O$49,2)</f>
        <v>13.08</v>
      </c>
      <c r="O22" s="166">
        <f>G22/12</f>
        <v>2.4966666666666666</v>
      </c>
      <c r="Q22" s="166">
        <f>E22+M22+O22</f>
        <v>41.916666666666671</v>
      </c>
    </row>
    <row r="23" spans="1:17">
      <c r="C23" s="166"/>
      <c r="E23" s="166"/>
      <c r="G23" s="166"/>
      <c r="I23" s="155"/>
      <c r="K23" s="633"/>
      <c r="M23" s="166"/>
      <c r="O23" s="166"/>
      <c r="Q23" s="166"/>
    </row>
    <row r="24" spans="1:17">
      <c r="C24" s="166"/>
      <c r="E24" s="166"/>
      <c r="G24" s="166"/>
      <c r="I24" s="155"/>
      <c r="K24" s="633"/>
      <c r="M24" s="166"/>
      <c r="O24" s="166"/>
      <c r="Q24" s="166"/>
    </row>
    <row r="25" spans="1:17" ht="15.75">
      <c r="A25" s="157" t="s">
        <v>582</v>
      </c>
      <c r="C25" s="166"/>
      <c r="E25" s="166"/>
      <c r="G25" s="166"/>
      <c r="I25" s="155"/>
      <c r="K25" s="633"/>
      <c r="M25" s="166"/>
      <c r="O25" s="166"/>
      <c r="Q25" s="166"/>
    </row>
    <row r="26" spans="1:17">
      <c r="C26" s="166"/>
      <c r="E26" s="166"/>
      <c r="G26" s="166"/>
      <c r="I26" s="155"/>
      <c r="K26" s="633"/>
      <c r="M26" s="166"/>
      <c r="O26" s="166"/>
      <c r="Q26" s="166"/>
    </row>
    <row r="27" spans="1:17">
      <c r="A27" s="158" t="s">
        <v>581</v>
      </c>
      <c r="C27" s="663">
        <v>530.46</v>
      </c>
      <c r="E27" s="166">
        <f>ROUND(C27*$C$45,2)</f>
        <v>7.9</v>
      </c>
      <c r="G27" s="663">
        <f>ROUND((89.46+69.96)*2/10,2)</f>
        <v>31.88</v>
      </c>
      <c r="I27" s="155">
        <v>1204</v>
      </c>
      <c r="K27" s="665">
        <f>ROUND(I27/12,1)</f>
        <v>100.3</v>
      </c>
      <c r="M27" s="166">
        <f>ROUND(K27*$O$49,2)</f>
        <v>7.87</v>
      </c>
      <c r="O27" s="166">
        <f>G27/12</f>
        <v>2.6566666666666667</v>
      </c>
      <c r="Q27" s="166">
        <f>E27+M27+O27</f>
        <v>18.426666666666666</v>
      </c>
    </row>
    <row r="28" spans="1:17">
      <c r="A28" s="156" t="s">
        <v>580</v>
      </c>
      <c r="C28" s="663">
        <v>547.4</v>
      </c>
      <c r="E28" s="166">
        <f>ROUND(C28*$C$45,2)</f>
        <v>8.16</v>
      </c>
      <c r="G28" s="663">
        <f>ROUND((92.44+69.96)*2/10,2)</f>
        <v>32.479999999999997</v>
      </c>
      <c r="I28" s="155">
        <v>1896</v>
      </c>
      <c r="K28" s="665">
        <f>ROUND(I28/12,1)</f>
        <v>158</v>
      </c>
      <c r="M28" s="166">
        <f>ROUND(K28*$O$49,2)</f>
        <v>12.4</v>
      </c>
      <c r="O28" s="166">
        <f>G28/12</f>
        <v>2.7066666666666666</v>
      </c>
      <c r="Q28" s="166">
        <f>E28+M28+O28</f>
        <v>23.266666666666669</v>
      </c>
    </row>
    <row r="29" spans="1:17">
      <c r="A29" s="156" t="s">
        <v>579</v>
      </c>
      <c r="C29" s="663">
        <v>696.51</v>
      </c>
      <c r="E29" s="166">
        <f>ROUND(C29*$C$45,2)</f>
        <v>10.38</v>
      </c>
      <c r="G29" s="663">
        <f>ROUND((88.81+69.96)*2/10,2)</f>
        <v>31.75</v>
      </c>
      <c r="I29" s="155">
        <v>4540</v>
      </c>
      <c r="K29" s="633">
        <f>ROUND(I29/12,1)</f>
        <v>378.3</v>
      </c>
      <c r="M29" s="166">
        <f>ROUND(K29*$O$49,2)</f>
        <v>29.69</v>
      </c>
      <c r="O29" s="166">
        <f>G29/12</f>
        <v>2.6458333333333335</v>
      </c>
      <c r="Q29" s="166">
        <f>E29+M29+O29</f>
        <v>42.715833333333336</v>
      </c>
    </row>
    <row r="30" spans="1:17">
      <c r="A30" s="156"/>
      <c r="B30" s="156"/>
      <c r="C30" s="156"/>
      <c r="D30" s="156"/>
      <c r="E30" s="156"/>
      <c r="F30" s="156"/>
      <c r="G30" s="156"/>
      <c r="H30" s="156"/>
      <c r="I30" s="155"/>
      <c r="K30" s="633"/>
      <c r="M30" s="166"/>
      <c r="O30" s="166"/>
      <c r="Q30" s="166"/>
    </row>
    <row r="31" spans="1:17">
      <c r="A31" s="156" t="s">
        <v>578</v>
      </c>
      <c r="C31" s="663">
        <v>903.89</v>
      </c>
      <c r="E31" s="166">
        <f>ROUND(C31*$C$45,2)</f>
        <v>13.47</v>
      </c>
      <c r="G31" s="166">
        <f>+G27</f>
        <v>31.88</v>
      </c>
      <c r="I31" s="155">
        <v>1204</v>
      </c>
      <c r="K31" s="664">
        <f>ROUND(I31/12,1)</f>
        <v>100.3</v>
      </c>
      <c r="M31" s="166">
        <f>ROUND(K31*$O$49,2)</f>
        <v>7.87</v>
      </c>
      <c r="O31" s="166">
        <f>G31/12</f>
        <v>2.6566666666666667</v>
      </c>
      <c r="Q31" s="166">
        <f>E31+M31+O31</f>
        <v>23.996666666666666</v>
      </c>
    </row>
    <row r="32" spans="1:17">
      <c r="A32" s="156" t="s">
        <v>577</v>
      </c>
      <c r="C32" s="663">
        <v>922.89</v>
      </c>
      <c r="E32" s="166">
        <f>ROUND(C32*$C$45,2)</f>
        <v>13.75</v>
      </c>
      <c r="G32" s="166">
        <f>+G28</f>
        <v>32.479999999999997</v>
      </c>
      <c r="I32" s="155">
        <v>1896</v>
      </c>
      <c r="K32" s="664">
        <f>ROUND(I32/12,1)</f>
        <v>158</v>
      </c>
      <c r="M32" s="166">
        <f>ROUND(K32*$O$49,2)</f>
        <v>12.4</v>
      </c>
      <c r="O32" s="166">
        <f>G32/12</f>
        <v>2.7066666666666666</v>
      </c>
      <c r="Q32" s="166">
        <f>E32+M32+O32</f>
        <v>28.856666666666666</v>
      </c>
    </row>
    <row r="33" spans="1:17">
      <c r="A33" s="156"/>
      <c r="C33" s="166"/>
      <c r="E33" s="166"/>
      <c r="G33" s="166"/>
      <c r="I33" s="155"/>
      <c r="M33" s="166"/>
      <c r="O33" s="166"/>
      <c r="Q33" s="166"/>
    </row>
    <row r="34" spans="1:17">
      <c r="C34" s="166"/>
      <c r="E34" s="166"/>
      <c r="G34" s="166"/>
      <c r="I34" s="155"/>
      <c r="M34" s="166"/>
      <c r="O34" s="166"/>
      <c r="Q34" s="166"/>
    </row>
    <row r="36" spans="1:17">
      <c r="C36" s="632" t="s">
        <v>625</v>
      </c>
      <c r="G36" s="666"/>
      <c r="K36" s="667" t="s">
        <v>624</v>
      </c>
    </row>
    <row r="37" spans="1:17">
      <c r="C37" s="635" t="s">
        <v>623</v>
      </c>
      <c r="G37" s="668"/>
      <c r="K37" s="156" t="s">
        <v>72</v>
      </c>
    </row>
    <row r="39" spans="1:17">
      <c r="A39" s="156" t="s">
        <v>622</v>
      </c>
      <c r="C39" s="669">
        <f>'Carrying Charge'!F10/100</f>
        <v>7.2800000000000004E-2</v>
      </c>
      <c r="D39" s="191"/>
      <c r="E39" s="165"/>
      <c r="F39" s="163"/>
      <c r="G39" s="163"/>
      <c r="K39" s="156" t="s">
        <v>556</v>
      </c>
      <c r="O39" s="652">
        <f>'EX AEV-1'!X20+'EX AEV-1'!X22+'EX AEV-1'!X23</f>
        <v>656962</v>
      </c>
    </row>
    <row r="40" spans="1:17">
      <c r="A40" s="156" t="s">
        <v>621</v>
      </c>
      <c r="C40" s="669">
        <f>'Carrying Charge'!F12/100</f>
        <v>7.9227599750681554E-2</v>
      </c>
      <c r="D40" s="191"/>
      <c r="E40" s="165"/>
      <c r="F40" s="163"/>
      <c r="G40" s="163"/>
      <c r="K40" s="156" t="s">
        <v>20</v>
      </c>
      <c r="O40" s="652">
        <f>'EX AEV-1'!X21</f>
        <v>1595563</v>
      </c>
    </row>
    <row r="41" spans="1:17">
      <c r="A41" s="156" t="s">
        <v>620</v>
      </c>
      <c r="C41" s="669">
        <f>'Carrying Charge'!F14/100</f>
        <v>1.2525789704934995E-2</v>
      </c>
      <c r="D41" s="191"/>
      <c r="E41" s="165"/>
      <c r="F41" s="163"/>
      <c r="G41" s="163"/>
      <c r="K41" s="660" t="s">
        <v>619</v>
      </c>
      <c r="O41" s="164"/>
    </row>
    <row r="42" spans="1:17">
      <c r="A42" s="156" t="s">
        <v>618</v>
      </c>
      <c r="C42" s="669">
        <f>'Carrying Charge'!F16/100</f>
        <v>1.37E-2</v>
      </c>
      <c r="D42" s="191"/>
      <c r="E42" s="163"/>
      <c r="F42" s="163"/>
      <c r="G42" s="163"/>
      <c r="K42" s="156" t="s">
        <v>993</v>
      </c>
      <c r="O42" s="652">
        <v>728742</v>
      </c>
    </row>
    <row r="43" spans="1:17">
      <c r="A43" s="670" t="s">
        <v>617</v>
      </c>
      <c r="B43" s="670"/>
      <c r="C43" s="671">
        <f>C39+C40+C41+C42</f>
        <v>0.17825338945561653</v>
      </c>
      <c r="D43" s="670"/>
      <c r="E43" s="162"/>
      <c r="F43" s="162"/>
      <c r="G43" s="161"/>
      <c r="K43" s="156" t="s">
        <v>616</v>
      </c>
      <c r="O43" s="652">
        <v>282062</v>
      </c>
    </row>
    <row r="44" spans="1:17">
      <c r="A44" s="670"/>
      <c r="B44" s="670"/>
      <c r="C44" s="671"/>
      <c r="D44" s="670"/>
      <c r="E44" s="162"/>
      <c r="F44" s="162"/>
      <c r="G44" s="161"/>
      <c r="K44" s="156" t="s">
        <v>615</v>
      </c>
      <c r="O44" s="652">
        <v>175442</v>
      </c>
    </row>
    <row r="45" spans="1:17">
      <c r="A45" s="156" t="s">
        <v>614</v>
      </c>
      <c r="C45" s="191">
        <f>ROUND(C43/12,4)</f>
        <v>1.49E-2</v>
      </c>
      <c r="D45" s="191"/>
      <c r="F45" s="191"/>
      <c r="G45" s="191"/>
      <c r="K45" s="156" t="s">
        <v>613</v>
      </c>
      <c r="O45" s="652">
        <v>61150</v>
      </c>
    </row>
    <row r="46" spans="1:17">
      <c r="K46" s="156" t="s">
        <v>612</v>
      </c>
      <c r="O46" s="160">
        <f>SUM(O39:O44)-SUM(O45:O45)</f>
        <v>3377621</v>
      </c>
    </row>
    <row r="47" spans="1:17">
      <c r="K47" s="156" t="s">
        <v>611</v>
      </c>
      <c r="O47" s="672">
        <v>43044440</v>
      </c>
    </row>
    <row r="49" spans="11:15">
      <c r="K49" s="156" t="s">
        <v>610</v>
      </c>
      <c r="O49" s="159">
        <f>ROUND(O46/O47,5)</f>
        <v>7.8469999999999998E-2</v>
      </c>
    </row>
  </sheetData>
  <printOptions horizontalCentered="1"/>
  <pageMargins left="0.5" right="0.5" top="1.25" bottom="0.5" header="0.5" footer="0.5"/>
  <pageSetup scale="64" orientation="portrait" r:id="rId1"/>
  <headerFooter alignWithMargins="0">
    <oddHeader>&amp;L&amp;F
Page &amp;P of &amp;N&amp;CKentucky Power Company 
OL Rate Design
Twelve Months Ended March 31, 2013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="81" zoomScaleNormal="81" workbookViewId="0">
      <selection activeCell="B21" sqref="B21"/>
    </sheetView>
  </sheetViews>
  <sheetFormatPr defaultRowHeight="15"/>
  <cols>
    <col min="1" max="1" width="35.75" style="152" bestFit="1" customWidth="1"/>
    <col min="2" max="2" width="8.125" style="152" bestFit="1" customWidth="1"/>
    <col min="3" max="3" width="13.5" style="152" bestFit="1" customWidth="1"/>
    <col min="4" max="4" width="9.875" style="152" customWidth="1"/>
    <col min="5" max="5" width="15.625" style="152" customWidth="1"/>
    <col min="6" max="6" width="10.875" style="152" bestFit="1" customWidth="1"/>
    <col min="7" max="16384" width="9" style="152"/>
  </cols>
  <sheetData>
    <row r="1" spans="1:4">
      <c r="A1" s="152" t="s">
        <v>644</v>
      </c>
    </row>
    <row r="2" spans="1:4">
      <c r="A2" s="158"/>
      <c r="B2" s="158"/>
      <c r="C2" s="158"/>
      <c r="D2" s="158"/>
    </row>
    <row r="3" spans="1:4">
      <c r="A3" s="158"/>
      <c r="B3" s="158"/>
      <c r="C3" s="158"/>
      <c r="D3" s="158"/>
    </row>
    <row r="4" spans="1:4" ht="15.75">
      <c r="A4" s="629"/>
      <c r="B4" s="633" t="s">
        <v>636</v>
      </c>
      <c r="C4" s="158"/>
      <c r="D4" s="158"/>
    </row>
    <row r="5" spans="1:4" ht="15.75">
      <c r="A5" s="629"/>
      <c r="B5" s="633" t="s">
        <v>497</v>
      </c>
      <c r="C5" s="158" t="s">
        <v>201</v>
      </c>
      <c r="D5" s="158"/>
    </row>
    <row r="6" spans="1:4">
      <c r="A6" s="158" t="s">
        <v>643</v>
      </c>
      <c r="B6" s="164">
        <v>549.25</v>
      </c>
      <c r="C6" s="673">
        <f>'OL 2'!$C$45</f>
        <v>1.49E-2</v>
      </c>
      <c r="D6" s="674">
        <f>ROUND(B6*C6,2)</f>
        <v>8.18</v>
      </c>
    </row>
    <row r="7" spans="1:4">
      <c r="A7" s="158" t="s">
        <v>642</v>
      </c>
      <c r="B7" s="164">
        <v>852.97</v>
      </c>
      <c r="C7" s="673">
        <f>'OL 2'!$C$45</f>
        <v>1.49E-2</v>
      </c>
      <c r="D7" s="675">
        <f>ROUND(B7*C7,2)</f>
        <v>12.71</v>
      </c>
    </row>
    <row r="8" spans="1:4">
      <c r="A8" s="158" t="s">
        <v>164</v>
      </c>
      <c r="B8" s="158"/>
      <c r="C8" s="673"/>
      <c r="D8" s="674">
        <f>AVERAGE(D6:D7)</f>
        <v>10.445</v>
      </c>
    </row>
    <row r="9" spans="1:4">
      <c r="A9" s="158"/>
      <c r="B9" s="158"/>
      <c r="C9" s="673"/>
      <c r="D9" s="674"/>
    </row>
    <row r="10" spans="1:4">
      <c r="A10" s="158"/>
      <c r="B10" s="158"/>
      <c r="C10" s="158"/>
      <c r="D10" s="158"/>
    </row>
    <row r="11" spans="1:4">
      <c r="A11" s="158" t="s">
        <v>641</v>
      </c>
      <c r="B11" s="676">
        <v>150.28</v>
      </c>
      <c r="C11" s="673">
        <f>'OL 2'!$C$45</f>
        <v>1.49E-2</v>
      </c>
      <c r="D11" s="674">
        <f>ROUND(B11*C11,2)</f>
        <v>2.2400000000000002</v>
      </c>
    </row>
    <row r="12" spans="1:4">
      <c r="A12" s="158"/>
      <c r="B12" s="674"/>
      <c r="C12" s="673"/>
      <c r="D12" s="158"/>
    </row>
    <row r="13" spans="1:4">
      <c r="A13" s="158"/>
      <c r="B13" s="674"/>
      <c r="C13" s="673"/>
      <c r="D13" s="158"/>
    </row>
    <row r="14" spans="1:4">
      <c r="A14" s="158" t="s">
        <v>640</v>
      </c>
      <c r="B14" s="164">
        <v>524.89</v>
      </c>
      <c r="C14" s="673">
        <f>'OL 2'!$C$45</f>
        <v>1.49E-2</v>
      </c>
      <c r="D14" s="674">
        <f>ROUND(B14*C14,2)</f>
        <v>7.82</v>
      </c>
    </row>
    <row r="15" spans="1:4">
      <c r="A15" s="158"/>
      <c r="B15" s="158"/>
      <c r="C15" s="158"/>
      <c r="D15" s="158"/>
    </row>
    <row r="16" spans="1:4">
      <c r="A16" s="158"/>
      <c r="B16" s="158"/>
      <c r="C16" s="158"/>
      <c r="D16" s="158"/>
    </row>
    <row r="17" spans="1:4">
      <c r="A17" s="158"/>
      <c r="B17" s="158"/>
      <c r="C17" s="158"/>
      <c r="D17" s="158"/>
    </row>
    <row r="18" spans="1:4">
      <c r="A18" s="158"/>
      <c r="B18" s="158"/>
      <c r="C18" s="158"/>
      <c r="D18" s="158"/>
    </row>
  </sheetData>
  <printOptions horizontalCentered="1"/>
  <pageMargins left="0.5" right="0.5" top="1.25" bottom="0.5" header="0.5" footer="0.5"/>
  <pageSetup orientation="portrait" r:id="rId1"/>
  <headerFooter alignWithMargins="0">
    <oddHeader>&amp;L&amp;F
Page &amp;P of &amp;N&amp;CKentucky Power Company 
OL Rate Design
Twelve Months Ended March 31, 2013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63"/>
  <sheetViews>
    <sheetView showOutlineSymbols="0" zoomScale="90" zoomScaleNormal="90" workbookViewId="0">
      <selection sqref="A1:XFD1048576"/>
    </sheetView>
  </sheetViews>
  <sheetFormatPr defaultColWidth="10.875" defaultRowHeight="15"/>
  <cols>
    <col min="1" max="1" width="19.875" style="194" customWidth="1"/>
    <col min="2" max="2" width="10.375" style="194" bestFit="1" customWidth="1"/>
    <col min="3" max="3" width="7.625" style="194" customWidth="1"/>
    <col min="4" max="4" width="9.125" style="194" bestFit="1" customWidth="1"/>
    <col min="5" max="5" width="2" style="194" customWidth="1"/>
    <col min="6" max="6" width="6.875" style="194" bestFit="1" customWidth="1"/>
    <col min="7" max="7" width="6.75" style="194" bestFit="1" customWidth="1"/>
    <col min="8" max="8" width="2" style="194" customWidth="1"/>
    <col min="9" max="9" width="7.25" style="194" bestFit="1" customWidth="1"/>
    <col min="10" max="10" width="1.875" style="194" bestFit="1" customWidth="1"/>
    <col min="11" max="11" width="13.375" style="194" bestFit="1" customWidth="1"/>
    <col min="12" max="12" width="2" style="194" customWidth="1"/>
    <col min="13" max="13" width="9.625" style="194" bestFit="1" customWidth="1"/>
    <col min="14" max="14" width="10.125" style="194" bestFit="1" customWidth="1"/>
    <col min="15" max="15" width="2.5" style="194" customWidth="1"/>
    <col min="16" max="18" width="10.875" style="194"/>
    <col min="19" max="19" width="13.625" style="194" bestFit="1" customWidth="1"/>
    <col min="20" max="16384" width="10.875" style="194"/>
  </cols>
  <sheetData>
    <row r="1" spans="1:19">
      <c r="A1" s="677"/>
      <c r="B1" s="678" t="s">
        <v>605</v>
      </c>
      <c r="F1" s="679" t="s">
        <v>663</v>
      </c>
      <c r="G1" s="679"/>
      <c r="I1" s="680"/>
      <c r="J1" s="680"/>
    </row>
    <row r="2" spans="1:19" ht="15.75">
      <c r="A2" s="681" t="s">
        <v>609</v>
      </c>
      <c r="B2" s="678" t="s">
        <v>608</v>
      </c>
      <c r="C2" s="679" t="s">
        <v>607</v>
      </c>
      <c r="D2" s="679"/>
      <c r="F2" s="682"/>
      <c r="G2" s="682" t="s">
        <v>609</v>
      </c>
      <c r="I2" s="679" t="s">
        <v>114</v>
      </c>
      <c r="J2" s="679"/>
      <c r="K2" s="679"/>
      <c r="M2" s="678" t="s">
        <v>605</v>
      </c>
      <c r="N2" s="683" t="s">
        <v>604</v>
      </c>
      <c r="P2" s="633"/>
      <c r="Q2" s="633" t="s">
        <v>999</v>
      </c>
      <c r="R2" s="634" t="s">
        <v>1000</v>
      </c>
      <c r="S2" s="158"/>
    </row>
    <row r="3" spans="1:19" ht="15.75">
      <c r="A3" s="684" t="s">
        <v>603</v>
      </c>
      <c r="B3" s="684" t="s">
        <v>602</v>
      </c>
      <c r="C3" s="685" t="s">
        <v>154</v>
      </c>
      <c r="D3" s="685" t="s">
        <v>1</v>
      </c>
      <c r="F3" s="684" t="s">
        <v>609</v>
      </c>
      <c r="G3" s="684" t="s">
        <v>662</v>
      </c>
      <c r="I3" s="685" t="s">
        <v>154</v>
      </c>
      <c r="J3" s="685"/>
      <c r="K3" s="685" t="s">
        <v>1</v>
      </c>
      <c r="M3" s="684" t="s">
        <v>343</v>
      </c>
      <c r="N3" s="686" t="s">
        <v>343</v>
      </c>
      <c r="P3" s="633" t="s">
        <v>997</v>
      </c>
      <c r="Q3" s="633" t="s">
        <v>998</v>
      </c>
      <c r="R3" s="634" t="s">
        <v>150</v>
      </c>
      <c r="S3" s="158" t="s">
        <v>1001</v>
      </c>
    </row>
    <row r="4" spans="1:19">
      <c r="A4" s="683" t="s">
        <v>121</v>
      </c>
      <c r="B4" s="683" t="s">
        <v>122</v>
      </c>
      <c r="C4" s="683" t="s">
        <v>601</v>
      </c>
      <c r="D4" s="678" t="s">
        <v>600</v>
      </c>
      <c r="F4" s="683" t="s">
        <v>139</v>
      </c>
      <c r="G4" s="683" t="s">
        <v>598</v>
      </c>
      <c r="H4" s="683"/>
      <c r="I4" s="683" t="s">
        <v>661</v>
      </c>
      <c r="J4" s="683"/>
      <c r="K4" s="678" t="s">
        <v>1045</v>
      </c>
      <c r="M4" s="683" t="s">
        <v>660</v>
      </c>
      <c r="N4" s="678" t="s">
        <v>659</v>
      </c>
      <c r="Q4" s="194">
        <f>'OL 1'!T4</f>
        <v>2.725E-2</v>
      </c>
    </row>
    <row r="5" spans="1:19">
      <c r="S5" s="687"/>
    </row>
    <row r="6" spans="1:19" ht="15.75">
      <c r="A6" s="688" t="s">
        <v>658</v>
      </c>
      <c r="S6" s="687"/>
    </row>
    <row r="7" spans="1:19" hidden="1">
      <c r="A7" s="689" t="s">
        <v>657</v>
      </c>
      <c r="B7" s="169">
        <v>0</v>
      </c>
      <c r="C7" s="690">
        <v>0</v>
      </c>
      <c r="D7" s="192">
        <f t="shared" ref="D7:D16" si="0">ROUND((B7*C7),0)</f>
        <v>0</v>
      </c>
      <c r="E7" s="192"/>
      <c r="F7" s="678" t="s">
        <v>651</v>
      </c>
      <c r="G7" s="678" t="s">
        <v>651</v>
      </c>
      <c r="H7" s="678"/>
      <c r="I7" s="691">
        <f t="shared" ref="I7:I12" si="1">C7</f>
        <v>0</v>
      </c>
      <c r="J7" s="691"/>
      <c r="K7" s="192">
        <f t="shared" ref="K7:K16" si="2">ROUND((B7*I7),0)</f>
        <v>0</v>
      </c>
      <c r="L7" s="192"/>
      <c r="M7" s="192">
        <f t="shared" ref="M7:M16" si="3">K7-D7</f>
        <v>0</v>
      </c>
      <c r="N7" s="193" t="e">
        <f t="shared" ref="N7:N16" si="4">ROUND(((I7/C7)-1),4)</f>
        <v>#DIV/0!</v>
      </c>
      <c r="S7" s="687"/>
    </row>
    <row r="8" spans="1:19" hidden="1">
      <c r="A8" s="689" t="s">
        <v>656</v>
      </c>
      <c r="B8" s="169">
        <v>0</v>
      </c>
      <c r="C8" s="691">
        <v>0</v>
      </c>
      <c r="D8" s="692">
        <f t="shared" si="0"/>
        <v>0</v>
      </c>
      <c r="E8" s="692"/>
      <c r="F8" s="691" t="e">
        <f>'SL 2'!#REF!</f>
        <v>#REF!</v>
      </c>
      <c r="G8" s="693" t="s">
        <v>651</v>
      </c>
      <c r="H8" s="693"/>
      <c r="I8" s="691">
        <f t="shared" si="1"/>
        <v>0</v>
      </c>
      <c r="J8" s="691"/>
      <c r="K8" s="692">
        <f t="shared" si="2"/>
        <v>0</v>
      </c>
      <c r="L8" s="692"/>
      <c r="M8" s="692">
        <f t="shared" si="3"/>
        <v>0</v>
      </c>
      <c r="N8" s="193" t="e">
        <f t="shared" si="4"/>
        <v>#DIV/0!</v>
      </c>
      <c r="S8" s="687"/>
    </row>
    <row r="9" spans="1:19" hidden="1">
      <c r="A9" s="689" t="s">
        <v>655</v>
      </c>
      <c r="B9" s="169">
        <v>0</v>
      </c>
      <c r="C9" s="691">
        <v>0</v>
      </c>
      <c r="D9" s="692">
        <f t="shared" si="0"/>
        <v>0</v>
      </c>
      <c r="E9" s="692"/>
      <c r="F9" s="691" t="e">
        <f>'SL 2'!#REF!</f>
        <v>#REF!</v>
      </c>
      <c r="G9" s="693" t="s">
        <v>651</v>
      </c>
      <c r="H9" s="693"/>
      <c r="I9" s="691">
        <f t="shared" si="1"/>
        <v>0</v>
      </c>
      <c r="J9" s="691"/>
      <c r="K9" s="692">
        <f t="shared" si="2"/>
        <v>0</v>
      </c>
      <c r="L9" s="692"/>
      <c r="M9" s="692">
        <f t="shared" si="3"/>
        <v>0</v>
      </c>
      <c r="N9" s="193" t="e">
        <f t="shared" si="4"/>
        <v>#DIV/0!</v>
      </c>
      <c r="S9" s="687"/>
    </row>
    <row r="10" spans="1:19" hidden="1">
      <c r="A10" s="689" t="s">
        <v>654</v>
      </c>
      <c r="B10" s="169">
        <v>0</v>
      </c>
      <c r="C10" s="691">
        <v>0</v>
      </c>
      <c r="D10" s="692">
        <f t="shared" si="0"/>
        <v>0</v>
      </c>
      <c r="E10" s="692"/>
      <c r="F10" s="691" t="e">
        <f>'SL 2'!#REF!</f>
        <v>#REF!</v>
      </c>
      <c r="G10" s="693" t="s">
        <v>651</v>
      </c>
      <c r="H10" s="693"/>
      <c r="I10" s="691">
        <f t="shared" si="1"/>
        <v>0</v>
      </c>
      <c r="J10" s="691"/>
      <c r="K10" s="692">
        <f t="shared" si="2"/>
        <v>0</v>
      </c>
      <c r="L10" s="692"/>
      <c r="M10" s="692">
        <f t="shared" si="3"/>
        <v>0</v>
      </c>
      <c r="N10" s="193" t="e">
        <f t="shared" si="4"/>
        <v>#DIV/0!</v>
      </c>
      <c r="S10" s="687"/>
    </row>
    <row r="11" spans="1:19" hidden="1">
      <c r="A11" s="689" t="s">
        <v>653</v>
      </c>
      <c r="B11" s="169">
        <v>0</v>
      </c>
      <c r="C11" s="691">
        <v>0</v>
      </c>
      <c r="D11" s="692">
        <f t="shared" si="0"/>
        <v>0</v>
      </c>
      <c r="E11" s="692"/>
      <c r="F11" s="691" t="e">
        <f>'SL 2'!#REF!</f>
        <v>#REF!</v>
      </c>
      <c r="G11" s="693" t="s">
        <v>651</v>
      </c>
      <c r="H11" s="693"/>
      <c r="I11" s="691">
        <f t="shared" si="1"/>
        <v>0</v>
      </c>
      <c r="J11" s="691"/>
      <c r="K11" s="692">
        <f t="shared" si="2"/>
        <v>0</v>
      </c>
      <c r="L11" s="692"/>
      <c r="M11" s="692">
        <f t="shared" si="3"/>
        <v>0</v>
      </c>
      <c r="N11" s="193" t="e">
        <f t="shared" si="4"/>
        <v>#DIV/0!</v>
      </c>
      <c r="S11" s="687"/>
    </row>
    <row r="12" spans="1:19" hidden="1">
      <c r="A12" s="689" t="s">
        <v>652</v>
      </c>
      <c r="B12" s="169">
        <v>0</v>
      </c>
      <c r="C12" s="691">
        <v>0</v>
      </c>
      <c r="D12" s="692">
        <f t="shared" si="0"/>
        <v>0</v>
      </c>
      <c r="E12" s="692"/>
      <c r="F12" s="691" t="e">
        <f>'SL 2'!#REF!</f>
        <v>#REF!</v>
      </c>
      <c r="G12" s="693" t="s">
        <v>651</v>
      </c>
      <c r="H12" s="693"/>
      <c r="I12" s="691">
        <f t="shared" si="1"/>
        <v>0</v>
      </c>
      <c r="J12" s="691"/>
      <c r="K12" s="692">
        <f t="shared" si="2"/>
        <v>0</v>
      </c>
      <c r="L12" s="692"/>
      <c r="M12" s="692">
        <f t="shared" si="3"/>
        <v>0</v>
      </c>
      <c r="N12" s="193" t="e">
        <f t="shared" si="4"/>
        <v>#DIV/0!</v>
      </c>
      <c r="S12" s="687"/>
    </row>
    <row r="13" spans="1:19">
      <c r="A13" s="689" t="s">
        <v>648</v>
      </c>
      <c r="B13" s="694">
        <v>92088</v>
      </c>
      <c r="C13" s="639">
        <v>7.8</v>
      </c>
      <c r="D13" s="692">
        <f t="shared" si="0"/>
        <v>718286</v>
      </c>
      <c r="E13" s="692"/>
      <c r="F13" s="691">
        <f>'SL 2'!$I$7</f>
        <v>9.1552903044513592</v>
      </c>
      <c r="G13" s="693" t="s">
        <v>651</v>
      </c>
      <c r="H13" s="693"/>
      <c r="I13" s="166">
        <f>ROUND(IF(F13*$B$46&gt;(1+$B$44)*C13,(1+$B$44)*C13,MAX(F13*$B$46,C13))*20,0)/20</f>
        <v>8.65</v>
      </c>
      <c r="J13" s="166"/>
      <c r="K13" s="692">
        <f t="shared" si="2"/>
        <v>796561</v>
      </c>
      <c r="L13" s="692"/>
      <c r="M13" s="692">
        <f t="shared" si="3"/>
        <v>78275</v>
      </c>
      <c r="N13" s="193">
        <f t="shared" si="4"/>
        <v>0.109</v>
      </c>
      <c r="P13" s="194">
        <f>'SL 2'!F7</f>
        <v>40.299999999999997</v>
      </c>
      <c r="Q13" s="194">
        <f>ROUND(P13*Q$4,2)</f>
        <v>1.1000000000000001</v>
      </c>
      <c r="R13" s="695">
        <f>I13-Q13</f>
        <v>7.5500000000000007</v>
      </c>
      <c r="S13" s="687">
        <f>(Q13*B13)+(R13*B13)</f>
        <v>796561.20000000007</v>
      </c>
    </row>
    <row r="14" spans="1:19">
      <c r="A14" s="689" t="s">
        <v>647</v>
      </c>
      <c r="B14" s="694">
        <v>1320</v>
      </c>
      <c r="C14" s="639">
        <v>8.8800000000000008</v>
      </c>
      <c r="D14" s="692">
        <f t="shared" si="0"/>
        <v>11722</v>
      </c>
      <c r="E14" s="692"/>
      <c r="F14" s="691">
        <f>'SL 2'!$I$8</f>
        <v>10.459250043149908</v>
      </c>
      <c r="G14" s="693" t="s">
        <v>651</v>
      </c>
      <c r="H14" s="693"/>
      <c r="I14" s="166">
        <f>ROUND(IF(F14*$B$46&gt;(1+$B$44)*C14,(1+$B$44)*C14,MAX(F14*$B$46,C14))*20,0)/20</f>
        <v>9.9</v>
      </c>
      <c r="J14" s="166"/>
      <c r="K14" s="692">
        <f t="shared" si="2"/>
        <v>13068</v>
      </c>
      <c r="L14" s="692"/>
      <c r="M14" s="692">
        <f t="shared" si="3"/>
        <v>1346</v>
      </c>
      <c r="N14" s="193">
        <f t="shared" si="4"/>
        <v>0.1149</v>
      </c>
      <c r="P14" s="194">
        <f>'SL 2'!F8</f>
        <v>58.7</v>
      </c>
      <c r="Q14" s="194">
        <f t="shared" ref="Q14:Q16" si="5">ROUND(P14*Q$4,2)</f>
        <v>1.6</v>
      </c>
      <c r="R14" s="695">
        <f>I14-Q14</f>
        <v>8.3000000000000007</v>
      </c>
      <c r="S14" s="687">
        <f t="shared" ref="S14:S16" si="6">(Q14*B14)+(R14*B14)</f>
        <v>13068.000000000002</v>
      </c>
    </row>
    <row r="15" spans="1:19">
      <c r="A15" s="689" t="s">
        <v>646</v>
      </c>
      <c r="B15" s="694">
        <v>27336</v>
      </c>
      <c r="C15" s="639">
        <v>10.7</v>
      </c>
      <c r="D15" s="692">
        <f t="shared" si="0"/>
        <v>292495</v>
      </c>
      <c r="E15" s="692"/>
      <c r="F15" s="691">
        <f>'SL 2'!$I$9</f>
        <v>12.730572686574142</v>
      </c>
      <c r="G15" s="693" t="s">
        <v>651</v>
      </c>
      <c r="H15" s="693"/>
      <c r="I15" s="166">
        <f>ROUND(IF(F15*$B$46&gt;(1+$B$44)*C15,(1+$B$44)*C15,MAX(F15*$B$46,C15))*20,0)/20</f>
        <v>12.05</v>
      </c>
      <c r="J15" s="166"/>
      <c r="K15" s="692">
        <f t="shared" si="2"/>
        <v>329399</v>
      </c>
      <c r="L15" s="692"/>
      <c r="M15" s="692">
        <f t="shared" si="3"/>
        <v>36904</v>
      </c>
      <c r="N15" s="193">
        <f t="shared" si="4"/>
        <v>0.12620000000000001</v>
      </c>
      <c r="P15" s="194">
        <f>'SL 2'!F9</f>
        <v>84.3</v>
      </c>
      <c r="Q15" s="194">
        <f t="shared" si="5"/>
        <v>2.2999999999999998</v>
      </c>
      <c r="R15" s="695">
        <f t="shared" ref="R15:R16" si="7">I15-Q15</f>
        <v>9.75</v>
      </c>
      <c r="S15" s="687">
        <f t="shared" si="6"/>
        <v>329398.8</v>
      </c>
    </row>
    <row r="16" spans="1:19">
      <c r="A16" s="689" t="s">
        <v>645</v>
      </c>
      <c r="B16" s="694">
        <v>6048</v>
      </c>
      <c r="C16" s="639">
        <v>15.96</v>
      </c>
      <c r="D16" s="692">
        <f t="shared" si="0"/>
        <v>96526</v>
      </c>
      <c r="E16" s="692"/>
      <c r="F16" s="691">
        <f>'SL 2'!$I$10</f>
        <v>18.662809873570016</v>
      </c>
      <c r="G16" s="693" t="s">
        <v>651</v>
      </c>
      <c r="H16" s="693"/>
      <c r="I16" s="166">
        <f>ROUND(IF(F16*$B$46&gt;(1+$B$44)*C16,(1+$B$44)*C16,MAX(F16*$B$46,C16))*20,0)/20+0.05</f>
        <v>17.75</v>
      </c>
      <c r="J16" s="166" t="s">
        <v>161</v>
      </c>
      <c r="K16" s="692">
        <f t="shared" si="2"/>
        <v>107352</v>
      </c>
      <c r="L16" s="692"/>
      <c r="M16" s="692">
        <f t="shared" si="3"/>
        <v>10826</v>
      </c>
      <c r="N16" s="193">
        <f t="shared" si="4"/>
        <v>0.11219999999999999</v>
      </c>
      <c r="P16" s="194">
        <f>'SL 2'!F10</f>
        <v>166.7</v>
      </c>
      <c r="Q16" s="194">
        <f t="shared" si="5"/>
        <v>4.54</v>
      </c>
      <c r="R16" s="695">
        <f t="shared" si="7"/>
        <v>13.21</v>
      </c>
      <c r="S16" s="687">
        <f t="shared" si="6"/>
        <v>107352</v>
      </c>
    </row>
    <row r="17" spans="1:19">
      <c r="B17" s="169"/>
      <c r="C17" s="168"/>
      <c r="D17" s="192"/>
      <c r="E17" s="192"/>
      <c r="F17" s="168"/>
      <c r="G17" s="168"/>
      <c r="H17" s="168"/>
      <c r="I17" s="168"/>
      <c r="J17" s="166"/>
      <c r="K17" s="192"/>
      <c r="L17" s="192"/>
      <c r="M17" s="192"/>
      <c r="N17" s="193"/>
      <c r="S17" s="687"/>
    </row>
    <row r="18" spans="1:19">
      <c r="B18" s="169"/>
      <c r="C18" s="168"/>
      <c r="D18" s="192"/>
      <c r="E18" s="192"/>
      <c r="F18" s="168"/>
      <c r="G18" s="696"/>
      <c r="H18" s="696"/>
      <c r="I18" s="168"/>
      <c r="J18" s="166"/>
      <c r="K18" s="192"/>
      <c r="L18" s="192"/>
      <c r="M18" s="192"/>
      <c r="N18" s="193"/>
      <c r="S18" s="687"/>
    </row>
    <row r="19" spans="1:19">
      <c r="B19" s="169"/>
      <c r="C19" s="168"/>
      <c r="D19" s="192"/>
      <c r="E19" s="192"/>
      <c r="F19" s="168"/>
      <c r="G19" s="696"/>
      <c r="H19" s="696"/>
      <c r="I19" s="168"/>
      <c r="J19" s="166"/>
      <c r="K19" s="192"/>
      <c r="L19" s="192"/>
      <c r="M19" s="192"/>
      <c r="N19" s="193"/>
      <c r="S19" s="687"/>
    </row>
    <row r="20" spans="1:19" ht="15.75">
      <c r="A20" s="688" t="s">
        <v>650</v>
      </c>
      <c r="B20" s="169"/>
      <c r="C20" s="168"/>
      <c r="D20" s="192"/>
      <c r="E20" s="192"/>
      <c r="F20" s="168"/>
      <c r="G20" s="696"/>
      <c r="H20" s="696"/>
      <c r="I20" s="168"/>
      <c r="J20" s="166"/>
      <c r="K20" s="192"/>
      <c r="L20" s="192"/>
      <c r="M20" s="192"/>
      <c r="N20" s="193"/>
      <c r="S20" s="687"/>
    </row>
    <row r="21" spans="1:19">
      <c r="A21" s="689" t="s">
        <v>648</v>
      </c>
      <c r="B21" s="694">
        <v>5508</v>
      </c>
      <c r="C21" s="639">
        <v>11.05</v>
      </c>
      <c r="D21" s="692">
        <f>ROUND((B21*C21),0)</f>
        <v>60863</v>
      </c>
      <c r="E21" s="692"/>
      <c r="F21" s="691">
        <f>F13</f>
        <v>9.1552903044513592</v>
      </c>
      <c r="G21" s="691">
        <f>'SL 2'!$L$22</f>
        <v>15.649376537608706</v>
      </c>
      <c r="H21" s="691"/>
      <c r="I21" s="166">
        <f>ROUND(IF(G21*$B$46&gt;(1+$B$44)*C21,(1+$B$44)*C21,MAX(G21*$B$46,C21))*20,0)/20</f>
        <v>12.75</v>
      </c>
      <c r="J21" s="692"/>
      <c r="K21" s="692">
        <f>ROUND((B21*I21),0)</f>
        <v>70227</v>
      </c>
      <c r="L21" s="692"/>
      <c r="M21" s="692">
        <f>K21-D21</f>
        <v>9364</v>
      </c>
      <c r="N21" s="193">
        <f>ROUND(((I21/C21)-1),4)</f>
        <v>0.15379999999999999</v>
      </c>
      <c r="P21" s="194">
        <f>P13</f>
        <v>40.299999999999997</v>
      </c>
      <c r="Q21" s="194">
        <f t="shared" ref="Q21:Q24" si="8">ROUND(P21*Q$4,2)</f>
        <v>1.1000000000000001</v>
      </c>
      <c r="R21" s="695">
        <f>I21-Q21</f>
        <v>11.65</v>
      </c>
      <c r="S21" s="687">
        <f t="shared" ref="S21:S24" si="9">(Q21*B21)+(R21*B21)</f>
        <v>70227</v>
      </c>
    </row>
    <row r="22" spans="1:19">
      <c r="A22" s="689" t="s">
        <v>647</v>
      </c>
      <c r="B22" s="694">
        <v>348</v>
      </c>
      <c r="C22" s="639">
        <v>12.23</v>
      </c>
      <c r="D22" s="692">
        <f>ROUND((B22*C22),0)</f>
        <v>4256</v>
      </c>
      <c r="E22" s="692"/>
      <c r="F22" s="691">
        <f>F14</f>
        <v>10.459250043149908</v>
      </c>
      <c r="G22" s="691">
        <f>'SL 2'!$L$23</f>
        <v>16.953336276307251</v>
      </c>
      <c r="H22" s="691"/>
      <c r="I22" s="166">
        <f>ROUND(IF(G22*$B$46&gt;(1+$B$44)*C22,(1+$B$44)*C22,MAX(G22*$B$46,C22))*20,0)/20</f>
        <v>14.15</v>
      </c>
      <c r="J22" s="166"/>
      <c r="K22" s="692">
        <f>ROUND((B22*I22),0)</f>
        <v>4924</v>
      </c>
      <c r="L22" s="692"/>
      <c r="M22" s="692">
        <f>K22-D22</f>
        <v>668</v>
      </c>
      <c r="N22" s="193">
        <f>ROUND(((I22/C22)-1),4)</f>
        <v>0.157</v>
      </c>
      <c r="P22" s="194">
        <f t="shared" ref="P22:P24" si="10">P14</f>
        <v>58.7</v>
      </c>
      <c r="Q22" s="194">
        <f t="shared" si="8"/>
        <v>1.6</v>
      </c>
      <c r="R22" s="695">
        <f t="shared" ref="R22:R24" si="11">I22-Q22</f>
        <v>12.55</v>
      </c>
      <c r="S22" s="687">
        <f t="shared" si="9"/>
        <v>4924.2000000000007</v>
      </c>
    </row>
    <row r="23" spans="1:19">
      <c r="A23" s="689" t="s">
        <v>646</v>
      </c>
      <c r="B23" s="694">
        <v>6588</v>
      </c>
      <c r="C23" s="639">
        <v>14.15</v>
      </c>
      <c r="D23" s="692">
        <f>ROUND((B23*C23),0)</f>
        <v>93220</v>
      </c>
      <c r="E23" s="692"/>
      <c r="F23" s="691">
        <f>F15</f>
        <v>12.730572686574142</v>
      </c>
      <c r="G23" s="691">
        <f>'SL 2'!$L$24</f>
        <v>19.224658919731482</v>
      </c>
      <c r="H23" s="691"/>
      <c r="I23" s="166">
        <f>ROUND(IF(G23*$B$46&gt;(1+$B$44)*C23,(1+$B$44)*C23,MAX(G23*$B$46,C23))*20,0)/20+0.05</f>
        <v>16.400000000000002</v>
      </c>
      <c r="J23" s="692" t="s">
        <v>161</v>
      </c>
      <c r="K23" s="692">
        <f>ROUND((B23*I23),0)</f>
        <v>108043</v>
      </c>
      <c r="L23" s="692"/>
      <c r="M23" s="692">
        <f>K23-D23</f>
        <v>14823</v>
      </c>
      <c r="N23" s="193">
        <f>ROUND(((I23/C23)-1),4)</f>
        <v>0.159</v>
      </c>
      <c r="P23" s="194">
        <f t="shared" si="10"/>
        <v>84.3</v>
      </c>
      <c r="Q23" s="194">
        <f t="shared" si="8"/>
        <v>2.2999999999999998</v>
      </c>
      <c r="R23" s="695">
        <f t="shared" si="11"/>
        <v>14.100000000000001</v>
      </c>
      <c r="S23" s="687">
        <f t="shared" si="9"/>
        <v>108043.2</v>
      </c>
    </row>
    <row r="24" spans="1:19">
      <c r="A24" s="689" t="s">
        <v>645</v>
      </c>
      <c r="B24" s="694">
        <v>1452</v>
      </c>
      <c r="C24" s="639">
        <v>19.760000000000002</v>
      </c>
      <c r="D24" s="692">
        <f>ROUND((B24*C24),0)</f>
        <v>28692</v>
      </c>
      <c r="E24" s="692"/>
      <c r="F24" s="691">
        <f>F16</f>
        <v>18.662809873570016</v>
      </c>
      <c r="G24" s="691">
        <f>'SL 2'!$L$25</f>
        <v>25.156896106727363</v>
      </c>
      <c r="H24" s="691"/>
      <c r="I24" s="166">
        <f>ROUND(IF(G24*$B$46&gt;(1+$B$44)*C24,(1+$B$44)*C24,MAX(G24*$B$46,C24))*20,0)/20+0.05</f>
        <v>22.900000000000002</v>
      </c>
      <c r="J24" s="166" t="s">
        <v>161</v>
      </c>
      <c r="K24" s="692">
        <f>ROUND((B24*I24),0)</f>
        <v>33251</v>
      </c>
      <c r="L24" s="692"/>
      <c r="M24" s="692">
        <f>K24-D24</f>
        <v>4559</v>
      </c>
      <c r="N24" s="193">
        <f>ROUND(((I24/C24)-1),4)</f>
        <v>0.15890000000000001</v>
      </c>
      <c r="P24" s="194">
        <f t="shared" si="10"/>
        <v>166.7</v>
      </c>
      <c r="Q24" s="194">
        <f t="shared" si="8"/>
        <v>4.54</v>
      </c>
      <c r="R24" s="695">
        <f t="shared" si="11"/>
        <v>18.360000000000003</v>
      </c>
      <c r="S24" s="687">
        <f t="shared" si="9"/>
        <v>33250.800000000003</v>
      </c>
    </row>
    <row r="25" spans="1:19">
      <c r="B25" s="169"/>
      <c r="C25" s="168"/>
      <c r="D25" s="192"/>
      <c r="E25" s="192"/>
      <c r="F25" s="168"/>
      <c r="G25" s="168"/>
      <c r="H25" s="168"/>
      <c r="I25" s="168"/>
      <c r="J25" s="166"/>
      <c r="K25" s="192"/>
      <c r="L25" s="192"/>
      <c r="M25" s="192"/>
      <c r="N25" s="193"/>
      <c r="S25" s="687"/>
    </row>
    <row r="26" spans="1:19">
      <c r="B26" s="169"/>
      <c r="C26" s="168"/>
      <c r="D26" s="192"/>
      <c r="E26" s="192"/>
      <c r="F26" s="168"/>
      <c r="G26" s="168"/>
      <c r="H26" s="168"/>
      <c r="I26" s="168"/>
      <c r="J26" s="166"/>
      <c r="K26" s="192"/>
      <c r="L26" s="192"/>
      <c r="M26" s="192"/>
      <c r="N26" s="193"/>
      <c r="S26" s="687"/>
    </row>
    <row r="27" spans="1:19">
      <c r="B27" s="169"/>
      <c r="C27" s="168"/>
      <c r="D27" s="192"/>
      <c r="E27" s="192"/>
      <c r="F27" s="168"/>
      <c r="G27" s="168"/>
      <c r="H27" s="168"/>
      <c r="I27" s="168"/>
      <c r="J27" s="166"/>
      <c r="K27" s="192"/>
      <c r="L27" s="192"/>
      <c r="M27" s="192"/>
      <c r="N27" s="193"/>
      <c r="S27" s="687"/>
    </row>
    <row r="28" spans="1:19" ht="15.75">
      <c r="A28" s="688" t="s">
        <v>649</v>
      </c>
      <c r="B28" s="169"/>
      <c r="C28" s="168"/>
      <c r="D28" s="192"/>
      <c r="E28" s="192"/>
      <c r="F28" s="168"/>
      <c r="G28" s="696"/>
      <c r="H28" s="696"/>
      <c r="I28" s="168"/>
      <c r="J28" s="166"/>
      <c r="K28" s="192"/>
      <c r="L28" s="192"/>
      <c r="M28" s="192"/>
      <c r="N28" s="193"/>
      <c r="S28" s="687"/>
    </row>
    <row r="29" spans="1:19">
      <c r="A29" s="689" t="s">
        <v>648</v>
      </c>
      <c r="B29" s="694">
        <v>0</v>
      </c>
      <c r="C29" s="639">
        <v>20.399999999999999</v>
      </c>
      <c r="D29" s="692">
        <f>ROUND((B29*C29),0)</f>
        <v>0</v>
      </c>
      <c r="E29" s="692"/>
      <c r="F29" s="691">
        <f>F13</f>
        <v>9.1552903044513592</v>
      </c>
      <c r="G29" s="691">
        <f>'SL 2'!L28</f>
        <v>29.111787975922287</v>
      </c>
      <c r="H29" s="691"/>
      <c r="I29" s="166">
        <f>ROUND((G29)*20,0)/20</f>
        <v>29.1</v>
      </c>
      <c r="J29" s="166"/>
      <c r="K29" s="692">
        <f>ROUND((B29*I29),0)</f>
        <v>0</v>
      </c>
      <c r="L29" s="692"/>
      <c r="M29" s="692">
        <f>K29-D29</f>
        <v>0</v>
      </c>
      <c r="N29" s="193">
        <f>ROUND(((I29/C29)-1),4)</f>
        <v>0.42649999999999999</v>
      </c>
      <c r="P29" s="194">
        <f>P21</f>
        <v>40.299999999999997</v>
      </c>
      <c r="Q29" s="194">
        <f t="shared" ref="Q29:Q32" si="12">ROUND(P29*Q$4,2)</f>
        <v>1.1000000000000001</v>
      </c>
      <c r="R29" s="695">
        <f>I29-Q29</f>
        <v>28</v>
      </c>
      <c r="S29" s="687">
        <f t="shared" ref="S29:S32" si="13">(Q29*B29)+(R29*B29)</f>
        <v>0</v>
      </c>
    </row>
    <row r="30" spans="1:19">
      <c r="A30" s="689" t="s">
        <v>647</v>
      </c>
      <c r="B30" s="694">
        <v>0</v>
      </c>
      <c r="C30" s="639">
        <v>21.38</v>
      </c>
      <c r="D30" s="692">
        <f>ROUND((B30*C30),0)</f>
        <v>0</v>
      </c>
      <c r="E30" s="692"/>
      <c r="F30" s="691">
        <f>F14</f>
        <v>10.459250043149908</v>
      </c>
      <c r="G30" s="691">
        <f>'SL 2'!L29</f>
        <v>30.415747714620831</v>
      </c>
      <c r="H30" s="691"/>
      <c r="I30" s="166">
        <f>ROUND((G30)*20,0)/20</f>
        <v>30.4</v>
      </c>
      <c r="J30" s="166"/>
      <c r="K30" s="692">
        <f>ROUND((B30*I30),0)</f>
        <v>0</v>
      </c>
      <c r="L30" s="692"/>
      <c r="M30" s="692">
        <f>K30-D30</f>
        <v>0</v>
      </c>
      <c r="N30" s="193">
        <f>ROUND(((I30/C30)-1),4)</f>
        <v>0.4219</v>
      </c>
      <c r="P30" s="194">
        <f t="shared" ref="P30:P32" si="14">P22</f>
        <v>58.7</v>
      </c>
      <c r="Q30" s="194">
        <f t="shared" si="12"/>
        <v>1.6</v>
      </c>
      <c r="R30" s="695">
        <f t="shared" ref="R30:R32" si="15">I30-Q30</f>
        <v>28.799999999999997</v>
      </c>
      <c r="S30" s="687">
        <f t="shared" si="13"/>
        <v>0</v>
      </c>
    </row>
    <row r="31" spans="1:19" ht="15" customHeight="1">
      <c r="A31" s="689" t="s">
        <v>646</v>
      </c>
      <c r="B31" s="694">
        <v>1128</v>
      </c>
      <c r="C31" s="639">
        <v>27.2</v>
      </c>
      <c r="D31" s="692">
        <f>ROUND((B31*C31),0)</f>
        <v>30682</v>
      </c>
      <c r="E31" s="692"/>
      <c r="F31" s="691">
        <f>F15</f>
        <v>12.730572686574142</v>
      </c>
      <c r="G31" s="691">
        <f>'SL 2'!L30</f>
        <v>32.687070358045062</v>
      </c>
      <c r="H31" s="691"/>
      <c r="I31" s="166">
        <f>ROUND(IF(G31*$B$46&gt;(1+$B$44)*C31,(1+$B$44)*C31,MAX(G31*$B$46,C31))*20,0)/20</f>
        <v>30.95</v>
      </c>
      <c r="J31" s="166"/>
      <c r="K31" s="692">
        <f>ROUND((B31*I31),0)</f>
        <v>34912</v>
      </c>
      <c r="L31" s="692"/>
      <c r="M31" s="692">
        <f>K31-D31</f>
        <v>4230</v>
      </c>
      <c r="N31" s="193">
        <f>ROUND(((I31/C31)-1),4)</f>
        <v>0.13789999999999999</v>
      </c>
      <c r="P31" s="194">
        <f t="shared" si="14"/>
        <v>84.3</v>
      </c>
      <c r="Q31" s="194">
        <f t="shared" si="12"/>
        <v>2.2999999999999998</v>
      </c>
      <c r="R31" s="695">
        <f t="shared" si="15"/>
        <v>28.65</v>
      </c>
      <c r="S31" s="687">
        <f t="shared" si="13"/>
        <v>34911.599999999999</v>
      </c>
    </row>
    <row r="32" spans="1:19">
      <c r="A32" s="697" t="s">
        <v>645</v>
      </c>
      <c r="B32" s="694">
        <v>300</v>
      </c>
      <c r="C32" s="639">
        <v>29.46</v>
      </c>
      <c r="D32" s="698">
        <f>ROUND((B32*C32),0)</f>
        <v>8838</v>
      </c>
      <c r="E32" s="698"/>
      <c r="F32" s="699">
        <f>F16</f>
        <v>18.662809873570016</v>
      </c>
      <c r="G32" s="699">
        <f>'SL 2'!L31</f>
        <v>38.61930754504094</v>
      </c>
      <c r="H32" s="699"/>
      <c r="I32" s="166">
        <f>ROUND(IF(G32*$B$46&gt;(1+$B$44)*C32,(1+$B$44)*C32,MAX(G32*$B$46,C32))*20,0)/20</f>
        <v>34.049999999999997</v>
      </c>
      <c r="J32" s="166"/>
      <c r="K32" s="698">
        <f>ROUND((B32*I32),0)</f>
        <v>10215</v>
      </c>
      <c r="L32" s="698"/>
      <c r="M32" s="698">
        <f>K32-D32</f>
        <v>1377</v>
      </c>
      <c r="N32" s="700">
        <f>ROUND(((I32/C32)-1),4)</f>
        <v>0.15579999999999999</v>
      </c>
      <c r="P32" s="194">
        <f t="shared" si="14"/>
        <v>166.7</v>
      </c>
      <c r="Q32" s="194">
        <f t="shared" si="12"/>
        <v>4.54</v>
      </c>
      <c r="R32" s="695">
        <f t="shared" si="15"/>
        <v>29.509999999999998</v>
      </c>
      <c r="S32" s="687">
        <f t="shared" si="13"/>
        <v>10215</v>
      </c>
    </row>
    <row r="33" spans="1:20">
      <c r="A33" s="701"/>
      <c r="B33" s="702"/>
      <c r="C33" s="703"/>
      <c r="D33" s="704"/>
      <c r="E33" s="704"/>
      <c r="F33" s="703"/>
      <c r="G33" s="703"/>
      <c r="H33" s="703"/>
      <c r="I33" s="703"/>
      <c r="J33" s="703"/>
      <c r="K33" s="704"/>
      <c r="L33" s="704"/>
      <c r="M33" s="704"/>
      <c r="N33" s="700"/>
      <c r="S33" s="687"/>
    </row>
    <row r="34" spans="1:20">
      <c r="A34" s="697" t="s">
        <v>148</v>
      </c>
      <c r="B34" s="705"/>
      <c r="C34" s="706"/>
      <c r="D34" s="707"/>
      <c r="E34" s="707"/>
      <c r="F34" s="706"/>
      <c r="G34" s="706"/>
      <c r="H34" s="706"/>
      <c r="I34" s="706"/>
      <c r="J34" s="706"/>
      <c r="K34" s="707">
        <f>SUM(K7:K32)</f>
        <v>1507952</v>
      </c>
      <c r="L34" s="707"/>
      <c r="M34" s="707">
        <f>SUM(M7:M32)</f>
        <v>162372</v>
      </c>
      <c r="N34" s="700"/>
      <c r="S34" s="687">
        <f>SUM(S13:S32)</f>
        <v>1507951.8</v>
      </c>
    </row>
    <row r="35" spans="1:20">
      <c r="A35" s="697"/>
      <c r="B35" s="705"/>
      <c r="C35" s="706"/>
      <c r="D35" s="707"/>
      <c r="E35" s="707"/>
      <c r="F35" s="706"/>
      <c r="G35" s="706"/>
      <c r="H35" s="706"/>
      <c r="I35" s="706"/>
      <c r="J35" s="706"/>
      <c r="K35" s="707"/>
      <c r="L35" s="707"/>
      <c r="M35" s="707"/>
      <c r="N35" s="700"/>
      <c r="S35" s="687">
        <f>S34-K34</f>
        <v>-0.19999999995343387</v>
      </c>
      <c r="T35" s="194" t="s">
        <v>1002</v>
      </c>
    </row>
    <row r="36" spans="1:20">
      <c r="A36" s="167" t="s">
        <v>74</v>
      </c>
      <c r="B36" s="705"/>
      <c r="C36" s="706"/>
      <c r="D36" s="707"/>
      <c r="E36" s="707"/>
      <c r="F36" s="706"/>
      <c r="G36" s="706"/>
      <c r="H36" s="706"/>
      <c r="I36" s="706"/>
      <c r="J36" s="706"/>
      <c r="K36" s="708">
        <f>'EX AEV-1'!Y15</f>
        <v>13242</v>
      </c>
      <c r="L36" s="707"/>
      <c r="M36" s="707"/>
      <c r="N36" s="700"/>
      <c r="S36" s="687"/>
    </row>
    <row r="37" spans="1:20" ht="15.75" thickBot="1">
      <c r="A37" s="677"/>
      <c r="B37" s="169"/>
      <c r="C37" s="168"/>
      <c r="D37" s="709"/>
      <c r="E37" s="709"/>
      <c r="F37" s="168"/>
      <c r="G37" s="168"/>
      <c r="H37" s="168"/>
      <c r="I37" s="168"/>
      <c r="J37" s="168"/>
      <c r="K37" s="192"/>
      <c r="M37" s="192"/>
      <c r="N37" s="193"/>
      <c r="S37" s="687"/>
    </row>
    <row r="38" spans="1:20" ht="15.75" thickTop="1">
      <c r="A38" s="710" t="s">
        <v>9</v>
      </c>
      <c r="B38" s="711"/>
      <c r="C38" s="712"/>
      <c r="D38" s="707"/>
      <c r="E38" s="707"/>
      <c r="F38" s="712"/>
      <c r="G38" s="712"/>
      <c r="H38" s="712"/>
      <c r="I38" s="712"/>
      <c r="J38" s="712"/>
      <c r="K38" s="713">
        <f>K34+K36</f>
        <v>1521194</v>
      </c>
      <c r="M38" s="192"/>
      <c r="N38" s="193"/>
      <c r="S38" s="687"/>
    </row>
    <row r="39" spans="1:20">
      <c r="A39" s="689"/>
      <c r="B39" s="169"/>
      <c r="C39" s="168"/>
      <c r="D39" s="192"/>
      <c r="E39" s="192"/>
      <c r="F39" s="168" t="s">
        <v>72</v>
      </c>
      <c r="G39" s="168"/>
      <c r="H39" s="168"/>
      <c r="I39" s="168"/>
      <c r="J39" s="168"/>
      <c r="K39" s="192"/>
      <c r="L39" s="192"/>
      <c r="M39" s="192"/>
      <c r="N39" s="193"/>
      <c r="S39" s="687"/>
    </row>
    <row r="40" spans="1:20">
      <c r="A40" s="689" t="s">
        <v>566</v>
      </c>
      <c r="B40" s="169"/>
      <c r="C40" s="168"/>
      <c r="D40" s="192"/>
      <c r="E40" s="192"/>
      <c r="F40" s="168"/>
      <c r="G40" s="168"/>
      <c r="H40" s="168"/>
      <c r="I40" s="168"/>
      <c r="J40" s="168"/>
      <c r="K40" s="714">
        <f>'EX AEV-1'!Y12</f>
        <v>1521197</v>
      </c>
      <c r="L40" s="192"/>
      <c r="M40" s="192"/>
      <c r="N40" s="193"/>
      <c r="S40" s="687"/>
    </row>
    <row r="41" spans="1:20">
      <c r="B41" s="169"/>
      <c r="C41" s="168"/>
      <c r="D41" s="192"/>
      <c r="E41" s="192"/>
      <c r="F41" s="168"/>
      <c r="G41" s="168"/>
      <c r="H41" s="168"/>
      <c r="I41" s="168"/>
      <c r="J41" s="168"/>
      <c r="K41" s="192"/>
      <c r="L41" s="192"/>
      <c r="M41" s="192"/>
      <c r="N41" s="193"/>
      <c r="S41" s="687"/>
    </row>
    <row r="42" spans="1:20">
      <c r="A42" s="194" t="s">
        <v>42</v>
      </c>
      <c r="B42" s="169"/>
      <c r="C42" s="168"/>
      <c r="D42" s="192"/>
      <c r="E42" s="192"/>
      <c r="F42" s="168"/>
      <c r="G42" s="168"/>
      <c r="H42" s="168"/>
      <c r="I42" s="168"/>
      <c r="J42" s="168"/>
      <c r="K42" s="192">
        <f>ROUND(K38-K40,0)</f>
        <v>-3</v>
      </c>
      <c r="L42" s="192"/>
      <c r="M42" s="192"/>
      <c r="N42" s="193"/>
      <c r="S42" s="687"/>
    </row>
    <row r="43" spans="1:20">
      <c r="B43" s="169"/>
      <c r="C43" s="168"/>
      <c r="D43" s="192"/>
      <c r="E43" s="192"/>
      <c r="F43" s="168"/>
      <c r="G43" s="168"/>
      <c r="H43" s="168"/>
      <c r="I43" s="168"/>
      <c r="J43" s="168"/>
      <c r="K43" s="192"/>
      <c r="L43" s="192"/>
      <c r="M43" s="192"/>
      <c r="N43" s="193"/>
    </row>
    <row r="44" spans="1:20">
      <c r="A44" s="158" t="s">
        <v>1046</v>
      </c>
      <c r="B44" s="656">
        <f>2*7.78%</f>
        <v>0.15560000000000002</v>
      </c>
      <c r="C44" s="168"/>
      <c r="D44" s="192"/>
      <c r="E44" s="192"/>
      <c r="F44" s="168"/>
      <c r="G44" s="168"/>
      <c r="H44" s="168"/>
      <c r="I44" s="168"/>
      <c r="J44" s="168"/>
      <c r="K44" s="192"/>
      <c r="L44" s="192"/>
      <c r="M44" s="192"/>
      <c r="N44" s="193"/>
    </row>
    <row r="45" spans="1:20">
      <c r="B45" s="169"/>
      <c r="C45" s="168"/>
      <c r="D45" s="192"/>
      <c r="E45" s="192"/>
      <c r="F45" s="168"/>
      <c r="G45" s="168"/>
      <c r="H45" s="168"/>
      <c r="I45" s="192"/>
      <c r="J45" s="192"/>
      <c r="K45" s="192"/>
      <c r="L45" s="192"/>
      <c r="M45" s="192"/>
      <c r="N45" s="193"/>
    </row>
    <row r="46" spans="1:20">
      <c r="A46" s="689" t="s">
        <v>565</v>
      </c>
      <c r="B46" s="715">
        <v>0.94750000000000001</v>
      </c>
      <c r="C46" s="168"/>
      <c r="D46" s="192"/>
      <c r="E46" s="192"/>
      <c r="F46" s="168"/>
      <c r="G46" s="168"/>
      <c r="H46" s="168"/>
      <c r="I46" s="168"/>
      <c r="J46" s="168"/>
      <c r="K46" s="192"/>
      <c r="L46" s="192"/>
      <c r="M46" s="192"/>
      <c r="N46" s="193"/>
    </row>
    <row r="47" spans="1:20">
      <c r="A47" s="689"/>
      <c r="B47" s="716"/>
      <c r="C47" s="168"/>
      <c r="D47" s="696"/>
      <c r="E47" s="696"/>
      <c r="F47" s="168"/>
      <c r="G47" s="168"/>
      <c r="H47" s="168"/>
      <c r="I47" s="168"/>
      <c r="J47" s="168"/>
      <c r="K47" s="192"/>
      <c r="L47" s="192"/>
      <c r="M47" s="192"/>
      <c r="N47" s="193"/>
    </row>
    <row r="48" spans="1:20">
      <c r="A48" s="190"/>
      <c r="B48" s="169"/>
      <c r="C48" s="168"/>
      <c r="D48" s="192"/>
      <c r="E48" s="192"/>
      <c r="F48" s="168"/>
      <c r="G48" s="168"/>
      <c r="H48" s="168"/>
      <c r="I48" s="168"/>
      <c r="J48" s="168"/>
      <c r="K48" s="192"/>
      <c r="L48" s="192"/>
      <c r="M48" s="192"/>
      <c r="N48" s="193"/>
    </row>
    <row r="49" spans="1:14">
      <c r="B49" s="169"/>
      <c r="C49" s="168"/>
      <c r="D49" s="192"/>
      <c r="E49" s="192"/>
      <c r="F49" s="168"/>
      <c r="G49" s="168"/>
      <c r="H49" s="168"/>
      <c r="I49" s="168"/>
      <c r="J49" s="168"/>
      <c r="K49" s="192"/>
      <c r="L49" s="192"/>
      <c r="M49" s="192"/>
      <c r="N49" s="193"/>
    </row>
    <row r="50" spans="1:14">
      <c r="A50" s="696"/>
      <c r="B50" s="696"/>
      <c r="C50" s="696"/>
      <c r="D50" s="683"/>
      <c r="E50" s="683"/>
      <c r="F50" s="696"/>
    </row>
    <row r="51" spans="1:14">
      <c r="A51" s="696"/>
      <c r="B51" s="678"/>
      <c r="C51" s="717"/>
      <c r="D51" s="683"/>
      <c r="E51" s="683"/>
      <c r="F51" s="696"/>
    </row>
    <row r="52" spans="1:14">
      <c r="A52" s="684"/>
      <c r="B52" s="684"/>
      <c r="C52" s="684"/>
      <c r="D52" s="686"/>
      <c r="E52" s="686"/>
      <c r="F52" s="718"/>
    </row>
    <row r="54" spans="1:14">
      <c r="A54" s="689"/>
      <c r="B54" s="690"/>
      <c r="C54" s="690"/>
      <c r="D54" s="690"/>
      <c r="E54" s="690"/>
      <c r="F54" s="696"/>
    </row>
    <row r="55" spans="1:14">
      <c r="A55" s="689"/>
      <c r="B55" s="690"/>
      <c r="C55" s="719"/>
      <c r="D55" s="720"/>
      <c r="E55" s="720"/>
      <c r="F55" s="696"/>
    </row>
    <row r="56" spans="1:14">
      <c r="A56" s="689"/>
      <c r="B56" s="690"/>
      <c r="C56" s="719"/>
      <c r="D56" s="720"/>
      <c r="E56" s="720"/>
      <c r="F56" s="696"/>
    </row>
    <row r="57" spans="1:14">
      <c r="A57" s="689"/>
      <c r="B57" s="690"/>
      <c r="C57" s="719"/>
      <c r="D57" s="720"/>
      <c r="E57" s="720"/>
      <c r="F57" s="696"/>
    </row>
    <row r="58" spans="1:14">
      <c r="A58" s="689"/>
      <c r="B58" s="690"/>
      <c r="C58" s="719"/>
      <c r="D58" s="720"/>
      <c r="E58" s="720"/>
      <c r="F58" s="696"/>
    </row>
    <row r="59" spans="1:14">
      <c r="A59" s="689"/>
      <c r="B59" s="690"/>
      <c r="C59" s="719"/>
      <c r="D59" s="720"/>
      <c r="E59" s="720"/>
      <c r="F59" s="696"/>
    </row>
    <row r="60" spans="1:14">
      <c r="A60" s="689"/>
      <c r="B60" s="690"/>
      <c r="C60" s="719"/>
      <c r="D60" s="720"/>
      <c r="E60" s="720"/>
      <c r="F60" s="696"/>
    </row>
    <row r="62" spans="1:14">
      <c r="A62" s="689"/>
      <c r="B62" s="721"/>
    </row>
    <row r="63" spans="1:14">
      <c r="A63" s="689"/>
      <c r="B63" s="721"/>
    </row>
  </sheetData>
  <printOptions horizontalCentered="1"/>
  <pageMargins left="0.5" right="0.5" top="1.25" bottom="0.5" header="0.5" footer="0.5"/>
  <pageSetup scale="82" orientation="portrait" r:id="rId1"/>
  <headerFooter alignWithMargins="0">
    <oddHeader>&amp;L&amp;F
Page &amp;P of &amp;N&amp;CKentucky Power Company
SL Rate Design
Twelve Months Ended March 31, 2013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0"/>
  <sheetViews>
    <sheetView showOutlineSymbols="0" zoomScale="90" zoomScaleNormal="90" workbookViewId="0">
      <selection activeCell="H34" sqref="H34"/>
    </sheetView>
  </sheetViews>
  <sheetFormatPr defaultColWidth="10.875" defaultRowHeight="15"/>
  <cols>
    <col min="1" max="1" width="23.25" style="194" customWidth="1"/>
    <col min="2" max="2" width="14.25" style="194" customWidth="1"/>
    <col min="3" max="3" width="15.25" style="194" customWidth="1"/>
    <col min="4" max="4" width="12.625" style="194" bestFit="1" customWidth="1"/>
    <col min="5" max="5" width="10" style="194" bestFit="1" customWidth="1"/>
    <col min="6" max="6" width="15.25" style="194" customWidth="1"/>
    <col min="7" max="7" width="14.25" style="194" customWidth="1"/>
    <col min="8" max="8" width="12.625" style="194" bestFit="1" customWidth="1"/>
    <col min="9" max="9" width="11.875" style="194" bestFit="1" customWidth="1"/>
    <col min="10" max="10" width="14.875" style="194" bestFit="1" customWidth="1"/>
    <col min="11" max="11" width="12.625" style="194" bestFit="1" customWidth="1"/>
    <col min="12" max="12" width="15.5" style="194" bestFit="1" customWidth="1"/>
    <col min="13" max="16384" width="10.875" style="194"/>
  </cols>
  <sheetData>
    <row r="1" spans="1:12">
      <c r="A1" s="722"/>
      <c r="B1" s="681" t="s">
        <v>638</v>
      </c>
      <c r="C1" s="681" t="s">
        <v>633</v>
      </c>
      <c r="D1" s="681" t="s">
        <v>605</v>
      </c>
      <c r="E1" s="678"/>
      <c r="F1" s="678"/>
      <c r="G1" s="678" t="s">
        <v>639</v>
      </c>
      <c r="H1" s="681" t="s">
        <v>638</v>
      </c>
      <c r="I1" s="681" t="s">
        <v>637</v>
      </c>
    </row>
    <row r="2" spans="1:12">
      <c r="A2" s="681" t="s">
        <v>609</v>
      </c>
      <c r="B2" s="681" t="s">
        <v>636</v>
      </c>
      <c r="C2" s="681" t="s">
        <v>635</v>
      </c>
      <c r="D2" s="681" t="s">
        <v>631</v>
      </c>
      <c r="E2" s="679" t="s">
        <v>634</v>
      </c>
      <c r="F2" s="679"/>
      <c r="G2" s="723">
        <f>I50</f>
        <v>6.7345569502898162E-2</v>
      </c>
      <c r="H2" s="681" t="s">
        <v>633</v>
      </c>
      <c r="I2" s="681" t="s">
        <v>497</v>
      </c>
    </row>
    <row r="3" spans="1:12">
      <c r="A3" s="684" t="s">
        <v>603</v>
      </c>
      <c r="B3" s="684" t="s">
        <v>497</v>
      </c>
      <c r="C3" s="684" t="s">
        <v>497</v>
      </c>
      <c r="D3" s="684" t="s">
        <v>497</v>
      </c>
      <c r="E3" s="685" t="s">
        <v>605</v>
      </c>
      <c r="F3" s="685" t="s">
        <v>633</v>
      </c>
      <c r="G3" s="684" t="s">
        <v>632</v>
      </c>
      <c r="H3" s="684" t="s">
        <v>631</v>
      </c>
      <c r="I3" s="684" t="s">
        <v>630</v>
      </c>
    </row>
    <row r="4" spans="1:12">
      <c r="A4" s="724">
        <v>-1</v>
      </c>
      <c r="B4" s="724">
        <f>A4-1</f>
        <v>-2</v>
      </c>
      <c r="C4" s="678" t="s">
        <v>687</v>
      </c>
      <c r="D4" s="724">
        <v>-4</v>
      </c>
      <c r="E4" s="724">
        <f>D4-1</f>
        <v>-5</v>
      </c>
      <c r="F4" s="724">
        <f>E4-1</f>
        <v>-6</v>
      </c>
      <c r="G4" s="678" t="s">
        <v>628</v>
      </c>
      <c r="H4" s="724">
        <v>-8</v>
      </c>
      <c r="I4" s="678" t="s">
        <v>627</v>
      </c>
    </row>
    <row r="5" spans="1:12">
      <c r="C5" s="689"/>
      <c r="G5" s="681"/>
      <c r="I5" s="683"/>
    </row>
    <row r="6" spans="1:12" ht="15.75">
      <c r="A6" s="725" t="s">
        <v>626</v>
      </c>
    </row>
    <row r="7" spans="1:12">
      <c r="A7" s="689" t="s">
        <v>676</v>
      </c>
      <c r="B7" s="726">
        <v>359.58</v>
      </c>
      <c r="C7" s="168">
        <f>B7*C$47</f>
        <v>4.0086236377846935</v>
      </c>
      <c r="D7" s="726">
        <f>ROUND((76.23+69.96)*2/10,2)</f>
        <v>29.24</v>
      </c>
      <c r="E7" s="169">
        <v>484</v>
      </c>
      <c r="F7" s="727">
        <f>ROUND(E7/12,1)</f>
        <v>40.299999999999997</v>
      </c>
      <c r="G7" s="168">
        <f>ROUND(F7*$I$50,2)</f>
        <v>2.71</v>
      </c>
      <c r="H7" s="168">
        <f>D7/12</f>
        <v>2.4366666666666665</v>
      </c>
      <c r="I7" s="168">
        <f>SUM(C7+G7+H7,0)</f>
        <v>9.1552903044513592</v>
      </c>
    </row>
    <row r="8" spans="1:12">
      <c r="A8" s="689" t="s">
        <v>675</v>
      </c>
      <c r="B8" s="726">
        <v>363</v>
      </c>
      <c r="C8" s="168">
        <f>B8*C$47</f>
        <v>4.0467500431499079</v>
      </c>
      <c r="D8" s="726">
        <f>ROUND((77.81+69.96)*2/10,2)</f>
        <v>29.55</v>
      </c>
      <c r="E8" s="169">
        <v>704</v>
      </c>
      <c r="F8" s="727">
        <f>ROUND(E8/12,1)</f>
        <v>58.7</v>
      </c>
      <c r="G8" s="168">
        <f>ROUND(F8*$I$50,2)</f>
        <v>3.95</v>
      </c>
      <c r="H8" s="168">
        <f>D8/12</f>
        <v>2.4624999999999999</v>
      </c>
      <c r="I8" s="168">
        <f>SUM(C8+G8+H8,0)</f>
        <v>10.459250043149908</v>
      </c>
    </row>
    <row r="9" spans="1:12">
      <c r="A9" s="689" t="s">
        <v>674</v>
      </c>
      <c r="B9" s="726">
        <v>410.81</v>
      </c>
      <c r="C9" s="168">
        <f>B9*C$47</f>
        <v>4.5797393532408091</v>
      </c>
      <c r="D9" s="726">
        <f>ROUND((78.3+69.96)*2/10,2)</f>
        <v>29.65</v>
      </c>
      <c r="E9" s="169">
        <v>1012</v>
      </c>
      <c r="F9" s="727">
        <f>ROUND(E9/12,1)</f>
        <v>84.3</v>
      </c>
      <c r="G9" s="168">
        <f>ROUND(F9*$I$50,2)</f>
        <v>5.68</v>
      </c>
      <c r="H9" s="168">
        <f>D9/12</f>
        <v>2.4708333333333332</v>
      </c>
      <c r="I9" s="168">
        <f>SUM(C9+G9+H9,0)</f>
        <v>12.730572686574142</v>
      </c>
    </row>
    <row r="10" spans="1:12">
      <c r="A10" s="689" t="s">
        <v>673</v>
      </c>
      <c r="B10" s="726">
        <v>442.78</v>
      </c>
      <c r="C10" s="168">
        <f>B10*C$47</f>
        <v>4.9361432069033508</v>
      </c>
      <c r="D10" s="726">
        <f>ROUND((79.82+69.96)*2/10,2)</f>
        <v>29.96</v>
      </c>
      <c r="E10" s="169">
        <v>2000</v>
      </c>
      <c r="F10" s="727">
        <f>ROUND(E10/12,1)</f>
        <v>166.7</v>
      </c>
      <c r="G10" s="168">
        <f>ROUND(F10*$I$50,2)</f>
        <v>11.23</v>
      </c>
      <c r="H10" s="168">
        <f>D10/12</f>
        <v>2.4966666666666666</v>
      </c>
      <c r="I10" s="168">
        <f>SUM(C10+G10+H10,0)</f>
        <v>18.662809873570016</v>
      </c>
    </row>
    <row r="11" spans="1:12">
      <c r="C11" s="168"/>
      <c r="E11" s="169"/>
      <c r="F11" s="169"/>
      <c r="G11" s="168"/>
      <c r="H11" s="168"/>
      <c r="I11" s="168"/>
    </row>
    <row r="12" spans="1:12">
      <c r="C12" s="168"/>
      <c r="E12" s="169"/>
      <c r="F12" s="169"/>
      <c r="G12" s="168"/>
      <c r="H12" s="168"/>
      <c r="I12" s="168"/>
    </row>
    <row r="13" spans="1:12">
      <c r="C13" s="168"/>
      <c r="E13" s="169"/>
      <c r="F13" s="169"/>
      <c r="G13" s="168"/>
      <c r="H13" s="168"/>
      <c r="I13" s="168"/>
    </row>
    <row r="14" spans="1:12">
      <c r="C14" s="168"/>
      <c r="E14" s="169"/>
      <c r="F14" s="169"/>
      <c r="G14" s="168"/>
      <c r="H14" s="168"/>
      <c r="I14" s="168"/>
    </row>
    <row r="15" spans="1:12">
      <c r="C15" s="168"/>
      <c r="E15" s="169"/>
      <c r="F15" s="169"/>
      <c r="G15" s="168"/>
      <c r="H15" s="168"/>
      <c r="I15" s="168"/>
    </row>
    <row r="16" spans="1:12">
      <c r="A16" s="722"/>
      <c r="E16" s="681" t="s">
        <v>638</v>
      </c>
      <c r="F16" s="681" t="s">
        <v>633</v>
      </c>
      <c r="G16" s="681" t="s">
        <v>605</v>
      </c>
      <c r="H16" s="678"/>
      <c r="I16" s="678"/>
      <c r="J16" s="678" t="s">
        <v>639</v>
      </c>
      <c r="K16" s="681" t="s">
        <v>638</v>
      </c>
      <c r="L16" s="681" t="s">
        <v>637</v>
      </c>
    </row>
    <row r="17" spans="1:12">
      <c r="A17" s="681" t="s">
        <v>609</v>
      </c>
      <c r="B17" s="678" t="s">
        <v>686</v>
      </c>
      <c r="C17" s="678" t="s">
        <v>685</v>
      </c>
      <c r="D17" s="678" t="s">
        <v>685</v>
      </c>
      <c r="E17" s="681" t="s">
        <v>636</v>
      </c>
      <c r="F17" s="681" t="s">
        <v>635</v>
      </c>
      <c r="G17" s="681" t="s">
        <v>631</v>
      </c>
      <c r="H17" s="679" t="s">
        <v>634</v>
      </c>
      <c r="I17" s="679"/>
      <c r="J17" s="723">
        <f>I50</f>
        <v>6.7345569502898162E-2</v>
      </c>
      <c r="K17" s="681" t="s">
        <v>633</v>
      </c>
      <c r="L17" s="681" t="s">
        <v>497</v>
      </c>
    </row>
    <row r="18" spans="1:12">
      <c r="A18" s="684" t="s">
        <v>603</v>
      </c>
      <c r="B18" s="684" t="s">
        <v>497</v>
      </c>
      <c r="C18" s="684" t="s">
        <v>684</v>
      </c>
      <c r="D18" s="684" t="s">
        <v>497</v>
      </c>
      <c r="E18" s="684" t="s">
        <v>497</v>
      </c>
      <c r="F18" s="684" t="s">
        <v>497</v>
      </c>
      <c r="G18" s="684" t="s">
        <v>497</v>
      </c>
      <c r="H18" s="685" t="s">
        <v>605</v>
      </c>
      <c r="I18" s="685" t="s">
        <v>633</v>
      </c>
      <c r="J18" s="684" t="s">
        <v>632</v>
      </c>
      <c r="K18" s="684" t="s">
        <v>631</v>
      </c>
      <c r="L18" s="684" t="s">
        <v>630</v>
      </c>
    </row>
    <row r="19" spans="1:12">
      <c r="A19" s="724">
        <v>-1</v>
      </c>
      <c r="B19" s="678" t="s">
        <v>683</v>
      </c>
      <c r="C19" s="678" t="s">
        <v>682</v>
      </c>
      <c r="D19" s="678" t="s">
        <v>681</v>
      </c>
      <c r="E19" s="728" t="s">
        <v>680</v>
      </c>
      <c r="F19" s="678" t="s">
        <v>679</v>
      </c>
      <c r="G19" s="724">
        <v>-7</v>
      </c>
      <c r="H19" s="724">
        <f>G19-1</f>
        <v>-8</v>
      </c>
      <c r="I19" s="724">
        <f>H19-1</f>
        <v>-9</v>
      </c>
      <c r="J19" s="678" t="s">
        <v>678</v>
      </c>
      <c r="K19" s="724">
        <v>-11</v>
      </c>
      <c r="L19" s="678" t="s">
        <v>677</v>
      </c>
    </row>
    <row r="20" spans="1:12">
      <c r="B20" s="729"/>
      <c r="F20" s="689"/>
      <c r="J20" s="681"/>
      <c r="L20" s="683"/>
    </row>
    <row r="21" spans="1:12" ht="15.75">
      <c r="A21" s="725" t="s">
        <v>626</v>
      </c>
    </row>
    <row r="22" spans="1:12">
      <c r="A22" s="689" t="s">
        <v>676</v>
      </c>
      <c r="B22" s="690">
        <f>+B7</f>
        <v>359.58</v>
      </c>
      <c r="C22" s="730"/>
      <c r="D22" s="731">
        <v>582.53</v>
      </c>
      <c r="E22" s="168">
        <f>B22+D22</f>
        <v>942.1099999999999</v>
      </c>
      <c r="F22" s="168">
        <f>E22*C$47</f>
        <v>10.502709870942038</v>
      </c>
      <c r="G22" s="168">
        <f t="shared" ref="G22:H25" si="0">D7</f>
        <v>29.24</v>
      </c>
      <c r="H22" s="169">
        <f t="shared" si="0"/>
        <v>484</v>
      </c>
      <c r="I22" s="727">
        <f>ROUND(H22/12,1)</f>
        <v>40.299999999999997</v>
      </c>
      <c r="J22" s="168">
        <f>ROUND(I22*$I$50,2)</f>
        <v>2.71</v>
      </c>
      <c r="K22" s="168">
        <f>G22/12</f>
        <v>2.4366666666666665</v>
      </c>
      <c r="L22" s="168">
        <f>SUM(F22+J22+K22,0)</f>
        <v>15.649376537608706</v>
      </c>
    </row>
    <row r="23" spans="1:12">
      <c r="A23" s="689" t="s">
        <v>675</v>
      </c>
      <c r="B23" s="690">
        <f>+B8</f>
        <v>363</v>
      </c>
      <c r="C23" s="730"/>
      <c r="D23" s="720">
        <f>D22</f>
        <v>582.53</v>
      </c>
      <c r="E23" s="168">
        <f>B23+D23</f>
        <v>945.53</v>
      </c>
      <c r="F23" s="168">
        <f>E23*C$47</f>
        <v>10.540836276307251</v>
      </c>
      <c r="G23" s="168">
        <f t="shared" si="0"/>
        <v>29.55</v>
      </c>
      <c r="H23" s="169">
        <f t="shared" si="0"/>
        <v>704</v>
      </c>
      <c r="I23" s="727">
        <f>ROUND(H23/12,1)</f>
        <v>58.7</v>
      </c>
      <c r="J23" s="168">
        <f>ROUND(I23*$I$50,2)</f>
        <v>3.95</v>
      </c>
      <c r="K23" s="168">
        <f>G23/12</f>
        <v>2.4624999999999999</v>
      </c>
      <c r="L23" s="168">
        <f>SUM(F23+J23+K23,0)</f>
        <v>16.953336276307251</v>
      </c>
    </row>
    <row r="24" spans="1:12">
      <c r="A24" s="689" t="s">
        <v>674</v>
      </c>
      <c r="B24" s="690">
        <f>+B9</f>
        <v>410.81</v>
      </c>
      <c r="C24" s="730"/>
      <c r="D24" s="720">
        <f>D22</f>
        <v>582.53</v>
      </c>
      <c r="E24" s="168">
        <f>B24+D24</f>
        <v>993.33999999999992</v>
      </c>
      <c r="F24" s="168">
        <f>E24*C$47</f>
        <v>11.073825586398153</v>
      </c>
      <c r="G24" s="168">
        <f t="shared" si="0"/>
        <v>29.65</v>
      </c>
      <c r="H24" s="169">
        <f t="shared" si="0"/>
        <v>1012</v>
      </c>
      <c r="I24" s="727">
        <f>ROUND(H24/12,1)</f>
        <v>84.3</v>
      </c>
      <c r="J24" s="168">
        <f>ROUND(I24*$I$50,2)</f>
        <v>5.68</v>
      </c>
      <c r="K24" s="168">
        <f>G24/12</f>
        <v>2.4708333333333332</v>
      </c>
      <c r="L24" s="168">
        <f>SUM(F24+J24+K24,0)</f>
        <v>19.224658919731482</v>
      </c>
    </row>
    <row r="25" spans="1:12">
      <c r="A25" s="689" t="s">
        <v>673</v>
      </c>
      <c r="B25" s="690">
        <f>+B10</f>
        <v>442.78</v>
      </c>
      <c r="C25" s="730"/>
      <c r="D25" s="720">
        <f>D22</f>
        <v>582.53</v>
      </c>
      <c r="E25" s="168">
        <f>B25+D25</f>
        <v>1025.31</v>
      </c>
      <c r="F25" s="168">
        <f>E25*C$47</f>
        <v>11.430229440060694</v>
      </c>
      <c r="G25" s="168">
        <f t="shared" si="0"/>
        <v>29.96</v>
      </c>
      <c r="H25" s="169">
        <f t="shared" si="0"/>
        <v>2000</v>
      </c>
      <c r="I25" s="727">
        <f>ROUND(H25/12,1)</f>
        <v>166.7</v>
      </c>
      <c r="J25" s="168">
        <f>ROUND(I25*$I$50,2)</f>
        <v>11.23</v>
      </c>
      <c r="K25" s="168">
        <f>G25/12</f>
        <v>2.4966666666666666</v>
      </c>
      <c r="L25" s="168">
        <f>SUM(F25+J25+K25,0)</f>
        <v>25.156896106727363</v>
      </c>
    </row>
    <row r="26" spans="1:12">
      <c r="B26" s="690"/>
      <c r="E26" s="168"/>
      <c r="F26" s="168"/>
      <c r="G26" s="168"/>
      <c r="H26" s="169"/>
      <c r="I26" s="169"/>
      <c r="J26" s="168"/>
      <c r="K26" s="168"/>
      <c r="L26" s="168"/>
    </row>
    <row r="27" spans="1:12" ht="15.75">
      <c r="A27" s="688" t="s">
        <v>626</v>
      </c>
      <c r="B27" s="690"/>
      <c r="E27" s="168"/>
      <c r="F27" s="168"/>
      <c r="G27" s="168"/>
      <c r="H27" s="169"/>
      <c r="I27" s="169"/>
      <c r="J27" s="168"/>
      <c r="K27" s="168"/>
      <c r="L27" s="168"/>
    </row>
    <row r="28" spans="1:12">
      <c r="A28" s="689" t="s">
        <v>676</v>
      </c>
      <c r="B28" s="690">
        <f>B7</f>
        <v>359.58</v>
      </c>
      <c r="C28" s="730"/>
      <c r="D28" s="731">
        <v>1790.1299999999999</v>
      </c>
      <c r="E28" s="168">
        <f>B28+D28</f>
        <v>2149.71</v>
      </c>
      <c r="F28" s="168">
        <f>E28*C$47</f>
        <v>23.965121309255618</v>
      </c>
      <c r="G28" s="168">
        <f t="shared" ref="G28:H31" si="1">G22</f>
        <v>29.24</v>
      </c>
      <c r="H28" s="169">
        <f t="shared" si="1"/>
        <v>484</v>
      </c>
      <c r="I28" s="727">
        <f>ROUND(H28/12,1)</f>
        <v>40.299999999999997</v>
      </c>
      <c r="J28" s="168">
        <f>ROUND(I28*$I$50,2)</f>
        <v>2.71</v>
      </c>
      <c r="K28" s="168">
        <f>G28/12</f>
        <v>2.4366666666666665</v>
      </c>
      <c r="L28" s="168">
        <f>SUM(F28+J28+K28,0)</f>
        <v>29.111787975922287</v>
      </c>
    </row>
    <row r="29" spans="1:12">
      <c r="A29" s="689" t="s">
        <v>675</v>
      </c>
      <c r="B29" s="690">
        <f>B8</f>
        <v>363</v>
      </c>
      <c r="C29" s="730"/>
      <c r="D29" s="720">
        <f>+D28</f>
        <v>1790.1299999999999</v>
      </c>
      <c r="E29" s="168">
        <f>B29+D29</f>
        <v>2153.13</v>
      </c>
      <c r="F29" s="168">
        <f>E29*C$47</f>
        <v>24.003247714620834</v>
      </c>
      <c r="G29" s="168">
        <f t="shared" si="1"/>
        <v>29.55</v>
      </c>
      <c r="H29" s="169">
        <f t="shared" si="1"/>
        <v>704</v>
      </c>
      <c r="I29" s="727">
        <f>ROUND(H29/12,1)</f>
        <v>58.7</v>
      </c>
      <c r="J29" s="168">
        <f>ROUND(I29*$I$50,2)</f>
        <v>3.95</v>
      </c>
      <c r="K29" s="168">
        <f>G29/12</f>
        <v>2.4624999999999999</v>
      </c>
      <c r="L29" s="168">
        <f>SUM(F29+J29+K29,0)</f>
        <v>30.415747714620831</v>
      </c>
    </row>
    <row r="30" spans="1:12">
      <c r="A30" s="689" t="s">
        <v>674</v>
      </c>
      <c r="B30" s="690">
        <f>B9</f>
        <v>410.81</v>
      </c>
      <c r="C30" s="730"/>
      <c r="D30" s="720">
        <f>+D29</f>
        <v>1790.1299999999999</v>
      </c>
      <c r="E30" s="168">
        <f>B30+D30</f>
        <v>2200.94</v>
      </c>
      <c r="F30" s="168">
        <f>E30*C$47</f>
        <v>24.536237024711731</v>
      </c>
      <c r="G30" s="168">
        <f t="shared" si="1"/>
        <v>29.65</v>
      </c>
      <c r="H30" s="169">
        <f t="shared" si="1"/>
        <v>1012</v>
      </c>
      <c r="I30" s="727">
        <f>ROUND(H30/12,1)</f>
        <v>84.3</v>
      </c>
      <c r="J30" s="168">
        <f>ROUND(I30*$I$50,2)</f>
        <v>5.68</v>
      </c>
      <c r="K30" s="168">
        <f>G30/12</f>
        <v>2.4708333333333332</v>
      </c>
      <c r="L30" s="168">
        <f>SUM(F30+J30+K30,0)</f>
        <v>32.687070358045062</v>
      </c>
    </row>
    <row r="31" spans="1:12">
      <c r="A31" s="689" t="s">
        <v>673</v>
      </c>
      <c r="B31" s="690">
        <f>B10</f>
        <v>442.78</v>
      </c>
      <c r="C31" s="730"/>
      <c r="D31" s="720">
        <f>+D30</f>
        <v>1790.1299999999999</v>
      </c>
      <c r="E31" s="168">
        <f>B31+D31</f>
        <v>2232.91</v>
      </c>
      <c r="F31" s="168">
        <f>E31*C$47</f>
        <v>24.892640878374273</v>
      </c>
      <c r="G31" s="168">
        <f t="shared" si="1"/>
        <v>29.96</v>
      </c>
      <c r="H31" s="169">
        <f t="shared" si="1"/>
        <v>2000</v>
      </c>
      <c r="I31" s="727">
        <f>ROUND(H31/12,1)</f>
        <v>166.7</v>
      </c>
      <c r="J31" s="168">
        <f>ROUND(I31*$I$50,2)</f>
        <v>11.23</v>
      </c>
      <c r="K31" s="168">
        <f>G31/12</f>
        <v>2.4966666666666666</v>
      </c>
      <c r="L31" s="168">
        <f>SUM(F31+J31+K31,0)</f>
        <v>38.61930754504094</v>
      </c>
    </row>
    <row r="33" spans="1:9">
      <c r="D33" s="695"/>
    </row>
    <row r="34" spans="1:9">
      <c r="D34" s="695"/>
    </row>
    <row r="35" spans="1:9">
      <c r="D35" s="695"/>
    </row>
    <row r="36" spans="1:9">
      <c r="D36" s="695"/>
    </row>
    <row r="37" spans="1:9">
      <c r="F37" s="689"/>
    </row>
    <row r="38" spans="1:9">
      <c r="B38" s="683"/>
      <c r="C38" s="678" t="s">
        <v>671</v>
      </c>
      <c r="F38" s="689" t="s">
        <v>672</v>
      </c>
    </row>
    <row r="39" spans="1:9">
      <c r="B39" s="684"/>
      <c r="C39" s="684" t="s">
        <v>670</v>
      </c>
    </row>
    <row r="40" spans="1:9">
      <c r="F40" s="689" t="s">
        <v>669</v>
      </c>
      <c r="I40" s="732">
        <f>'EX AEV-1'!Y20+'EX AEV-1'!Y22+'EX AEV-1'!Y23</f>
        <v>115355</v>
      </c>
    </row>
    <row r="41" spans="1:9">
      <c r="A41" s="689" t="s">
        <v>622</v>
      </c>
      <c r="B41" s="193"/>
      <c r="C41" s="669">
        <f>'Carrying Charge'!H10/100</f>
        <v>7.2800000000000004E-2</v>
      </c>
      <c r="F41" s="689" t="s">
        <v>668</v>
      </c>
      <c r="I41" s="733">
        <f>'EX AEV-1'!Y21</f>
        <v>285871</v>
      </c>
    </row>
    <row r="42" spans="1:9">
      <c r="A42" s="689" t="s">
        <v>621</v>
      </c>
      <c r="B42" s="193"/>
      <c r="C42" s="669">
        <f>'Carrying Charge'!H12/100</f>
        <v>3.1495712878099436E-2</v>
      </c>
      <c r="F42" s="718" t="s">
        <v>667</v>
      </c>
    </row>
    <row r="43" spans="1:9">
      <c r="A43" s="689" t="s">
        <v>620</v>
      </c>
      <c r="B43" s="193"/>
      <c r="C43" s="669">
        <f>'Carrying Charge'!H14/100</f>
        <v>1.5781148052476029E-2</v>
      </c>
      <c r="F43" s="734" t="s">
        <v>993</v>
      </c>
      <c r="G43" s="680"/>
      <c r="I43" s="733">
        <v>318911</v>
      </c>
    </row>
    <row r="44" spans="1:9">
      <c r="A44" s="689" t="s">
        <v>618</v>
      </c>
      <c r="B44" s="193"/>
      <c r="C44" s="669">
        <f>'Carrying Charge'!H16/100</f>
        <v>1.37E-2</v>
      </c>
      <c r="F44" s="190" t="s">
        <v>616</v>
      </c>
      <c r="I44" s="733">
        <v>41925</v>
      </c>
    </row>
    <row r="45" spans="1:9">
      <c r="A45" s="735" t="s">
        <v>617</v>
      </c>
      <c r="B45" s="736"/>
      <c r="C45" s="736">
        <f>SUM(C41:C44)</f>
        <v>0.13377686093057548</v>
      </c>
      <c r="F45" s="194" t="s">
        <v>615</v>
      </c>
      <c r="I45" s="733">
        <v>24450</v>
      </c>
    </row>
    <row r="46" spans="1:9">
      <c r="F46" s="689" t="s">
        <v>666</v>
      </c>
      <c r="I46" s="733">
        <v>203417</v>
      </c>
    </row>
    <row r="47" spans="1:9">
      <c r="A47" s="689" t="s">
        <v>614</v>
      </c>
      <c r="B47" s="193"/>
      <c r="C47" s="193">
        <f>C45/12</f>
        <v>1.1148071744214623E-2</v>
      </c>
      <c r="F47" s="194" t="s">
        <v>665</v>
      </c>
      <c r="I47" s="737">
        <v>25214</v>
      </c>
    </row>
    <row r="48" spans="1:9">
      <c r="F48" s="735" t="s">
        <v>664</v>
      </c>
      <c r="G48" s="738"/>
      <c r="H48" s="738"/>
      <c r="I48" s="739">
        <f>SUM(I40:I45)-SUM(I46:I47)</f>
        <v>557881</v>
      </c>
    </row>
    <row r="49" spans="6:9" ht="15.75" thickBot="1">
      <c r="F49" s="689" t="s">
        <v>611</v>
      </c>
      <c r="I49" s="733">
        <v>8283856</v>
      </c>
    </row>
    <row r="50" spans="6:9" ht="15.75" thickTop="1">
      <c r="F50" s="740" t="s">
        <v>610</v>
      </c>
      <c r="G50" s="741"/>
      <c r="H50" s="741"/>
      <c r="I50" s="742">
        <f>I48/I49</f>
        <v>6.7345569502898162E-2</v>
      </c>
    </row>
  </sheetData>
  <printOptions horizontalCentered="1"/>
  <pageMargins left="0.5" right="0.5" top="1.25" bottom="0.5" header="0.5" footer="0.5"/>
  <pageSetup scale="52" orientation="portrait" verticalDpi="300" r:id="rId1"/>
  <headerFooter alignWithMargins="0">
    <oddHeader>&amp;L&amp;F
Page &amp;P of &amp;N&amp;CKentucky Power Company
SL Rate Design
Twelve Months Ended March 31, 2013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K403"/>
  <sheetViews>
    <sheetView zoomScale="110" zoomScaleNormal="110" workbookViewId="0">
      <selection activeCell="I18" sqref="I18:I19"/>
    </sheetView>
  </sheetViews>
  <sheetFormatPr defaultRowHeight="12.75"/>
  <cols>
    <col min="1" max="1" width="4.25" style="171" customWidth="1"/>
    <col min="2" max="2" width="9" style="171"/>
    <col min="3" max="3" width="3.375" style="171" customWidth="1"/>
    <col min="4" max="4" width="15.625" style="171" customWidth="1"/>
    <col min="5" max="5" width="12" style="171" customWidth="1"/>
    <col min="6" max="6" width="17.75" style="171" customWidth="1"/>
    <col min="7" max="7" width="9.375" style="171" customWidth="1"/>
    <col min="8" max="8" width="13" style="171" customWidth="1"/>
    <col min="9" max="9" width="9" style="171"/>
    <col min="10" max="10" width="8.625" style="171" bestFit="1" customWidth="1"/>
    <col min="11" max="11" width="14" style="171" bestFit="1" customWidth="1"/>
    <col min="12" max="16384" width="9" style="171"/>
  </cols>
  <sheetData>
    <row r="3" spans="1:11">
      <c r="A3" s="743" t="s">
        <v>118</v>
      </c>
      <c r="B3" s="173" t="s">
        <v>852</v>
      </c>
      <c r="I3" s="744" t="s">
        <v>744</v>
      </c>
      <c r="J3" s="744" t="s">
        <v>743</v>
      </c>
    </row>
    <row r="5" spans="1:11">
      <c r="B5" s="171" t="s">
        <v>851</v>
      </c>
      <c r="C5" s="171" t="s">
        <v>850</v>
      </c>
      <c r="I5" s="171" t="s">
        <v>849</v>
      </c>
      <c r="J5" s="745">
        <v>751.16</v>
      </c>
      <c r="K5" s="171" t="s">
        <v>314</v>
      </c>
    </row>
    <row r="7" spans="1:11">
      <c r="B7" s="171" t="s">
        <v>848</v>
      </c>
      <c r="C7" s="171" t="s">
        <v>847</v>
      </c>
      <c r="I7" s="171" t="s">
        <v>789</v>
      </c>
      <c r="J7" s="746">
        <f>'Carrying Charge'!B10/100</f>
        <v>7.2800000000000004E-2</v>
      </c>
    </row>
    <row r="9" spans="1:11">
      <c r="B9" s="171" t="s">
        <v>846</v>
      </c>
      <c r="C9" s="171" t="s">
        <v>845</v>
      </c>
      <c r="I9" s="171" t="s">
        <v>844</v>
      </c>
      <c r="J9" s="747">
        <f>+E180</f>
        <v>0.1181</v>
      </c>
    </row>
    <row r="11" spans="1:11">
      <c r="B11" s="171" t="s">
        <v>843</v>
      </c>
      <c r="C11" s="171" t="s">
        <v>842</v>
      </c>
      <c r="I11" s="171" t="s">
        <v>841</v>
      </c>
      <c r="J11" s="748">
        <f>+H140</f>
        <v>17.37</v>
      </c>
      <c r="K11" s="171" t="s">
        <v>314</v>
      </c>
    </row>
    <row r="13" spans="1:11">
      <c r="B13" s="171" t="s">
        <v>840</v>
      </c>
      <c r="C13" s="171" t="s">
        <v>839</v>
      </c>
      <c r="I13" s="171" t="s">
        <v>838</v>
      </c>
      <c r="J13" s="747">
        <f>+F225</f>
        <v>0.1</v>
      </c>
    </row>
    <row r="15" spans="1:11">
      <c r="B15" s="171" t="s">
        <v>837</v>
      </c>
      <c r="C15" s="171" t="s">
        <v>836</v>
      </c>
      <c r="I15" s="171" t="s">
        <v>835</v>
      </c>
      <c r="J15" s="172">
        <v>30</v>
      </c>
      <c r="K15" s="171" t="s">
        <v>834</v>
      </c>
    </row>
    <row r="17" spans="1:10">
      <c r="B17" s="171" t="s">
        <v>833</v>
      </c>
      <c r="C17" s="171" t="s">
        <v>832</v>
      </c>
      <c r="I17" s="171" t="s">
        <v>831</v>
      </c>
      <c r="J17" s="171">
        <f>+H33</f>
        <v>1.4252</v>
      </c>
    </row>
    <row r="19" spans="1:10">
      <c r="B19" s="171" t="s">
        <v>830</v>
      </c>
      <c r="C19" s="171" t="s">
        <v>829</v>
      </c>
      <c r="I19" s="171" t="s">
        <v>828</v>
      </c>
      <c r="J19" s="747">
        <f>+G391</f>
        <v>2.1000000000000001E-2</v>
      </c>
    </row>
    <row r="20" spans="1:10">
      <c r="J20" s="747"/>
    </row>
    <row r="21" spans="1:10">
      <c r="B21" s="171" t="s">
        <v>827</v>
      </c>
      <c r="C21" s="171" t="s">
        <v>826</v>
      </c>
      <c r="I21" s="171" t="s">
        <v>825</v>
      </c>
      <c r="J21" s="747">
        <f>+J19</f>
        <v>2.1000000000000001E-2</v>
      </c>
    </row>
    <row r="26" spans="1:10">
      <c r="A26" s="743" t="s">
        <v>12</v>
      </c>
      <c r="B26" s="173" t="s">
        <v>824</v>
      </c>
    </row>
    <row r="30" spans="1:10" ht="12.75" customHeight="1"/>
    <row r="31" spans="1:10" ht="12.75" customHeight="1"/>
    <row r="32" spans="1:10">
      <c r="F32" s="749">
        <f>(1+J7)^J15-1</f>
        <v>7.2330915617082052</v>
      </c>
    </row>
    <row r="33" spans="1:8">
      <c r="B33" s="171" t="s">
        <v>823</v>
      </c>
      <c r="D33" s="750">
        <f>+J9</f>
        <v>0.1181</v>
      </c>
      <c r="E33" s="177" t="s">
        <v>89</v>
      </c>
      <c r="F33" s="177" t="s">
        <v>822</v>
      </c>
      <c r="G33" s="177" t="s">
        <v>15</v>
      </c>
      <c r="H33" s="751">
        <f>ROUND(D33*F32/F34,4)</f>
        <v>1.4252</v>
      </c>
    </row>
    <row r="34" spans="1:8">
      <c r="F34" s="752">
        <f>J7*(1+J7)^J15</f>
        <v>0.59936906569235737</v>
      </c>
    </row>
    <row r="36" spans="1:8">
      <c r="A36" s="743" t="s">
        <v>18</v>
      </c>
      <c r="B36" s="173" t="s">
        <v>821</v>
      </c>
    </row>
    <row r="43" spans="1:8">
      <c r="C43" s="171" t="s">
        <v>820</v>
      </c>
    </row>
    <row r="67" spans="2:6">
      <c r="B67" s="173" t="s">
        <v>819</v>
      </c>
    </row>
    <row r="69" spans="2:6">
      <c r="C69" s="171" t="s">
        <v>816</v>
      </c>
      <c r="D69" s="172">
        <v>1</v>
      </c>
    </row>
    <row r="70" spans="2:6">
      <c r="C70" s="171" t="s">
        <v>815</v>
      </c>
      <c r="D70" s="753">
        <f>1-(1+J21)/(1+J7)</f>
        <v>4.8284862043251331E-2</v>
      </c>
      <c r="E70" s="754" t="s">
        <v>814</v>
      </c>
      <c r="F70" s="753">
        <f>J11*((1+J19)/(1+J7))</f>
        <v>16.531291946308727</v>
      </c>
    </row>
    <row r="71" spans="2:6">
      <c r="C71" s="171" t="s">
        <v>813</v>
      </c>
      <c r="D71" s="753">
        <f>1-((1+J21)/(1+J7))^J15</f>
        <v>0.7734263936682374</v>
      </c>
      <c r="E71" s="754" t="s">
        <v>812</v>
      </c>
      <c r="F71" s="753">
        <f>(1+J19)^(D69-1)</f>
        <v>1</v>
      </c>
    </row>
    <row r="72" spans="2:6">
      <c r="C72" s="171" t="s">
        <v>811</v>
      </c>
      <c r="D72" s="753">
        <f>(1+J21)^(D69-1)</f>
        <v>1</v>
      </c>
      <c r="E72" s="754" t="s">
        <v>810</v>
      </c>
      <c r="F72" s="753">
        <f>1-J13/2</f>
        <v>0.95</v>
      </c>
    </row>
    <row r="81" spans="2:6">
      <c r="B81" s="171" t="s">
        <v>809</v>
      </c>
      <c r="D81" s="755">
        <f>(1/12)*(J17*J5*D70/D71*D72+F70*F71)/F72</f>
        <v>7.3127829613689261</v>
      </c>
    </row>
    <row r="83" spans="2:6">
      <c r="B83" s="173" t="s">
        <v>818</v>
      </c>
    </row>
    <row r="85" spans="2:6">
      <c r="C85" s="171" t="s">
        <v>816</v>
      </c>
      <c r="D85" s="172">
        <v>2</v>
      </c>
    </row>
    <row r="86" spans="2:6">
      <c r="C86" s="171" t="s">
        <v>815</v>
      </c>
      <c r="D86" s="753">
        <f>1-(1+J21)/(1+J7)</f>
        <v>4.8284862043251331E-2</v>
      </c>
      <c r="E86" s="171" t="s">
        <v>814</v>
      </c>
      <c r="F86" s="753">
        <f>J11*((1+J19)/(1+J7))</f>
        <v>16.531291946308727</v>
      </c>
    </row>
    <row r="87" spans="2:6">
      <c r="C87" s="171" t="s">
        <v>813</v>
      </c>
      <c r="D87" s="753">
        <f>1-((1+J21)/(1+J7))^J15</f>
        <v>0.7734263936682374</v>
      </c>
      <c r="E87" s="171" t="s">
        <v>812</v>
      </c>
      <c r="F87" s="753">
        <f>(1+J19)^(D85-1)</f>
        <v>1.0209999999999999</v>
      </c>
    </row>
    <row r="88" spans="2:6">
      <c r="C88" s="171" t="s">
        <v>811</v>
      </c>
      <c r="D88" s="753">
        <f>(1+J21)^(D85-1)</f>
        <v>1.0209999999999999</v>
      </c>
      <c r="E88" s="171" t="s">
        <v>810</v>
      </c>
      <c r="F88" s="753">
        <f>1-J13/2</f>
        <v>0.95</v>
      </c>
    </row>
    <row r="90" spans="2:6">
      <c r="B90" s="171" t="s">
        <v>809</v>
      </c>
      <c r="D90" s="755">
        <f>(1/12)*(J17*J5*D86/D87*D88+F86*F87)/F88</f>
        <v>7.466351403557673</v>
      </c>
    </row>
    <row r="91" spans="2:6">
      <c r="D91" s="755"/>
    </row>
    <row r="92" spans="2:6">
      <c r="B92" s="173" t="s">
        <v>817</v>
      </c>
      <c r="D92" s="755"/>
    </row>
    <row r="93" spans="2:6">
      <c r="D93" s="755"/>
    </row>
    <row r="94" spans="2:6">
      <c r="C94" s="171" t="s">
        <v>816</v>
      </c>
      <c r="D94" s="172">
        <v>3</v>
      </c>
    </row>
    <row r="95" spans="2:6">
      <c r="C95" s="171" t="s">
        <v>815</v>
      </c>
      <c r="D95" s="753">
        <f>1-(1+J21)/(1+J7)</f>
        <v>4.8284862043251331E-2</v>
      </c>
      <c r="E95" s="171" t="s">
        <v>814</v>
      </c>
      <c r="F95" s="753">
        <f>J11*((1+J19)/(1+J7))</f>
        <v>16.531291946308727</v>
      </c>
    </row>
    <row r="96" spans="2:6">
      <c r="C96" s="171" t="s">
        <v>813</v>
      </c>
      <c r="D96" s="753">
        <f>1-((1+J21)/(1+J7))^J15</f>
        <v>0.7734263936682374</v>
      </c>
      <c r="E96" s="171" t="s">
        <v>812</v>
      </c>
      <c r="F96" s="753">
        <f>(1+J19)^(D94-1)</f>
        <v>1.0424409999999997</v>
      </c>
    </row>
    <row r="97" spans="1:6">
      <c r="C97" s="171" t="s">
        <v>811</v>
      </c>
      <c r="D97" s="753">
        <f>(1+J21)^(D94-1)</f>
        <v>1.0424409999999997</v>
      </c>
      <c r="E97" s="171" t="s">
        <v>810</v>
      </c>
      <c r="F97" s="753">
        <f>1-J13/2</f>
        <v>0.95</v>
      </c>
    </row>
    <row r="99" spans="1:6">
      <c r="B99" s="171" t="s">
        <v>809</v>
      </c>
      <c r="D99" s="755">
        <f>(1/12)*(J17*J5*D95/D96*D97+F95*F96)/F97</f>
        <v>7.6231447830323837</v>
      </c>
    </row>
    <row r="102" spans="1:6">
      <c r="B102" s="171" t="s">
        <v>807</v>
      </c>
      <c r="F102" s="756">
        <f>+(D81+D90+D99)/3</f>
        <v>7.4674263826529943</v>
      </c>
    </row>
    <row r="103" spans="1:6">
      <c r="B103" s="171" t="s">
        <v>808</v>
      </c>
    </row>
    <row r="105" spans="1:6">
      <c r="B105" s="171" t="s">
        <v>807</v>
      </c>
      <c r="F105" s="755">
        <f>+G203/I205*F102</f>
        <v>3.1114276594387476</v>
      </c>
    </row>
    <row r="106" spans="1:6">
      <c r="B106" s="171" t="s">
        <v>806</v>
      </c>
    </row>
    <row r="109" spans="1:6">
      <c r="A109" s="173" t="s">
        <v>805</v>
      </c>
    </row>
    <row r="112" spans="1:6">
      <c r="A112" s="743" t="s">
        <v>118</v>
      </c>
      <c r="B112" s="173" t="s">
        <v>904</v>
      </c>
    </row>
    <row r="114" spans="1:9">
      <c r="C114" s="171" t="s">
        <v>804</v>
      </c>
      <c r="H114" s="757">
        <v>10.16</v>
      </c>
      <c r="I114" s="171" t="s">
        <v>800</v>
      </c>
    </row>
    <row r="115" spans="1:9">
      <c r="C115" s="171" t="s">
        <v>757</v>
      </c>
      <c r="G115" s="171" t="s">
        <v>89</v>
      </c>
      <c r="H115" s="758">
        <v>8760</v>
      </c>
      <c r="I115" s="171" t="s">
        <v>756</v>
      </c>
    </row>
    <row r="116" spans="1:9">
      <c r="C116" s="171" t="s">
        <v>796</v>
      </c>
      <c r="G116" s="171" t="s">
        <v>89</v>
      </c>
      <c r="H116" s="758">
        <v>492000</v>
      </c>
      <c r="I116" s="171" t="s">
        <v>185</v>
      </c>
    </row>
    <row r="117" spans="1:9">
      <c r="C117" s="170" t="s">
        <v>799</v>
      </c>
      <c r="D117" s="170"/>
      <c r="E117" s="170"/>
      <c r="F117" s="170"/>
      <c r="G117" s="170" t="s">
        <v>89</v>
      </c>
      <c r="H117" s="759">
        <v>0.1</v>
      </c>
      <c r="I117" s="170"/>
    </row>
    <row r="118" spans="1:9">
      <c r="C118" s="171" t="s">
        <v>803</v>
      </c>
      <c r="H118" s="760">
        <f>H114*H115*H116*H117/1000</f>
        <v>4378878.72</v>
      </c>
      <c r="I118" s="171" t="s">
        <v>797</v>
      </c>
    </row>
    <row r="119" spans="1:9" ht="13.5" thickBot="1">
      <c r="C119" s="761" t="s">
        <v>796</v>
      </c>
      <c r="D119" s="761"/>
      <c r="E119" s="761"/>
      <c r="F119" s="761"/>
      <c r="G119" s="761" t="s">
        <v>197</v>
      </c>
      <c r="H119" s="762">
        <f>+H116</f>
        <v>492000</v>
      </c>
      <c r="I119" s="761" t="s">
        <v>185</v>
      </c>
    </row>
    <row r="120" spans="1:9">
      <c r="C120" s="171" t="s">
        <v>802</v>
      </c>
      <c r="H120" s="748">
        <f>ROUND(H118/H119,2)</f>
        <v>8.9</v>
      </c>
      <c r="I120" s="171" t="s">
        <v>314</v>
      </c>
    </row>
    <row r="124" spans="1:9">
      <c r="A124" s="743" t="s">
        <v>12</v>
      </c>
      <c r="B124" s="173" t="s">
        <v>905</v>
      </c>
    </row>
    <row r="126" spans="1:9">
      <c r="C126" s="171" t="s">
        <v>801</v>
      </c>
      <c r="H126" s="757">
        <v>9.67</v>
      </c>
      <c r="I126" s="171" t="s">
        <v>800</v>
      </c>
    </row>
    <row r="127" spans="1:9">
      <c r="C127" s="171" t="s">
        <v>757</v>
      </c>
      <c r="G127" s="171" t="s">
        <v>89</v>
      </c>
      <c r="H127" s="763">
        <f>+H115</f>
        <v>8760</v>
      </c>
      <c r="I127" s="171" t="s">
        <v>756</v>
      </c>
    </row>
    <row r="128" spans="1:9">
      <c r="C128" s="171" t="s">
        <v>796</v>
      </c>
      <c r="G128" s="171" t="s">
        <v>89</v>
      </c>
      <c r="H128" s="763">
        <f>+H116</f>
        <v>492000</v>
      </c>
      <c r="I128" s="171" t="s">
        <v>185</v>
      </c>
    </row>
    <row r="129" spans="1:10">
      <c r="C129" s="170" t="s">
        <v>799</v>
      </c>
      <c r="D129" s="170"/>
      <c r="E129" s="170"/>
      <c r="F129" s="170"/>
      <c r="G129" s="170" t="s">
        <v>89</v>
      </c>
      <c r="H129" s="764">
        <f>+H117</f>
        <v>0.1</v>
      </c>
      <c r="I129" s="170"/>
    </row>
    <row r="130" spans="1:10">
      <c r="C130" s="171" t="s">
        <v>798</v>
      </c>
      <c r="H130" s="760">
        <f>H126*H127*H128*H129/1000</f>
        <v>4167692.64</v>
      </c>
      <c r="I130" s="171" t="s">
        <v>797</v>
      </c>
    </row>
    <row r="131" spans="1:10" ht="13.5" thickBot="1">
      <c r="C131" s="761" t="s">
        <v>796</v>
      </c>
      <c r="D131" s="761"/>
      <c r="E131" s="761"/>
      <c r="F131" s="761"/>
      <c r="G131" s="761" t="s">
        <v>197</v>
      </c>
      <c r="H131" s="762">
        <f>+H128</f>
        <v>492000</v>
      </c>
      <c r="I131" s="761" t="s">
        <v>185</v>
      </c>
    </row>
    <row r="132" spans="1:10">
      <c r="C132" s="171" t="s">
        <v>795</v>
      </c>
      <c r="H132" s="748">
        <f>ROUND(H130/H131,2)</f>
        <v>8.4700000000000006</v>
      </c>
      <c r="I132" s="171" t="s">
        <v>314</v>
      </c>
    </row>
    <row r="136" spans="1:10">
      <c r="A136" s="743" t="s">
        <v>18</v>
      </c>
      <c r="B136" s="173" t="s">
        <v>906</v>
      </c>
    </row>
    <row r="138" spans="1:10">
      <c r="C138" s="171" t="s">
        <v>794</v>
      </c>
      <c r="H138" s="748">
        <f>+H120</f>
        <v>8.9</v>
      </c>
      <c r="I138" s="171" t="s">
        <v>314</v>
      </c>
    </row>
    <row r="139" spans="1:10" ht="13.5" thickBot="1">
      <c r="C139" s="761" t="s">
        <v>793</v>
      </c>
      <c r="D139" s="761"/>
      <c r="E139" s="761"/>
      <c r="F139" s="761"/>
      <c r="G139" s="761" t="s">
        <v>78</v>
      </c>
      <c r="H139" s="765">
        <f>+H132</f>
        <v>8.4700000000000006</v>
      </c>
      <c r="I139" s="761" t="s">
        <v>314</v>
      </c>
    </row>
    <row r="140" spans="1:10">
      <c r="C140" s="171" t="s">
        <v>792</v>
      </c>
      <c r="H140" s="766">
        <f>+H138+H139</f>
        <v>17.37</v>
      </c>
      <c r="I140" s="171" t="s">
        <v>314</v>
      </c>
    </row>
    <row r="143" spans="1:10">
      <c r="A143" s="743" t="s">
        <v>118</v>
      </c>
      <c r="B143" s="173" t="s">
        <v>791</v>
      </c>
      <c r="I143" s="744" t="s">
        <v>744</v>
      </c>
      <c r="J143" s="744" t="s">
        <v>743</v>
      </c>
    </row>
    <row r="145" spans="3:11">
      <c r="C145" s="171" t="s">
        <v>790</v>
      </c>
      <c r="I145" s="171" t="s">
        <v>789</v>
      </c>
      <c r="J145" s="747">
        <f>+J7</f>
        <v>7.2800000000000004E-2</v>
      </c>
    </row>
    <row r="148" spans="3:11">
      <c r="C148" s="171" t="s">
        <v>788</v>
      </c>
    </row>
    <row r="149" spans="3:11">
      <c r="D149" s="171" t="s">
        <v>787</v>
      </c>
      <c r="H149" s="758">
        <v>13764749</v>
      </c>
    </row>
    <row r="150" spans="3:11">
      <c r="D150" s="767" t="s">
        <v>1043</v>
      </c>
      <c r="E150" s="170"/>
      <c r="F150" s="170"/>
      <c r="G150" s="170" t="s">
        <v>197</v>
      </c>
      <c r="H150" s="768">
        <v>2570351952</v>
      </c>
      <c r="I150" s="170"/>
      <c r="J150" s="170"/>
      <c r="K150" s="176"/>
    </row>
    <row r="151" spans="3:11">
      <c r="D151" s="171" t="s">
        <v>786</v>
      </c>
      <c r="I151" s="171" t="s">
        <v>785</v>
      </c>
      <c r="J151" s="747">
        <f>ROUND(H149/H150,4)</f>
        <v>5.4000000000000003E-3</v>
      </c>
      <c r="K151" s="177"/>
    </row>
    <row r="152" spans="3:11">
      <c r="K152" s="176"/>
    </row>
    <row r="154" spans="3:11">
      <c r="C154" s="171" t="s">
        <v>784</v>
      </c>
    </row>
    <row r="155" spans="3:11">
      <c r="D155" s="171" t="s">
        <v>783</v>
      </c>
      <c r="H155" s="758">
        <v>735807</v>
      </c>
    </row>
    <row r="156" spans="3:11">
      <c r="D156" s="769" t="s">
        <v>782</v>
      </c>
      <c r="E156" s="769"/>
      <c r="F156" s="769"/>
      <c r="G156" s="769" t="s">
        <v>197</v>
      </c>
      <c r="H156" s="770">
        <f>+H150</f>
        <v>2570351952</v>
      </c>
      <c r="I156" s="769"/>
      <c r="J156" s="769"/>
    </row>
    <row r="157" spans="3:11">
      <c r="D157" s="171" t="s">
        <v>781</v>
      </c>
      <c r="I157" s="171" t="s">
        <v>780</v>
      </c>
      <c r="J157" s="747">
        <f>ROUND(H155/H156,4)</f>
        <v>2.9999999999999997E-4</v>
      </c>
    </row>
    <row r="160" spans="3:11">
      <c r="C160" s="171" t="s">
        <v>779</v>
      </c>
      <c r="I160" s="171" t="s">
        <v>778</v>
      </c>
      <c r="J160" s="746">
        <v>1.7500000000000002E-2</v>
      </c>
    </row>
    <row r="161" spans="3:10">
      <c r="J161" s="746"/>
    </row>
    <row r="162" spans="3:10">
      <c r="J162" s="746"/>
    </row>
    <row r="163" spans="3:10">
      <c r="C163" s="171" t="s">
        <v>777</v>
      </c>
      <c r="I163" s="171" t="s">
        <v>776</v>
      </c>
      <c r="J163" s="771">
        <f>1-1/1.64325</f>
        <v>0.39144987068309756</v>
      </c>
    </row>
    <row r="164" spans="3:10">
      <c r="J164" s="747"/>
    </row>
    <row r="165" spans="3:10">
      <c r="J165" s="747"/>
    </row>
    <row r="166" spans="3:10">
      <c r="C166" s="171" t="s">
        <v>775</v>
      </c>
      <c r="I166" s="171" t="s">
        <v>774</v>
      </c>
      <c r="J166" s="747">
        <f>1/J15</f>
        <v>3.3333333333333333E-2</v>
      </c>
    </row>
    <row r="167" spans="3:10">
      <c r="J167" s="747"/>
    </row>
    <row r="168" spans="3:10">
      <c r="J168" s="747"/>
    </row>
    <row r="169" spans="3:10">
      <c r="C169" s="171" t="s">
        <v>773</v>
      </c>
      <c r="I169" s="171" t="s">
        <v>772</v>
      </c>
      <c r="J169" s="747">
        <v>5.3199999999999997E-2</v>
      </c>
    </row>
    <row r="172" spans="3:10">
      <c r="C172" s="171" t="s">
        <v>771</v>
      </c>
      <c r="I172" s="171" t="s">
        <v>770</v>
      </c>
      <c r="J172" s="747">
        <v>0.54449999999999998</v>
      </c>
    </row>
    <row r="180" spans="1:9">
      <c r="C180" s="171" t="s">
        <v>769</v>
      </c>
      <c r="E180" s="772">
        <f>ROUND(J145+J151+J157+J160+((J163/(1-J163))*(J145+J160-J166)*((J145-J169*J172)/J145)),4)</f>
        <v>0.1181</v>
      </c>
    </row>
    <row r="183" spans="1:9">
      <c r="A183" s="743" t="s">
        <v>118</v>
      </c>
      <c r="B183" s="173" t="s">
        <v>768</v>
      </c>
      <c r="G183" s="744" t="s">
        <v>43</v>
      </c>
      <c r="H183" s="744" t="s">
        <v>45</v>
      </c>
      <c r="I183" s="744" t="s">
        <v>767</v>
      </c>
    </row>
    <row r="186" spans="1:9">
      <c r="B186" s="743" t="s">
        <v>766</v>
      </c>
      <c r="C186" s="173" t="s">
        <v>765</v>
      </c>
    </row>
    <row r="188" spans="1:9">
      <c r="C188" s="171" t="s">
        <v>764</v>
      </c>
      <c r="I188" s="747">
        <f>+H225</f>
        <v>0.06</v>
      </c>
    </row>
    <row r="189" spans="1:9">
      <c r="C189" s="170" t="s">
        <v>763</v>
      </c>
      <c r="D189" s="170"/>
      <c r="E189" s="170"/>
      <c r="F189" s="170"/>
      <c r="G189" s="170"/>
      <c r="H189" s="170" t="s">
        <v>197</v>
      </c>
      <c r="I189" s="773">
        <v>2</v>
      </c>
    </row>
    <row r="190" spans="1:9">
      <c r="C190" s="171" t="s">
        <v>762</v>
      </c>
      <c r="E190" s="774"/>
      <c r="I190" s="747">
        <f>+I188/I189</f>
        <v>0.03</v>
      </c>
    </row>
    <row r="193" spans="2:10">
      <c r="B193" s="743" t="s">
        <v>761</v>
      </c>
      <c r="C193" s="173" t="s">
        <v>758</v>
      </c>
    </row>
    <row r="195" spans="2:10">
      <c r="C195" s="181" t="s">
        <v>907</v>
      </c>
      <c r="G195" s="775">
        <f>(3.4+3.72+4.1)/3</f>
        <v>3.7399999999999998</v>
      </c>
      <c r="H195" s="757">
        <f>(2.39+2.69+3.03)/3</f>
        <v>2.7033333333333331</v>
      </c>
      <c r="J195" s="776" t="s">
        <v>752</v>
      </c>
    </row>
    <row r="196" spans="2:10">
      <c r="C196" s="170" t="s">
        <v>760</v>
      </c>
      <c r="D196" s="170"/>
      <c r="E196" s="170"/>
      <c r="F196" s="170" t="s">
        <v>197</v>
      </c>
      <c r="G196" s="777">
        <f>1-I190</f>
        <v>0.97</v>
      </c>
      <c r="H196" s="777">
        <f>+G196</f>
        <v>0.97</v>
      </c>
      <c r="I196" s="170"/>
      <c r="J196" s="170"/>
    </row>
    <row r="197" spans="2:10">
      <c r="C197" s="171" t="s">
        <v>758</v>
      </c>
      <c r="G197" s="778">
        <f>ROUND(G195/G196,2)</f>
        <v>3.86</v>
      </c>
      <c r="H197" s="743">
        <f>ROUND(H195/H196,2)</f>
        <v>2.79</v>
      </c>
      <c r="J197" s="776" t="s">
        <v>752</v>
      </c>
    </row>
    <row r="200" spans="2:10">
      <c r="B200" s="743" t="s">
        <v>759</v>
      </c>
      <c r="C200" s="173" t="s">
        <v>753</v>
      </c>
    </row>
    <row r="202" spans="2:10">
      <c r="C202" s="171" t="s">
        <v>758</v>
      </c>
      <c r="G202" s="779">
        <f>+G197</f>
        <v>3.86</v>
      </c>
      <c r="H202" s="171">
        <f>+H197</f>
        <v>2.79</v>
      </c>
      <c r="J202" s="776" t="s">
        <v>752</v>
      </c>
    </row>
    <row r="203" spans="2:10">
      <c r="C203" s="170" t="s">
        <v>757</v>
      </c>
      <c r="D203" s="170"/>
      <c r="E203" s="170"/>
      <c r="F203" s="170" t="s">
        <v>89</v>
      </c>
      <c r="G203" s="780">
        <v>3650</v>
      </c>
      <c r="H203" s="780">
        <v>5110</v>
      </c>
      <c r="I203" s="170"/>
      <c r="J203" s="170" t="s">
        <v>756</v>
      </c>
    </row>
    <row r="204" spans="2:10">
      <c r="C204" s="171" t="s">
        <v>755</v>
      </c>
      <c r="G204" s="781">
        <f>ROUND(G202*G203,0)</f>
        <v>14089</v>
      </c>
      <c r="H204" s="781">
        <f>ROUND(H202*H203,0)</f>
        <v>14257</v>
      </c>
      <c r="I204" s="782">
        <f>+G204+H204</f>
        <v>28346</v>
      </c>
    </row>
    <row r="205" spans="2:10" ht="13.5" thickBot="1">
      <c r="C205" s="761" t="s">
        <v>754</v>
      </c>
      <c r="D205" s="761"/>
      <c r="E205" s="761"/>
      <c r="F205" s="761"/>
      <c r="G205" s="761"/>
      <c r="H205" s="761"/>
      <c r="I205" s="783">
        <f>+G203+H203</f>
        <v>8760</v>
      </c>
      <c r="J205" s="761"/>
    </row>
    <row r="206" spans="2:10">
      <c r="C206" s="171" t="s">
        <v>753</v>
      </c>
      <c r="I206" s="778">
        <f>ROUND(I204/I205,2)</f>
        <v>3.24</v>
      </c>
      <c r="J206" s="776" t="s">
        <v>752</v>
      </c>
    </row>
    <row r="209" spans="1:8">
      <c r="B209" s="171" t="s">
        <v>751</v>
      </c>
    </row>
    <row r="210" spans="1:8">
      <c r="B210" s="171" t="s">
        <v>750</v>
      </c>
    </row>
    <row r="214" spans="1:8">
      <c r="A214" s="743" t="s">
        <v>12</v>
      </c>
      <c r="B214" s="173" t="s">
        <v>749</v>
      </c>
    </row>
    <row r="216" spans="1:8">
      <c r="D216" s="744" t="s">
        <v>748</v>
      </c>
      <c r="E216" s="744"/>
      <c r="F216" s="744" t="s">
        <v>6</v>
      </c>
      <c r="G216" s="744"/>
      <c r="H216" s="744" t="s">
        <v>7</v>
      </c>
    </row>
    <row r="218" spans="1:8">
      <c r="C218" s="171" t="s">
        <v>443</v>
      </c>
      <c r="F218" s="175">
        <v>4.5339999999999998E-2</v>
      </c>
      <c r="G218" s="175"/>
      <c r="H218" s="175">
        <v>2.972E-2</v>
      </c>
    </row>
    <row r="219" spans="1:8">
      <c r="F219" s="175"/>
      <c r="G219" s="175"/>
      <c r="H219" s="175"/>
    </row>
    <row r="220" spans="1:8">
      <c r="C220" s="171" t="s">
        <v>317</v>
      </c>
      <c r="F220" s="175">
        <v>2.3210000000000001E-2</v>
      </c>
      <c r="G220" s="175"/>
      <c r="H220" s="175">
        <v>1.41E-2</v>
      </c>
    </row>
    <row r="221" spans="1:8">
      <c r="F221" s="175"/>
      <c r="G221" s="175"/>
      <c r="H221" s="175"/>
    </row>
    <row r="222" spans="1:8">
      <c r="F222" s="175"/>
      <c r="G222" s="175"/>
      <c r="H222" s="175"/>
    </row>
    <row r="223" spans="1:8">
      <c r="C223" s="171" t="s">
        <v>318</v>
      </c>
      <c r="F223" s="175">
        <v>2.8629999999999999E-2</v>
      </c>
      <c r="G223" s="175"/>
      <c r="H223" s="175">
        <v>1.525E-2</v>
      </c>
    </row>
    <row r="224" spans="1:8">
      <c r="F224" s="747"/>
      <c r="G224" s="747"/>
      <c r="H224" s="747"/>
    </row>
    <row r="225" spans="1:8">
      <c r="C225" s="171" t="s">
        <v>747</v>
      </c>
      <c r="F225" s="784">
        <f>ROUND((1+F218)*(1+F220)*(1+F223)-1,3)</f>
        <v>0.1</v>
      </c>
      <c r="G225" s="772"/>
      <c r="H225" s="784">
        <f>ROUND((1+H218)*(1+H220)*(1+H223)-1,3)</f>
        <v>0.06</v>
      </c>
    </row>
    <row r="228" spans="1:8">
      <c r="B228" s="171" t="s">
        <v>746</v>
      </c>
    </row>
    <row r="231" spans="1:8">
      <c r="A231" s="743" t="s">
        <v>118</v>
      </c>
      <c r="B231" s="173" t="s">
        <v>745</v>
      </c>
      <c r="G231" s="744" t="s">
        <v>744</v>
      </c>
      <c r="H231" s="744" t="s">
        <v>743</v>
      </c>
    </row>
    <row r="233" spans="1:8">
      <c r="C233" s="171" t="s">
        <v>742</v>
      </c>
      <c r="H233" s="174">
        <f>+E180</f>
        <v>0.1181</v>
      </c>
    </row>
    <row r="234" spans="1:8">
      <c r="C234" s="170" t="s">
        <v>741</v>
      </c>
      <c r="D234" s="170"/>
      <c r="E234" s="170"/>
      <c r="F234" s="170"/>
      <c r="G234" s="170"/>
      <c r="H234" s="785">
        <f>+F403</f>
        <v>4.5969542380200033E-2</v>
      </c>
    </row>
    <row r="235" spans="1:8">
      <c r="C235" s="171" t="s">
        <v>740</v>
      </c>
      <c r="G235" s="743" t="s">
        <v>739</v>
      </c>
      <c r="H235" s="784">
        <f>+H233+H234</f>
        <v>0.16406954238020002</v>
      </c>
    </row>
    <row r="239" spans="1:8">
      <c r="A239" s="743" t="s">
        <v>12</v>
      </c>
      <c r="B239" s="173" t="s">
        <v>324</v>
      </c>
    </row>
    <row r="241" spans="1:8">
      <c r="C241" s="171" t="s">
        <v>738</v>
      </c>
      <c r="H241" s="786">
        <v>0.05</v>
      </c>
    </row>
    <row r="242" spans="1:8">
      <c r="C242" s="170" t="s">
        <v>737</v>
      </c>
      <c r="D242" s="170"/>
      <c r="E242" s="170"/>
      <c r="F242" s="170"/>
      <c r="G242" s="170"/>
      <c r="H242" s="787">
        <v>0.26</v>
      </c>
    </row>
    <row r="243" spans="1:8">
      <c r="C243" s="171" t="s">
        <v>736</v>
      </c>
      <c r="G243" s="743" t="s">
        <v>735</v>
      </c>
      <c r="H243" s="788">
        <f>+H241+H242</f>
        <v>0.31</v>
      </c>
    </row>
    <row r="244" spans="1:8">
      <c r="H244" s="789"/>
    </row>
    <row r="245" spans="1:8">
      <c r="C245" s="171" t="s">
        <v>734</v>
      </c>
      <c r="H245" s="786">
        <f>46%+10%</f>
        <v>0.56000000000000005</v>
      </c>
    </row>
    <row r="246" spans="1:8">
      <c r="C246" s="170" t="s">
        <v>733</v>
      </c>
      <c r="D246" s="170"/>
      <c r="E246" s="170"/>
      <c r="F246" s="170"/>
      <c r="G246" s="170"/>
      <c r="H246" s="787">
        <v>0.22</v>
      </c>
    </row>
    <row r="247" spans="1:8">
      <c r="C247" s="171" t="s">
        <v>732</v>
      </c>
      <c r="G247" s="743" t="s">
        <v>731</v>
      </c>
      <c r="H247" s="788">
        <f>+H245+H246</f>
        <v>0.78</v>
      </c>
    </row>
    <row r="248" spans="1:8">
      <c r="H248" s="789"/>
    </row>
    <row r="249" spans="1:8">
      <c r="H249" s="789"/>
    </row>
    <row r="250" spans="1:8">
      <c r="H250" s="789"/>
    </row>
    <row r="251" spans="1:8">
      <c r="A251" s="743" t="s">
        <v>18</v>
      </c>
      <c r="B251" s="173" t="s">
        <v>730</v>
      </c>
      <c r="H251" s="789"/>
    </row>
    <row r="252" spans="1:8">
      <c r="H252" s="789"/>
    </row>
    <row r="253" spans="1:8">
      <c r="C253" s="171" t="s">
        <v>729</v>
      </c>
      <c r="G253" s="743" t="s">
        <v>728</v>
      </c>
      <c r="H253" s="790">
        <v>0.23</v>
      </c>
    </row>
    <row r="257" spans="1:11">
      <c r="A257" s="743" t="s">
        <v>29</v>
      </c>
      <c r="B257" s="173" t="s">
        <v>727</v>
      </c>
    </row>
    <row r="259" spans="1:11">
      <c r="B259" s="171" t="s">
        <v>726</v>
      </c>
      <c r="D259" s="171" t="s">
        <v>725</v>
      </c>
    </row>
    <row r="260" spans="1:11">
      <c r="B260" s="171" t="s">
        <v>724</v>
      </c>
      <c r="D260" s="171" t="s">
        <v>723</v>
      </c>
    </row>
    <row r="264" spans="1:11">
      <c r="B264" s="171" t="s">
        <v>722</v>
      </c>
    </row>
    <row r="269" spans="1:11">
      <c r="B269" s="171" t="s">
        <v>721</v>
      </c>
      <c r="E269" s="772">
        <f>ROUND((1+H253)*((1+H243)+(1+H247)*0.5)*H235/12,4)</f>
        <v>3.6999999999999998E-2</v>
      </c>
      <c r="F269" s="171" t="s">
        <v>720</v>
      </c>
    </row>
    <row r="272" spans="1:11">
      <c r="A272" s="743" t="s">
        <v>79</v>
      </c>
      <c r="B272" s="173" t="s">
        <v>719</v>
      </c>
      <c r="H272" s="177" t="s">
        <v>718</v>
      </c>
      <c r="I272" s="177" t="s">
        <v>633</v>
      </c>
      <c r="J272" s="177"/>
      <c r="K272" s="177" t="s">
        <v>164</v>
      </c>
    </row>
    <row r="273" spans="2:11">
      <c r="H273" s="791" t="s">
        <v>717</v>
      </c>
      <c r="I273" s="791" t="s">
        <v>113</v>
      </c>
      <c r="J273" s="791"/>
      <c r="K273" s="791" t="s">
        <v>113</v>
      </c>
    </row>
    <row r="274" spans="2:11">
      <c r="H274" s="177"/>
      <c r="I274" s="750">
        <f>+E269</f>
        <v>3.6999999999999998E-2</v>
      </c>
      <c r="J274" s="177"/>
      <c r="K274" s="177"/>
    </row>
    <row r="275" spans="2:11">
      <c r="B275" s="173" t="s">
        <v>716</v>
      </c>
    </row>
    <row r="276" spans="2:11">
      <c r="C276" s="792" t="s">
        <v>711</v>
      </c>
    </row>
    <row r="277" spans="2:11">
      <c r="D277" s="171" t="s">
        <v>707</v>
      </c>
      <c r="H277" s="793">
        <v>391</v>
      </c>
      <c r="I277" s="748">
        <f>ROUND(H277*I$274,2)</f>
        <v>14.47</v>
      </c>
    </row>
    <row r="278" spans="2:11">
      <c r="D278" s="171" t="s">
        <v>706</v>
      </c>
      <c r="H278" s="793">
        <v>38</v>
      </c>
      <c r="I278" s="171">
        <f>ROUND(H278*I$274,2)</f>
        <v>1.41</v>
      </c>
    </row>
    <row r="279" spans="2:11">
      <c r="D279" s="171" t="s">
        <v>705</v>
      </c>
      <c r="H279" s="793">
        <v>391</v>
      </c>
      <c r="I279" s="171">
        <f>ROUND(H279*I$274,2)</f>
        <v>14.47</v>
      </c>
    </row>
    <row r="280" spans="2:11">
      <c r="D280" s="171" t="s">
        <v>710</v>
      </c>
      <c r="H280" s="793">
        <v>391</v>
      </c>
      <c r="I280" s="171">
        <f>ROUND(H280*I$274,2)</f>
        <v>14.47</v>
      </c>
    </row>
    <row r="281" spans="2:11">
      <c r="C281" s="170"/>
      <c r="D281" s="170" t="s">
        <v>709</v>
      </c>
      <c r="E281" s="170"/>
      <c r="F281" s="170"/>
      <c r="G281" s="170"/>
      <c r="H281" s="794">
        <v>38</v>
      </c>
      <c r="I281" s="170">
        <f>ROUND(H281*I$274,2)</f>
        <v>1.41</v>
      </c>
      <c r="J281" s="170"/>
      <c r="K281" s="170"/>
    </row>
    <row r="282" spans="2:11">
      <c r="C282" s="171" t="s">
        <v>9</v>
      </c>
      <c r="H282" s="172"/>
      <c r="I282" s="795">
        <f>SUM(I277:I281)</f>
        <v>46.23</v>
      </c>
      <c r="J282" s="171" t="s">
        <v>702</v>
      </c>
      <c r="K282" s="748">
        <f>ROUND(I282/5,2)</f>
        <v>9.25</v>
      </c>
    </row>
    <row r="283" spans="2:11">
      <c r="H283" s="172"/>
      <c r="J283" s="743" t="s">
        <v>254</v>
      </c>
      <c r="K283" s="766">
        <f>ROUND(K282*20,0)/20</f>
        <v>9.25</v>
      </c>
    </row>
    <row r="284" spans="2:11">
      <c r="H284" s="172"/>
    </row>
    <row r="285" spans="2:11">
      <c r="C285" s="792" t="s">
        <v>708</v>
      </c>
      <c r="H285" s="172"/>
    </row>
    <row r="286" spans="2:11">
      <c r="D286" s="171" t="s">
        <v>707</v>
      </c>
      <c r="H286" s="793">
        <v>391</v>
      </c>
      <c r="I286" s="748">
        <f>ROUND(H286*I$274,2)</f>
        <v>14.47</v>
      </c>
    </row>
    <row r="287" spans="2:11">
      <c r="D287" s="171" t="s">
        <v>706</v>
      </c>
      <c r="H287" s="793">
        <v>230</v>
      </c>
      <c r="I287" s="171">
        <f>ROUND(H287*I$274,2)</f>
        <v>8.51</v>
      </c>
    </row>
    <row r="288" spans="2:11">
      <c r="D288" s="171" t="s">
        <v>715</v>
      </c>
      <c r="H288" s="793">
        <v>391</v>
      </c>
      <c r="I288" s="171">
        <f>ROUND(H288*I$274,2)</f>
        <v>14.47</v>
      </c>
    </row>
    <row r="289" spans="2:11">
      <c r="D289" s="171" t="s">
        <v>714</v>
      </c>
      <c r="H289" s="793">
        <v>391</v>
      </c>
      <c r="I289" s="171">
        <f>ROUND(H289*I$274,2)</f>
        <v>14.47</v>
      </c>
    </row>
    <row r="290" spans="2:11">
      <c r="C290" s="170"/>
      <c r="D290" s="170" t="s">
        <v>713</v>
      </c>
      <c r="E290" s="170"/>
      <c r="F290" s="170"/>
      <c r="G290" s="170"/>
      <c r="H290" s="794">
        <v>230</v>
      </c>
      <c r="I290" s="170">
        <f>ROUND(H290*I$274,2)</f>
        <v>8.51</v>
      </c>
      <c r="J290" s="170"/>
      <c r="K290" s="170"/>
    </row>
    <row r="291" spans="2:11">
      <c r="C291" s="171" t="s">
        <v>9</v>
      </c>
      <c r="H291" s="172"/>
      <c r="I291" s="795">
        <f>SUM(I286:I290)</f>
        <v>60.43</v>
      </c>
      <c r="J291" s="171" t="s">
        <v>702</v>
      </c>
      <c r="K291" s="748">
        <f>ROUND(I291/5,2)</f>
        <v>12.09</v>
      </c>
    </row>
    <row r="292" spans="2:11">
      <c r="H292" s="172"/>
      <c r="J292" s="743" t="s">
        <v>254</v>
      </c>
      <c r="K292" s="766">
        <f>ROUND(K291*20,0)/20</f>
        <v>12.1</v>
      </c>
    </row>
    <row r="293" spans="2:11">
      <c r="H293" s="172"/>
    </row>
    <row r="294" spans="2:11">
      <c r="H294" s="172"/>
    </row>
    <row r="295" spans="2:11">
      <c r="B295" s="173" t="s">
        <v>712</v>
      </c>
      <c r="H295" s="172"/>
    </row>
    <row r="296" spans="2:11">
      <c r="C296" s="792" t="s">
        <v>711</v>
      </c>
      <c r="H296" s="172"/>
    </row>
    <row r="297" spans="2:11">
      <c r="D297" s="171" t="s">
        <v>707</v>
      </c>
      <c r="H297" s="793">
        <v>400</v>
      </c>
      <c r="I297" s="748">
        <f>ROUND(H297*I$274,2)</f>
        <v>14.8</v>
      </c>
    </row>
    <row r="298" spans="2:11">
      <c r="D298" s="171" t="s">
        <v>706</v>
      </c>
      <c r="H298" s="793">
        <v>96</v>
      </c>
      <c r="I298" s="171">
        <f>ROUND(H298*I$274,2)</f>
        <v>3.55</v>
      </c>
    </row>
    <row r="299" spans="2:11">
      <c r="D299" s="171" t="s">
        <v>705</v>
      </c>
      <c r="H299" s="793">
        <v>400</v>
      </c>
      <c r="I299" s="171">
        <f>ROUND(H299*I$274,2)</f>
        <v>14.8</v>
      </c>
    </row>
    <row r="300" spans="2:11">
      <c r="D300" s="171" t="s">
        <v>710</v>
      </c>
      <c r="H300" s="793">
        <v>400</v>
      </c>
      <c r="I300" s="171">
        <f>ROUND(H300*I$274,2)</f>
        <v>14.8</v>
      </c>
    </row>
    <row r="301" spans="2:11">
      <c r="C301" s="170"/>
      <c r="D301" s="170" t="s">
        <v>709</v>
      </c>
      <c r="E301" s="170"/>
      <c r="F301" s="170"/>
      <c r="G301" s="170"/>
      <c r="H301" s="794">
        <v>38</v>
      </c>
      <c r="I301" s="170">
        <f>ROUND(H301*I$274,2)</f>
        <v>1.41</v>
      </c>
      <c r="J301" s="170"/>
      <c r="K301" s="170"/>
    </row>
    <row r="302" spans="2:11">
      <c r="C302" s="171" t="s">
        <v>9</v>
      </c>
      <c r="H302" s="172"/>
      <c r="I302" s="795">
        <f>SUM(I297:I301)</f>
        <v>49.36</v>
      </c>
      <c r="J302" s="171" t="s">
        <v>702</v>
      </c>
      <c r="K302" s="748">
        <f>ROUND(I302/5,2)</f>
        <v>9.8699999999999992</v>
      </c>
    </row>
    <row r="303" spans="2:11">
      <c r="H303" s="172"/>
      <c r="J303" s="743" t="s">
        <v>254</v>
      </c>
      <c r="K303" s="766">
        <f>ROUND(K302*20,0)/20</f>
        <v>9.85</v>
      </c>
    </row>
    <row r="304" spans="2:11">
      <c r="H304" s="172"/>
    </row>
    <row r="305" spans="3:11">
      <c r="C305" s="792" t="s">
        <v>708</v>
      </c>
      <c r="H305" s="172"/>
    </row>
    <row r="306" spans="3:11">
      <c r="D306" s="171" t="s">
        <v>707</v>
      </c>
      <c r="H306" s="796">
        <v>400</v>
      </c>
      <c r="I306" s="748">
        <f>ROUND(H306*I$274,2)</f>
        <v>14.8</v>
      </c>
    </row>
    <row r="307" spans="3:11">
      <c r="D307" s="171" t="s">
        <v>706</v>
      </c>
      <c r="H307" s="796">
        <v>239</v>
      </c>
      <c r="I307" s="171">
        <f>ROUND(H307*I$274,2)</f>
        <v>8.84</v>
      </c>
    </row>
    <row r="308" spans="3:11">
      <c r="D308" s="171" t="s">
        <v>705</v>
      </c>
      <c r="H308" s="796">
        <v>400</v>
      </c>
      <c r="I308" s="171">
        <f>ROUND(H308*I$274,2)</f>
        <v>14.8</v>
      </c>
    </row>
    <row r="309" spans="3:11">
      <c r="D309" s="171" t="s">
        <v>704</v>
      </c>
      <c r="H309" s="796">
        <v>400</v>
      </c>
      <c r="I309" s="171">
        <f>ROUND(H309*I$274,2)</f>
        <v>14.8</v>
      </c>
    </row>
    <row r="310" spans="3:11">
      <c r="C310" s="170"/>
      <c r="D310" s="170" t="s">
        <v>703</v>
      </c>
      <c r="E310" s="170"/>
      <c r="F310" s="170"/>
      <c r="G310" s="170"/>
      <c r="H310" s="794">
        <v>239</v>
      </c>
      <c r="I310" s="170">
        <f>ROUND(H310*I$274,2)</f>
        <v>8.84</v>
      </c>
      <c r="J310" s="170"/>
      <c r="K310" s="170"/>
    </row>
    <row r="311" spans="3:11">
      <c r="C311" s="171" t="s">
        <v>9</v>
      </c>
      <c r="I311" s="795">
        <f>SUM(I306:I310)</f>
        <v>62.08</v>
      </c>
      <c r="J311" s="171" t="s">
        <v>702</v>
      </c>
      <c r="K311" s="748">
        <f>ROUND(I311/5,2)</f>
        <v>12.42</v>
      </c>
    </row>
    <row r="312" spans="3:11">
      <c r="J312" s="743" t="s">
        <v>254</v>
      </c>
      <c r="K312" s="766">
        <f>ROUND(K311*20,0)/20</f>
        <v>12.4</v>
      </c>
    </row>
    <row r="355" spans="1:8">
      <c r="A355" s="743" t="s">
        <v>118</v>
      </c>
      <c r="B355" s="173" t="s">
        <v>701</v>
      </c>
    </row>
    <row r="356" spans="1:8">
      <c r="D356" s="177"/>
      <c r="E356" s="177"/>
      <c r="F356" s="177"/>
      <c r="G356" s="177"/>
      <c r="H356" s="177" t="s">
        <v>700</v>
      </c>
    </row>
    <row r="357" spans="1:8">
      <c r="D357" s="177"/>
      <c r="E357" s="177"/>
      <c r="F357" s="177"/>
      <c r="G357" s="177"/>
      <c r="H357" s="177" t="s">
        <v>699</v>
      </c>
    </row>
    <row r="358" spans="1:8">
      <c r="D358" s="791" t="s">
        <v>698</v>
      </c>
      <c r="E358" s="791"/>
      <c r="F358" s="791" t="s">
        <v>154</v>
      </c>
      <c r="G358" s="791"/>
      <c r="H358" s="791" t="s">
        <v>697</v>
      </c>
    </row>
    <row r="360" spans="1:8">
      <c r="D360" s="797">
        <v>2017</v>
      </c>
      <c r="E360" s="798"/>
      <c r="F360" s="799">
        <v>1.9334453880914985E-2</v>
      </c>
      <c r="G360" s="177"/>
      <c r="H360" s="800">
        <f>(1+F360)</f>
        <v>1.019334453880915</v>
      </c>
    </row>
    <row r="361" spans="1:8">
      <c r="D361" s="801">
        <f t="shared" ref="D361:D384" si="0">+D360+1</f>
        <v>2018</v>
      </c>
      <c r="E361" s="798"/>
      <c r="F361" s="799">
        <v>2.5507594633270972E-2</v>
      </c>
      <c r="G361" s="177"/>
      <c r="H361" s="800">
        <f t="shared" ref="H361:H384" si="1">H360*(1+F361)</f>
        <v>1.0453352239262361</v>
      </c>
    </row>
    <row r="362" spans="1:8">
      <c r="D362" s="801">
        <f t="shared" si="0"/>
        <v>2019</v>
      </c>
      <c r="E362" s="798"/>
      <c r="F362" s="799">
        <v>2.793526200943857E-2</v>
      </c>
      <c r="G362" s="177"/>
      <c r="H362" s="800">
        <f t="shared" si="1"/>
        <v>1.0745369372943108</v>
      </c>
    </row>
    <row r="363" spans="1:8">
      <c r="D363" s="801">
        <f t="shared" si="0"/>
        <v>2020</v>
      </c>
      <c r="E363" s="798"/>
      <c r="F363" s="799">
        <v>2.4713651898512351E-2</v>
      </c>
      <c r="G363" s="177"/>
      <c r="H363" s="800">
        <f t="shared" si="1"/>
        <v>1.1010926691146958</v>
      </c>
    </row>
    <row r="364" spans="1:8">
      <c r="D364" s="801">
        <f t="shared" si="0"/>
        <v>2021</v>
      </c>
      <c r="E364" s="798"/>
      <c r="F364" s="799">
        <v>1.9044494703772261E-2</v>
      </c>
      <c r="G364" s="177"/>
      <c r="H364" s="800">
        <f t="shared" si="1"/>
        <v>1.1220624226200131</v>
      </c>
    </row>
    <row r="365" spans="1:8">
      <c r="D365" s="802">
        <f t="shared" si="0"/>
        <v>2022</v>
      </c>
      <c r="E365" s="177"/>
      <c r="F365" s="803">
        <v>1.6562219641083363E-2</v>
      </c>
      <c r="G365" s="177"/>
      <c r="H365" s="800">
        <f t="shared" si="1"/>
        <v>1.1406462669144517</v>
      </c>
    </row>
    <row r="366" spans="1:8">
      <c r="D366" s="802">
        <f t="shared" si="0"/>
        <v>2023</v>
      </c>
      <c r="E366" s="177"/>
      <c r="F366" s="803">
        <v>1.8651736239009484E-2</v>
      </c>
      <c r="G366" s="177"/>
      <c r="H366" s="800">
        <f t="shared" si="1"/>
        <v>1.1619213002269508</v>
      </c>
    </row>
    <row r="367" spans="1:8">
      <c r="D367" s="802">
        <f t="shared" si="0"/>
        <v>2024</v>
      </c>
      <c r="E367" s="177"/>
      <c r="F367" s="803">
        <v>1.8861008042374894E-2</v>
      </c>
      <c r="G367" s="177"/>
      <c r="H367" s="800">
        <f t="shared" si="1"/>
        <v>1.1838363072151381</v>
      </c>
    </row>
    <row r="368" spans="1:8">
      <c r="D368" s="802">
        <f t="shared" si="0"/>
        <v>2025</v>
      </c>
      <c r="E368" s="177"/>
      <c r="F368" s="803">
        <v>1.9497707041035501E-2</v>
      </c>
      <c r="G368" s="177"/>
      <c r="H368" s="800">
        <f t="shared" si="1"/>
        <v>1.2069184007177602</v>
      </c>
    </row>
    <row r="369" spans="4:8">
      <c r="D369" s="802">
        <f t="shared" si="0"/>
        <v>2026</v>
      </c>
      <c r="E369" s="177"/>
      <c r="F369" s="803">
        <v>2.0046066603851755E-2</v>
      </c>
      <c r="G369" s="177"/>
      <c r="H369" s="800">
        <f t="shared" si="1"/>
        <v>1.2311123673639628</v>
      </c>
    </row>
    <row r="370" spans="4:8">
      <c r="D370" s="802">
        <f t="shared" si="0"/>
        <v>2027</v>
      </c>
      <c r="E370" s="177"/>
      <c r="F370" s="803">
        <v>2.0091255193746702E-2</v>
      </c>
      <c r="G370" s="177"/>
      <c r="H370" s="800">
        <f t="shared" si="1"/>
        <v>1.2558469601088498</v>
      </c>
    </row>
    <row r="371" spans="4:8">
      <c r="D371" s="802">
        <f t="shared" si="0"/>
        <v>2028</v>
      </c>
      <c r="E371" s="177"/>
      <c r="F371" s="803">
        <v>2.0322859225751902E-2</v>
      </c>
      <c r="G371" s="177"/>
      <c r="H371" s="800">
        <f t="shared" si="1"/>
        <v>1.2813693610882304</v>
      </c>
    </row>
    <row r="372" spans="4:8">
      <c r="D372" s="802">
        <f>+D371+1</f>
        <v>2029</v>
      </c>
      <c r="E372" s="177"/>
      <c r="F372" s="803">
        <v>2.0491088355354476E-2</v>
      </c>
      <c r="G372" s="177"/>
      <c r="H372" s="800">
        <f t="shared" si="1"/>
        <v>1.3076260138821334</v>
      </c>
    </row>
    <row r="373" spans="4:8">
      <c r="D373" s="802">
        <f t="shared" si="0"/>
        <v>2030</v>
      </c>
      <c r="E373" s="177"/>
      <c r="F373" s="803">
        <v>2.0215214500519593E-2</v>
      </c>
      <c r="G373" s="177"/>
      <c r="H373" s="800">
        <f t="shared" si="1"/>
        <v>1.3340599542392202</v>
      </c>
    </row>
    <row r="374" spans="4:8">
      <c r="D374" s="802">
        <f t="shared" si="0"/>
        <v>2031</v>
      </c>
      <c r="E374" s="177"/>
      <c r="F374" s="804">
        <f>+F373</f>
        <v>2.0215214500519593E-2</v>
      </c>
      <c r="G374" s="177"/>
      <c r="H374" s="800">
        <f t="shared" si="1"/>
        <v>1.3610282623707195</v>
      </c>
    </row>
    <row r="375" spans="4:8">
      <c r="D375" s="802">
        <f t="shared" si="0"/>
        <v>2032</v>
      </c>
      <c r="E375" s="177"/>
      <c r="F375" s="804">
        <f t="shared" ref="F375:F384" si="2">+F374</f>
        <v>2.0215214500519593E-2</v>
      </c>
      <c r="G375" s="177"/>
      <c r="H375" s="800">
        <f t="shared" si="1"/>
        <v>1.3885417406358131</v>
      </c>
    </row>
    <row r="376" spans="4:8">
      <c r="D376" s="802">
        <f t="shared" si="0"/>
        <v>2033</v>
      </c>
      <c r="E376" s="177"/>
      <c r="F376" s="804">
        <f t="shared" si="2"/>
        <v>2.0215214500519593E-2</v>
      </c>
      <c r="G376" s="177"/>
      <c r="H376" s="800">
        <f t="shared" si="1"/>
        <v>1.416611409765691</v>
      </c>
    </row>
    <row r="377" spans="4:8">
      <c r="D377" s="802">
        <f t="shared" si="0"/>
        <v>2034</v>
      </c>
      <c r="E377" s="177"/>
      <c r="F377" s="804">
        <f t="shared" si="2"/>
        <v>2.0215214500519593E-2</v>
      </c>
      <c r="G377" s="177"/>
      <c r="H377" s="800">
        <f t="shared" si="1"/>
        <v>1.445248513277988</v>
      </c>
    </row>
    <row r="378" spans="4:8">
      <c r="D378" s="802">
        <f t="shared" si="0"/>
        <v>2035</v>
      </c>
      <c r="E378" s="177"/>
      <c r="F378" s="804">
        <f>+F377</f>
        <v>2.0215214500519593E-2</v>
      </c>
      <c r="G378" s="177"/>
      <c r="H378" s="800">
        <f t="shared" si="1"/>
        <v>1.4744645219804597</v>
      </c>
    </row>
    <row r="379" spans="4:8">
      <c r="D379" s="802">
        <f t="shared" si="0"/>
        <v>2036</v>
      </c>
      <c r="E379" s="177"/>
      <c r="F379" s="804">
        <f t="shared" si="2"/>
        <v>2.0215214500519593E-2</v>
      </c>
      <c r="G379" s="177"/>
      <c r="H379" s="800">
        <f t="shared" si="1"/>
        <v>1.5042711385657008</v>
      </c>
    </row>
    <row r="380" spans="4:8">
      <c r="D380" s="802">
        <f t="shared" si="0"/>
        <v>2037</v>
      </c>
      <c r="F380" s="804">
        <f t="shared" si="2"/>
        <v>2.0215214500519593E-2</v>
      </c>
      <c r="H380" s="800">
        <f t="shared" si="1"/>
        <v>1.5346803022987474</v>
      </c>
    </row>
    <row r="381" spans="4:8">
      <c r="D381" s="802">
        <f t="shared" si="0"/>
        <v>2038</v>
      </c>
      <c r="F381" s="804">
        <f t="shared" si="2"/>
        <v>2.0215214500519593E-2</v>
      </c>
      <c r="H381" s="800">
        <f t="shared" si="1"/>
        <v>1.5657041937994389</v>
      </c>
    </row>
    <row r="382" spans="4:8">
      <c r="D382" s="802">
        <f t="shared" si="0"/>
        <v>2039</v>
      </c>
      <c r="F382" s="804">
        <f t="shared" si="2"/>
        <v>2.0215214500519593E-2</v>
      </c>
      <c r="H382" s="800">
        <f t="shared" si="1"/>
        <v>1.5973552399214579</v>
      </c>
    </row>
    <row r="383" spans="4:8">
      <c r="D383" s="802">
        <f t="shared" si="0"/>
        <v>2040</v>
      </c>
      <c r="F383" s="804">
        <f t="shared" si="2"/>
        <v>2.0215214500519593E-2</v>
      </c>
      <c r="H383" s="800">
        <f t="shared" si="1"/>
        <v>1.6296461187299993</v>
      </c>
    </row>
    <row r="384" spans="4:8">
      <c r="D384" s="802">
        <f t="shared" si="0"/>
        <v>2041</v>
      </c>
      <c r="F384" s="804">
        <f t="shared" si="2"/>
        <v>2.0215214500519593E-2</v>
      </c>
      <c r="H384" s="800">
        <f t="shared" si="1"/>
        <v>1.6625897645800656</v>
      </c>
    </row>
    <row r="385" spans="1:7">
      <c r="D385" s="802"/>
    </row>
    <row r="387" spans="1:7">
      <c r="D387" s="171" t="s">
        <v>696</v>
      </c>
      <c r="F387" s="805" t="str">
        <f>FIXED(D360,0,1)&amp;" to "&amp;FIXED(D384,0,1)&amp;" ="</f>
        <v>2017 to 2041 =</v>
      </c>
      <c r="G387" s="806">
        <f>+H384</f>
        <v>1.6625897645800656</v>
      </c>
    </row>
    <row r="389" spans="1:7">
      <c r="D389" s="171" t="s">
        <v>695</v>
      </c>
      <c r="G389" s="171">
        <f>DATEDIF(DATE(D360,1,1),DATE(D384+1,1,1),"y")</f>
        <v>25</v>
      </c>
    </row>
    <row r="391" spans="1:7">
      <c r="D391" s="171" t="s">
        <v>694</v>
      </c>
      <c r="G391" s="784">
        <f>ROUND(G387^(1/G389)-1,3)</f>
        <v>2.1000000000000001E-2</v>
      </c>
    </row>
    <row r="394" spans="1:7" ht="15.75">
      <c r="B394" s="171" t="s">
        <v>693</v>
      </c>
    </row>
    <row r="397" spans="1:7">
      <c r="A397" s="743" t="s">
        <v>12</v>
      </c>
      <c r="B397" s="173" t="s">
        <v>1042</v>
      </c>
    </row>
    <row r="399" spans="1:7">
      <c r="D399" s="171" t="s">
        <v>692</v>
      </c>
      <c r="F399" s="807">
        <v>1066179</v>
      </c>
    </row>
    <row r="400" spans="1:7">
      <c r="D400" s="170" t="s">
        <v>691</v>
      </c>
      <c r="E400" s="170"/>
      <c r="F400" s="780">
        <v>77731</v>
      </c>
    </row>
    <row r="401" spans="4:6">
      <c r="D401" s="171" t="s">
        <v>690</v>
      </c>
      <c r="F401" s="782">
        <f>SUM(F399:F400)</f>
        <v>1143910</v>
      </c>
    </row>
    <row r="402" spans="4:6" ht="13.5" thickBot="1">
      <c r="D402" s="761" t="s">
        <v>689</v>
      </c>
      <c r="E402" s="761"/>
      <c r="F402" s="808">
        <v>24884085</v>
      </c>
    </row>
    <row r="403" spans="4:6">
      <c r="D403" s="171" t="s">
        <v>688</v>
      </c>
      <c r="F403" s="809">
        <f>F401/F402</f>
        <v>4.5969542380200033E-2</v>
      </c>
    </row>
  </sheetData>
  <printOptions horizontalCentered="1"/>
  <pageMargins left="0.75" right="0.75" top="1" bottom="0.5" header="0.5" footer="0.5"/>
  <pageSetup scale="72" fitToHeight="0" orientation="portrait" r:id="rId1"/>
  <headerFooter alignWithMargins="0">
    <oddHeader>&amp;L&amp;F
Page &amp;P of &amp;N&amp;CKentucky Power Company
Cogen Rate Design
Twelve Months Ended September 30, 2014</oddHeader>
  </headerFooter>
  <rowBreaks count="8" manualBreakCount="8">
    <brk id="35" max="16383" man="1"/>
    <brk id="106" max="10" man="1"/>
    <brk id="140" max="16383" man="1"/>
    <brk id="180" max="16383" man="1"/>
    <brk id="228" max="16383" man="1"/>
    <brk id="269" max="16383" man="1"/>
    <brk id="312" max="16383" man="1"/>
    <brk id="354" max="16383" man="1"/>
  </rowBreaks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1</xdr:col>
                <xdr:colOff>47625</xdr:colOff>
                <xdr:row>27</xdr:row>
                <xdr:rowOff>9525</xdr:rowOff>
              </from>
              <to>
                <xdr:col>4</xdr:col>
                <xdr:colOff>257175</xdr:colOff>
                <xdr:row>31</xdr:row>
                <xdr:rowOff>57150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1</xdr:col>
                <xdr:colOff>47625</xdr:colOff>
                <xdr:row>36</xdr:row>
                <xdr:rowOff>142875</xdr:rowOff>
              </from>
              <to>
                <xdr:col>5</xdr:col>
                <xdr:colOff>695325</xdr:colOff>
                <xdr:row>41</xdr:row>
                <xdr:rowOff>114300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1</xdr:col>
                <xdr:colOff>28575</xdr:colOff>
                <xdr:row>43</xdr:row>
                <xdr:rowOff>57150</xdr:rowOff>
              </from>
              <to>
                <xdr:col>3</xdr:col>
                <xdr:colOff>285750</xdr:colOff>
                <xdr:row>45</xdr:row>
                <xdr:rowOff>114300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1</xdr:col>
                <xdr:colOff>28575</xdr:colOff>
                <xdr:row>46</xdr:row>
                <xdr:rowOff>66675</xdr:rowOff>
              </from>
              <to>
                <xdr:col>3</xdr:col>
                <xdr:colOff>466725</xdr:colOff>
                <xdr:row>49</xdr:row>
                <xdr:rowOff>28575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1</xdr:col>
                <xdr:colOff>38100</xdr:colOff>
                <xdr:row>50</xdr:row>
                <xdr:rowOff>38100</xdr:rowOff>
              </from>
              <to>
                <xdr:col>3</xdr:col>
                <xdr:colOff>152400</xdr:colOff>
                <xdr:row>52</xdr:row>
                <xdr:rowOff>9525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38100</xdr:colOff>
                <xdr:row>53</xdr:row>
                <xdr:rowOff>9525</xdr:rowOff>
              </from>
              <to>
                <xdr:col>3</xdr:col>
                <xdr:colOff>238125</xdr:colOff>
                <xdr:row>55</xdr:row>
                <xdr:rowOff>114300</xdr:rowOff>
              </to>
            </anchor>
          </objectPr>
        </oleObject>
      </mc:Choice>
      <mc:Fallback>
        <oleObject progId="Equation.3" shapeId="1030" r:id="rId14"/>
      </mc:Fallback>
    </mc:AlternateContent>
    <mc:AlternateContent xmlns:mc="http://schemas.openxmlformats.org/markup-compatibility/2006">
      <mc:Choice Requires="x14">
        <oleObject progId="Equation.3" shapeId="1031" r:id="rId16">
          <objectPr defaultSize="0" autoPict="0" r:id="rId17">
            <anchor moveWithCells="1">
              <from>
                <xdr:col>1</xdr:col>
                <xdr:colOff>38100</xdr:colOff>
                <xdr:row>56</xdr:row>
                <xdr:rowOff>152400</xdr:rowOff>
              </from>
              <to>
                <xdr:col>3</xdr:col>
                <xdr:colOff>295275</xdr:colOff>
                <xdr:row>58</xdr:row>
                <xdr:rowOff>95250</xdr:rowOff>
              </to>
            </anchor>
          </objectPr>
        </oleObject>
      </mc:Choice>
      <mc:Fallback>
        <oleObject progId="Equation.3" shapeId="1031" r:id="rId16"/>
      </mc:Fallback>
    </mc:AlternateContent>
    <mc:AlternateContent xmlns:mc="http://schemas.openxmlformats.org/markup-compatibility/2006">
      <mc:Choice Requires="x14">
        <oleObject progId="Equation.3" shapeId="1032" r:id="rId18">
          <objectPr defaultSize="0" autoPict="0" r:id="rId19">
            <anchor moveWithCells="1">
              <from>
                <xdr:col>1</xdr:col>
                <xdr:colOff>38100</xdr:colOff>
                <xdr:row>59</xdr:row>
                <xdr:rowOff>123825</xdr:rowOff>
              </from>
              <to>
                <xdr:col>2</xdr:col>
                <xdr:colOff>38100</xdr:colOff>
                <xdr:row>62</xdr:row>
                <xdr:rowOff>28575</xdr:rowOff>
              </to>
            </anchor>
          </objectPr>
        </oleObject>
      </mc:Choice>
      <mc:Fallback>
        <oleObject progId="Equation.3" shapeId="1032" r:id="rId18"/>
      </mc:Fallback>
    </mc:AlternateContent>
    <mc:AlternateContent xmlns:mc="http://schemas.openxmlformats.org/markup-compatibility/2006">
      <mc:Choice Requires="x14">
        <oleObject progId="Equation.3" shapeId="1033" r:id="rId20">
          <objectPr defaultSize="0" autoPict="0" r:id="rId21">
            <anchor moveWithCells="1">
              <from>
                <xdr:col>2</xdr:col>
                <xdr:colOff>28575</xdr:colOff>
                <xdr:row>173</xdr:row>
                <xdr:rowOff>85725</xdr:rowOff>
              </from>
              <to>
                <xdr:col>6</xdr:col>
                <xdr:colOff>228600</xdr:colOff>
                <xdr:row>176</xdr:row>
                <xdr:rowOff>57150</xdr:rowOff>
              </to>
            </anchor>
          </objectPr>
        </oleObject>
      </mc:Choice>
      <mc:Fallback>
        <oleObject progId="Equation.3" shapeId="1033" r:id="rId20"/>
      </mc:Fallback>
    </mc:AlternateContent>
    <mc:AlternateContent xmlns:mc="http://schemas.openxmlformats.org/markup-compatibility/2006">
      <mc:Choice Requires="x14">
        <oleObject progId="Equation.3" shapeId="1034" r:id="rId22">
          <objectPr defaultSize="0" autoPict="0" r:id="rId23">
            <anchor moveWithCells="1">
              <from>
                <xdr:col>1</xdr:col>
                <xdr:colOff>47625</xdr:colOff>
                <xdr:row>262</xdr:row>
                <xdr:rowOff>95250</xdr:rowOff>
              </from>
              <to>
                <xdr:col>6</xdr:col>
                <xdr:colOff>542925</xdr:colOff>
                <xdr:row>265</xdr:row>
                <xdr:rowOff>66675</xdr:rowOff>
              </to>
            </anchor>
          </objectPr>
        </oleObject>
      </mc:Choice>
      <mc:Fallback>
        <oleObject progId="Equation.3" shapeId="1034" r:id="rId22"/>
      </mc:Fallback>
    </mc:AlternateContent>
    <mc:AlternateContent xmlns:mc="http://schemas.openxmlformats.org/markup-compatibility/2006">
      <mc:Choice Requires="x14">
        <oleObject progId="Equation.3" shapeId="1035" r:id="rId24">
          <objectPr defaultSize="0" autoPict="0" r:id="rId25">
            <anchor moveWithCells="1">
              <from>
                <xdr:col>1</xdr:col>
                <xdr:colOff>180975</xdr:colOff>
                <xdr:row>72</xdr:row>
                <xdr:rowOff>133350</xdr:rowOff>
              </from>
              <to>
                <xdr:col>5</xdr:col>
                <xdr:colOff>1209675</xdr:colOff>
                <xdr:row>79</xdr:row>
                <xdr:rowOff>19050</xdr:rowOff>
              </to>
            </anchor>
          </objectPr>
        </oleObject>
      </mc:Choice>
      <mc:Fallback>
        <oleObject progId="Equation.3" shapeId="1035" r:id="rId24"/>
      </mc:Fallback>
    </mc:AlternateContent>
  </oleObjec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zoomScale="87" zoomScaleNormal="87" workbookViewId="0">
      <selection activeCell="E26" sqref="E26"/>
    </sheetView>
  </sheetViews>
  <sheetFormatPr defaultRowHeight="15"/>
  <cols>
    <col min="1" max="1" width="19.875" style="178" customWidth="1"/>
    <col min="2" max="2" width="8.125" style="178" customWidth="1"/>
    <col min="3" max="3" width="7.375" style="178" customWidth="1"/>
    <col min="4" max="4" width="6.625" style="178" customWidth="1"/>
    <col min="5" max="5" width="7.125" style="178" customWidth="1"/>
    <col min="6" max="8" width="6.625" style="178" customWidth="1"/>
    <col min="9" max="9" width="8.25" style="178" customWidth="1"/>
    <col min="10" max="10" width="7.875" style="178" customWidth="1"/>
    <col min="11" max="11" width="8.25" style="178" customWidth="1"/>
    <col min="12" max="13" width="7.875" style="178" customWidth="1"/>
    <col min="14" max="16384" width="9" style="178"/>
  </cols>
  <sheetData>
    <row r="1" spans="1:13">
      <c r="G1" s="291" t="s">
        <v>900</v>
      </c>
    </row>
    <row r="2" spans="1:13">
      <c r="G2" s="291" t="s">
        <v>899</v>
      </c>
    </row>
    <row r="3" spans="1:13">
      <c r="G3" s="291" t="s">
        <v>898</v>
      </c>
    </row>
    <row r="4" spans="1:13">
      <c r="F4" s="810"/>
      <c r="G4" s="811"/>
      <c r="I4" s="180"/>
    </row>
    <row r="7" spans="1:13">
      <c r="B7" s="812"/>
      <c r="C7" s="812"/>
      <c r="D7" s="812"/>
      <c r="E7" s="812"/>
      <c r="F7" s="812"/>
      <c r="G7" s="813" t="s">
        <v>897</v>
      </c>
      <c r="H7" s="812"/>
      <c r="I7" s="812"/>
      <c r="J7" s="812"/>
      <c r="K7" s="812"/>
      <c r="L7" s="812"/>
      <c r="M7" s="812"/>
    </row>
    <row r="9" spans="1:13">
      <c r="B9" s="814">
        <v>2</v>
      </c>
      <c r="C9" s="814">
        <v>3</v>
      </c>
      <c r="D9" s="814">
        <v>4</v>
      </c>
      <c r="E9" s="814">
        <v>5</v>
      </c>
      <c r="F9" s="814">
        <v>10</v>
      </c>
      <c r="G9" s="814">
        <v>15</v>
      </c>
      <c r="H9" s="814">
        <v>20</v>
      </c>
      <c r="I9" s="814">
        <v>25</v>
      </c>
      <c r="J9" s="814">
        <v>30</v>
      </c>
      <c r="K9" s="814">
        <v>33</v>
      </c>
      <c r="L9" s="814">
        <v>40</v>
      </c>
      <c r="M9" s="814">
        <v>50</v>
      </c>
    </row>
    <row r="10" spans="1:13">
      <c r="A10" s="178" t="s">
        <v>896</v>
      </c>
      <c r="B10" s="815">
        <v>7.28</v>
      </c>
      <c r="C10" s="815">
        <f t="shared" ref="C10:M10" si="0">B10</f>
        <v>7.28</v>
      </c>
      <c r="D10" s="815">
        <f t="shared" si="0"/>
        <v>7.28</v>
      </c>
      <c r="E10" s="815">
        <f t="shared" si="0"/>
        <v>7.28</v>
      </c>
      <c r="F10" s="815">
        <f t="shared" si="0"/>
        <v>7.28</v>
      </c>
      <c r="G10" s="815">
        <f t="shared" si="0"/>
        <v>7.28</v>
      </c>
      <c r="H10" s="815">
        <f t="shared" si="0"/>
        <v>7.28</v>
      </c>
      <c r="I10" s="815">
        <f t="shared" si="0"/>
        <v>7.28</v>
      </c>
      <c r="J10" s="815">
        <f t="shared" si="0"/>
        <v>7.28</v>
      </c>
      <c r="K10" s="815">
        <f t="shared" si="0"/>
        <v>7.28</v>
      </c>
      <c r="L10" s="815">
        <f t="shared" si="0"/>
        <v>7.28</v>
      </c>
      <c r="M10" s="815">
        <f t="shared" si="0"/>
        <v>7.28</v>
      </c>
    </row>
    <row r="11" spans="1:13">
      <c r="B11" s="815"/>
      <c r="C11" s="815"/>
      <c r="D11" s="815"/>
      <c r="E11" s="815"/>
      <c r="F11" s="815"/>
      <c r="G11" s="815"/>
      <c r="H11" s="815"/>
      <c r="I11" s="815"/>
      <c r="J11" s="815"/>
      <c r="K11" s="815"/>
      <c r="L11" s="815"/>
      <c r="M11" s="815"/>
    </row>
    <row r="12" spans="1:13">
      <c r="A12" s="178" t="s">
        <v>895</v>
      </c>
      <c r="B12" s="815">
        <v>48.995186561201528</v>
      </c>
      <c r="C12" s="815">
        <v>31.818488266703074</v>
      </c>
      <c r="D12" s="815">
        <v>23.216902318217507</v>
      </c>
      <c r="E12" s="815">
        <v>18.072091768263419</v>
      </c>
      <c r="F12" s="815">
        <v>7.9227599750681552</v>
      </c>
      <c r="G12" s="815">
        <v>4.6814818551247166</v>
      </c>
      <c r="H12" s="815">
        <v>3.1495712878099433</v>
      </c>
      <c r="I12" s="815">
        <v>2.2883962468064118</v>
      </c>
      <c r="J12" s="815">
        <v>1.7530804672527249</v>
      </c>
      <c r="K12" s="815">
        <v>1.458053105326931</v>
      </c>
      <c r="L12" s="815">
        <v>1.1483199859035991</v>
      </c>
      <c r="M12" s="815">
        <v>0.83176708690728096</v>
      </c>
    </row>
    <row r="13" spans="1:13">
      <c r="B13" s="815"/>
      <c r="C13" s="815"/>
      <c r="D13" s="815"/>
      <c r="E13" s="815"/>
      <c r="F13" s="815"/>
      <c r="G13" s="815"/>
      <c r="H13" s="815"/>
      <c r="I13" s="815"/>
      <c r="J13" s="815"/>
      <c r="K13" s="815"/>
      <c r="L13" s="815"/>
      <c r="M13" s="815"/>
    </row>
    <row r="14" spans="1:13">
      <c r="A14" s="178" t="s">
        <v>894</v>
      </c>
      <c r="B14" s="815">
        <v>2.0748574852859862</v>
      </c>
      <c r="C14" s="815">
        <v>1.4841885998041429</v>
      </c>
      <c r="D14" s="815">
        <v>1.5941848321692047</v>
      </c>
      <c r="E14" s="815">
        <v>1.3208338940997937</v>
      </c>
      <c r="F14" s="815">
        <v>1.2525789704934995</v>
      </c>
      <c r="G14" s="815">
        <v>1.521165738685426</v>
      </c>
      <c r="H14" s="815">
        <v>1.5781148052476028</v>
      </c>
      <c r="I14" s="815">
        <v>1.3678670775514115</v>
      </c>
      <c r="J14" s="815">
        <v>1.2308794580477787</v>
      </c>
      <c r="K14" s="815">
        <v>1.1519252549271444</v>
      </c>
      <c r="L14" s="815">
        <v>1.0649175674334144</v>
      </c>
      <c r="M14" s="815">
        <v>0.96913236731520336</v>
      </c>
    </row>
    <row r="15" spans="1:13">
      <c r="B15" s="815"/>
      <c r="C15" s="815"/>
      <c r="D15" s="815"/>
      <c r="E15" s="815"/>
      <c r="F15" s="815"/>
      <c r="G15" s="815"/>
      <c r="H15" s="815"/>
      <c r="I15" s="815"/>
      <c r="J15" s="815"/>
      <c r="K15" s="815"/>
      <c r="L15" s="815"/>
      <c r="M15" s="815"/>
    </row>
    <row r="16" spans="1:13" ht="45">
      <c r="A16" s="816" t="s">
        <v>893</v>
      </c>
      <c r="B16" s="817">
        <v>1.37</v>
      </c>
      <c r="C16" s="817">
        <f t="shared" ref="C16:L16" si="1">B16</f>
        <v>1.37</v>
      </c>
      <c r="D16" s="817">
        <f t="shared" si="1"/>
        <v>1.37</v>
      </c>
      <c r="E16" s="817">
        <f t="shared" si="1"/>
        <v>1.37</v>
      </c>
      <c r="F16" s="817">
        <f t="shared" si="1"/>
        <v>1.37</v>
      </c>
      <c r="G16" s="817">
        <f t="shared" si="1"/>
        <v>1.37</v>
      </c>
      <c r="H16" s="817">
        <f t="shared" si="1"/>
        <v>1.37</v>
      </c>
      <c r="I16" s="817">
        <f t="shared" si="1"/>
        <v>1.37</v>
      </c>
      <c r="J16" s="817">
        <f t="shared" si="1"/>
        <v>1.37</v>
      </c>
      <c r="K16" s="817">
        <f t="shared" si="1"/>
        <v>1.37</v>
      </c>
      <c r="L16" s="817">
        <f t="shared" si="1"/>
        <v>1.37</v>
      </c>
      <c r="M16" s="817">
        <f>L16</f>
        <v>1.37</v>
      </c>
    </row>
    <row r="17" spans="1:13">
      <c r="B17" s="815"/>
      <c r="C17" s="815"/>
      <c r="D17" s="815"/>
      <c r="E17" s="815"/>
      <c r="F17" s="815"/>
      <c r="G17" s="815"/>
      <c r="H17" s="815"/>
      <c r="I17" s="815"/>
      <c r="J17" s="815"/>
      <c r="K17" s="815"/>
      <c r="L17" s="815"/>
      <c r="M17" s="815"/>
    </row>
    <row r="18" spans="1:13">
      <c r="B18" s="815">
        <f>SUM(B10:B16)</f>
        <v>59.720044046487516</v>
      </c>
      <c r="C18" s="815">
        <f t="shared" ref="C18:M18" si="2">SUM(C10:C16)</f>
        <v>41.952676866507211</v>
      </c>
      <c r="D18" s="815">
        <f t="shared" si="2"/>
        <v>33.46108715038671</v>
      </c>
      <c r="E18" s="815">
        <f t="shared" si="2"/>
        <v>28.042925662363213</v>
      </c>
      <c r="F18" s="815">
        <f>SUM(F10:F16)</f>
        <v>17.825338945561654</v>
      </c>
      <c r="G18" s="815">
        <f t="shared" si="2"/>
        <v>14.852647593810143</v>
      </c>
      <c r="H18" s="815">
        <f t="shared" si="2"/>
        <v>13.377686093057548</v>
      </c>
      <c r="I18" s="815">
        <f t="shared" si="2"/>
        <v>12.306263324357822</v>
      </c>
      <c r="J18" s="815">
        <f t="shared" si="2"/>
        <v>11.633959925300505</v>
      </c>
      <c r="K18" s="815">
        <f t="shared" si="2"/>
        <v>11.259978360254078</v>
      </c>
      <c r="L18" s="815">
        <f t="shared" si="2"/>
        <v>10.863237553337015</v>
      </c>
      <c r="M18" s="815">
        <f t="shared" si="2"/>
        <v>10.450899454222487</v>
      </c>
    </row>
    <row r="21" spans="1:13">
      <c r="A21" s="218" t="s">
        <v>994</v>
      </c>
      <c r="B21" s="818"/>
      <c r="F21" s="819"/>
      <c r="H21" s="818"/>
    </row>
    <row r="23" spans="1:13">
      <c r="A23" s="179" t="s">
        <v>892</v>
      </c>
    </row>
    <row r="24" spans="1:13">
      <c r="B24" s="818"/>
    </row>
    <row r="25" spans="1:13">
      <c r="A25" s="178" t="s">
        <v>891</v>
      </c>
    </row>
    <row r="27" spans="1:13">
      <c r="A27" s="179" t="s">
        <v>890</v>
      </c>
    </row>
  </sheetData>
  <pageMargins left="0.7" right="0.7" top="0.75" bottom="0.75" header="0.3" footer="0.3"/>
  <pageSetup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8" sqref="A28"/>
    </sheetView>
  </sheetViews>
  <sheetFormatPr defaultRowHeight="15.75"/>
  <cols>
    <col min="1" max="1" width="30.5" style="824" customWidth="1"/>
    <col min="2" max="2" width="17.625" style="829" bestFit="1" customWidth="1"/>
    <col min="3" max="3" width="12.5" style="836" customWidth="1"/>
    <col min="4" max="4" width="9.875" style="829" bestFit="1" customWidth="1"/>
    <col min="5" max="5" width="13.625" style="829" bestFit="1" customWidth="1"/>
    <col min="6" max="6" width="10.5" style="829" bestFit="1" customWidth="1"/>
    <col min="7" max="7" width="22.375" style="830" bestFit="1" customWidth="1"/>
    <col min="8" max="16384" width="9" style="824"/>
  </cols>
  <sheetData>
    <row r="3" spans="1:7">
      <c r="A3" s="820"/>
      <c r="B3" s="821" t="s">
        <v>956</v>
      </c>
      <c r="C3" s="822" t="s">
        <v>44</v>
      </c>
      <c r="D3" s="821" t="s">
        <v>1047</v>
      </c>
      <c r="E3" s="821" t="s">
        <v>1048</v>
      </c>
      <c r="F3" s="821" t="s">
        <v>1049</v>
      </c>
      <c r="G3" s="823" t="s">
        <v>1050</v>
      </c>
    </row>
    <row r="4" spans="1:7">
      <c r="A4" s="825" t="s">
        <v>1051</v>
      </c>
      <c r="B4" s="261">
        <f>RS!F120</f>
        <v>17.5</v>
      </c>
      <c r="C4" s="826">
        <f>RS!F118</f>
        <v>0.10853</v>
      </c>
      <c r="D4" s="261"/>
      <c r="E4" s="261"/>
      <c r="F4" s="261"/>
      <c r="G4" s="827"/>
    </row>
    <row r="5" spans="1:7">
      <c r="A5" s="825" t="s">
        <v>1052</v>
      </c>
      <c r="B5" s="261"/>
      <c r="C5" s="826">
        <f>RS!F119</f>
        <v>6.4180000000000001E-2</v>
      </c>
      <c r="D5" s="261"/>
      <c r="E5" s="261"/>
      <c r="F5" s="261"/>
      <c r="G5" s="827"/>
    </row>
    <row r="6" spans="1:7">
      <c r="A6" s="825" t="s">
        <v>1053</v>
      </c>
      <c r="B6" s="261"/>
      <c r="C6" s="826"/>
      <c r="D6" s="261"/>
      <c r="E6" s="261"/>
      <c r="F6" s="261"/>
      <c r="G6" s="827"/>
    </row>
    <row r="7" spans="1:7">
      <c r="A7" s="825" t="s">
        <v>1054</v>
      </c>
      <c r="B7" s="261"/>
      <c r="C7" s="826">
        <f>RS!F86</f>
        <v>0.16553000000000001</v>
      </c>
      <c r="D7" s="261"/>
      <c r="E7" s="261"/>
      <c r="F7" s="261"/>
      <c r="G7" s="827"/>
    </row>
    <row r="8" spans="1:7">
      <c r="A8" s="825" t="s">
        <v>1055</v>
      </c>
      <c r="B8" s="261"/>
      <c r="C8" s="826">
        <f>RS!F87</f>
        <v>6.4180000000000001E-2</v>
      </c>
      <c r="D8" s="261"/>
      <c r="E8" s="261"/>
      <c r="F8" s="261"/>
      <c r="G8" s="827"/>
    </row>
    <row r="9" spans="1:7">
      <c r="A9" s="825" t="s">
        <v>1056</v>
      </c>
      <c r="B9" s="261">
        <f>RS!F89</f>
        <v>3.75</v>
      </c>
      <c r="C9" s="826"/>
      <c r="D9" s="261"/>
      <c r="E9" s="261"/>
      <c r="F9" s="261"/>
      <c r="G9" s="827"/>
    </row>
    <row r="10" spans="1:7">
      <c r="A10" s="825" t="s">
        <v>1057</v>
      </c>
      <c r="B10" s="261">
        <f>RS!F88</f>
        <v>20</v>
      </c>
      <c r="C10" s="826"/>
      <c r="D10" s="261"/>
      <c r="E10" s="261"/>
      <c r="F10" s="261"/>
      <c r="G10" s="827"/>
    </row>
    <row r="11" spans="1:7">
      <c r="A11" s="825" t="s">
        <v>1054</v>
      </c>
      <c r="B11" s="261"/>
      <c r="C11" s="826">
        <f>C7</f>
        <v>0.16553000000000001</v>
      </c>
      <c r="D11" s="261"/>
      <c r="E11" s="261"/>
      <c r="F11" s="261"/>
      <c r="G11" s="827"/>
    </row>
    <row r="12" spans="1:7">
      <c r="A12" s="825" t="s">
        <v>1055</v>
      </c>
      <c r="B12" s="261"/>
      <c r="C12" s="826">
        <f>C8</f>
        <v>6.4180000000000001E-2</v>
      </c>
      <c r="D12" s="261"/>
      <c r="E12" s="261"/>
      <c r="F12" s="261"/>
      <c r="G12" s="827"/>
    </row>
    <row r="14" spans="1:7">
      <c r="A14" s="825" t="s">
        <v>1058</v>
      </c>
      <c r="B14" s="261">
        <f>GS!D121</f>
        <v>22.5</v>
      </c>
      <c r="C14" s="826"/>
      <c r="D14" s="261"/>
      <c r="E14" s="261"/>
      <c r="F14" s="261"/>
      <c r="G14" s="827"/>
    </row>
    <row r="15" spans="1:7">
      <c r="A15" s="828" t="s">
        <v>1059</v>
      </c>
      <c r="B15" s="261"/>
      <c r="C15" s="826">
        <f>GS!D118</f>
        <v>0.10483000000000001</v>
      </c>
      <c r="D15" s="261"/>
      <c r="E15" s="261"/>
      <c r="F15" s="261"/>
      <c r="G15" s="827"/>
    </row>
    <row r="16" spans="1:7">
      <c r="A16" s="828" t="s">
        <v>1060</v>
      </c>
      <c r="B16" s="261"/>
      <c r="C16" s="826">
        <f>GS!D119</f>
        <v>0.10355</v>
      </c>
      <c r="D16" s="261"/>
      <c r="E16" s="261"/>
      <c r="F16" s="261"/>
      <c r="G16" s="827"/>
    </row>
    <row r="17" spans="1:4">
      <c r="A17" s="825" t="s">
        <v>1061</v>
      </c>
      <c r="B17" s="261">
        <f>SGS!E113</f>
        <v>13.5</v>
      </c>
      <c r="C17" s="826"/>
      <c r="D17" s="261"/>
    </row>
    <row r="18" spans="1:4">
      <c r="A18" s="825" t="s">
        <v>1062</v>
      </c>
      <c r="B18" s="831">
        <f>GS!H41</f>
        <v>22.5</v>
      </c>
      <c r="C18" s="826"/>
      <c r="D18" s="261"/>
    </row>
    <row r="19" spans="1:4">
      <c r="A19" s="825" t="s">
        <v>1054</v>
      </c>
      <c r="B19" s="261"/>
      <c r="C19" s="826">
        <f>GS!H39</f>
        <v>0.17363999999999999</v>
      </c>
      <c r="D19" s="261"/>
    </row>
    <row r="20" spans="1:4">
      <c r="A20" s="825" t="s">
        <v>1055</v>
      </c>
      <c r="B20" s="261"/>
      <c r="C20" s="826">
        <f>GS!H40</f>
        <v>6.4180000000000001E-2</v>
      </c>
      <c r="D20" s="261"/>
    </row>
    <row r="21" spans="1:4">
      <c r="A21" s="825" t="s">
        <v>939</v>
      </c>
      <c r="B21" s="831">
        <f>'SGS TOD'!G82</f>
        <v>22.5</v>
      </c>
      <c r="C21" s="826"/>
      <c r="D21" s="261"/>
    </row>
    <row r="22" spans="1:4">
      <c r="A22" s="825" t="s">
        <v>1063</v>
      </c>
      <c r="B22" s="261"/>
      <c r="C22" s="826">
        <f>'SGS TOD'!G79</f>
        <v>0.20635999999999999</v>
      </c>
      <c r="D22" s="261"/>
    </row>
    <row r="23" spans="1:4">
      <c r="A23" s="825" t="s">
        <v>1064</v>
      </c>
      <c r="B23" s="261"/>
      <c r="C23" s="826">
        <f>'SGS TOD'!G80</f>
        <v>0.16911000000000001</v>
      </c>
      <c r="D23" s="261"/>
    </row>
    <row r="24" spans="1:4">
      <c r="A24" s="825" t="s">
        <v>52</v>
      </c>
      <c r="B24" s="261"/>
      <c r="C24" s="826">
        <f>'SGS TOD'!G81</f>
        <v>8.6169999999999997E-2</v>
      </c>
      <c r="D24" s="261"/>
    </row>
    <row r="26" spans="1:4">
      <c r="A26" s="825" t="s">
        <v>1065</v>
      </c>
      <c r="B26" s="261">
        <f>GS!D121</f>
        <v>22.5</v>
      </c>
      <c r="C26" s="826"/>
      <c r="D26" s="261">
        <f>GS!D120</f>
        <v>7.84</v>
      </c>
    </row>
    <row r="27" spans="1:4">
      <c r="A27" s="828" t="s">
        <v>1059</v>
      </c>
      <c r="B27" s="261"/>
      <c r="C27" s="826">
        <f>GS!D118</f>
        <v>0.10483000000000001</v>
      </c>
      <c r="D27" s="261"/>
    </row>
    <row r="28" spans="1:4">
      <c r="A28" s="828" t="s">
        <v>1060</v>
      </c>
      <c r="B28" s="261"/>
      <c r="C28" s="826">
        <f>GS!D119</f>
        <v>0.10355</v>
      </c>
      <c r="D28" s="261"/>
    </row>
    <row r="29" spans="1:4">
      <c r="A29" s="825" t="s">
        <v>1066</v>
      </c>
      <c r="B29" s="261">
        <f>GS!F45</f>
        <v>22.5</v>
      </c>
      <c r="C29" s="826">
        <f>GS!F46</f>
        <v>0.11081000000000001</v>
      </c>
      <c r="D29" s="261"/>
    </row>
    <row r="30" spans="1:4">
      <c r="A30" s="825" t="s">
        <v>1067</v>
      </c>
      <c r="B30" s="261" t="s">
        <v>1068</v>
      </c>
      <c r="C30" s="826"/>
      <c r="D30" s="261"/>
    </row>
    <row r="31" spans="1:4">
      <c r="A31" s="825" t="s">
        <v>1069</v>
      </c>
      <c r="B31" s="261">
        <f>MGS!E236</f>
        <v>22.5</v>
      </c>
      <c r="C31" s="826"/>
      <c r="D31" s="261"/>
    </row>
    <row r="32" spans="1:4">
      <c r="A32" s="825" t="s">
        <v>1054</v>
      </c>
      <c r="B32" s="261"/>
      <c r="C32" s="826">
        <f>MGS!E234</f>
        <v>0.18181</v>
      </c>
      <c r="D32" s="261"/>
    </row>
    <row r="33" spans="1:5">
      <c r="A33" s="825" t="s">
        <v>1055</v>
      </c>
      <c r="B33" s="261"/>
      <c r="C33" s="826">
        <f>MGS!E235</f>
        <v>6.4180000000000001E-2</v>
      </c>
      <c r="D33" s="261"/>
      <c r="E33" s="261"/>
    </row>
    <row r="34" spans="1:5">
      <c r="A34" s="825" t="s">
        <v>1070</v>
      </c>
      <c r="B34" s="261">
        <f>GS!D127</f>
        <v>75</v>
      </c>
      <c r="C34" s="826"/>
      <c r="D34" s="261">
        <f>GS!D126</f>
        <v>7.08</v>
      </c>
      <c r="E34" s="261"/>
    </row>
    <row r="35" spans="1:5">
      <c r="A35" s="828" t="s">
        <v>1059</v>
      </c>
      <c r="B35" s="261"/>
      <c r="C35" s="826">
        <f>GS!D124</f>
        <v>9.3789999999999998E-2</v>
      </c>
      <c r="D35" s="261"/>
      <c r="E35" s="261"/>
    </row>
    <row r="36" spans="1:5">
      <c r="A36" s="828" t="s">
        <v>1060</v>
      </c>
      <c r="B36" s="261"/>
      <c r="C36" s="826">
        <f>GS!D125</f>
        <v>9.2539999999999997E-2</v>
      </c>
      <c r="D36" s="261"/>
      <c r="E36" s="261"/>
    </row>
    <row r="37" spans="1:5">
      <c r="A37" s="825" t="s">
        <v>1071</v>
      </c>
      <c r="B37" s="261">
        <f>GS!D132</f>
        <v>364</v>
      </c>
      <c r="C37" s="826"/>
      <c r="D37" s="261">
        <f>GS!D131</f>
        <v>5.75</v>
      </c>
      <c r="E37" s="261"/>
    </row>
    <row r="38" spans="1:5">
      <c r="A38" s="828" t="s">
        <v>1059</v>
      </c>
      <c r="B38" s="261"/>
      <c r="C38" s="826">
        <f>GS!D129</f>
        <v>7.6670000000000002E-2</v>
      </c>
      <c r="D38" s="261"/>
      <c r="E38" s="261"/>
    </row>
    <row r="39" spans="1:5">
      <c r="A39" s="828" t="s">
        <v>1060</v>
      </c>
      <c r="B39" s="261"/>
      <c r="C39" s="826">
        <f>GS!D130</f>
        <v>7.5439999999999993E-2</v>
      </c>
      <c r="D39" s="261"/>
      <c r="E39" s="261"/>
    </row>
    <row r="41" spans="1:5">
      <c r="A41" s="825" t="s">
        <v>1072</v>
      </c>
      <c r="B41" s="261">
        <f>LGS!F183</f>
        <v>85</v>
      </c>
      <c r="C41" s="826">
        <f>LGS!F182</f>
        <v>8.6110000000000006E-2</v>
      </c>
      <c r="D41" s="261">
        <f>LGS!F180</f>
        <v>7.84</v>
      </c>
      <c r="E41" s="261">
        <f>LGS!F181</f>
        <v>3.46</v>
      </c>
    </row>
    <row r="42" spans="1:5">
      <c r="A42" s="825" t="s">
        <v>1073</v>
      </c>
      <c r="B42" s="261">
        <f>LGS!F270</f>
        <v>85</v>
      </c>
      <c r="C42" s="826"/>
      <c r="D42" s="261"/>
      <c r="E42" s="261"/>
    </row>
    <row r="43" spans="1:5">
      <c r="A43" s="825" t="s">
        <v>1054</v>
      </c>
      <c r="B43" s="261"/>
      <c r="C43" s="826">
        <f>LGS!F268</f>
        <v>0.15656</v>
      </c>
      <c r="D43" s="261"/>
      <c r="E43" s="261"/>
    </row>
    <row r="44" spans="1:5">
      <c r="A44" s="825" t="s">
        <v>1055</v>
      </c>
      <c r="B44" s="261"/>
      <c r="C44" s="826">
        <f>LGS!F269</f>
        <v>6.4189999999999997E-2</v>
      </c>
      <c r="D44" s="261"/>
      <c r="E44" s="261"/>
    </row>
    <row r="45" spans="1:5">
      <c r="A45" s="825" t="s">
        <v>1074</v>
      </c>
      <c r="B45" s="261">
        <f>LGS!F277</f>
        <v>85</v>
      </c>
      <c r="C45" s="826"/>
      <c r="D45" s="832">
        <f>LGS!F275</f>
        <v>10.210000000000001</v>
      </c>
      <c r="E45" s="832">
        <f>LGS!F276</f>
        <v>3.46</v>
      </c>
    </row>
    <row r="46" spans="1:5">
      <c r="A46" s="825" t="s">
        <v>1054</v>
      </c>
      <c r="B46" s="261"/>
      <c r="C46" s="826">
        <f>LGS!F273</f>
        <v>0.11538</v>
      </c>
      <c r="D46" s="261"/>
      <c r="E46" s="261"/>
    </row>
    <row r="47" spans="1:5">
      <c r="A47" s="825" t="s">
        <v>1055</v>
      </c>
      <c r="B47" s="261"/>
      <c r="C47" s="826">
        <f>LGS!F274</f>
        <v>4.4380000000000003E-2</v>
      </c>
      <c r="D47" s="261"/>
      <c r="E47" s="261"/>
    </row>
    <row r="48" spans="1:5">
      <c r="A48" s="825" t="s">
        <v>1075</v>
      </c>
      <c r="B48" s="261">
        <f>LGS!F191</f>
        <v>127.5</v>
      </c>
      <c r="C48" s="826">
        <f>LGS!F190</f>
        <v>7.5799999999999992E-2</v>
      </c>
      <c r="D48" s="261">
        <f>LGS!F188</f>
        <v>7.08</v>
      </c>
      <c r="E48" s="261">
        <f>LGS!F189</f>
        <v>3.46</v>
      </c>
    </row>
    <row r="49" spans="1:5">
      <c r="A49" s="825" t="s">
        <v>1076</v>
      </c>
      <c r="B49" s="261">
        <f>LGS!F199</f>
        <v>679</v>
      </c>
      <c r="C49" s="826">
        <f>LGS!F198</f>
        <v>5.8920000000000007E-2</v>
      </c>
      <c r="D49" s="261">
        <f>LGS!F196</f>
        <v>5.75</v>
      </c>
      <c r="E49" s="261">
        <f>LGS!F197</f>
        <v>3.46</v>
      </c>
    </row>
    <row r="50" spans="1:5">
      <c r="A50" s="825" t="s">
        <v>1077</v>
      </c>
      <c r="B50" s="261">
        <f>LGS!F207</f>
        <v>679</v>
      </c>
      <c r="C50" s="826">
        <f>LGS!F206</f>
        <v>5.7779999999999998E-2</v>
      </c>
      <c r="D50" s="261">
        <f>LGS!F204</f>
        <v>5.61</v>
      </c>
      <c r="E50" s="261">
        <f>LGS!F205</f>
        <v>3.46</v>
      </c>
    </row>
    <row r="52" spans="1:5">
      <c r="A52" s="825" t="s">
        <v>1078</v>
      </c>
      <c r="B52" s="261">
        <f>B41</f>
        <v>85</v>
      </c>
      <c r="C52" s="261">
        <f t="shared" ref="C52:E52" si="0">C41</f>
        <v>8.6110000000000006E-2</v>
      </c>
      <c r="D52" s="261">
        <f t="shared" si="0"/>
        <v>7.84</v>
      </c>
      <c r="E52" s="261">
        <f t="shared" si="0"/>
        <v>3.46</v>
      </c>
    </row>
    <row r="53" spans="1:5">
      <c r="A53" s="825" t="s">
        <v>1079</v>
      </c>
      <c r="B53" s="261">
        <f>B48</f>
        <v>127.5</v>
      </c>
      <c r="C53" s="261">
        <f t="shared" ref="C53:E53" si="1">C48</f>
        <v>7.5799999999999992E-2</v>
      </c>
      <c r="D53" s="261">
        <f t="shared" si="1"/>
        <v>7.08</v>
      </c>
      <c r="E53" s="261">
        <f t="shared" si="1"/>
        <v>3.46</v>
      </c>
    </row>
    <row r="55" spans="1:5">
      <c r="A55" s="825" t="s">
        <v>1080</v>
      </c>
      <c r="B55" s="261">
        <f>IGS!F243</f>
        <v>276</v>
      </c>
      <c r="C55" s="826">
        <f>IGS!F242</f>
        <v>3.075E-2</v>
      </c>
      <c r="D55" s="261"/>
      <c r="E55" s="261">
        <f>IGS!F241</f>
        <v>0.69</v>
      </c>
    </row>
    <row r="56" spans="1:5">
      <c r="A56" s="825" t="s">
        <v>1054</v>
      </c>
      <c r="B56" s="261"/>
      <c r="C56" s="826"/>
      <c r="D56" s="261">
        <f>IGS!F238</f>
        <v>25.35</v>
      </c>
      <c r="E56" s="261"/>
    </row>
    <row r="57" spans="1:5">
      <c r="A57" s="825" t="s">
        <v>1055</v>
      </c>
      <c r="B57" s="261"/>
      <c r="C57" s="826"/>
      <c r="D57" s="261">
        <f>IGS!F239</f>
        <v>1.66</v>
      </c>
      <c r="E57" s="261"/>
    </row>
    <row r="58" spans="1:5">
      <c r="A58" s="825" t="s">
        <v>472</v>
      </c>
      <c r="B58" s="261"/>
      <c r="C58" s="826"/>
      <c r="D58" s="261">
        <f>IGS!F240</f>
        <v>27.1</v>
      </c>
      <c r="E58" s="261"/>
    </row>
    <row r="59" spans="1:5">
      <c r="A59" s="825" t="s">
        <v>1081</v>
      </c>
      <c r="B59" s="261">
        <f>IGS!F253</f>
        <v>276</v>
      </c>
      <c r="C59" s="826">
        <f>IGS!F252</f>
        <v>2.9589999999999998E-2</v>
      </c>
      <c r="D59" s="261"/>
      <c r="E59" s="261">
        <f>IGS!F251</f>
        <v>0.69</v>
      </c>
    </row>
    <row r="60" spans="1:5">
      <c r="A60" s="825" t="s">
        <v>1054</v>
      </c>
      <c r="B60" s="261"/>
      <c r="C60" s="826"/>
      <c r="D60" s="261">
        <f>IGS!F248</f>
        <v>22.020000000000003</v>
      </c>
      <c r="E60" s="261"/>
    </row>
    <row r="61" spans="1:5">
      <c r="A61" s="825" t="s">
        <v>1055</v>
      </c>
      <c r="B61" s="261"/>
      <c r="C61" s="826"/>
      <c r="D61" s="261">
        <f>IGS!F249</f>
        <v>1.61</v>
      </c>
      <c r="E61" s="261"/>
    </row>
    <row r="62" spans="1:5">
      <c r="A62" s="825" t="s">
        <v>472</v>
      </c>
      <c r="B62" s="261"/>
      <c r="C62" s="826"/>
      <c r="D62" s="261">
        <f>IGS!F250</f>
        <v>23.72</v>
      </c>
      <c r="E62" s="261"/>
    </row>
    <row r="63" spans="1:5">
      <c r="A63" s="825" t="s">
        <v>1082</v>
      </c>
      <c r="B63" s="261">
        <f>IGS!F264</f>
        <v>794</v>
      </c>
      <c r="C63" s="826">
        <f>IGS!F263</f>
        <v>2.9180000000000001E-2</v>
      </c>
      <c r="D63" s="261"/>
      <c r="E63" s="261">
        <f>IGS!F262</f>
        <v>0.69</v>
      </c>
    </row>
    <row r="64" spans="1:5">
      <c r="A64" s="825" t="s">
        <v>1054</v>
      </c>
      <c r="B64" s="261"/>
      <c r="C64" s="826"/>
      <c r="D64" s="261">
        <f>IGS!F258</f>
        <v>15.559999999999999</v>
      </c>
      <c r="E64" s="261"/>
    </row>
    <row r="65" spans="1:6">
      <c r="A65" s="825" t="s">
        <v>1055</v>
      </c>
      <c r="B65" s="261"/>
      <c r="C65" s="826"/>
      <c r="D65" s="261">
        <f>IGS!F259</f>
        <v>1.58</v>
      </c>
      <c r="E65" s="261"/>
      <c r="F65" s="261"/>
    </row>
    <row r="66" spans="1:6">
      <c r="A66" s="825" t="s">
        <v>472</v>
      </c>
      <c r="B66" s="261"/>
      <c r="C66" s="826"/>
      <c r="D66" s="261">
        <f>IGS!F260</f>
        <v>17.23</v>
      </c>
      <c r="E66" s="261"/>
      <c r="F66" s="261"/>
    </row>
    <row r="67" spans="1:6">
      <c r="A67" s="825" t="s">
        <v>1083</v>
      </c>
      <c r="B67" s="261">
        <f>IGS!F274</f>
        <v>1353</v>
      </c>
      <c r="C67" s="826">
        <f>IGS!F273</f>
        <v>2.878E-2</v>
      </c>
      <c r="D67" s="261"/>
      <c r="E67" s="261">
        <f>IGS!F272</f>
        <v>0.69</v>
      </c>
      <c r="F67" s="261"/>
    </row>
    <row r="68" spans="1:6">
      <c r="A68" s="825" t="s">
        <v>1054</v>
      </c>
      <c r="B68" s="261"/>
      <c r="C68" s="826"/>
      <c r="D68" s="261">
        <f>IGS!F269</f>
        <v>15.120000000000001</v>
      </c>
      <c r="E68" s="261"/>
      <c r="F68" s="261"/>
    </row>
    <row r="69" spans="1:6">
      <c r="A69" s="825" t="s">
        <v>1055</v>
      </c>
      <c r="B69" s="261"/>
      <c r="C69" s="826"/>
      <c r="D69" s="261">
        <f>IGS!F270</f>
        <v>1.55</v>
      </c>
      <c r="E69" s="261"/>
      <c r="F69" s="261"/>
    </row>
    <row r="70" spans="1:6">
      <c r="A70" s="825" t="s">
        <v>472</v>
      </c>
      <c r="B70" s="261"/>
      <c r="C70" s="826"/>
      <c r="D70" s="261">
        <f>IGS!F271</f>
        <v>16.759999999999998</v>
      </c>
      <c r="E70" s="261"/>
      <c r="F70" s="261"/>
    </row>
    <row r="71" spans="1:6">
      <c r="A71" s="825"/>
      <c r="B71" s="261"/>
      <c r="C71" s="826"/>
      <c r="D71" s="261"/>
      <c r="E71" s="261"/>
      <c r="F71" s="261"/>
    </row>
    <row r="72" spans="1:6">
      <c r="A72" s="825" t="s">
        <v>878</v>
      </c>
      <c r="B72" s="831">
        <f>MW!D59</f>
        <v>22.9</v>
      </c>
      <c r="C72" s="826">
        <f>MW!D57</f>
        <v>9.9220000000000003E-2</v>
      </c>
      <c r="D72" s="261">
        <f>MW!D58</f>
        <v>8.89</v>
      </c>
      <c r="E72" s="261"/>
      <c r="F72" s="261"/>
    </row>
    <row r="74" spans="1:6">
      <c r="A74" s="833" t="s">
        <v>1084</v>
      </c>
      <c r="B74" s="261"/>
      <c r="C74" s="826"/>
      <c r="D74" s="261"/>
      <c r="E74" s="261"/>
      <c r="F74" s="261"/>
    </row>
    <row r="75" spans="1:6">
      <c r="A75" s="834" t="s">
        <v>1085</v>
      </c>
      <c r="B75" s="261"/>
      <c r="C75" s="826"/>
      <c r="D75" s="261"/>
      <c r="E75" s="261"/>
      <c r="F75" s="261"/>
    </row>
    <row r="76" spans="1:6">
      <c r="A76" s="825" t="s">
        <v>593</v>
      </c>
      <c r="B76" s="261"/>
      <c r="C76" s="826"/>
      <c r="D76" s="261"/>
      <c r="E76" s="261"/>
      <c r="F76" s="261"/>
    </row>
    <row r="77" spans="1:6">
      <c r="A77" s="825" t="s">
        <v>1086</v>
      </c>
      <c r="B77" s="261"/>
      <c r="C77" s="826"/>
      <c r="D77" s="261"/>
      <c r="E77" s="261"/>
      <c r="F77" s="261">
        <f>'OL 1'!K7</f>
        <v>10.6</v>
      </c>
    </row>
    <row r="78" spans="1:6">
      <c r="A78" s="825" t="s">
        <v>1087</v>
      </c>
      <c r="B78" s="261"/>
      <c r="C78" s="826"/>
      <c r="D78" s="261"/>
      <c r="E78" s="261"/>
      <c r="F78" s="261">
        <f>'OL 1'!K8</f>
        <v>12.1</v>
      </c>
    </row>
    <row r="79" spans="1:6">
      <c r="A79" s="825" t="s">
        <v>1088</v>
      </c>
      <c r="B79" s="261"/>
      <c r="C79" s="826"/>
      <c r="D79" s="261"/>
      <c r="E79" s="261"/>
      <c r="F79" s="261">
        <f>'OL 1'!K9</f>
        <v>14.149999999999999</v>
      </c>
    </row>
    <row r="80" spans="1:6">
      <c r="A80" s="825" t="s">
        <v>1089</v>
      </c>
      <c r="B80" s="261"/>
      <c r="C80" s="826"/>
      <c r="D80" s="261"/>
      <c r="E80" s="261"/>
      <c r="F80" s="261">
        <f>'OL 1'!K10</f>
        <v>18.45</v>
      </c>
    </row>
    <row r="81" spans="1:6">
      <c r="A81" s="825" t="s">
        <v>1090</v>
      </c>
      <c r="B81" s="261"/>
      <c r="C81" s="826"/>
      <c r="D81" s="261"/>
      <c r="E81" s="261"/>
      <c r="F81" s="261">
        <f>'OL 1'!K11</f>
        <v>22</v>
      </c>
    </row>
    <row r="83" spans="1:6">
      <c r="A83" s="825" t="s">
        <v>1091</v>
      </c>
      <c r="B83" s="261"/>
      <c r="C83" s="826"/>
      <c r="D83" s="261"/>
      <c r="E83" s="261"/>
      <c r="F83" s="261"/>
    </row>
    <row r="84" spans="1:6">
      <c r="A84" s="825" t="s">
        <v>1092</v>
      </c>
      <c r="B84" s="261"/>
      <c r="C84" s="826"/>
      <c r="D84" s="261"/>
      <c r="E84" s="261"/>
      <c r="F84" s="261">
        <f>'OL 1'!K29</f>
        <v>11.55</v>
      </c>
    </row>
    <row r="85" spans="1:6">
      <c r="A85" s="825" t="s">
        <v>1093</v>
      </c>
      <c r="B85" s="261"/>
      <c r="C85" s="826"/>
      <c r="D85" s="261"/>
      <c r="E85" s="261"/>
      <c r="F85" s="261">
        <f>'OL 1'!K30</f>
        <v>19.899999999999999</v>
      </c>
    </row>
    <row r="87" spans="1:6">
      <c r="A87" s="834" t="s">
        <v>1094</v>
      </c>
      <c r="B87" s="261"/>
      <c r="C87" s="826"/>
      <c r="D87" s="261"/>
      <c r="E87" s="261"/>
      <c r="F87" s="261"/>
    </row>
    <row r="88" spans="1:6">
      <c r="A88" s="825" t="s">
        <v>1095</v>
      </c>
      <c r="B88" s="261"/>
      <c r="C88" s="826"/>
      <c r="D88" s="261"/>
      <c r="E88" s="261"/>
      <c r="F88" s="261"/>
    </row>
    <row r="89" spans="1:6">
      <c r="A89" s="825" t="s">
        <v>1096</v>
      </c>
      <c r="B89" s="261"/>
      <c r="C89" s="826"/>
      <c r="D89" s="261"/>
      <c r="E89" s="261"/>
      <c r="F89" s="261">
        <f>'OL 1'!K12</f>
        <v>16.3</v>
      </c>
    </row>
    <row r="90" spans="1:6">
      <c r="A90" s="825" t="s">
        <v>1097</v>
      </c>
      <c r="B90" s="261"/>
      <c r="C90" s="826"/>
      <c r="D90" s="261"/>
      <c r="E90" s="261"/>
      <c r="F90" s="261">
        <f>'OL 1'!K13</f>
        <v>26.7</v>
      </c>
    </row>
    <row r="92" spans="1:6">
      <c r="A92" s="825" t="s">
        <v>1098</v>
      </c>
      <c r="B92" s="261"/>
      <c r="C92" s="826"/>
      <c r="D92" s="261"/>
      <c r="E92" s="261"/>
      <c r="F92" s="261"/>
    </row>
    <row r="93" spans="1:6">
      <c r="A93" s="825" t="s">
        <v>1099</v>
      </c>
      <c r="B93" s="261"/>
      <c r="C93" s="826"/>
      <c r="D93" s="261"/>
      <c r="E93" s="261"/>
      <c r="F93" s="261">
        <f>'OL 1'!K31</f>
        <v>13.25</v>
      </c>
    </row>
    <row r="95" spans="1:6">
      <c r="A95" s="825" t="s">
        <v>1100</v>
      </c>
      <c r="B95" s="261"/>
      <c r="C95" s="826"/>
      <c r="D95" s="261"/>
      <c r="E95" s="261"/>
      <c r="F95" s="261"/>
    </row>
    <row r="96" spans="1:6">
      <c r="A96" s="825" t="s">
        <v>1101</v>
      </c>
      <c r="B96" s="261"/>
      <c r="C96" s="826"/>
      <c r="D96" s="261"/>
      <c r="E96" s="261"/>
      <c r="F96" s="261">
        <f>'OL 1'!K16</f>
        <v>31.35</v>
      </c>
    </row>
    <row r="97" spans="1:6">
      <c r="A97" s="825" t="s">
        <v>1102</v>
      </c>
      <c r="B97" s="261"/>
      <c r="C97" s="826"/>
      <c r="D97" s="261"/>
      <c r="E97" s="261"/>
      <c r="F97" s="261">
        <f>'OL 1'!K17</f>
        <v>29.85</v>
      </c>
    </row>
    <row r="98" spans="1:6">
      <c r="A98" s="825" t="s">
        <v>1103</v>
      </c>
      <c r="B98" s="261"/>
      <c r="C98" s="826"/>
      <c r="D98" s="261"/>
      <c r="E98" s="261"/>
      <c r="F98" s="261">
        <f>'OL 1'!K18</f>
        <v>41.9</v>
      </c>
    </row>
    <row r="100" spans="1:6">
      <c r="A100" s="834" t="s">
        <v>1104</v>
      </c>
      <c r="B100" s="261"/>
      <c r="C100" s="826"/>
      <c r="D100" s="261"/>
      <c r="E100" s="261"/>
      <c r="F100" s="261"/>
    </row>
    <row r="101" spans="1:6">
      <c r="A101" s="825" t="s">
        <v>1105</v>
      </c>
      <c r="B101" s="261"/>
      <c r="C101" s="826"/>
      <c r="D101" s="261"/>
      <c r="E101" s="261"/>
      <c r="F101" s="261"/>
    </row>
    <row r="102" spans="1:6">
      <c r="A102" s="825" t="s">
        <v>1106</v>
      </c>
      <c r="B102" s="261"/>
      <c r="C102" s="826"/>
      <c r="D102" s="261"/>
      <c r="E102" s="261"/>
      <c r="F102" s="261">
        <f>'OL 1'!K14</f>
        <v>16.599999999999998</v>
      </c>
    </row>
    <row r="103" spans="1:6">
      <c r="A103" s="825" t="s">
        <v>1107</v>
      </c>
      <c r="B103" s="261"/>
      <c r="C103" s="826"/>
      <c r="D103" s="261"/>
      <c r="E103" s="261"/>
      <c r="F103" s="261">
        <f>'OL 1'!K15</f>
        <v>23.3</v>
      </c>
    </row>
    <row r="105" spans="1:6">
      <c r="A105" s="825" t="s">
        <v>1108</v>
      </c>
      <c r="B105" s="261"/>
      <c r="C105" s="826"/>
      <c r="D105" s="261"/>
      <c r="E105" s="261"/>
      <c r="F105" s="261"/>
    </row>
    <row r="106" spans="1:6">
      <c r="A106" s="825" t="s">
        <v>1109</v>
      </c>
      <c r="B106" s="261"/>
      <c r="C106" s="826"/>
      <c r="D106" s="261"/>
      <c r="E106" s="261"/>
      <c r="F106" s="261">
        <f>'OL 1'!K21</f>
        <v>19.75</v>
      </c>
    </row>
    <row r="107" spans="1:6">
      <c r="A107" s="825" t="s">
        <v>1110</v>
      </c>
      <c r="B107" s="261"/>
      <c r="C107" s="826"/>
      <c r="D107" s="261"/>
      <c r="E107" s="261"/>
      <c r="F107" s="261">
        <f>'OL 1'!K22</f>
        <v>24.95</v>
      </c>
    </row>
    <row r="108" spans="1:6">
      <c r="A108" s="825" t="s">
        <v>1111</v>
      </c>
      <c r="B108" s="261"/>
      <c r="C108" s="826"/>
      <c r="D108" s="261"/>
      <c r="E108" s="261"/>
      <c r="F108" s="261">
        <f>'OL 1'!K23</f>
        <v>45.85</v>
      </c>
    </row>
    <row r="110" spans="1:6">
      <c r="A110" s="825" t="s">
        <v>1112</v>
      </c>
      <c r="B110" s="261"/>
      <c r="C110" s="826"/>
      <c r="D110" s="261"/>
      <c r="E110" s="261"/>
      <c r="F110" s="261"/>
    </row>
    <row r="111" spans="1:6">
      <c r="A111" s="825" t="s">
        <v>1113</v>
      </c>
      <c r="B111" s="261"/>
      <c r="C111" s="826"/>
      <c r="D111" s="261"/>
      <c r="E111" s="261"/>
      <c r="F111" s="261">
        <f>'OL 1'!K24</f>
        <v>24</v>
      </c>
    </row>
    <row r="112" spans="1:6">
      <c r="A112" s="825" t="s">
        <v>1114</v>
      </c>
      <c r="B112" s="261"/>
      <c r="C112" s="826"/>
      <c r="D112" s="261"/>
      <c r="E112" s="261"/>
      <c r="F112" s="261">
        <f>'OL 1'!K25</f>
        <v>28.85</v>
      </c>
    </row>
    <row r="114" spans="1:6">
      <c r="A114" s="825" t="s">
        <v>1115</v>
      </c>
      <c r="B114" s="261"/>
      <c r="C114" s="826"/>
      <c r="D114" s="261"/>
      <c r="E114" s="261"/>
      <c r="F114" s="261"/>
    </row>
    <row r="116" spans="1:6">
      <c r="A116" s="825" t="s">
        <v>572</v>
      </c>
      <c r="B116" s="261"/>
      <c r="C116" s="826"/>
      <c r="D116" s="261"/>
      <c r="E116" s="261"/>
      <c r="F116" s="261"/>
    </row>
    <row r="117" spans="1:6">
      <c r="A117" s="825" t="s">
        <v>571</v>
      </c>
      <c r="B117" s="261"/>
      <c r="C117" s="826"/>
      <c r="D117" s="261"/>
      <c r="E117" s="261"/>
      <c r="F117" s="261">
        <f>'OL 1'!K34</f>
        <v>3.6</v>
      </c>
    </row>
    <row r="118" spans="1:6">
      <c r="A118" s="825" t="s">
        <v>570</v>
      </c>
      <c r="B118" s="261"/>
      <c r="C118" s="826"/>
      <c r="D118" s="261"/>
      <c r="E118" s="261"/>
      <c r="F118" s="261">
        <f>'OL 1'!K35</f>
        <v>2.1</v>
      </c>
    </row>
    <row r="119" spans="1:6">
      <c r="A119" s="825" t="s">
        <v>569</v>
      </c>
      <c r="B119" s="261"/>
      <c r="C119" s="826"/>
      <c r="D119" s="261"/>
      <c r="E119" s="261"/>
      <c r="F119" s="261">
        <f>'OL 1'!K36</f>
        <v>7.8</v>
      </c>
    </row>
    <row r="122" spans="1:6">
      <c r="A122" s="835" t="s">
        <v>1116</v>
      </c>
      <c r="B122" s="261"/>
      <c r="C122" s="826"/>
      <c r="D122" s="261"/>
      <c r="E122" s="261"/>
      <c r="F122" s="261"/>
    </row>
    <row r="123" spans="1:6">
      <c r="A123" s="825" t="s">
        <v>1117</v>
      </c>
      <c r="B123" s="261"/>
      <c r="C123" s="826"/>
      <c r="D123" s="261"/>
      <c r="E123" s="261"/>
      <c r="F123" s="261"/>
    </row>
    <row r="124" spans="1:6">
      <c r="A124" s="825" t="s">
        <v>593</v>
      </c>
      <c r="B124" s="261"/>
      <c r="C124" s="826"/>
      <c r="D124" s="261"/>
      <c r="E124" s="261"/>
      <c r="F124" s="261"/>
    </row>
    <row r="125" spans="1:6">
      <c r="A125" s="825" t="s">
        <v>1118</v>
      </c>
      <c r="B125" s="261"/>
      <c r="C125" s="826"/>
      <c r="D125" s="261"/>
      <c r="E125" s="261"/>
      <c r="F125" s="261">
        <f>'SL 1'!I13</f>
        <v>8.65</v>
      </c>
    </row>
    <row r="126" spans="1:6">
      <c r="A126" s="825" t="s">
        <v>1119</v>
      </c>
      <c r="B126" s="261"/>
      <c r="C126" s="826"/>
      <c r="D126" s="261"/>
      <c r="E126" s="261"/>
      <c r="F126" s="261">
        <f>'SL 1'!I14</f>
        <v>9.9</v>
      </c>
    </row>
    <row r="127" spans="1:6">
      <c r="A127" s="825" t="s">
        <v>1120</v>
      </c>
      <c r="B127" s="261"/>
      <c r="C127" s="826"/>
      <c r="D127" s="261"/>
      <c r="E127" s="261"/>
      <c r="F127" s="261">
        <f>'SL 1'!I15</f>
        <v>12.05</v>
      </c>
    </row>
    <row r="128" spans="1:6">
      <c r="A128" s="825" t="s">
        <v>1121</v>
      </c>
      <c r="B128" s="261"/>
      <c r="C128" s="826"/>
      <c r="D128" s="261"/>
      <c r="E128" s="261"/>
      <c r="F128" s="261">
        <f>'SL 1'!I16</f>
        <v>17.75</v>
      </c>
    </row>
    <row r="130" spans="1:6">
      <c r="A130" s="825" t="s">
        <v>1122</v>
      </c>
      <c r="B130" s="261"/>
      <c r="C130" s="826"/>
      <c r="D130" s="261"/>
      <c r="E130" s="261"/>
      <c r="F130" s="261"/>
    </row>
    <row r="131" spans="1:6">
      <c r="A131" s="825" t="s">
        <v>593</v>
      </c>
      <c r="B131" s="261"/>
      <c r="C131" s="826"/>
      <c r="D131" s="261"/>
      <c r="E131" s="261"/>
      <c r="F131" s="261"/>
    </row>
    <row r="132" spans="1:6">
      <c r="A132" s="825" t="s">
        <v>1118</v>
      </c>
      <c r="B132" s="261"/>
      <c r="C132" s="826"/>
      <c r="D132" s="261"/>
      <c r="E132" s="261"/>
      <c r="F132" s="261">
        <f>'SL 1'!I21</f>
        <v>12.75</v>
      </c>
    </row>
    <row r="133" spans="1:6">
      <c r="A133" s="825" t="s">
        <v>1119</v>
      </c>
      <c r="B133" s="261"/>
      <c r="C133" s="826"/>
      <c r="D133" s="261"/>
      <c r="E133" s="261"/>
      <c r="F133" s="261">
        <f>'SL 1'!I22</f>
        <v>14.15</v>
      </c>
    </row>
    <row r="134" spans="1:6">
      <c r="A134" s="825" t="s">
        <v>1120</v>
      </c>
      <c r="B134" s="261"/>
      <c r="C134" s="826"/>
      <c r="D134" s="261"/>
      <c r="E134" s="261"/>
      <c r="F134" s="261">
        <f>'SL 1'!I23</f>
        <v>16.400000000000002</v>
      </c>
    </row>
    <row r="135" spans="1:6">
      <c r="A135" s="825" t="s">
        <v>1121</v>
      </c>
      <c r="B135" s="261"/>
      <c r="C135" s="826"/>
      <c r="D135" s="261"/>
      <c r="E135" s="261"/>
      <c r="F135" s="261">
        <f>'SL 1'!I24</f>
        <v>22.900000000000002</v>
      </c>
    </row>
    <row r="137" spans="1:6">
      <c r="A137" s="825" t="s">
        <v>649</v>
      </c>
      <c r="B137" s="261"/>
      <c r="C137" s="826"/>
      <c r="D137" s="261"/>
      <c r="E137" s="261"/>
      <c r="F137" s="261"/>
    </row>
    <row r="138" spans="1:6">
      <c r="A138" s="825" t="s">
        <v>593</v>
      </c>
      <c r="B138" s="261"/>
      <c r="C138" s="826"/>
      <c r="D138" s="261"/>
      <c r="E138" s="261"/>
      <c r="F138" s="261"/>
    </row>
    <row r="139" spans="1:6">
      <c r="A139" s="828" t="s">
        <v>1118</v>
      </c>
      <c r="B139" s="261"/>
      <c r="C139" s="826"/>
      <c r="D139" s="261"/>
      <c r="E139" s="261"/>
      <c r="F139" s="261">
        <f>'SL 1'!I29</f>
        <v>29.1</v>
      </c>
    </row>
    <row r="140" spans="1:6">
      <c r="A140" s="828" t="s">
        <v>1119</v>
      </c>
      <c r="B140" s="261"/>
      <c r="C140" s="826"/>
      <c r="D140" s="261"/>
      <c r="E140" s="261"/>
      <c r="F140" s="261">
        <f>'SL 1'!I30</f>
        <v>30.4</v>
      </c>
    </row>
    <row r="141" spans="1:6">
      <c r="A141" s="828" t="s">
        <v>1120</v>
      </c>
      <c r="B141" s="261"/>
      <c r="C141" s="826"/>
      <c r="D141" s="261"/>
      <c r="E141" s="261"/>
      <c r="F141" s="261">
        <f>'SL 1'!I31</f>
        <v>30.95</v>
      </c>
    </row>
    <row r="142" spans="1:6">
      <c r="A142" s="828" t="s">
        <v>1121</v>
      </c>
      <c r="B142" s="261"/>
      <c r="C142" s="826"/>
      <c r="D142" s="261"/>
      <c r="E142" s="261"/>
      <c r="F142" s="261">
        <f>'SL 1'!I32</f>
        <v>34.049999999999997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9"/>
  <sheetViews>
    <sheetView workbookViewId="0">
      <selection activeCell="D10" sqref="D10"/>
    </sheetView>
  </sheetViews>
  <sheetFormatPr defaultRowHeight="15.75"/>
  <cols>
    <col min="1" max="1" width="37.25" bestFit="1" customWidth="1"/>
    <col min="2" max="2" width="11.25" bestFit="1" customWidth="1"/>
    <col min="3" max="3" width="16.125" customWidth="1"/>
  </cols>
  <sheetData>
    <row r="4" spans="1:3">
      <c r="A4" s="858" t="s">
        <v>1125</v>
      </c>
      <c r="B4" s="858"/>
      <c r="C4" s="858"/>
    </row>
    <row r="5" spans="1:3">
      <c r="A5" s="841"/>
      <c r="B5" s="845"/>
      <c r="C5" s="841"/>
    </row>
    <row r="6" spans="1:3">
      <c r="A6" s="841" t="s">
        <v>1126</v>
      </c>
      <c r="B6" s="845">
        <v>3903065</v>
      </c>
      <c r="C6" s="841"/>
    </row>
    <row r="7" spans="1:3">
      <c r="A7" s="843" t="s">
        <v>1127</v>
      </c>
      <c r="B7" s="846">
        <v>3903065</v>
      </c>
      <c r="C7" s="841"/>
    </row>
    <row r="8" spans="1:3">
      <c r="A8" s="843" t="s">
        <v>1128</v>
      </c>
      <c r="B8" s="839">
        <v>1</v>
      </c>
      <c r="C8" s="841"/>
    </row>
    <row r="9" spans="1:3">
      <c r="A9" s="843" t="s">
        <v>1129</v>
      </c>
      <c r="B9" s="844">
        <f>B7*B8</f>
        <v>3903065</v>
      </c>
      <c r="C9" s="841"/>
    </row>
    <row r="10" spans="1:3">
      <c r="A10" s="841"/>
      <c r="B10" s="841"/>
      <c r="C10" s="841"/>
    </row>
    <row r="11" spans="1:3">
      <c r="A11" s="843" t="s">
        <v>1130</v>
      </c>
      <c r="B11" s="847">
        <v>288582045.55000001</v>
      </c>
      <c r="C11" s="841"/>
    </row>
    <row r="12" spans="1:3">
      <c r="A12" s="843" t="s">
        <v>1131</v>
      </c>
      <c r="B12" s="847">
        <v>348183808.78000003</v>
      </c>
      <c r="C12" s="841"/>
    </row>
    <row r="13" spans="1:3">
      <c r="A13" s="843" t="s">
        <v>1132</v>
      </c>
      <c r="B13" s="847">
        <v>636765854.33000004</v>
      </c>
      <c r="C13" s="841"/>
    </row>
    <row r="14" spans="1:3">
      <c r="A14" s="843" t="s">
        <v>1133</v>
      </c>
      <c r="B14" s="847">
        <v>242338445.78000003</v>
      </c>
      <c r="C14" s="841"/>
    </row>
    <row r="15" spans="1:3">
      <c r="A15" s="843"/>
      <c r="B15" s="841"/>
      <c r="C15" s="841"/>
    </row>
    <row r="16" spans="1:3">
      <c r="A16" s="843"/>
      <c r="B16" s="841"/>
      <c r="C16" s="841"/>
    </row>
    <row r="17" spans="1:3">
      <c r="A17" s="843"/>
      <c r="B17" s="841"/>
      <c r="C17" s="841"/>
    </row>
    <row r="18" spans="1:3">
      <c r="A18" s="843"/>
      <c r="B18" s="841"/>
      <c r="C18" s="841"/>
    </row>
    <row r="19" spans="1:3">
      <c r="A19" s="843" t="s">
        <v>1134</v>
      </c>
      <c r="B19" s="847">
        <f>B9*(B11/B13)</f>
        <v>1768867.5891702014</v>
      </c>
      <c r="C19" s="841"/>
    </row>
    <row r="20" spans="1:3">
      <c r="A20" s="843" t="s">
        <v>1135</v>
      </c>
      <c r="B20" s="838">
        <f>B9*(B12/B13)</f>
        <v>2134197.4108297983</v>
      </c>
      <c r="C20" s="841"/>
    </row>
    <row r="21" spans="1:3">
      <c r="A21" s="843" t="s">
        <v>9</v>
      </c>
      <c r="B21" s="847">
        <f>B20+B19</f>
        <v>3903065</v>
      </c>
      <c r="C21" s="841"/>
    </row>
    <row r="22" spans="1:3">
      <c r="A22" s="843"/>
      <c r="B22" s="847"/>
      <c r="C22" s="841"/>
    </row>
    <row r="23" spans="1:3">
      <c r="A23" s="843"/>
      <c r="B23" s="842"/>
      <c r="C23" s="841"/>
    </row>
    <row r="24" spans="1:3">
      <c r="A24" s="843"/>
      <c r="B24" s="842"/>
      <c r="C24" s="841"/>
    </row>
    <row r="25" spans="1:3">
      <c r="A25" s="843" t="s">
        <v>1136</v>
      </c>
      <c r="B25" s="837">
        <f>ROUND(B19/B11,6)</f>
        <v>6.13E-3</v>
      </c>
      <c r="C25" s="841"/>
    </row>
    <row r="26" spans="1:3">
      <c r="A26" s="843"/>
      <c r="B26" s="840"/>
      <c r="C26" s="841"/>
    </row>
    <row r="27" spans="1:3">
      <c r="A27" s="843"/>
      <c r="B27" s="840"/>
      <c r="C27" s="841"/>
    </row>
    <row r="28" spans="1:3">
      <c r="A28" s="843" t="s">
        <v>1137</v>
      </c>
      <c r="B28" s="837">
        <f>ROUND(B20/B14,6)</f>
        <v>8.8070000000000006E-3</v>
      </c>
      <c r="C28" s="841"/>
    </row>
    <row r="29" spans="1:3">
      <c r="A29" s="841"/>
      <c r="B29" s="841"/>
      <c r="C29" s="841"/>
    </row>
  </sheetData>
  <mergeCells count="1">
    <mergeCell ref="A4:C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E9" sqref="E9"/>
    </sheetView>
  </sheetViews>
  <sheetFormatPr defaultRowHeight="15.75"/>
  <cols>
    <col min="1" max="1" width="29.25" customWidth="1"/>
    <col min="2" max="2" width="17.75" customWidth="1"/>
    <col min="4" max="4" width="3.25" customWidth="1"/>
    <col min="5" max="5" width="14.875" customWidth="1"/>
  </cols>
  <sheetData>
    <row r="1" spans="1:2">
      <c r="A1" s="220" t="s">
        <v>1013</v>
      </c>
    </row>
    <row r="4" spans="1:2">
      <c r="A4" s="851" t="s">
        <v>1008</v>
      </c>
      <c r="B4" s="851"/>
    </row>
    <row r="5" spans="1:2">
      <c r="A5" t="s">
        <v>1009</v>
      </c>
      <c r="B5" s="199">
        <f>'EX AEV-1'!D9</f>
        <v>42843798</v>
      </c>
    </row>
    <row r="6" spans="1:2">
      <c r="A6" t="s">
        <v>1010</v>
      </c>
      <c r="B6" s="199">
        <f>'EX AEV-1'!D10</f>
        <v>21213526</v>
      </c>
    </row>
    <row r="7" spans="1:2">
      <c r="A7" t="s">
        <v>1011</v>
      </c>
      <c r="B7" s="199">
        <f>RS!F6-B5-B6</f>
        <v>104206522</v>
      </c>
    </row>
    <row r="8" spans="1:2">
      <c r="A8" t="s">
        <v>7</v>
      </c>
      <c r="B8" s="199">
        <f>RS!F7</f>
        <v>69800146</v>
      </c>
    </row>
    <row r="9" spans="1:2">
      <c r="A9" t="s">
        <v>8</v>
      </c>
      <c r="B9" s="202">
        <f>RS!F8</f>
        <v>12249602</v>
      </c>
    </row>
    <row r="10" spans="1:2">
      <c r="A10" t="s">
        <v>9</v>
      </c>
      <c r="B10" s="200">
        <f>SUM(B5:B9)</f>
        <v>250313594</v>
      </c>
    </row>
    <row r="11" spans="1:2">
      <c r="A11" s="3"/>
    </row>
    <row r="12" spans="1:2">
      <c r="A12" s="851" t="s">
        <v>1021</v>
      </c>
      <c r="B12" s="851"/>
    </row>
    <row r="13" spans="1:2">
      <c r="A13" t="s">
        <v>1014</v>
      </c>
      <c r="B13" s="197">
        <f>B15-B14</f>
        <v>355525037</v>
      </c>
    </row>
    <row r="14" spans="1:2">
      <c r="A14" t="s">
        <v>1015</v>
      </c>
      <c r="B14" s="197">
        <v>1686888401</v>
      </c>
    </row>
    <row r="15" spans="1:2">
      <c r="A15" t="s">
        <v>129</v>
      </c>
      <c r="B15" s="197">
        <f>RS!E22</f>
        <v>2042413438</v>
      </c>
    </row>
    <row r="16" spans="1:2">
      <c r="A16" t="s">
        <v>1003</v>
      </c>
      <c r="B16" s="197">
        <v>10724799</v>
      </c>
    </row>
    <row r="17" spans="1:5">
      <c r="A17" t="s">
        <v>1004</v>
      </c>
      <c r="B17" s="197">
        <f>RS!E16</f>
        <v>1639281</v>
      </c>
    </row>
    <row r="19" spans="1:5">
      <c r="A19" s="851" t="s">
        <v>1005</v>
      </c>
      <c r="B19" s="851"/>
      <c r="C19" s="851"/>
    </row>
    <row r="20" spans="1:5">
      <c r="A20" t="s">
        <v>1016</v>
      </c>
      <c r="B20" s="220">
        <f>ROUND((B10-E29-E28-E30)/B13,5)</f>
        <v>0.13747000000000001</v>
      </c>
      <c r="C20" t="s">
        <v>1018</v>
      </c>
    </row>
    <row r="21" spans="1:5">
      <c r="A21" t="s">
        <v>1017</v>
      </c>
      <c r="B21" s="220">
        <f>RS!E27+0.01</f>
        <v>7.4179999999999996E-2</v>
      </c>
      <c r="C21" t="s">
        <v>1018</v>
      </c>
    </row>
    <row r="22" spans="1:5">
      <c r="A22" t="s">
        <v>1007</v>
      </c>
      <c r="B22" s="220">
        <f>ROUND((B5+B6+B9-B23*B17)/B16,2)</f>
        <v>4.4400000000000004</v>
      </c>
      <c r="C22" t="s">
        <v>1019</v>
      </c>
    </row>
    <row r="23" spans="1:5">
      <c r="A23" t="s">
        <v>13</v>
      </c>
      <c r="B23" s="228">
        <v>17.5</v>
      </c>
      <c r="C23" t="s">
        <v>1020</v>
      </c>
    </row>
    <row r="26" spans="1:5">
      <c r="A26" s="221" t="s">
        <v>39</v>
      </c>
      <c r="B26" s="221" t="s">
        <v>40</v>
      </c>
      <c r="C26" s="221" t="s">
        <v>697</v>
      </c>
      <c r="D26" s="221"/>
      <c r="E26" s="221" t="s">
        <v>1</v>
      </c>
    </row>
    <row r="27" spans="1:5">
      <c r="A27" t="s">
        <v>1006</v>
      </c>
      <c r="B27" s="197">
        <f>B13</f>
        <v>355525037</v>
      </c>
      <c r="C27">
        <f>B20</f>
        <v>0.13747000000000001</v>
      </c>
      <c r="E27" s="199">
        <f>C27*B27</f>
        <v>48874026.836390004</v>
      </c>
    </row>
    <row r="28" spans="1:5">
      <c r="A28" t="s">
        <v>1017</v>
      </c>
      <c r="B28" s="197">
        <f>B14</f>
        <v>1686888401</v>
      </c>
      <c r="C28">
        <f>B21</f>
        <v>7.4179999999999996E-2</v>
      </c>
      <c r="E28" s="199">
        <f>C28*B28</f>
        <v>125133381.58617999</v>
      </c>
    </row>
    <row r="29" spans="1:5">
      <c r="A29" t="s">
        <v>1012</v>
      </c>
      <c r="B29" s="197">
        <f>B16</f>
        <v>10724799</v>
      </c>
      <c r="C29">
        <f>B22</f>
        <v>4.4400000000000004</v>
      </c>
      <c r="E29" s="199">
        <f>C29*B29</f>
        <v>47618107.560000002</v>
      </c>
    </row>
    <row r="30" spans="1:5">
      <c r="A30" t="s">
        <v>13</v>
      </c>
      <c r="B30" s="197">
        <f>B17</f>
        <v>1639281</v>
      </c>
      <c r="C30" s="198">
        <v>17.5</v>
      </c>
      <c r="E30" s="202">
        <f>C30*B30</f>
        <v>28687417.5</v>
      </c>
    </row>
    <row r="31" spans="1:5">
      <c r="E31" s="199">
        <f>SUM(E27:E30)</f>
        <v>250312933.48256999</v>
      </c>
    </row>
    <row r="32" spans="1:5">
      <c r="E32" s="200">
        <f>E31-B10</f>
        <v>-660.51743000745773</v>
      </c>
    </row>
  </sheetData>
  <mergeCells count="3">
    <mergeCell ref="A19:C19"/>
    <mergeCell ref="A12:B12"/>
    <mergeCell ref="A4:B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66"/>
  <sheetViews>
    <sheetView showOutlineSymbols="0" zoomScaleNormal="100" workbookViewId="0">
      <selection activeCell="B3" sqref="B3"/>
    </sheetView>
  </sheetViews>
  <sheetFormatPr defaultRowHeight="15"/>
  <cols>
    <col min="1" max="1" width="3.375" style="3" bestFit="1" customWidth="1"/>
    <col min="2" max="2" width="24.625" style="3" customWidth="1"/>
    <col min="3" max="3" width="14.375" style="3" bestFit="1" customWidth="1"/>
    <col min="4" max="4" width="2.625" style="3" customWidth="1"/>
    <col min="5" max="5" width="15.625" style="3" bestFit="1" customWidth="1"/>
    <col min="6" max="6" width="5" style="3" bestFit="1" customWidth="1"/>
    <col min="7" max="7" width="16.25" style="3" bestFit="1" customWidth="1"/>
    <col min="8" max="8" width="2.5" style="3" customWidth="1"/>
    <col min="9" max="9" width="18.375" style="3" bestFit="1" customWidth="1"/>
    <col min="10" max="10" width="2.5" style="3" customWidth="1"/>
    <col min="11" max="11" width="14.375" style="14" bestFit="1" customWidth="1"/>
    <col min="12" max="12" width="2.5" style="3" customWidth="1"/>
    <col min="13" max="13" width="15.625" style="3" bestFit="1" customWidth="1"/>
    <col min="14" max="16384" width="9" style="3"/>
  </cols>
  <sheetData>
    <row r="1" spans="1:13" s="328" customFormat="1" ht="15.75">
      <c r="A1" s="329" t="s">
        <v>1124</v>
      </c>
    </row>
    <row r="2" spans="1:13">
      <c r="A2" s="1"/>
      <c r="B2" s="2"/>
      <c r="C2" s="1"/>
      <c r="D2" s="1"/>
      <c r="E2" s="1"/>
      <c r="F2" s="1"/>
      <c r="G2" s="1"/>
      <c r="H2" s="1"/>
      <c r="I2" s="1"/>
      <c r="J2" s="1"/>
      <c r="K2" s="20"/>
      <c r="L2" s="1"/>
      <c r="M2" s="1"/>
    </row>
    <row r="3" spans="1:13">
      <c r="A3" s="1"/>
      <c r="B3" s="2"/>
      <c r="C3" s="1"/>
      <c r="D3" s="1"/>
      <c r="E3" s="1"/>
      <c r="F3" s="1"/>
      <c r="G3" s="1"/>
      <c r="H3" s="1"/>
      <c r="I3" s="1"/>
      <c r="J3" s="1"/>
      <c r="K3" s="20"/>
      <c r="L3" s="1"/>
      <c r="M3" s="1"/>
    </row>
    <row r="4" spans="1:13">
      <c r="A4" s="1"/>
      <c r="B4" s="2"/>
      <c r="C4" s="1"/>
      <c r="D4" s="1"/>
      <c r="E4" s="1"/>
      <c r="F4" s="1"/>
      <c r="G4" s="1"/>
      <c r="H4" s="1"/>
      <c r="I4" s="1"/>
      <c r="J4" s="1"/>
      <c r="K4" s="20"/>
      <c r="L4" s="1"/>
      <c r="M4" s="1"/>
    </row>
    <row r="5" spans="1:13">
      <c r="A5" s="1"/>
      <c r="B5" s="2"/>
      <c r="C5" s="1"/>
      <c r="D5" s="1"/>
      <c r="E5" s="1"/>
      <c r="F5" s="1"/>
      <c r="G5" s="1"/>
      <c r="H5" s="1"/>
      <c r="I5" s="1"/>
      <c r="J5" s="1"/>
      <c r="K5" s="20"/>
      <c r="L5" s="1"/>
      <c r="M5" s="1"/>
    </row>
    <row r="6" spans="1:13">
      <c r="A6" s="1"/>
      <c r="B6" s="2"/>
      <c r="C6" s="1"/>
      <c r="D6" s="1"/>
      <c r="E6" s="1"/>
      <c r="F6" s="1"/>
      <c r="G6" s="1"/>
      <c r="H6" s="1"/>
      <c r="I6" s="1"/>
      <c r="J6" s="1"/>
      <c r="K6" s="20"/>
      <c r="L6" s="1"/>
      <c r="M6" s="1"/>
    </row>
    <row r="7" spans="1:13">
      <c r="A7" s="3" t="s">
        <v>118</v>
      </c>
      <c r="B7" s="3" t="s">
        <v>87</v>
      </c>
    </row>
    <row r="8" spans="1:13">
      <c r="C8" s="4"/>
      <c r="D8" s="13"/>
      <c r="E8" s="13" t="s">
        <v>9</v>
      </c>
      <c r="F8" s="13"/>
      <c r="G8" s="21" t="s">
        <v>119</v>
      </c>
      <c r="H8" s="13"/>
      <c r="I8" s="13" t="s">
        <v>120</v>
      </c>
    </row>
    <row r="9" spans="1:13">
      <c r="C9" s="4"/>
      <c r="D9" s="13"/>
      <c r="E9" s="22" t="s">
        <v>121</v>
      </c>
      <c r="F9" s="4"/>
      <c r="G9" s="23" t="s">
        <v>122</v>
      </c>
      <c r="H9" s="4"/>
      <c r="I9" s="22" t="s">
        <v>123</v>
      </c>
    </row>
    <row r="10" spans="1:13">
      <c r="C10" s="4"/>
      <c r="D10" s="4"/>
      <c r="E10" s="22"/>
      <c r="F10" s="4"/>
      <c r="G10" s="24"/>
      <c r="H10" s="4"/>
    </row>
    <row r="11" spans="1:13">
      <c r="B11" s="3" t="s">
        <v>6</v>
      </c>
      <c r="D11" s="25"/>
      <c r="E11" s="183">
        <f>RS!D6</f>
        <v>168263846</v>
      </c>
      <c r="F11" s="25"/>
      <c r="G11" s="185">
        <f>'EX AEV-1'!D7</f>
        <v>104206522</v>
      </c>
      <c r="H11" s="25"/>
      <c r="I11" s="6">
        <f>+E11-G11</f>
        <v>64057324</v>
      </c>
      <c r="M11" s="11"/>
    </row>
    <row r="12" spans="1:13">
      <c r="B12" s="3" t="s">
        <v>7</v>
      </c>
      <c r="D12" s="26"/>
      <c r="E12" s="183">
        <f>RS!D7</f>
        <v>73064956</v>
      </c>
      <c r="F12" s="26"/>
      <c r="G12" s="185">
        <f>RS!D7</f>
        <v>73064956</v>
      </c>
      <c r="H12" s="26"/>
      <c r="I12" s="15">
        <f>+E12-G12</f>
        <v>0</v>
      </c>
      <c r="M12" s="11"/>
    </row>
    <row r="13" spans="1:13">
      <c r="B13" s="3" t="s">
        <v>8</v>
      </c>
      <c r="D13" s="26"/>
      <c r="E13" s="184">
        <f>RS!D8</f>
        <v>12249602</v>
      </c>
      <c r="F13" s="26"/>
      <c r="G13" s="186">
        <v>0</v>
      </c>
      <c r="H13" s="26"/>
      <c r="I13" s="27">
        <f>+E13-G13</f>
        <v>12249602</v>
      </c>
      <c r="K13" s="28"/>
      <c r="L13" s="29"/>
      <c r="M13" s="11"/>
    </row>
    <row r="14" spans="1:13">
      <c r="B14" s="3" t="s">
        <v>9</v>
      </c>
      <c r="D14" s="25"/>
      <c r="E14" s="15">
        <f>SUM(E11:E13)</f>
        <v>253578404</v>
      </c>
      <c r="F14" s="25"/>
      <c r="G14" s="15">
        <f>SUM(G11:G13)</f>
        <v>177271478</v>
      </c>
      <c r="H14" s="25"/>
      <c r="I14" s="15">
        <f>SUM(I11:I13)</f>
        <v>76306926</v>
      </c>
      <c r="M14" s="11"/>
    </row>
    <row r="15" spans="1:13">
      <c r="C15" s="14"/>
      <c r="D15" s="14"/>
      <c r="E15" s="14"/>
      <c r="F15" s="14"/>
      <c r="G15" s="14"/>
      <c r="H15" s="14"/>
      <c r="I15" s="15"/>
    </row>
    <row r="16" spans="1:13">
      <c r="G16" s="14"/>
    </row>
    <row r="17" spans="1:13">
      <c r="A17" s="3" t="s">
        <v>18</v>
      </c>
      <c r="B17" s="3" t="s">
        <v>124</v>
      </c>
      <c r="G17" s="14"/>
    </row>
    <row r="18" spans="1:13">
      <c r="G18" s="14"/>
    </row>
    <row r="19" spans="1:13">
      <c r="B19" s="3" t="s">
        <v>125</v>
      </c>
      <c r="E19" s="6">
        <f>+I14</f>
        <v>76306926</v>
      </c>
      <c r="G19" s="14"/>
    </row>
    <row r="20" spans="1:13">
      <c r="G20" s="14"/>
    </row>
    <row r="21" spans="1:13">
      <c r="B21" s="3" t="s">
        <v>126</v>
      </c>
      <c r="E21" s="31">
        <f>I56</f>
        <v>28654780</v>
      </c>
      <c r="G21" s="15"/>
    </row>
    <row r="22" spans="1:13">
      <c r="B22" s="3" t="s">
        <v>127</v>
      </c>
      <c r="E22" s="31">
        <f>I57+I58</f>
        <v>35578</v>
      </c>
      <c r="G22" s="15"/>
    </row>
    <row r="23" spans="1:13" ht="30" customHeight="1">
      <c r="B23" s="852" t="s">
        <v>128</v>
      </c>
      <c r="C23" s="852"/>
      <c r="E23" s="15">
        <f>+E19-E21-E22</f>
        <v>47616568</v>
      </c>
      <c r="G23" s="14"/>
    </row>
    <row r="24" spans="1:13">
      <c r="G24" s="14"/>
    </row>
    <row r="25" spans="1:13">
      <c r="B25" s="3" t="s">
        <v>129</v>
      </c>
      <c r="E25" s="32">
        <f>+K38</f>
        <v>2042413438</v>
      </c>
      <c r="G25" s="219"/>
    </row>
    <row r="26" spans="1:13">
      <c r="B26" s="3" t="s">
        <v>130</v>
      </c>
      <c r="E26" s="33">
        <f>ROUND(+E23/E25,6)</f>
        <v>2.3314000000000001E-2</v>
      </c>
      <c r="G26" s="219"/>
    </row>
    <row r="27" spans="1:13">
      <c r="G27" s="48"/>
    </row>
    <row r="29" spans="1:13">
      <c r="A29" s="3" t="s">
        <v>29</v>
      </c>
      <c r="B29" s="3" t="s">
        <v>131</v>
      </c>
    </row>
    <row r="31" spans="1:13">
      <c r="C31" s="853" t="s">
        <v>132</v>
      </c>
      <c r="D31" s="853"/>
      <c r="E31" s="853"/>
      <c r="F31" s="853"/>
      <c r="G31" s="853"/>
      <c r="H31" s="14"/>
      <c r="I31" s="14"/>
      <c r="J31" s="14"/>
      <c r="L31" s="14"/>
    </row>
    <row r="32" spans="1:13" ht="30">
      <c r="C32" s="34" t="s">
        <v>133</v>
      </c>
      <c r="D32" s="34"/>
      <c r="E32" s="34" t="s">
        <v>134</v>
      </c>
      <c r="F32" s="34"/>
      <c r="G32" s="35" t="s">
        <v>9</v>
      </c>
      <c r="H32" s="34"/>
      <c r="I32" s="34" t="s">
        <v>135</v>
      </c>
      <c r="J32" s="34"/>
      <c r="K32" s="34" t="s">
        <v>44</v>
      </c>
      <c r="L32" s="34"/>
      <c r="M32" s="36" t="s">
        <v>136</v>
      </c>
    </row>
    <row r="33" spans="1:13">
      <c r="C33" s="37" t="s">
        <v>121</v>
      </c>
      <c r="D33" s="36"/>
      <c r="E33" s="37" t="s">
        <v>122</v>
      </c>
      <c r="F33" s="36"/>
      <c r="G33" s="38" t="s">
        <v>137</v>
      </c>
      <c r="H33" s="36"/>
      <c r="I33" s="36" t="s">
        <v>138</v>
      </c>
      <c r="J33" s="36"/>
      <c r="K33" s="37" t="s">
        <v>139</v>
      </c>
      <c r="L33" s="36"/>
      <c r="M33" s="37" t="s">
        <v>140</v>
      </c>
    </row>
    <row r="34" spans="1:13">
      <c r="G34" s="14"/>
      <c r="K34" s="3"/>
    </row>
    <row r="35" spans="1:13">
      <c r="B35" s="3" t="s">
        <v>141</v>
      </c>
      <c r="C35" s="205">
        <v>6751543.8931755433</v>
      </c>
      <c r="E35" s="19">
        <f>+'TOD2 CC'!C50</f>
        <v>5272909.3899999997</v>
      </c>
      <c r="G35" s="19">
        <f>+E35+C35</f>
        <v>12024453.283175543</v>
      </c>
      <c r="I35" s="15">
        <f>ROUND(+G35/$G$38*$G$14,0)</f>
        <v>26874655</v>
      </c>
      <c r="K35" s="205">
        <v>148589309.01320004</v>
      </c>
      <c r="M35" s="33">
        <f>ROUND(+I35/K35,6)</f>
        <v>0.180865</v>
      </c>
    </row>
    <row r="36" spans="1:13">
      <c r="B36" s="3" t="s">
        <v>142</v>
      </c>
      <c r="C36" s="205">
        <v>9005289.2517912332</v>
      </c>
      <c r="E36" s="19">
        <f>+'TOD2 CC'!D50</f>
        <v>9386066.8499999996</v>
      </c>
      <c r="G36" s="19">
        <f>+E36+C36</f>
        <v>18391356.101791233</v>
      </c>
      <c r="I36" s="15">
        <f>ROUND(+G36/$G$38*$G$14,0)</f>
        <v>41104683</v>
      </c>
      <c r="K36" s="205">
        <v>270002746.76169997</v>
      </c>
      <c r="M36" s="33">
        <f>ROUND(+I36/K36,6)</f>
        <v>0.15223800000000001</v>
      </c>
    </row>
    <row r="37" spans="1:13">
      <c r="B37" s="3" t="s">
        <v>143</v>
      </c>
      <c r="C37" s="206">
        <v>45550689.642212704</v>
      </c>
      <c r="E37" s="40">
        <f>+'TOD2 CC'!E50</f>
        <v>3349594.08</v>
      </c>
      <c r="G37" s="40">
        <f>+E37+C37</f>
        <v>48900283.722212702</v>
      </c>
      <c r="I37" s="27">
        <f>ROUND(+G37/$G$38*$G$14,0)</f>
        <v>109292140</v>
      </c>
      <c r="K37" s="225">
        <f>K38-K35-K36</f>
        <v>1623821382.2251</v>
      </c>
      <c r="M37" s="33">
        <f>ROUND(+I37/K37,6)</f>
        <v>6.7306000000000005E-2</v>
      </c>
    </row>
    <row r="38" spans="1:13">
      <c r="C38" s="7">
        <f>SUM(C35:C37)</f>
        <v>61307522.787179485</v>
      </c>
      <c r="E38" s="7">
        <f>+'TOD2 CC'!D17</f>
        <v>18008570.309999999</v>
      </c>
      <c r="G38" s="19">
        <f>SUM(G35:G37)</f>
        <v>79316093.107179478</v>
      </c>
      <c r="I38" s="6">
        <f>SUM(I35:I37)</f>
        <v>177271478</v>
      </c>
      <c r="K38" s="210">
        <f>RS!E22</f>
        <v>2042413438</v>
      </c>
    </row>
    <row r="39" spans="1:13">
      <c r="C39" s="7"/>
      <c r="E39" s="7"/>
      <c r="G39" s="19"/>
      <c r="I39" s="6"/>
      <c r="K39" s="19"/>
    </row>
    <row r="40" spans="1:13">
      <c r="H40" s="8" t="s">
        <v>144</v>
      </c>
      <c r="I40" s="10">
        <f>+ROUND(I38/G38:G38,4)</f>
        <v>2.2349999999999999</v>
      </c>
    </row>
    <row r="41" spans="1:13">
      <c r="I41" s="11"/>
    </row>
    <row r="42" spans="1:13">
      <c r="A42" s="3" t="s">
        <v>79</v>
      </c>
      <c r="B42" s="3" t="s">
        <v>145</v>
      </c>
    </row>
    <row r="44" spans="1:13" ht="29.25" customHeight="1">
      <c r="C44" s="30" t="s">
        <v>146</v>
      </c>
      <c r="D44" s="4"/>
      <c r="E44" s="30" t="s">
        <v>147</v>
      </c>
      <c r="F44" s="4"/>
      <c r="G44" s="21" t="s">
        <v>148</v>
      </c>
      <c r="H44" s="13"/>
      <c r="I44" s="13" t="s">
        <v>149</v>
      </c>
      <c r="J44" s="13"/>
      <c r="K44" s="13" t="s">
        <v>150</v>
      </c>
    </row>
    <row r="45" spans="1:13">
      <c r="C45" s="22" t="s">
        <v>121</v>
      </c>
      <c r="D45" s="4"/>
      <c r="E45" s="22" t="s">
        <v>122</v>
      </c>
      <c r="F45" s="4"/>
      <c r="G45" s="23" t="s">
        <v>137</v>
      </c>
      <c r="H45" s="4"/>
      <c r="I45" s="22" t="s">
        <v>151</v>
      </c>
      <c r="J45" s="4"/>
      <c r="K45" s="22" t="s">
        <v>152</v>
      </c>
    </row>
    <row r="46" spans="1:13">
      <c r="G46" s="14"/>
      <c r="K46" s="3"/>
    </row>
    <row r="47" spans="1:13">
      <c r="B47" s="3" t="s">
        <v>141</v>
      </c>
      <c r="C47" s="33">
        <f>+E26</f>
        <v>2.3314000000000001E-2</v>
      </c>
      <c r="E47" s="33">
        <f>+M35</f>
        <v>0.180865</v>
      </c>
      <c r="G47" s="41">
        <f>+C47+E47</f>
        <v>0.204179</v>
      </c>
      <c r="I47" s="42">
        <f>'EX AEV-1'!D15/RS!E22</f>
        <v>1.5985059338411971E-3</v>
      </c>
      <c r="K47" s="9">
        <f>ROUND(+G47-I47,5)</f>
        <v>0.20258000000000001</v>
      </c>
    </row>
    <row r="48" spans="1:13">
      <c r="B48" s="3" t="s">
        <v>153</v>
      </c>
      <c r="C48" s="33">
        <f>+E26</f>
        <v>2.3314000000000001E-2</v>
      </c>
      <c r="E48" s="33">
        <f>+M36</f>
        <v>0.15223800000000001</v>
      </c>
      <c r="G48" s="41">
        <f>+C48+E48</f>
        <v>0.17555200000000001</v>
      </c>
      <c r="I48" s="42">
        <f>I47</f>
        <v>1.5985059338411971E-3</v>
      </c>
      <c r="K48" s="9">
        <f>ROUND(+G48-I48,5)</f>
        <v>0.17394999999999999</v>
      </c>
    </row>
    <row r="49" spans="1:13">
      <c r="B49" s="3" t="s">
        <v>143</v>
      </c>
      <c r="C49" s="33">
        <f>+E26</f>
        <v>2.3314000000000001E-2</v>
      </c>
      <c r="E49" s="33">
        <f>+M37</f>
        <v>6.7306000000000005E-2</v>
      </c>
      <c r="G49" s="41">
        <f>+C49+E49</f>
        <v>9.0620000000000006E-2</v>
      </c>
      <c r="I49" s="42">
        <f>I47</f>
        <v>1.5985059338411971E-3</v>
      </c>
      <c r="K49" s="9">
        <f>ROUND(+G49-I49,5)</f>
        <v>8.9020000000000002E-2</v>
      </c>
    </row>
    <row r="50" spans="1:13">
      <c r="I50" s="33"/>
    </row>
    <row r="52" spans="1:13">
      <c r="A52" s="3" t="s">
        <v>80</v>
      </c>
      <c r="B52" s="3" t="s">
        <v>39</v>
      </c>
      <c r="M52" s="6"/>
    </row>
    <row r="53" spans="1:13">
      <c r="D53" s="13"/>
      <c r="E53" s="13" t="s">
        <v>40</v>
      </c>
      <c r="F53" s="13"/>
      <c r="G53" s="21" t="s">
        <v>154</v>
      </c>
      <c r="H53" s="13"/>
      <c r="I53" s="13" t="s">
        <v>1</v>
      </c>
      <c r="J53" s="13"/>
      <c r="K53" s="3"/>
      <c r="L53" s="13"/>
    </row>
    <row r="54" spans="1:13">
      <c r="D54" s="4"/>
      <c r="E54" s="22" t="s">
        <v>121</v>
      </c>
      <c r="F54" s="4"/>
      <c r="G54" s="23" t="s">
        <v>122</v>
      </c>
      <c r="H54" s="4"/>
      <c r="I54" s="22" t="s">
        <v>155</v>
      </c>
      <c r="J54" s="4"/>
      <c r="K54" s="3"/>
      <c r="L54" s="4"/>
    </row>
    <row r="55" spans="1:13">
      <c r="D55" s="4"/>
      <c r="E55" s="22"/>
      <c r="F55" s="4"/>
      <c r="G55" s="24"/>
      <c r="H55" s="4"/>
      <c r="I55" s="22"/>
      <c r="J55" s="4"/>
      <c r="K55" s="3"/>
      <c r="L55" s="4"/>
    </row>
    <row r="56" spans="1:13">
      <c r="B56" s="3" t="s">
        <v>156</v>
      </c>
      <c r="D56" s="4"/>
      <c r="E56" s="39">
        <f>RS!E97</f>
        <v>1637416</v>
      </c>
      <c r="F56" s="43" t="s">
        <v>46</v>
      </c>
      <c r="G56" s="44">
        <f>RS!G16</f>
        <v>17.5</v>
      </c>
      <c r="H56" s="4"/>
      <c r="I56" s="45">
        <f t="shared" ref="I56:I61" si="0">+ROUND(E56*G56,0)</f>
        <v>28654780</v>
      </c>
      <c r="J56" s="4"/>
      <c r="K56" s="3"/>
      <c r="L56" s="4"/>
    </row>
    <row r="57" spans="1:13">
      <c r="B57" s="3" t="s">
        <v>157</v>
      </c>
      <c r="D57" s="4"/>
      <c r="E57" s="39">
        <f>RS!D88</f>
        <v>1759</v>
      </c>
      <c r="F57" s="43" t="s">
        <v>46</v>
      </c>
      <c r="G57" s="44">
        <f>RS!D77</f>
        <v>20</v>
      </c>
      <c r="H57" s="4"/>
      <c r="I57" s="45">
        <f t="shared" si="0"/>
        <v>35180</v>
      </c>
      <c r="J57" s="4"/>
      <c r="K57" s="3"/>
      <c r="L57" s="4"/>
    </row>
    <row r="58" spans="1:13">
      <c r="B58" s="3" t="s">
        <v>158</v>
      </c>
      <c r="D58" s="4"/>
      <c r="E58" s="39">
        <f>RS!D89</f>
        <v>106</v>
      </c>
      <c r="F58" s="43" t="s">
        <v>46</v>
      </c>
      <c r="G58" s="44">
        <f>RS!F80</f>
        <v>3.75</v>
      </c>
      <c r="H58" s="4"/>
      <c r="I58" s="45">
        <f t="shared" si="0"/>
        <v>398</v>
      </c>
      <c r="J58" s="4"/>
      <c r="K58" s="3"/>
      <c r="L58" s="4"/>
    </row>
    <row r="59" spans="1:13">
      <c r="B59" s="3" t="s">
        <v>141</v>
      </c>
      <c r="E59" s="7">
        <f>+K35</f>
        <v>148589309.01320004</v>
      </c>
      <c r="F59" s="43" t="s">
        <v>44</v>
      </c>
      <c r="G59" s="46">
        <f>+K47</f>
        <v>0.20258000000000001</v>
      </c>
      <c r="I59" s="45">
        <f t="shared" si="0"/>
        <v>30101222</v>
      </c>
      <c r="K59" s="3"/>
    </row>
    <row r="60" spans="1:13">
      <c r="B60" s="3" t="s">
        <v>153</v>
      </c>
      <c r="E60" s="7">
        <f>+K36</f>
        <v>270002746.76169997</v>
      </c>
      <c r="F60" s="43" t="s">
        <v>44</v>
      </c>
      <c r="G60" s="46">
        <f>+K48</f>
        <v>0.17394999999999999</v>
      </c>
      <c r="I60" s="45">
        <f t="shared" si="0"/>
        <v>46966978</v>
      </c>
      <c r="K60" s="3"/>
    </row>
    <row r="61" spans="1:13">
      <c r="B61" s="3" t="s">
        <v>143</v>
      </c>
      <c r="E61" s="7">
        <f>+K37</f>
        <v>1623821382.2251</v>
      </c>
      <c r="F61" s="43" t="s">
        <v>44</v>
      </c>
      <c r="G61" s="46">
        <f>+K49</f>
        <v>8.9020000000000002E-2</v>
      </c>
      <c r="I61" s="45">
        <f t="shared" si="0"/>
        <v>144552579</v>
      </c>
      <c r="K61" s="3"/>
    </row>
    <row r="62" spans="1:13">
      <c r="B62" s="3" t="s">
        <v>74</v>
      </c>
      <c r="E62" s="7">
        <f>+E25</f>
        <v>2042413438</v>
      </c>
      <c r="F62" s="43" t="s">
        <v>44</v>
      </c>
      <c r="G62" s="47">
        <f>+I49</f>
        <v>1.5985059338411971E-3</v>
      </c>
      <c r="I62" s="203">
        <f>ROUND(E62*G62,5)</f>
        <v>3264810</v>
      </c>
      <c r="K62" s="3"/>
    </row>
    <row r="63" spans="1:13">
      <c r="G63" s="14"/>
      <c r="I63" s="5">
        <f>SUM(I56:I62)</f>
        <v>253575947</v>
      </c>
      <c r="K63" s="6">
        <f>+E14</f>
        <v>253578404</v>
      </c>
      <c r="M63" s="5">
        <f>+I63-K63</f>
        <v>-2457</v>
      </c>
    </row>
    <row r="64" spans="1:13">
      <c r="M64" s="7"/>
    </row>
    <row r="66" spans="2:2">
      <c r="B66" s="3" t="s">
        <v>159</v>
      </c>
    </row>
  </sheetData>
  <mergeCells count="2">
    <mergeCell ref="B23:C23"/>
    <mergeCell ref="C31:G31"/>
  </mergeCells>
  <printOptions horizontalCentered="1"/>
  <pageMargins left="0.5" right="0.5" top="0.5" bottom="0.5" header="0.5" footer="0.5"/>
  <pageSetup scale="64" orientation="portrait" r:id="rId1"/>
  <headerFooter alignWithMargins="0">
    <oddHeader>&amp;C&amp;"Arial,Regular"KENTUCKY POWER COMPANY
Experimental RS-TOD 2 Rate Design
Twelve Months Ended, December 31, 2016
Rate Design&amp;RPage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zoomScaleNormal="100" workbookViewId="0">
      <selection activeCell="C13" sqref="C13"/>
    </sheetView>
  </sheetViews>
  <sheetFormatPr defaultColWidth="8.75" defaultRowHeight="15"/>
  <cols>
    <col min="1" max="1" width="15.25" style="110" customWidth="1"/>
    <col min="2" max="2" width="13.25" style="110" bestFit="1" customWidth="1"/>
    <col min="3" max="3" width="14.125" style="110" bestFit="1" customWidth="1"/>
    <col min="4" max="4" width="16.625" style="110" bestFit="1" customWidth="1"/>
    <col min="5" max="5" width="14.125" style="110" bestFit="1" customWidth="1"/>
    <col min="6" max="6" width="13.875" style="110" customWidth="1"/>
    <col min="7" max="16384" width="8.75" style="110"/>
  </cols>
  <sheetData>
    <row r="1" spans="1:4">
      <c r="A1" s="12"/>
    </row>
    <row r="2" spans="1:4">
      <c r="A2" s="12"/>
    </row>
    <row r="3" spans="1:4">
      <c r="A3" s="12"/>
    </row>
    <row r="4" spans="1:4">
      <c r="A4" s="12"/>
    </row>
    <row r="6" spans="1:4">
      <c r="A6" s="110" t="s">
        <v>908</v>
      </c>
      <c r="D6" s="330" t="s">
        <v>188</v>
      </c>
    </row>
    <row r="7" spans="1:4">
      <c r="A7" s="120" t="s">
        <v>187</v>
      </c>
      <c r="B7" s="120" t="s">
        <v>186</v>
      </c>
      <c r="C7" s="120"/>
      <c r="D7" s="120" t="s">
        <v>185</v>
      </c>
    </row>
    <row r="8" spans="1:4">
      <c r="A8" s="331">
        <v>42593</v>
      </c>
      <c r="B8" s="332">
        <v>1600</v>
      </c>
      <c r="C8" s="332"/>
      <c r="D8" s="296">
        <v>413605.35298456816</v>
      </c>
    </row>
    <row r="9" spans="1:4">
      <c r="A9" s="331">
        <v>42576</v>
      </c>
      <c r="B9" s="332">
        <v>1600</v>
      </c>
      <c r="C9" s="332"/>
      <c r="D9" s="296">
        <v>396664.20483476174</v>
      </c>
    </row>
    <row r="10" spans="1:4">
      <c r="A10" s="331">
        <v>42594</v>
      </c>
      <c r="B10" s="332">
        <v>1600</v>
      </c>
      <c r="C10" s="332"/>
      <c r="D10" s="296">
        <v>441612.67963220167</v>
      </c>
    </row>
    <row r="11" spans="1:4">
      <c r="A11" s="331">
        <v>42578</v>
      </c>
      <c r="B11" s="332">
        <v>1700</v>
      </c>
      <c r="C11" s="332"/>
      <c r="D11" s="296">
        <v>343377.83813367371</v>
      </c>
    </row>
    <row r="12" spans="1:4">
      <c r="A12" s="331">
        <v>42592</v>
      </c>
      <c r="B12" s="332">
        <v>1700</v>
      </c>
      <c r="C12" s="332"/>
      <c r="D12" s="333">
        <v>405763.49318443408</v>
      </c>
    </row>
    <row r="13" spans="1:4">
      <c r="D13" s="12">
        <f>SUM(D8:D12)</f>
        <v>2001023.5687696391</v>
      </c>
    </row>
    <row r="14" spans="1:4">
      <c r="A14" s="330" t="s">
        <v>184</v>
      </c>
      <c r="D14" s="313">
        <f>D13/5000</f>
        <v>400.20471375392782</v>
      </c>
    </row>
    <row r="15" spans="1:4">
      <c r="A15" s="110" t="s">
        <v>183</v>
      </c>
      <c r="D15" s="12">
        <v>365</v>
      </c>
    </row>
    <row r="16" spans="1:4">
      <c r="A16" s="110" t="s">
        <v>182</v>
      </c>
      <c r="D16" s="320">
        <f>+F30</f>
        <v>123.28327750000001</v>
      </c>
    </row>
    <row r="17" spans="1:6">
      <c r="A17" s="110" t="s">
        <v>181</v>
      </c>
      <c r="D17" s="298">
        <f>ROUND(+D14*D15*D16,2)</f>
        <v>18008570.309999999</v>
      </c>
    </row>
    <row r="18" spans="1:6">
      <c r="D18" s="17"/>
    </row>
    <row r="19" spans="1:6">
      <c r="D19" s="17"/>
    </row>
    <row r="20" spans="1:6">
      <c r="A20" s="334" t="s">
        <v>180</v>
      </c>
      <c r="D20" s="334" t="s">
        <v>179</v>
      </c>
      <c r="E20" s="334" t="s">
        <v>178</v>
      </c>
      <c r="F20" s="334" t="s">
        <v>177</v>
      </c>
    </row>
    <row r="21" spans="1:6">
      <c r="A21" s="334" t="s">
        <v>176</v>
      </c>
      <c r="D21" s="334" t="s">
        <v>175</v>
      </c>
      <c r="E21" s="334" t="s">
        <v>174</v>
      </c>
      <c r="F21" s="334" t="s">
        <v>173</v>
      </c>
    </row>
    <row r="22" spans="1:6">
      <c r="A22" s="335"/>
      <c r="B22" s="336"/>
      <c r="C22" s="336"/>
      <c r="D22" s="337" t="s">
        <v>172</v>
      </c>
      <c r="E22" s="337" t="s">
        <v>171</v>
      </c>
      <c r="F22" s="337" t="s">
        <v>171</v>
      </c>
    </row>
    <row r="23" spans="1:6">
      <c r="A23" s="338" t="s">
        <v>170</v>
      </c>
      <c r="D23" s="338" t="s">
        <v>169</v>
      </c>
      <c r="E23" s="338" t="s">
        <v>168</v>
      </c>
      <c r="F23" s="338" t="s">
        <v>167</v>
      </c>
    </row>
    <row r="24" spans="1:6">
      <c r="A24" s="339" t="s">
        <v>166</v>
      </c>
      <c r="B24" s="332"/>
      <c r="C24" s="332"/>
      <c r="D24" s="340">
        <v>0.21099999999999999</v>
      </c>
      <c r="E24" s="341">
        <v>59.37</v>
      </c>
      <c r="F24" s="341">
        <f>E24*(1+D24)</f>
        <v>71.897069999999999</v>
      </c>
    </row>
    <row r="25" spans="1:6">
      <c r="A25" s="339" t="s">
        <v>165</v>
      </c>
      <c r="B25" s="332"/>
      <c r="C25" s="332"/>
      <c r="D25" s="340">
        <v>0.19700000000000001</v>
      </c>
      <c r="E25" s="341">
        <v>120</v>
      </c>
      <c r="F25" s="341">
        <f>E25*(1+D25)</f>
        <v>143.64000000000001</v>
      </c>
    </row>
    <row r="26" spans="1:6">
      <c r="A26" s="339" t="s">
        <v>909</v>
      </c>
      <c r="B26" s="332"/>
      <c r="C26" s="332"/>
      <c r="D26" s="340">
        <v>0.19800000000000001</v>
      </c>
      <c r="E26" s="341">
        <v>149.97999999999999</v>
      </c>
      <c r="F26" s="341">
        <f>E26*(1+D26)</f>
        <v>179.67603999999997</v>
      </c>
    </row>
    <row r="27" spans="1:6">
      <c r="A27" s="342" t="s">
        <v>910</v>
      </c>
      <c r="B27" s="332"/>
      <c r="C27" s="332"/>
      <c r="D27" s="343">
        <v>0.224</v>
      </c>
      <c r="E27" s="344">
        <v>80</v>
      </c>
      <c r="F27" s="344">
        <f>E27*(1+D27)</f>
        <v>97.92</v>
      </c>
    </row>
    <row r="28" spans="1:6">
      <c r="C28" s="345" t="s">
        <v>164</v>
      </c>
      <c r="D28" s="346">
        <f>SUM(D24:D27)/4</f>
        <v>0.20750000000000002</v>
      </c>
      <c r="E28" s="50">
        <f>SUM(E24:E27)/4</f>
        <v>102.33750000000001</v>
      </c>
      <c r="F28" s="50">
        <f>SUM(F24:F27)/4</f>
        <v>123.28327750000001</v>
      </c>
    </row>
    <row r="29" spans="1:6">
      <c r="D29" s="17"/>
      <c r="E29" s="347"/>
    </row>
    <row r="30" spans="1:6">
      <c r="C30" s="345" t="s">
        <v>164</v>
      </c>
      <c r="D30" s="17"/>
      <c r="E30" s="348"/>
      <c r="F30" s="49">
        <f>F28</f>
        <v>123.28327750000001</v>
      </c>
    </row>
    <row r="32" spans="1:6">
      <c r="A32" s="110" t="s">
        <v>163</v>
      </c>
    </row>
    <row r="33" spans="1:6">
      <c r="B33" s="110" t="s">
        <v>1028</v>
      </c>
    </row>
    <row r="34" spans="1:6">
      <c r="B34" s="349" t="s">
        <v>162</v>
      </c>
      <c r="C34" s="120" t="s">
        <v>141</v>
      </c>
      <c r="D34" s="120" t="s">
        <v>142</v>
      </c>
      <c r="E34" s="120" t="s">
        <v>143</v>
      </c>
    </row>
    <row r="35" spans="1:6">
      <c r="A35" s="350" t="s">
        <v>914</v>
      </c>
      <c r="B35" s="351">
        <v>746411</v>
      </c>
      <c r="C35" s="352"/>
      <c r="D35" s="352">
        <f>B35</f>
        <v>746411</v>
      </c>
      <c r="E35" s="352"/>
    </row>
    <row r="36" spans="1:6">
      <c r="A36" s="350" t="s">
        <v>915</v>
      </c>
      <c r="B36" s="351">
        <v>590185</v>
      </c>
      <c r="C36" s="352"/>
      <c r="D36" s="352">
        <f t="shared" ref="D36:D37" si="0">B36</f>
        <v>590185</v>
      </c>
      <c r="E36" s="352"/>
      <c r="F36" s="353"/>
    </row>
    <row r="37" spans="1:6">
      <c r="A37" s="350" t="s">
        <v>916</v>
      </c>
      <c r="B37" s="351">
        <v>486779</v>
      </c>
      <c r="C37" s="352"/>
      <c r="D37" s="352">
        <f t="shared" si="0"/>
        <v>486779</v>
      </c>
      <c r="E37" s="352"/>
    </row>
    <row r="38" spans="1:6">
      <c r="A38" s="350" t="s">
        <v>917</v>
      </c>
      <c r="B38" s="351">
        <v>352524</v>
      </c>
      <c r="C38" s="352"/>
      <c r="D38" s="352"/>
      <c r="E38" s="352">
        <f>B38</f>
        <v>352524</v>
      </c>
    </row>
    <row r="39" spans="1:6">
      <c r="A39" s="350" t="s">
        <v>918</v>
      </c>
      <c r="B39" s="351">
        <v>367504</v>
      </c>
      <c r="C39" s="352">
        <f>B39/2</f>
        <v>183752</v>
      </c>
      <c r="D39" s="352"/>
      <c r="E39" s="352">
        <f>C39</f>
        <v>183752</v>
      </c>
      <c r="F39" s="110" t="s">
        <v>161</v>
      </c>
    </row>
    <row r="40" spans="1:6">
      <c r="A40" s="350" t="s">
        <v>919</v>
      </c>
      <c r="B40" s="351">
        <v>364339</v>
      </c>
      <c r="C40" s="352">
        <f>B40</f>
        <v>364339</v>
      </c>
      <c r="D40" s="352"/>
      <c r="E40" s="352"/>
      <c r="F40" s="353"/>
    </row>
    <row r="41" spans="1:6">
      <c r="A41" s="350" t="s">
        <v>920</v>
      </c>
      <c r="B41" s="351">
        <v>432496</v>
      </c>
      <c r="C41" s="352">
        <f t="shared" ref="C41:C42" si="1">B41</f>
        <v>432496</v>
      </c>
      <c r="D41" s="352"/>
      <c r="E41" s="352"/>
    </row>
    <row r="42" spans="1:6">
      <c r="A42" s="350" t="s">
        <v>921</v>
      </c>
      <c r="B42" s="351">
        <v>441613</v>
      </c>
      <c r="C42" s="352">
        <f t="shared" si="1"/>
        <v>441613</v>
      </c>
      <c r="D42" s="352"/>
      <c r="E42" s="352"/>
    </row>
    <row r="43" spans="1:6">
      <c r="A43" s="350" t="s">
        <v>922</v>
      </c>
      <c r="B43" s="351">
        <v>312227</v>
      </c>
      <c r="C43" s="352">
        <f>B43/2</f>
        <v>156113.5</v>
      </c>
      <c r="D43" s="352"/>
      <c r="E43" s="352">
        <f>C43</f>
        <v>156113.5</v>
      </c>
      <c r="F43" s="110" t="s">
        <v>161</v>
      </c>
    </row>
    <row r="44" spans="1:6">
      <c r="A44" s="350" t="s">
        <v>923</v>
      </c>
      <c r="B44" s="351">
        <v>310348</v>
      </c>
      <c r="C44" s="352"/>
      <c r="D44" s="352"/>
      <c r="E44" s="352">
        <f>B44</f>
        <v>310348</v>
      </c>
    </row>
    <row r="45" spans="1:6">
      <c r="A45" s="350" t="s">
        <v>924</v>
      </c>
      <c r="B45" s="351">
        <v>425860</v>
      </c>
      <c r="C45" s="352"/>
      <c r="D45" s="352">
        <f>B45</f>
        <v>425860</v>
      </c>
      <c r="E45" s="352"/>
    </row>
    <row r="46" spans="1:6">
      <c r="A46" s="350" t="s">
        <v>925</v>
      </c>
      <c r="B46" s="354">
        <v>560517</v>
      </c>
      <c r="C46" s="355"/>
      <c r="D46" s="355">
        <f>B46</f>
        <v>560517</v>
      </c>
      <c r="E46" s="355"/>
    </row>
    <row r="47" spans="1:6">
      <c r="B47" s="12">
        <f>+SUM(B35:B46)</f>
        <v>5390803</v>
      </c>
      <c r="C47" s="12">
        <f>+SUM(C35:C46)</f>
        <v>1578313.5</v>
      </c>
      <c r="D47" s="12">
        <f>+SUM(D35:D46)</f>
        <v>2809752</v>
      </c>
      <c r="E47" s="12">
        <f>+SUM(E35:E46)</f>
        <v>1002737.5</v>
      </c>
    </row>
    <row r="48" spans="1:6">
      <c r="B48" s="356">
        <f>+ROUND(B47/$B$47,4)</f>
        <v>1</v>
      </c>
      <c r="C48" s="356">
        <f>+ROUND(C47/$B$47,4)</f>
        <v>0.2928</v>
      </c>
      <c r="D48" s="356">
        <f>+ROUND(D47/$B$47,4)</f>
        <v>0.5212</v>
      </c>
      <c r="E48" s="356">
        <f>+ROUND(E47/$B$47,4)</f>
        <v>0.186</v>
      </c>
    </row>
    <row r="49" spans="1:5">
      <c r="B49" s="356"/>
      <c r="C49" s="356"/>
      <c r="D49" s="356"/>
      <c r="E49" s="356"/>
    </row>
    <row r="50" spans="1:5">
      <c r="A50" s="110" t="s">
        <v>134</v>
      </c>
      <c r="B50" s="357">
        <f>+D17</f>
        <v>18008570.309999999</v>
      </c>
      <c r="C50" s="352">
        <f>+ROUND(C48*$B$50,2)</f>
        <v>5272909.3899999997</v>
      </c>
      <c r="D50" s="352">
        <f>+ROUND(D48*$B$50,2)</f>
        <v>9386066.8499999996</v>
      </c>
      <c r="E50" s="352">
        <f>+ROUND(E48*$B$50,2)</f>
        <v>3349594.08</v>
      </c>
    </row>
    <row r="51" spans="1:5">
      <c r="B51" s="12"/>
    </row>
    <row r="52" spans="1:5">
      <c r="B52" s="12"/>
    </row>
    <row r="53" spans="1:5">
      <c r="A53" s="110" t="s">
        <v>160</v>
      </c>
      <c r="B53" s="12"/>
    </row>
  </sheetData>
  <printOptions horizontalCentered="1"/>
  <pageMargins left="0.5" right="0.5" top="0.5" bottom="0.5" header="0.5" footer="0.5"/>
  <pageSetup scale="94" orientation="portrait" r:id="rId1"/>
  <headerFooter alignWithMargins="0">
    <oddHeader>&amp;C&amp;"Arial,Regular"KENTUCKY POWER COMPANY
Experimental RS-TOD 2 Rate Design
Twelve Months Ended December 31, 2016
Calculation of Market Capacity&amp;RPage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K135"/>
  <sheetViews>
    <sheetView showOutlineSymbols="0" zoomScaleNormal="100" workbookViewId="0">
      <selection activeCell="B12" sqref="B12"/>
    </sheetView>
  </sheetViews>
  <sheetFormatPr defaultColWidth="9.75" defaultRowHeight="15"/>
  <cols>
    <col min="1" max="1" width="4.75" style="61" customWidth="1"/>
    <col min="2" max="2" width="38.875" style="61" bestFit="1" customWidth="1"/>
    <col min="3" max="3" width="17.625" style="61" bestFit="1" customWidth="1"/>
    <col min="4" max="4" width="5.75" style="61" customWidth="1"/>
    <col min="5" max="5" width="13.5" style="61" customWidth="1"/>
    <col min="6" max="6" width="6" style="61" customWidth="1"/>
    <col min="7" max="7" width="13.5" style="61" customWidth="1"/>
    <col min="8" max="8" width="6" style="61" customWidth="1"/>
    <col min="9" max="9" width="13.5" style="61" customWidth="1"/>
    <col min="10" max="10" width="11.875" style="61" bestFit="1" customWidth="1"/>
    <col min="11" max="11" width="13.5" style="61" customWidth="1"/>
    <col min="12" max="16384" width="9.75" style="61"/>
  </cols>
  <sheetData>
    <row r="3" spans="1:11">
      <c r="A3" s="75" t="s">
        <v>280</v>
      </c>
      <c r="B3" s="358" t="s">
        <v>87</v>
      </c>
      <c r="C3" s="66" t="s">
        <v>2</v>
      </c>
      <c r="D3" s="74"/>
      <c r="F3" s="74"/>
      <c r="G3" s="66" t="s">
        <v>2</v>
      </c>
      <c r="I3" s="64" t="s">
        <v>99</v>
      </c>
    </row>
    <row r="4" spans="1:11">
      <c r="A4" s="74"/>
      <c r="B4" s="74"/>
      <c r="C4" s="66" t="s">
        <v>3</v>
      </c>
      <c r="D4" s="74"/>
      <c r="E4" s="66" t="s">
        <v>74</v>
      </c>
      <c r="F4" s="74"/>
      <c r="G4" s="66" t="s">
        <v>3</v>
      </c>
      <c r="I4" s="64" t="s">
        <v>279</v>
      </c>
      <c r="J4" s="74"/>
      <c r="K4" s="66" t="s">
        <v>75</v>
      </c>
    </row>
    <row r="5" spans="1:11">
      <c r="A5" s="74"/>
      <c r="B5" s="74"/>
      <c r="C5" s="359" t="s">
        <v>1</v>
      </c>
      <c r="D5" s="74"/>
      <c r="E5" s="359" t="s">
        <v>1</v>
      </c>
      <c r="F5" s="74"/>
      <c r="G5" s="359" t="s">
        <v>278</v>
      </c>
      <c r="I5" s="360" t="s">
        <v>277</v>
      </c>
      <c r="J5" s="74"/>
      <c r="K5" s="359" t="s">
        <v>1</v>
      </c>
    </row>
    <row r="6" spans="1:11">
      <c r="A6" s="74"/>
      <c r="D6" s="74"/>
    </row>
    <row r="7" spans="1:11">
      <c r="A7" s="74"/>
      <c r="B7" s="75" t="s">
        <v>276</v>
      </c>
      <c r="C7" s="361">
        <f>'EX AEV-1'!E7+'EX AEV-1'!E9+'EX AEV-1'!E10</f>
        <v>12364170</v>
      </c>
      <c r="D7" s="74"/>
      <c r="E7" s="362">
        <f>(E10-E8)-E9</f>
        <v>0</v>
      </c>
      <c r="F7" s="74"/>
      <c r="G7" s="73">
        <f>+C7-E7</f>
        <v>12364170</v>
      </c>
      <c r="I7" s="73">
        <f>+$I$10*G7/$G$10</f>
        <v>102138.64421810783</v>
      </c>
      <c r="J7" s="363"/>
      <c r="K7" s="73">
        <f>G7-I7</f>
        <v>12262031.355781892</v>
      </c>
    </row>
    <row r="8" spans="1:11">
      <c r="A8" s="74"/>
      <c r="B8" s="75" t="s">
        <v>275</v>
      </c>
      <c r="C8" s="364">
        <f>'EX AEV-1'!E8</f>
        <v>4651909</v>
      </c>
      <c r="D8" s="74"/>
      <c r="E8" s="62">
        <f>E10</f>
        <v>211604</v>
      </c>
      <c r="F8" s="74"/>
      <c r="G8" s="73">
        <f>+C8-E8</f>
        <v>4440305</v>
      </c>
      <c r="I8" s="62">
        <f>+$I$10*G8/$G$10</f>
        <v>36680.726050748679</v>
      </c>
      <c r="J8" s="74"/>
      <c r="K8" s="62">
        <f>G8-I8</f>
        <v>4403624.2739492515</v>
      </c>
    </row>
    <row r="9" spans="1:11">
      <c r="A9" s="74"/>
      <c r="B9" s="75" t="s">
        <v>53</v>
      </c>
      <c r="C9" s="365">
        <f>'EX AEV-1'!E11</f>
        <v>3465334</v>
      </c>
      <c r="D9" s="74"/>
      <c r="E9" s="62">
        <v>0</v>
      </c>
      <c r="F9" s="74"/>
      <c r="G9" s="366">
        <f>+C9-E9</f>
        <v>3465334</v>
      </c>
      <c r="H9" s="367"/>
      <c r="I9" s="62">
        <f>+$I$10*G9/$G$10</f>
        <v>28626.629731143494</v>
      </c>
      <c r="J9" s="74"/>
      <c r="K9" s="62">
        <f>G9-I9</f>
        <v>3436707.3702688566</v>
      </c>
    </row>
    <row r="10" spans="1:11">
      <c r="A10" s="74"/>
      <c r="B10" s="368" t="s">
        <v>54</v>
      </c>
      <c r="C10" s="73">
        <f>SUM(C7:C9)</f>
        <v>20481413</v>
      </c>
      <c r="D10" s="369"/>
      <c r="E10" s="370">
        <f>'EX AEV-1'!E15</f>
        <v>211604</v>
      </c>
      <c r="F10" s="369"/>
      <c r="G10" s="73">
        <f>SUM(G7:G9)</f>
        <v>20269809</v>
      </c>
      <c r="I10" s="370">
        <f>'SGS TOD'!I84+38397</f>
        <v>167446</v>
      </c>
      <c r="J10" s="369"/>
      <c r="K10" s="371">
        <f>SUM(K7:K9)</f>
        <v>20102363</v>
      </c>
    </row>
    <row r="11" spans="1:11">
      <c r="A11" s="74"/>
      <c r="H11" s="372" t="s">
        <v>861</v>
      </c>
      <c r="I11" s="81">
        <f>G129+'SGS TOD'!I84-I10</f>
        <v>0</v>
      </c>
    </row>
    <row r="12" spans="1:11">
      <c r="A12" s="74"/>
    </row>
    <row r="13" spans="1:11">
      <c r="A13" s="75"/>
      <c r="B13" s="75"/>
      <c r="C13" s="73"/>
      <c r="D13" s="75"/>
      <c r="E13" s="62"/>
      <c r="F13" s="75"/>
      <c r="G13" s="74"/>
      <c r="H13" s="66"/>
      <c r="I13" s="74"/>
      <c r="J13" s="74"/>
      <c r="K13" s="70"/>
    </row>
    <row r="14" spans="1:11">
      <c r="A14" s="75" t="s">
        <v>274</v>
      </c>
      <c r="B14" s="358" t="s">
        <v>273</v>
      </c>
      <c r="C14" s="73"/>
      <c r="D14" s="75"/>
      <c r="E14" s="373"/>
      <c r="F14" s="75"/>
      <c r="G14" s="74"/>
      <c r="H14" s="66"/>
      <c r="I14" s="74"/>
      <c r="J14" s="74"/>
      <c r="K14" s="70"/>
    </row>
    <row r="15" spans="1:11">
      <c r="A15" s="75"/>
      <c r="B15" s="75"/>
      <c r="C15" s="73"/>
      <c r="D15" s="75"/>
      <c r="E15" s="62"/>
      <c r="F15" s="75"/>
      <c r="G15" s="74"/>
      <c r="H15" s="66"/>
      <c r="I15" s="74"/>
      <c r="J15" s="74"/>
      <c r="K15" s="70"/>
    </row>
    <row r="16" spans="1:11">
      <c r="A16" s="75"/>
      <c r="B16" s="75" t="s">
        <v>272</v>
      </c>
      <c r="C16" s="361">
        <v>6607574</v>
      </c>
      <c r="D16" s="75"/>
      <c r="E16" s="62"/>
      <c r="F16" s="75" t="s">
        <v>271</v>
      </c>
      <c r="H16" s="66"/>
      <c r="I16" s="74"/>
      <c r="J16" s="74"/>
      <c r="K16" s="73">
        <f>G9</f>
        <v>3465334</v>
      </c>
    </row>
    <row r="17" spans="1:11">
      <c r="A17" s="75"/>
      <c r="B17" s="75" t="s">
        <v>270</v>
      </c>
      <c r="C17" s="374">
        <f>47959443/71675398</f>
        <v>0.66912000963008256</v>
      </c>
      <c r="D17" s="75"/>
      <c r="E17" s="62"/>
      <c r="F17" s="75" t="s">
        <v>269</v>
      </c>
      <c r="H17" s="66"/>
      <c r="I17" s="74"/>
      <c r="J17" s="74"/>
      <c r="K17" s="72">
        <f>C22</f>
        <v>984439.86608001892</v>
      </c>
    </row>
    <row r="18" spans="1:11">
      <c r="A18" s="75"/>
      <c r="B18" s="75" t="s">
        <v>268</v>
      </c>
      <c r="C18" s="72">
        <f>C16*C17</f>
        <v>4421259.9785114834</v>
      </c>
      <c r="D18" s="75"/>
      <c r="E18" s="62"/>
      <c r="F18" s="75" t="s">
        <v>267</v>
      </c>
      <c r="H18" s="66"/>
      <c r="I18" s="74"/>
      <c r="J18" s="74"/>
      <c r="K18" s="375">
        <f>282962+20630</f>
        <v>303592</v>
      </c>
    </row>
    <row r="19" spans="1:11">
      <c r="A19" s="75"/>
      <c r="B19" s="75" t="s">
        <v>986</v>
      </c>
      <c r="C19" s="374">
        <v>0.13550000000000001</v>
      </c>
      <c r="D19" s="75"/>
      <c r="E19" s="62"/>
      <c r="F19" s="75" t="s">
        <v>266</v>
      </c>
      <c r="H19" s="66"/>
      <c r="I19" s="74"/>
      <c r="J19" s="74"/>
      <c r="K19" s="376">
        <v>50852</v>
      </c>
    </row>
    <row r="20" spans="1:11">
      <c r="A20" s="75"/>
      <c r="B20" s="75" t="s">
        <v>265</v>
      </c>
      <c r="C20" s="72">
        <f>C18*C19</f>
        <v>599080.7270883061</v>
      </c>
      <c r="D20" s="75"/>
      <c r="E20" s="62"/>
      <c r="F20" s="75" t="s">
        <v>264</v>
      </c>
      <c r="H20" s="66"/>
      <c r="I20" s="74"/>
      <c r="J20" s="74"/>
      <c r="K20" s="72">
        <f>K16-K17-K18-K19</f>
        <v>2126450.1339199813</v>
      </c>
    </row>
    <row r="21" spans="1:11">
      <c r="A21" s="75"/>
      <c r="B21" s="75" t="s">
        <v>263</v>
      </c>
      <c r="C21" s="229">
        <v>1.6432507700000001</v>
      </c>
      <c r="D21" s="75"/>
      <c r="E21" s="62"/>
      <c r="F21" s="377" t="s">
        <v>262</v>
      </c>
      <c r="H21" s="66"/>
      <c r="I21" s="74"/>
      <c r="J21" s="74"/>
      <c r="K21" s="71">
        <f>E37+E38+C127+'SGS TOD'!E82</f>
        <v>290823</v>
      </c>
    </row>
    <row r="22" spans="1:11">
      <c r="A22" s="75"/>
      <c r="B22" s="75" t="s">
        <v>261</v>
      </c>
      <c r="C22" s="72">
        <f>C20*C21</f>
        <v>984439.86608001892</v>
      </c>
      <c r="D22" s="75"/>
      <c r="E22" s="62"/>
      <c r="F22" s="75" t="s">
        <v>1030</v>
      </c>
      <c r="H22" s="66"/>
      <c r="I22" s="74"/>
      <c r="J22" s="74"/>
      <c r="K22" s="373">
        <f>ROUND(K20/K21,2)</f>
        <v>7.31</v>
      </c>
    </row>
    <row r="23" spans="1:11">
      <c r="A23" s="75"/>
      <c r="B23" s="75"/>
      <c r="C23" s="72"/>
      <c r="D23" s="75"/>
      <c r="E23" s="62"/>
      <c r="F23" s="75" t="s">
        <v>96</v>
      </c>
      <c r="H23" s="66"/>
      <c r="I23" s="74"/>
      <c r="J23" s="74"/>
      <c r="K23" s="70">
        <v>13.5</v>
      </c>
    </row>
    <row r="24" spans="1:11">
      <c r="A24" s="75"/>
      <c r="D24" s="75"/>
      <c r="E24" s="62"/>
      <c r="F24" s="75" t="s">
        <v>260</v>
      </c>
      <c r="H24" s="66"/>
      <c r="I24" s="74"/>
      <c r="J24" s="74"/>
      <c r="K24" s="70">
        <f>K23</f>
        <v>13.5</v>
      </c>
    </row>
    <row r="25" spans="1:11">
      <c r="A25" s="75"/>
      <c r="D25" s="75"/>
      <c r="E25" s="62"/>
      <c r="F25" s="75"/>
      <c r="G25" s="74"/>
      <c r="H25" s="66"/>
      <c r="I25" s="74"/>
      <c r="J25" s="74"/>
      <c r="K25" s="70"/>
    </row>
    <row r="26" spans="1:11">
      <c r="A26" s="75"/>
      <c r="B26" s="75"/>
      <c r="C26" s="73"/>
      <c r="D26" s="75"/>
      <c r="E26" s="62"/>
      <c r="F26" s="75"/>
      <c r="G26" s="74"/>
      <c r="H26" s="66"/>
      <c r="I26" s="74"/>
      <c r="J26" s="74"/>
      <c r="K26" s="70"/>
    </row>
    <row r="27" spans="1:11">
      <c r="A27" s="75" t="s">
        <v>259</v>
      </c>
      <c r="B27" s="358" t="s">
        <v>258</v>
      </c>
    </row>
    <row r="28" spans="1:11">
      <c r="A28" s="75"/>
      <c r="B28" s="61" t="s">
        <v>17</v>
      </c>
      <c r="C28" s="73">
        <f>K9</f>
        <v>3436707.3702688566</v>
      </c>
      <c r="D28" s="75" t="s">
        <v>72</v>
      </c>
      <c r="G28" s="74"/>
    </row>
    <row r="29" spans="1:11">
      <c r="A29" s="75"/>
      <c r="B29" s="75" t="s">
        <v>257</v>
      </c>
      <c r="C29" s="71">
        <f>+I38</f>
        <v>233064</v>
      </c>
      <c r="D29" s="75" t="s">
        <v>72</v>
      </c>
      <c r="E29" s="62"/>
      <c r="F29" s="75"/>
      <c r="G29" s="74"/>
    </row>
    <row r="30" spans="1:11">
      <c r="A30" s="75"/>
      <c r="B30" s="75" t="s">
        <v>256</v>
      </c>
      <c r="C30" s="73">
        <f>C28-C29</f>
        <v>3203643.3702688566</v>
      </c>
      <c r="D30" s="75" t="s">
        <v>255</v>
      </c>
      <c r="E30" s="62">
        <f>+E37</f>
        <v>271005</v>
      </c>
      <c r="F30" s="75" t="s">
        <v>251</v>
      </c>
      <c r="G30" s="74"/>
      <c r="H30" s="66" t="s">
        <v>15</v>
      </c>
      <c r="I30" s="70">
        <f>C30/E30</f>
        <v>11.821344145934049</v>
      </c>
      <c r="J30" s="75" t="s">
        <v>14</v>
      </c>
    </row>
    <row r="31" spans="1:11">
      <c r="A31" s="75"/>
      <c r="B31" s="75"/>
      <c r="C31" s="73"/>
      <c r="D31" s="75"/>
      <c r="E31" s="62"/>
      <c r="F31" s="75"/>
      <c r="G31" s="74"/>
      <c r="H31" s="66"/>
      <c r="I31" s="70"/>
      <c r="J31" s="75"/>
    </row>
    <row r="32" spans="1:11">
      <c r="A32" s="75"/>
      <c r="B32" s="75"/>
      <c r="C32" s="73"/>
      <c r="D32" s="75"/>
      <c r="E32" s="62"/>
      <c r="F32" s="75"/>
      <c r="G32" s="74" t="s">
        <v>96</v>
      </c>
      <c r="H32" s="66" t="s">
        <v>15</v>
      </c>
      <c r="I32" s="70">
        <v>17.5</v>
      </c>
      <c r="J32" s="75" t="s">
        <v>14</v>
      </c>
    </row>
    <row r="33" spans="1:11">
      <c r="A33" s="74"/>
      <c r="C33" s="74"/>
      <c r="D33" s="74"/>
      <c r="E33" s="74"/>
      <c r="F33" s="74"/>
      <c r="G33" s="74"/>
      <c r="H33" s="66"/>
      <c r="I33" s="70"/>
      <c r="J33" s="75"/>
    </row>
    <row r="34" spans="1:11">
      <c r="B34" s="75"/>
      <c r="C34" s="69"/>
      <c r="G34" s="378" t="s">
        <v>254</v>
      </c>
      <c r="I34" s="70">
        <v>22.5</v>
      </c>
      <c r="J34" s="75" t="s">
        <v>14</v>
      </c>
    </row>
    <row r="35" spans="1:11">
      <c r="B35" s="75"/>
      <c r="C35" s="69"/>
    </row>
    <row r="36" spans="1:11">
      <c r="B36" s="75"/>
      <c r="C36" s="69"/>
    </row>
    <row r="37" spans="1:11">
      <c r="A37" s="74"/>
      <c r="B37" s="75" t="s">
        <v>253</v>
      </c>
      <c r="C37" s="70">
        <f>I34</f>
        <v>22.5</v>
      </c>
      <c r="D37" s="66" t="s">
        <v>89</v>
      </c>
      <c r="E37" s="364">
        <v>271005</v>
      </c>
      <c r="F37" s="75" t="s">
        <v>251</v>
      </c>
      <c r="G37" s="378" t="s">
        <v>15</v>
      </c>
      <c r="I37" s="73">
        <f>ROUND((C37*E37),0)</f>
        <v>6097613</v>
      </c>
      <c r="J37" s="74"/>
    </row>
    <row r="38" spans="1:11">
      <c r="A38" s="74"/>
      <c r="B38" s="379" t="s">
        <v>252</v>
      </c>
      <c r="C38" s="69">
        <f>K24</f>
        <v>13.5</v>
      </c>
      <c r="D38" s="66" t="s">
        <v>89</v>
      </c>
      <c r="E38" s="364">
        <v>17264</v>
      </c>
      <c r="F38" s="75" t="s">
        <v>251</v>
      </c>
      <c r="G38" s="372" t="s">
        <v>15</v>
      </c>
      <c r="I38" s="73">
        <f>ROUND((C38*E38),0)</f>
        <v>233064</v>
      </c>
    </row>
    <row r="39" spans="1:11">
      <c r="A39" s="74"/>
      <c r="B39" s="379" t="s">
        <v>72</v>
      </c>
    </row>
    <row r="40" spans="1:11">
      <c r="A40" s="74"/>
      <c r="B40" s="379"/>
    </row>
    <row r="41" spans="1:11">
      <c r="A41" s="75" t="s">
        <v>250</v>
      </c>
      <c r="B41" s="358" t="s">
        <v>249</v>
      </c>
      <c r="E41" s="64"/>
    </row>
    <row r="42" spans="1:11">
      <c r="C42" s="380" t="s">
        <v>96</v>
      </c>
      <c r="E42" s="64"/>
      <c r="G42" s="64"/>
    </row>
    <row r="43" spans="1:11">
      <c r="A43" s="74"/>
      <c r="C43" s="381" t="s">
        <v>154</v>
      </c>
      <c r="E43" s="68"/>
      <c r="G43" s="68"/>
      <c r="I43" s="68"/>
    </row>
    <row r="44" spans="1:11">
      <c r="A44" s="74"/>
      <c r="C44" s="381"/>
      <c r="E44" s="68"/>
      <c r="G44" s="68"/>
      <c r="I44" s="68"/>
    </row>
    <row r="45" spans="1:11">
      <c r="A45" s="74"/>
      <c r="B45" s="61" t="s">
        <v>237</v>
      </c>
      <c r="C45" s="382">
        <v>0.11711000000000001</v>
      </c>
    </row>
    <row r="46" spans="1:11">
      <c r="A46" s="74"/>
      <c r="B46" s="75" t="s">
        <v>248</v>
      </c>
      <c r="C46" s="382">
        <v>7.2669999999999998E-2</v>
      </c>
      <c r="D46" s="66"/>
      <c r="E46" s="67"/>
      <c r="F46" s="64"/>
      <c r="G46" s="64"/>
      <c r="H46" s="66"/>
      <c r="I46" s="65"/>
      <c r="J46" s="64"/>
      <c r="K46" s="63"/>
    </row>
    <row r="47" spans="1:11">
      <c r="A47" s="74"/>
      <c r="B47" s="61" t="s">
        <v>238</v>
      </c>
      <c r="C47" s="382">
        <f>C45-C46</f>
        <v>4.4440000000000007E-2</v>
      </c>
    </row>
    <row r="48" spans="1:11">
      <c r="A48" s="74"/>
      <c r="B48" s="61" t="s">
        <v>247</v>
      </c>
      <c r="C48" s="382">
        <f>(I34-I32)/500</f>
        <v>0.01</v>
      </c>
    </row>
    <row r="49" spans="1:11">
      <c r="A49" s="74"/>
      <c r="B49" s="61" t="s">
        <v>246</v>
      </c>
      <c r="C49" s="382">
        <f>C47-C48</f>
        <v>3.4440000000000005E-2</v>
      </c>
    </row>
    <row r="50" spans="1:11">
      <c r="A50" s="74"/>
      <c r="B50" s="61" t="s">
        <v>245</v>
      </c>
      <c r="C50" s="383">
        <f>C67</f>
        <v>61576549</v>
      </c>
    </row>
    <row r="51" spans="1:11">
      <c r="A51" s="74"/>
      <c r="B51" s="61" t="s">
        <v>244</v>
      </c>
      <c r="C51" s="383">
        <f>C50*C49</f>
        <v>2120696.3475600001</v>
      </c>
    </row>
    <row r="52" spans="1:11">
      <c r="A52" s="74"/>
      <c r="C52" s="384"/>
    </row>
    <row r="53" spans="1:11">
      <c r="A53" s="74"/>
      <c r="C53" s="62"/>
    </row>
    <row r="54" spans="1:11">
      <c r="A54" s="74"/>
      <c r="B54" s="75" t="s">
        <v>243</v>
      </c>
      <c r="C54" s="73">
        <f>K10</f>
        <v>20102363</v>
      </c>
      <c r="E54" s="62"/>
      <c r="F54" s="74"/>
      <c r="G54" s="74"/>
      <c r="H54" s="74"/>
      <c r="I54" s="74"/>
      <c r="J54" s="74"/>
      <c r="K54" s="385"/>
    </row>
    <row r="55" spans="1:11">
      <c r="A55" s="74"/>
      <c r="B55" s="75" t="s">
        <v>242</v>
      </c>
      <c r="C55" s="72">
        <f>I37</f>
        <v>6097613</v>
      </c>
      <c r="E55" s="62"/>
      <c r="F55" s="74"/>
      <c r="G55" s="74"/>
      <c r="H55" s="74"/>
      <c r="I55" s="74"/>
      <c r="J55" s="74"/>
      <c r="K55" s="385"/>
    </row>
    <row r="56" spans="1:11">
      <c r="A56" s="74"/>
      <c r="B56" s="75" t="s">
        <v>241</v>
      </c>
      <c r="C56" s="62">
        <f>I38</f>
        <v>233064</v>
      </c>
      <c r="E56" s="62"/>
      <c r="F56" s="74"/>
      <c r="G56" s="74"/>
      <c r="H56" s="74"/>
      <c r="I56" s="74"/>
      <c r="J56" s="74"/>
      <c r="K56" s="385"/>
    </row>
    <row r="57" spans="1:11">
      <c r="A57" s="74"/>
      <c r="B57" s="75" t="s">
        <v>240</v>
      </c>
      <c r="C57" s="72">
        <f>C51</f>
        <v>2120696.3475600001</v>
      </c>
      <c r="E57" s="62"/>
      <c r="F57" s="74"/>
      <c r="G57" s="74"/>
      <c r="H57" s="74"/>
      <c r="I57" s="74"/>
      <c r="J57" s="74"/>
      <c r="K57" s="385"/>
    </row>
    <row r="58" spans="1:11">
      <c r="A58" s="74"/>
      <c r="C58" s="371">
        <f>C54-C55-C56-C57</f>
        <v>11650989.65244</v>
      </c>
      <c r="D58" s="66"/>
      <c r="E58" s="62"/>
      <c r="F58" s="75"/>
      <c r="G58" s="78"/>
      <c r="H58" s="75"/>
      <c r="I58" s="74"/>
      <c r="J58" s="74"/>
      <c r="K58" s="385"/>
    </row>
    <row r="59" spans="1:11">
      <c r="A59" s="74"/>
      <c r="C59" s="386"/>
      <c r="D59" s="66"/>
      <c r="E59" s="62"/>
      <c r="F59" s="75"/>
      <c r="G59" s="78"/>
      <c r="H59" s="75"/>
      <c r="I59" s="74"/>
      <c r="J59" s="74"/>
      <c r="K59" s="385"/>
    </row>
    <row r="60" spans="1:11">
      <c r="A60" s="74"/>
      <c r="B60" s="61" t="s">
        <v>239</v>
      </c>
      <c r="C60" s="81">
        <f>+C58</f>
        <v>11650989.65244</v>
      </c>
      <c r="D60" s="387" t="s">
        <v>197</v>
      </c>
      <c r="E60" s="72">
        <f>C68+C67</f>
        <v>131360187</v>
      </c>
      <c r="F60" s="64" t="s">
        <v>15</v>
      </c>
      <c r="G60" s="388">
        <f>ROUND(C60/E60,5)</f>
        <v>8.8690000000000005E-2</v>
      </c>
      <c r="H60" s="66" t="s">
        <v>72</v>
      </c>
      <c r="I60" s="388" t="s">
        <v>72</v>
      </c>
      <c r="J60" s="66" t="s">
        <v>72</v>
      </c>
      <c r="K60" s="64" t="s">
        <v>72</v>
      </c>
    </row>
    <row r="61" spans="1:11">
      <c r="A61" s="74"/>
      <c r="B61" s="61" t="s">
        <v>238</v>
      </c>
      <c r="C61" s="81"/>
      <c r="D61" s="387"/>
      <c r="E61" s="72"/>
      <c r="F61" s="64"/>
      <c r="G61" s="389">
        <f>C49</f>
        <v>3.4440000000000005E-2</v>
      </c>
      <c r="H61" s="66"/>
      <c r="I61" s="388"/>
      <c r="J61" s="66"/>
      <c r="K61" s="64"/>
    </row>
    <row r="62" spans="1:11">
      <c r="A62" s="74"/>
      <c r="B62" s="61" t="s">
        <v>237</v>
      </c>
      <c r="C62" s="81"/>
      <c r="D62" s="387"/>
      <c r="E62" s="72"/>
      <c r="F62" s="64"/>
      <c r="G62" s="388">
        <f>G60+G61</f>
        <v>0.12313000000000002</v>
      </c>
      <c r="H62" s="66"/>
      <c r="I62" s="388"/>
      <c r="J62" s="66"/>
      <c r="K62" s="64"/>
    </row>
    <row r="65" spans="1:11">
      <c r="A65" s="75" t="s">
        <v>236</v>
      </c>
      <c r="B65" s="358" t="s">
        <v>39</v>
      </c>
      <c r="C65" s="390" t="s">
        <v>40</v>
      </c>
      <c r="D65" s="74"/>
      <c r="E65" s="359" t="s">
        <v>154</v>
      </c>
      <c r="F65" s="74"/>
      <c r="G65" s="359" t="s">
        <v>1</v>
      </c>
      <c r="H65" s="74"/>
      <c r="I65" s="359" t="s">
        <v>42</v>
      </c>
      <c r="J65" s="74"/>
    </row>
    <row r="66" spans="1:11">
      <c r="A66" s="74"/>
      <c r="J66" s="391" t="s">
        <v>976</v>
      </c>
    </row>
    <row r="67" spans="1:11">
      <c r="A67" s="74"/>
      <c r="B67" s="75" t="s">
        <v>235</v>
      </c>
      <c r="C67" s="392">
        <f>59293307+2283242</f>
        <v>61576549</v>
      </c>
      <c r="D67" s="75" t="s">
        <v>44</v>
      </c>
      <c r="E67" s="78">
        <f>G62</f>
        <v>0.12313000000000002</v>
      </c>
      <c r="F67" s="75" t="s">
        <v>23</v>
      </c>
      <c r="G67" s="73">
        <f>ROUND((C67*E67),0)</f>
        <v>7581920</v>
      </c>
      <c r="J67" s="393">
        <v>0.11711000000000001</v>
      </c>
    </row>
    <row r="68" spans="1:11">
      <c r="A68" s="74"/>
      <c r="B68" s="75" t="s">
        <v>234</v>
      </c>
      <c r="C68" s="392">
        <f>68301984+1481654</f>
        <v>69783638</v>
      </c>
      <c r="D68" s="75" t="s">
        <v>44</v>
      </c>
      <c r="E68" s="78">
        <f>G60</f>
        <v>8.8690000000000005E-2</v>
      </c>
      <c r="F68" s="75" t="s">
        <v>23</v>
      </c>
      <c r="G68" s="73">
        <f>ROUND((C68*E68),0)</f>
        <v>6189111</v>
      </c>
      <c r="J68" s="391">
        <v>7.2669999999999998E-2</v>
      </c>
    </row>
    <row r="69" spans="1:11">
      <c r="A69" s="74"/>
      <c r="B69" s="75" t="s">
        <v>233</v>
      </c>
      <c r="C69" s="62">
        <f>+E37</f>
        <v>271005</v>
      </c>
      <c r="D69" s="75" t="s">
        <v>46</v>
      </c>
      <c r="E69" s="70">
        <f>+C37</f>
        <v>22.5</v>
      </c>
      <c r="F69" s="75" t="s">
        <v>231</v>
      </c>
      <c r="G69" s="62">
        <f>ROUND((C69*E69),0)</f>
        <v>6097613</v>
      </c>
      <c r="J69" s="391">
        <v>17.5</v>
      </c>
    </row>
    <row r="70" spans="1:11">
      <c r="A70" s="74"/>
      <c r="B70" s="75" t="s">
        <v>232</v>
      </c>
      <c r="C70" s="62">
        <f>+E38</f>
        <v>17264</v>
      </c>
      <c r="D70" s="75" t="s">
        <v>46</v>
      </c>
      <c r="E70" s="70">
        <f>+C38</f>
        <v>13.5</v>
      </c>
      <c r="F70" s="75" t="s">
        <v>231</v>
      </c>
      <c r="G70" s="62">
        <f>ROUND((C70*E70),0)</f>
        <v>233064</v>
      </c>
      <c r="J70" s="391">
        <v>13.5</v>
      </c>
    </row>
    <row r="71" spans="1:11">
      <c r="A71" s="74"/>
      <c r="B71" s="394"/>
      <c r="C71" s="395"/>
      <c r="D71" s="369"/>
      <c r="E71" s="369"/>
      <c r="F71" s="369"/>
      <c r="G71" s="394"/>
      <c r="H71" s="74"/>
      <c r="J71" s="74"/>
    </row>
    <row r="72" spans="1:11">
      <c r="A72" s="74"/>
      <c r="B72" s="75" t="s">
        <v>230</v>
      </c>
      <c r="C72" s="74"/>
      <c r="D72" s="74"/>
      <c r="E72" s="74"/>
      <c r="F72" s="74"/>
      <c r="G72" s="73">
        <f>G67+G68+G69+G70</f>
        <v>20101708</v>
      </c>
      <c r="H72" s="74"/>
      <c r="I72" s="362">
        <f>G72-C54</f>
        <v>-655</v>
      </c>
      <c r="J72" s="74"/>
    </row>
    <row r="73" spans="1:11">
      <c r="A73" s="74"/>
      <c r="B73" s="75"/>
      <c r="C73" s="396"/>
      <c r="D73" s="74"/>
      <c r="E73" s="74"/>
      <c r="F73" s="74"/>
      <c r="G73" s="73"/>
      <c r="H73" s="74"/>
      <c r="I73" s="362"/>
      <c r="J73" s="74"/>
    </row>
    <row r="74" spans="1:11">
      <c r="A74" s="74"/>
      <c r="B74" s="28" t="s">
        <v>159</v>
      </c>
      <c r="C74" s="74"/>
      <c r="D74" s="74"/>
      <c r="E74" s="74"/>
      <c r="F74" s="74"/>
      <c r="G74" s="73"/>
      <c r="H74" s="74"/>
      <c r="I74" s="74"/>
      <c r="J74" s="74"/>
      <c r="K74" s="362"/>
    </row>
    <row r="75" spans="1:11">
      <c r="A75" s="74"/>
      <c r="B75" s="75"/>
      <c r="C75" s="74"/>
      <c r="D75" s="74"/>
      <c r="E75" s="74"/>
      <c r="F75" s="74"/>
      <c r="G75" s="73"/>
      <c r="H75" s="74"/>
      <c r="I75" s="74"/>
      <c r="J75" s="74"/>
      <c r="K75" s="362"/>
    </row>
    <row r="76" spans="1:11">
      <c r="A76" s="75" t="s">
        <v>229</v>
      </c>
      <c r="B76" s="358" t="s">
        <v>19</v>
      </c>
    </row>
    <row r="78" spans="1:11">
      <c r="A78" s="74"/>
      <c r="B78" s="75" t="s">
        <v>228</v>
      </c>
      <c r="C78" s="73">
        <f>+K8</f>
        <v>4403624.2739492515</v>
      </c>
      <c r="D78" s="66" t="s">
        <v>197</v>
      </c>
      <c r="E78" s="62">
        <f>C67+C68</f>
        <v>131360187</v>
      </c>
      <c r="F78" s="75" t="s">
        <v>227</v>
      </c>
      <c r="G78" s="78">
        <f>ROUND((C78/E78),5)</f>
        <v>3.3520000000000001E-2</v>
      </c>
    </row>
    <row r="79" spans="1:11">
      <c r="A79" s="74"/>
    </row>
    <row r="80" spans="1:11">
      <c r="A80" s="74"/>
      <c r="B80" s="75" t="s">
        <v>226</v>
      </c>
      <c r="C80" s="74"/>
      <c r="D80" s="74"/>
      <c r="E80" s="74"/>
      <c r="F80" s="74"/>
      <c r="G80" s="397">
        <f>RS!E25</f>
        <v>0.03</v>
      </c>
    </row>
    <row r="81" spans="1:9">
      <c r="A81" s="74"/>
      <c r="B81" s="74"/>
      <c r="C81" s="74"/>
      <c r="D81" s="74"/>
      <c r="E81" s="74"/>
      <c r="F81" s="74"/>
      <c r="G81" s="394"/>
    </row>
    <row r="82" spans="1:9">
      <c r="A82" s="74"/>
      <c r="B82" s="75" t="s">
        <v>225</v>
      </c>
      <c r="C82" s="74"/>
      <c r="D82" s="74"/>
      <c r="E82" s="74"/>
      <c r="F82" s="74"/>
      <c r="G82" s="78">
        <f>G78+G80</f>
        <v>6.3519999999999993E-2</v>
      </c>
    </row>
    <row r="84" spans="1:9">
      <c r="A84" s="74"/>
      <c r="B84" s="75" t="s">
        <v>224</v>
      </c>
      <c r="C84" s="74"/>
      <c r="D84" s="74"/>
      <c r="E84" s="74"/>
      <c r="F84" s="74"/>
      <c r="G84" s="398">
        <f>RS!E27</f>
        <v>6.4180000000000001E-2</v>
      </c>
    </row>
    <row r="86" spans="1:9">
      <c r="A86" s="74"/>
      <c r="B86" s="75" t="s">
        <v>223</v>
      </c>
      <c r="C86" s="74"/>
      <c r="D86" s="74"/>
      <c r="E86" s="74"/>
      <c r="F86" s="74"/>
      <c r="G86" s="399">
        <v>0.53710000000000002</v>
      </c>
      <c r="I86" s="60"/>
    </row>
    <row r="87" spans="1:9">
      <c r="A87" s="74"/>
      <c r="B87" s="75" t="s">
        <v>222</v>
      </c>
      <c r="C87" s="74"/>
      <c r="D87" s="74"/>
      <c r="E87" s="74"/>
      <c r="F87" s="74"/>
      <c r="G87" s="62">
        <f>ROUND((E78*G86),0)</f>
        <v>70553556</v>
      </c>
    </row>
    <row r="89" spans="1:9">
      <c r="A89" s="74"/>
      <c r="B89" s="75" t="s">
        <v>221</v>
      </c>
      <c r="C89" s="74"/>
      <c r="D89" s="74"/>
      <c r="E89" s="74"/>
      <c r="F89" s="74"/>
      <c r="G89" s="73">
        <f>ROUND((G87*G84),0)</f>
        <v>4528127</v>
      </c>
    </row>
    <row r="91" spans="1:9">
      <c r="A91" s="74"/>
    </row>
    <row r="93" spans="1:9">
      <c r="A93" s="75" t="s">
        <v>220</v>
      </c>
      <c r="B93" s="358" t="s">
        <v>30</v>
      </c>
    </row>
    <row r="95" spans="1:9">
      <c r="A95" s="74"/>
      <c r="B95" s="75" t="s">
        <v>219</v>
      </c>
      <c r="C95" s="74"/>
      <c r="D95" s="74"/>
      <c r="E95" s="73">
        <f>+K10</f>
        <v>20102363</v>
      </c>
    </row>
    <row r="96" spans="1:9">
      <c r="A96" s="74"/>
      <c r="B96" s="75" t="s">
        <v>218</v>
      </c>
      <c r="C96" s="74"/>
      <c r="D96" s="74"/>
      <c r="E96" s="62">
        <f>+I37</f>
        <v>6097613</v>
      </c>
    </row>
    <row r="97" spans="1:9">
      <c r="A97" s="74"/>
      <c r="B97" s="75" t="s">
        <v>217</v>
      </c>
      <c r="C97" s="74"/>
      <c r="D97" s="74"/>
      <c r="E97" s="62">
        <f>+I38</f>
        <v>233064</v>
      </c>
    </row>
    <row r="98" spans="1:9">
      <c r="A98" s="74"/>
      <c r="B98" s="75" t="s">
        <v>216</v>
      </c>
      <c r="C98" s="74"/>
      <c r="D98" s="74"/>
      <c r="E98" s="62">
        <f>+G89</f>
        <v>4528127</v>
      </c>
    </row>
    <row r="99" spans="1:9">
      <c r="A99" s="74"/>
      <c r="B99" s="74"/>
      <c r="C99" s="74"/>
      <c r="D99" s="74"/>
      <c r="E99" s="394"/>
    </row>
    <row r="100" spans="1:9">
      <c r="A100" s="74"/>
      <c r="B100" s="75" t="s">
        <v>34</v>
      </c>
      <c r="C100" s="74"/>
      <c r="D100" s="74"/>
      <c r="E100" s="73">
        <f>E95-E96-E97-E98</f>
        <v>9243559</v>
      </c>
    </row>
    <row r="101" spans="1:9">
      <c r="A101" s="74"/>
      <c r="B101" s="75" t="s">
        <v>37</v>
      </c>
      <c r="C101" s="74"/>
      <c r="D101" s="74"/>
      <c r="E101" s="62">
        <f>E78-G87</f>
        <v>60806631</v>
      </c>
    </row>
    <row r="102" spans="1:9">
      <c r="A102" s="74"/>
      <c r="B102" s="74"/>
      <c r="C102" s="74"/>
      <c r="D102" s="74"/>
      <c r="E102" s="369"/>
    </row>
    <row r="103" spans="1:9">
      <c r="A103" s="74"/>
      <c r="B103" s="75" t="s">
        <v>38</v>
      </c>
      <c r="C103" s="74"/>
      <c r="D103" s="74"/>
      <c r="E103" s="78">
        <f>ROUND((E100/E101),5)</f>
        <v>0.15201999999999999</v>
      </c>
      <c r="F103" s="75" t="s">
        <v>23</v>
      </c>
    </row>
    <row r="107" spans="1:9">
      <c r="A107" s="75" t="s">
        <v>82</v>
      </c>
      <c r="B107" s="358" t="s">
        <v>39</v>
      </c>
    </row>
    <row r="108" spans="1:9">
      <c r="A108" s="74"/>
      <c r="B108" s="74"/>
      <c r="C108" s="359" t="s">
        <v>40</v>
      </c>
      <c r="D108" s="74"/>
      <c r="E108" s="359" t="s">
        <v>154</v>
      </c>
      <c r="F108" s="74"/>
      <c r="G108" s="359" t="s">
        <v>1</v>
      </c>
      <c r="H108" s="74"/>
      <c r="I108" s="359" t="s">
        <v>42</v>
      </c>
    </row>
    <row r="109" spans="1:9">
      <c r="A109" s="74"/>
      <c r="B109" s="74"/>
    </row>
    <row r="110" spans="1:9">
      <c r="A110" s="74"/>
      <c r="B110" s="75" t="s">
        <v>43</v>
      </c>
      <c r="C110" s="62">
        <f>+E101</f>
        <v>60806631</v>
      </c>
      <c r="D110" s="75" t="s">
        <v>44</v>
      </c>
      <c r="E110" s="78">
        <f>E103</f>
        <v>0.15201999999999999</v>
      </c>
      <c r="G110" s="73">
        <f>ROUND((C110*E110),0)</f>
        <v>9243824</v>
      </c>
    </row>
    <row r="111" spans="1:9">
      <c r="A111" s="74"/>
      <c r="B111" s="75" t="s">
        <v>45</v>
      </c>
      <c r="C111" s="62">
        <f>+G87</f>
        <v>70553556</v>
      </c>
      <c r="D111" s="75" t="s">
        <v>44</v>
      </c>
      <c r="E111" s="78">
        <f>+G84</f>
        <v>6.4180000000000001E-2</v>
      </c>
      <c r="F111" s="74"/>
      <c r="G111" s="62">
        <f>ROUND((C111*E111),0)</f>
        <v>4528127</v>
      </c>
    </row>
    <row r="112" spans="1:9">
      <c r="A112" s="74"/>
      <c r="B112" s="75" t="s">
        <v>215</v>
      </c>
      <c r="C112" s="62">
        <f>+E37</f>
        <v>271005</v>
      </c>
      <c r="D112" s="75" t="s">
        <v>46</v>
      </c>
      <c r="E112" s="70">
        <f>+C37</f>
        <v>22.5</v>
      </c>
      <c r="F112" s="74"/>
      <c r="G112" s="62">
        <f>ROUND((C112*E112),0)</f>
        <v>6097613</v>
      </c>
    </row>
    <row r="113" spans="1:9">
      <c r="A113" s="74"/>
      <c r="B113" s="400" t="s">
        <v>214</v>
      </c>
      <c r="C113" s="401">
        <f>+E38</f>
        <v>17264</v>
      </c>
      <c r="D113" s="400" t="s">
        <v>46</v>
      </c>
      <c r="E113" s="402">
        <f>+C38</f>
        <v>13.5</v>
      </c>
      <c r="F113" s="77"/>
      <c r="G113" s="401">
        <f>ROUND((C113*E113),0)</f>
        <v>233064</v>
      </c>
    </row>
    <row r="114" spans="1:9">
      <c r="A114" s="74"/>
      <c r="B114" s="369"/>
      <c r="C114" s="369"/>
      <c r="D114" s="369"/>
      <c r="E114" s="369"/>
      <c r="F114" s="369"/>
      <c r="G114" s="369"/>
    </row>
    <row r="115" spans="1:9">
      <c r="A115" s="74"/>
      <c r="B115" s="61" t="s">
        <v>213</v>
      </c>
      <c r="C115" s="74"/>
      <c r="D115" s="74"/>
      <c r="E115" s="74"/>
      <c r="F115" s="74"/>
      <c r="G115" s="73">
        <f>SUM(G110:G113)</f>
        <v>20102628</v>
      </c>
      <c r="H115" s="74"/>
      <c r="I115" s="362">
        <f>G115-K10</f>
        <v>265</v>
      </c>
    </row>
    <row r="116" spans="1:9">
      <c r="A116" s="74"/>
      <c r="C116" s="74"/>
      <c r="D116" s="74"/>
      <c r="E116" s="74"/>
      <c r="F116" s="74"/>
      <c r="G116" s="73"/>
      <c r="H116" s="74"/>
      <c r="I116" s="362"/>
    </row>
    <row r="117" spans="1:9">
      <c r="B117" s="75" t="s">
        <v>212</v>
      </c>
    </row>
    <row r="120" spans="1:9">
      <c r="A120" s="61" t="s">
        <v>211</v>
      </c>
      <c r="B120" s="403" t="s">
        <v>210</v>
      </c>
    </row>
    <row r="122" spans="1:9">
      <c r="C122" s="64"/>
      <c r="D122" s="64"/>
      <c r="E122" s="64"/>
      <c r="F122" s="64"/>
      <c r="G122" s="64" t="s">
        <v>114</v>
      </c>
    </row>
    <row r="123" spans="1:9">
      <c r="C123" s="68" t="s">
        <v>40</v>
      </c>
      <c r="D123" s="68"/>
      <c r="E123" s="68" t="s">
        <v>154</v>
      </c>
      <c r="F123" s="68"/>
      <c r="G123" s="68" t="s">
        <v>1</v>
      </c>
    </row>
    <row r="124" spans="1:9">
      <c r="B124" s="61" t="s">
        <v>209</v>
      </c>
    </row>
    <row r="125" spans="1:9">
      <c r="B125" s="61" t="s">
        <v>208</v>
      </c>
      <c r="C125" s="404">
        <v>116365</v>
      </c>
      <c r="E125" s="405">
        <f>E110</f>
        <v>0.15201999999999999</v>
      </c>
      <c r="G125" s="62">
        <f>ROUND((C125*E125),0)</f>
        <v>17690</v>
      </c>
    </row>
    <row r="126" spans="1:9">
      <c r="B126" s="61" t="s">
        <v>207</v>
      </c>
      <c r="C126" s="404">
        <v>188025</v>
      </c>
      <c r="E126" s="405">
        <f>E111</f>
        <v>6.4180000000000001E-2</v>
      </c>
      <c r="G126" s="62">
        <f>ROUND((C126*E126),0)</f>
        <v>12067</v>
      </c>
    </row>
    <row r="127" spans="1:9">
      <c r="B127" s="61" t="s">
        <v>206</v>
      </c>
      <c r="C127" s="404">
        <v>384</v>
      </c>
      <c r="E127" s="70">
        <f>I34</f>
        <v>22.5</v>
      </c>
      <c r="F127" s="201"/>
      <c r="G127" s="62">
        <f>ROUND((C127*E127),0)</f>
        <v>8640</v>
      </c>
    </row>
    <row r="128" spans="1:9">
      <c r="G128" s="369"/>
    </row>
    <row r="129" spans="2:7">
      <c r="B129" s="61" t="s">
        <v>205</v>
      </c>
      <c r="G129" s="73">
        <f>SUM(G125:G127)</f>
        <v>38397</v>
      </c>
    </row>
    <row r="130" spans="2:7">
      <c r="G130" s="73"/>
    </row>
    <row r="131" spans="2:7">
      <c r="G131" s="73"/>
    </row>
    <row r="132" spans="2:7">
      <c r="G132" s="73"/>
    </row>
    <row r="133" spans="2:7">
      <c r="G133" s="73"/>
    </row>
    <row r="134" spans="2:7">
      <c r="G134" s="73"/>
    </row>
    <row r="135" spans="2:7">
      <c r="G135" s="73"/>
    </row>
  </sheetData>
  <printOptions horizontalCentered="1"/>
  <pageMargins left="0.9" right="0.5" top="0.8" bottom="0.5" header="0.5" footer="0.5"/>
  <pageSetup scale="50" fitToHeight="0" orientation="portrait" r:id="rId1"/>
  <headerFooter alignWithMargins="0">
    <oddHeader xml:space="preserve">&amp;L&amp;"Arial,Regular"&amp;F
Page &amp;P of &amp;N
&amp;C&amp;"Arial,Regular"KENTUCKY POWER COMPANY 
SGS Rate Design
Twelve Months Ended December 31, 2016
</oddHeader>
  </headerFooter>
  <rowBreaks count="2" manualBreakCount="2">
    <brk id="73" max="10" man="1"/>
    <brk id="133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84"/>
  <sheetViews>
    <sheetView zoomScaleNormal="100" workbookViewId="0">
      <selection activeCell="C9" sqref="C9"/>
    </sheetView>
  </sheetViews>
  <sheetFormatPr defaultRowHeight="15"/>
  <cols>
    <col min="1" max="1" width="3.375" style="58" bestFit="1" customWidth="1"/>
    <col min="2" max="2" width="24.625" style="58" customWidth="1"/>
    <col min="3" max="3" width="14" style="58" bestFit="1" customWidth="1"/>
    <col min="4" max="4" width="2.375" style="58" customWidth="1"/>
    <col min="5" max="5" width="15.25" style="58" bestFit="1" customWidth="1"/>
    <col min="6" max="6" width="4.75" style="58" customWidth="1"/>
    <col min="7" max="7" width="14" style="58" bestFit="1" customWidth="1"/>
    <col min="8" max="8" width="2.5" style="58" customWidth="1"/>
    <col min="9" max="9" width="17.75" style="58" bestFit="1" customWidth="1"/>
    <col min="10" max="10" width="2.5" style="58" customWidth="1"/>
    <col min="11" max="11" width="12.25" style="58" bestFit="1" customWidth="1"/>
    <col min="12" max="12" width="2.5" style="58" customWidth="1"/>
    <col min="13" max="13" width="15.25" style="58" bestFit="1" customWidth="1"/>
    <col min="14" max="16384" width="9" style="58"/>
  </cols>
  <sheetData>
    <row r="1" spans="1:14">
      <c r="A1" s="406"/>
      <c r="B1" s="407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14">
      <c r="A2" s="406"/>
      <c r="B2" s="407"/>
      <c r="C2" s="406"/>
      <c r="D2" s="406"/>
      <c r="E2" s="406"/>
      <c r="F2" s="406"/>
      <c r="G2" s="406"/>
      <c r="H2" s="406"/>
      <c r="I2" s="406"/>
      <c r="J2" s="406"/>
      <c r="K2" s="406"/>
      <c r="L2" s="406"/>
    </row>
    <row r="3" spans="1:14">
      <c r="A3" s="406"/>
      <c r="B3" s="407"/>
      <c r="C3" s="406"/>
      <c r="D3" s="406"/>
      <c r="E3" s="406"/>
      <c r="F3" s="406"/>
      <c r="G3" s="406"/>
      <c r="H3" s="406"/>
      <c r="I3" s="406"/>
      <c r="J3" s="406"/>
      <c r="K3" s="406"/>
      <c r="L3" s="406"/>
    </row>
    <row r="4" spans="1:14">
      <c r="A4" s="406"/>
      <c r="B4" s="407"/>
      <c r="C4" s="406"/>
      <c r="D4" s="406"/>
      <c r="E4" s="406"/>
      <c r="F4" s="406"/>
      <c r="G4" s="406"/>
      <c r="H4" s="406"/>
      <c r="I4" s="406"/>
      <c r="J4" s="406"/>
      <c r="K4" s="406"/>
      <c r="L4" s="406"/>
    </row>
    <row r="5" spans="1:14">
      <c r="A5" s="406"/>
      <c r="B5" s="407"/>
      <c r="C5" s="406"/>
      <c r="D5" s="406"/>
      <c r="E5" s="406"/>
      <c r="F5" s="406"/>
      <c r="G5" s="406"/>
      <c r="H5" s="406"/>
      <c r="I5" s="406"/>
      <c r="J5" s="406"/>
      <c r="K5" s="406"/>
      <c r="L5" s="406"/>
    </row>
    <row r="6" spans="1:14">
      <c r="A6" s="406"/>
      <c r="B6" s="407"/>
      <c r="C6" s="406"/>
      <c r="D6" s="406"/>
      <c r="E6" s="406"/>
      <c r="F6" s="406"/>
      <c r="G6" s="406"/>
      <c r="H6" s="406"/>
      <c r="I6" s="406"/>
      <c r="J6" s="406"/>
      <c r="K6" s="406"/>
      <c r="L6" s="406"/>
    </row>
    <row r="7" spans="1:14">
      <c r="A7" s="58" t="s">
        <v>118</v>
      </c>
      <c r="B7" s="58" t="s">
        <v>87</v>
      </c>
    </row>
    <row r="8" spans="1:14">
      <c r="C8" s="408"/>
      <c r="D8" s="409"/>
      <c r="E8" s="409" t="s">
        <v>9</v>
      </c>
      <c r="F8" s="409"/>
      <c r="G8" s="409" t="s">
        <v>119</v>
      </c>
      <c r="H8" s="409"/>
      <c r="I8" s="409" t="s">
        <v>120</v>
      </c>
      <c r="J8" s="408"/>
      <c r="L8" s="408"/>
    </row>
    <row r="9" spans="1:14">
      <c r="C9" s="408"/>
      <c r="D9" s="409"/>
      <c r="E9" s="410" t="s">
        <v>121</v>
      </c>
      <c r="F9" s="408"/>
      <c r="G9" s="410" t="s">
        <v>122</v>
      </c>
      <c r="H9" s="408"/>
      <c r="I9" s="410" t="s">
        <v>123</v>
      </c>
      <c r="J9" s="408"/>
      <c r="L9" s="408"/>
    </row>
    <row r="10" spans="1:14">
      <c r="C10" s="408"/>
      <c r="D10" s="408"/>
      <c r="E10" s="410"/>
      <c r="F10" s="408"/>
      <c r="G10" s="408"/>
      <c r="H10" s="408"/>
      <c r="J10" s="408"/>
      <c r="L10" s="408"/>
    </row>
    <row r="11" spans="1:14">
      <c r="B11" s="58" t="s">
        <v>6</v>
      </c>
      <c r="D11" s="411"/>
      <c r="E11" s="412">
        <f>SGS!C7</f>
        <v>12364170</v>
      </c>
      <c r="F11" s="411"/>
      <c r="G11" s="413">
        <f>'EX AEV-1'!E20</f>
        <v>7659911</v>
      </c>
      <c r="H11" s="411"/>
      <c r="I11" s="413">
        <f>+E11-G11</f>
        <v>4704259</v>
      </c>
      <c r="J11" s="411"/>
      <c r="L11" s="411"/>
      <c r="N11" s="414"/>
    </row>
    <row r="12" spans="1:14">
      <c r="B12" s="58" t="s">
        <v>7</v>
      </c>
      <c r="D12" s="59"/>
      <c r="E12" s="412">
        <f>SGS!C8</f>
        <v>4651909</v>
      </c>
      <c r="F12" s="59"/>
      <c r="G12" s="57">
        <f>'EX AEV-1'!E8</f>
        <v>4651909</v>
      </c>
      <c r="H12" s="59"/>
      <c r="I12" s="57">
        <f>+E12-G12</f>
        <v>0</v>
      </c>
      <c r="J12" s="59"/>
      <c r="L12" s="59"/>
      <c r="N12" s="414"/>
    </row>
    <row r="13" spans="1:14">
      <c r="B13" s="58" t="s">
        <v>8</v>
      </c>
      <c r="D13" s="59"/>
      <c r="E13" s="415">
        <f>SGS!C9</f>
        <v>3465334</v>
      </c>
      <c r="F13" s="59"/>
      <c r="G13" s="56">
        <v>0</v>
      </c>
      <c r="H13" s="59"/>
      <c r="I13" s="56">
        <f>+E13-G13</f>
        <v>3465334</v>
      </c>
      <c r="J13" s="59"/>
      <c r="L13" s="59"/>
      <c r="N13" s="414"/>
    </row>
    <row r="14" spans="1:14">
      <c r="B14" s="58" t="s">
        <v>9</v>
      </c>
      <c r="D14" s="411"/>
      <c r="E14" s="57">
        <f>SUM(E11:E13)</f>
        <v>20481413</v>
      </c>
      <c r="F14" s="411"/>
      <c r="G14" s="57">
        <f>SUM(G11:G13)</f>
        <v>12311820</v>
      </c>
      <c r="H14" s="411"/>
      <c r="I14" s="57">
        <f>SUM(I11:I13)</f>
        <v>8169593</v>
      </c>
      <c r="J14" s="411"/>
      <c r="L14" s="411"/>
    </row>
    <row r="15" spans="1:14">
      <c r="C15" s="416"/>
      <c r="D15" s="416"/>
      <c r="E15" s="416"/>
      <c r="F15" s="416"/>
      <c r="G15" s="416"/>
      <c r="H15" s="416"/>
      <c r="I15" s="57"/>
      <c r="J15" s="416"/>
      <c r="L15" s="416"/>
    </row>
    <row r="16" spans="1:14">
      <c r="A16" s="58" t="s">
        <v>12</v>
      </c>
      <c r="B16" s="58" t="s">
        <v>204</v>
      </c>
      <c r="G16" s="416"/>
      <c r="K16" s="416"/>
    </row>
    <row r="17" spans="1:13">
      <c r="G17" s="416"/>
      <c r="K17" s="416"/>
    </row>
    <row r="18" spans="1:13" ht="45">
      <c r="C18" s="417" t="s">
        <v>203</v>
      </c>
      <c r="E18" s="409" t="s">
        <v>202</v>
      </c>
      <c r="G18" s="418" t="s">
        <v>201</v>
      </c>
      <c r="I18" s="417" t="s">
        <v>200</v>
      </c>
      <c r="K18" s="419" t="s">
        <v>199</v>
      </c>
      <c r="M18" s="417" t="s">
        <v>198</v>
      </c>
    </row>
    <row r="19" spans="1:13">
      <c r="C19" s="420">
        <v>0</v>
      </c>
      <c r="D19" s="408" t="s">
        <v>197</v>
      </c>
      <c r="E19" s="408">
        <v>12</v>
      </c>
      <c r="F19" s="408" t="s">
        <v>89</v>
      </c>
      <c r="G19" s="421">
        <f>'Carrying Charge'!J18/100</f>
        <v>0.11633959925300505</v>
      </c>
      <c r="H19" s="408" t="s">
        <v>15</v>
      </c>
      <c r="I19" s="422">
        <f>ROUND((+C19/E19*G19)*20,0)/20</f>
        <v>0</v>
      </c>
      <c r="J19" s="58" t="s">
        <v>78</v>
      </c>
      <c r="K19" s="423">
        <f>G63</f>
        <v>22.5</v>
      </c>
      <c r="L19" s="58" t="s">
        <v>15</v>
      </c>
      <c r="M19" s="424">
        <f>I19+K19</f>
        <v>22.5</v>
      </c>
    </row>
    <row r="20" spans="1:13">
      <c r="C20" s="325"/>
      <c r="D20" s="408"/>
      <c r="F20" s="408"/>
      <c r="G20" s="425"/>
      <c r="H20" s="408"/>
      <c r="I20" s="426"/>
      <c r="K20" s="416"/>
    </row>
    <row r="22" spans="1:13">
      <c r="A22" s="58" t="s">
        <v>18</v>
      </c>
      <c r="B22" s="58" t="s">
        <v>124</v>
      </c>
    </row>
    <row r="24" spans="1:13">
      <c r="B24" s="58" t="s">
        <v>125</v>
      </c>
      <c r="E24" s="413">
        <f>+I14</f>
        <v>8169593</v>
      </c>
    </row>
    <row r="26" spans="1:13">
      <c r="B26" s="58" t="s">
        <v>126</v>
      </c>
      <c r="E26" s="57">
        <f>I63</f>
        <v>6097613</v>
      </c>
      <c r="G26" s="413"/>
    </row>
    <row r="27" spans="1:13">
      <c r="B27" s="58" t="s">
        <v>1032</v>
      </c>
      <c r="E27" s="57">
        <f>I64</f>
        <v>8640</v>
      </c>
      <c r="G27" s="413"/>
    </row>
    <row r="28" spans="1:13">
      <c r="B28" s="58" t="s">
        <v>196</v>
      </c>
      <c r="E28" s="57">
        <f>I65</f>
        <v>233064</v>
      </c>
      <c r="G28" s="413"/>
    </row>
    <row r="29" spans="1:13">
      <c r="B29" s="58" t="s">
        <v>127</v>
      </c>
      <c r="E29" s="56">
        <f>I82</f>
        <v>48825</v>
      </c>
      <c r="G29" s="413"/>
    </row>
    <row r="30" spans="1:13">
      <c r="B30" s="58" t="s">
        <v>130</v>
      </c>
      <c r="E30" s="57">
        <f>+E24-E26-E27-E28-E29</f>
        <v>1781451</v>
      </c>
    </row>
    <row r="32" spans="1:13">
      <c r="B32" s="58" t="s">
        <v>129</v>
      </c>
      <c r="E32" s="53">
        <f>K45</f>
        <v>132375706</v>
      </c>
    </row>
    <row r="33" spans="1:13">
      <c r="B33" s="58" t="s">
        <v>130</v>
      </c>
      <c r="E33" s="427">
        <f>ROUND(+E30/E32,6)</f>
        <v>1.3457999999999999E-2</v>
      </c>
    </row>
    <row r="36" spans="1:13">
      <c r="A36" s="58" t="s">
        <v>29</v>
      </c>
      <c r="B36" s="58" t="s">
        <v>131</v>
      </c>
    </row>
    <row r="38" spans="1:13">
      <c r="C38" s="854" t="s">
        <v>195</v>
      </c>
      <c r="D38" s="854"/>
      <c r="E38" s="854"/>
      <c r="F38" s="416"/>
      <c r="G38" s="416"/>
      <c r="H38" s="416"/>
      <c r="I38" s="416"/>
    </row>
    <row r="39" spans="1:13" ht="30">
      <c r="C39" s="428" t="s">
        <v>133</v>
      </c>
      <c r="D39" s="428"/>
      <c r="E39" s="428" t="s">
        <v>134</v>
      </c>
      <c r="G39" s="428" t="s">
        <v>9</v>
      </c>
      <c r="H39" s="428"/>
      <c r="I39" s="428" t="s">
        <v>135</v>
      </c>
      <c r="J39" s="428"/>
      <c r="K39" s="428" t="s">
        <v>44</v>
      </c>
      <c r="L39" s="428"/>
      <c r="M39" s="429" t="s">
        <v>136</v>
      </c>
    </row>
    <row r="40" spans="1:13">
      <c r="C40" s="430" t="s">
        <v>121</v>
      </c>
      <c r="D40" s="429"/>
      <c r="E40" s="430" t="s">
        <v>122</v>
      </c>
      <c r="F40" s="429"/>
      <c r="G40" s="431" t="s">
        <v>137</v>
      </c>
      <c r="H40" s="429"/>
      <c r="I40" s="429" t="s">
        <v>138</v>
      </c>
      <c r="J40" s="429"/>
      <c r="K40" s="430" t="s">
        <v>139</v>
      </c>
      <c r="L40" s="429"/>
      <c r="M40" s="430" t="s">
        <v>140</v>
      </c>
    </row>
    <row r="41" spans="1:13">
      <c r="G41" s="416"/>
    </row>
    <row r="42" spans="1:13">
      <c r="B42" s="58" t="s">
        <v>141</v>
      </c>
      <c r="C42" s="55">
        <v>477084.65835949383</v>
      </c>
      <c r="E42" s="55">
        <f>+'TOD CC'!C52</f>
        <v>340329.59</v>
      </c>
      <c r="G42" s="55">
        <f>+E42+C42</f>
        <v>817414.24835949391</v>
      </c>
      <c r="I42" s="57">
        <f>ROUND(+G42/$G$45*$G$14,0)</f>
        <v>2046512</v>
      </c>
      <c r="K42" s="55">
        <v>10521888.08379999</v>
      </c>
      <c r="M42" s="427">
        <f>ROUND(+I42/K42,6)</f>
        <v>0.19450000000000001</v>
      </c>
    </row>
    <row r="43" spans="1:13">
      <c r="B43" s="58" t="s">
        <v>142</v>
      </c>
      <c r="C43" s="55">
        <v>453464.07203071483</v>
      </c>
      <c r="E43" s="55">
        <f>+'TOD CC'!D52</f>
        <v>463071.41</v>
      </c>
      <c r="G43" s="55">
        <f>+E43+C43</f>
        <v>916535.48203071486</v>
      </c>
      <c r="I43" s="57">
        <f>ROUND(+G43/$G$45*$G$14,0)</f>
        <v>2294676</v>
      </c>
      <c r="K43" s="55">
        <v>14592324.846400002</v>
      </c>
      <c r="M43" s="427">
        <f>ROUND(+I43/K43,6)</f>
        <v>0.157252</v>
      </c>
    </row>
    <row r="44" spans="1:13">
      <c r="B44" s="58" t="s">
        <v>143</v>
      </c>
      <c r="C44" s="226">
        <v>2953837.0200276887</v>
      </c>
      <c r="E44" s="226">
        <f>+'TOD CC'!E52</f>
        <v>229779.3</v>
      </c>
      <c r="G44" s="226">
        <f>+E44+C44</f>
        <v>3183616.3200276885</v>
      </c>
      <c r="I44" s="56">
        <f>ROUND(+G44/$G$45*$G$14,0)</f>
        <v>7970632</v>
      </c>
      <c r="K44" s="226">
        <f>K45-K42-K43</f>
        <v>107261493.0698</v>
      </c>
      <c r="M44" s="427">
        <f>ROUND(+I44/K44,6)</f>
        <v>7.4310000000000001E-2</v>
      </c>
    </row>
    <row r="45" spans="1:13">
      <c r="C45" s="53">
        <f>SUM(C42:C44)</f>
        <v>3884385.7504178975</v>
      </c>
      <c r="E45" s="53">
        <f>+'TOD CC'!D17</f>
        <v>1033180.31</v>
      </c>
      <c r="G45" s="55">
        <f>SUM(G42:G44)</f>
        <v>4917566.0504178973</v>
      </c>
      <c r="I45" s="413">
        <f>SUM(I42:I44)</f>
        <v>12311820</v>
      </c>
      <c r="K45" s="55">
        <f>SGS!E78+SGS!C125+SGS!C126+E79+E80+E81</f>
        <v>132375706</v>
      </c>
    </row>
    <row r="46" spans="1:13">
      <c r="K46" s="53"/>
    </row>
    <row r="47" spans="1:13">
      <c r="E47" s="432"/>
      <c r="H47" s="433" t="s">
        <v>144</v>
      </c>
      <c r="I47" s="434">
        <f>+I45/G45</f>
        <v>2.5036410032466643</v>
      </c>
    </row>
    <row r="48" spans="1:13">
      <c r="E48" s="432"/>
      <c r="H48" s="433"/>
      <c r="I48" s="434"/>
    </row>
    <row r="49" spans="1:12">
      <c r="A49" s="58" t="s">
        <v>79</v>
      </c>
      <c r="B49" s="58" t="s">
        <v>145</v>
      </c>
    </row>
    <row r="51" spans="1:12" ht="29.25" customHeight="1">
      <c r="C51" s="417" t="s">
        <v>146</v>
      </c>
      <c r="D51" s="408"/>
      <c r="E51" s="417" t="s">
        <v>147</v>
      </c>
      <c r="F51" s="408"/>
      <c r="G51" s="409" t="s">
        <v>148</v>
      </c>
      <c r="H51" s="409"/>
      <c r="I51" s="409" t="s">
        <v>149</v>
      </c>
      <c r="J51" s="409"/>
      <c r="K51" s="409" t="s">
        <v>150</v>
      </c>
      <c r="L51" s="409"/>
    </row>
    <row r="52" spans="1:12">
      <c r="C52" s="410" t="s">
        <v>121</v>
      </c>
      <c r="D52" s="408"/>
      <c r="E52" s="410" t="s">
        <v>122</v>
      </c>
      <c r="F52" s="408"/>
      <c r="G52" s="410" t="s">
        <v>137</v>
      </c>
      <c r="H52" s="408"/>
      <c r="I52" s="410" t="s">
        <v>151</v>
      </c>
      <c r="J52" s="408"/>
      <c r="K52" s="410" t="s">
        <v>152</v>
      </c>
      <c r="L52" s="408"/>
    </row>
    <row r="54" spans="1:12">
      <c r="B54" s="58" t="s">
        <v>141</v>
      </c>
      <c r="C54" s="427">
        <f>+E33</f>
        <v>1.3457999999999999E-2</v>
      </c>
      <c r="E54" s="427">
        <f>+M42</f>
        <v>0.19450000000000001</v>
      </c>
      <c r="F54" s="427"/>
      <c r="G54" s="427">
        <f>+C54+E54</f>
        <v>0.207958</v>
      </c>
      <c r="I54" s="42">
        <f>'RS TOD2'!$I$47</f>
        <v>1.5985059338411971E-3</v>
      </c>
      <c r="K54" s="435">
        <f>ROUND(+G54-I54,5)</f>
        <v>0.20635999999999999</v>
      </c>
    </row>
    <row r="55" spans="1:12">
      <c r="B55" s="58" t="s">
        <v>142</v>
      </c>
      <c r="C55" s="427">
        <f>+E33</f>
        <v>1.3457999999999999E-2</v>
      </c>
      <c r="E55" s="427">
        <f>+M43</f>
        <v>0.157252</v>
      </c>
      <c r="F55" s="427"/>
      <c r="G55" s="427">
        <f>+C55+E55</f>
        <v>0.17071</v>
      </c>
      <c r="I55" s="54">
        <f>I54</f>
        <v>1.5985059338411971E-3</v>
      </c>
      <c r="K55" s="435">
        <f>ROUND(+G55-I55,5)</f>
        <v>0.16911000000000001</v>
      </c>
    </row>
    <row r="56" spans="1:12">
      <c r="B56" s="58" t="s">
        <v>143</v>
      </c>
      <c r="C56" s="427">
        <f>+E33</f>
        <v>1.3457999999999999E-2</v>
      </c>
      <c r="E56" s="427">
        <f>+M44</f>
        <v>7.4310000000000001E-2</v>
      </c>
      <c r="F56" s="427"/>
      <c r="G56" s="427">
        <f>+C56+E56</f>
        <v>8.7767999999999999E-2</v>
      </c>
      <c r="I56" s="54">
        <f>I54</f>
        <v>1.5985059338411971E-3</v>
      </c>
      <c r="K56" s="435">
        <f>ROUND(+G56-I56,5)</f>
        <v>8.6169999999999997E-2</v>
      </c>
    </row>
    <row r="59" spans="1:12">
      <c r="A59" s="58" t="s">
        <v>80</v>
      </c>
      <c r="B59" s="58" t="s">
        <v>39</v>
      </c>
      <c r="I59" s="413"/>
    </row>
    <row r="60" spans="1:12">
      <c r="D60" s="409"/>
      <c r="E60" s="409" t="s">
        <v>40</v>
      </c>
      <c r="F60" s="409"/>
      <c r="G60" s="409" t="s">
        <v>154</v>
      </c>
      <c r="H60" s="409"/>
      <c r="I60" s="409" t="s">
        <v>192</v>
      </c>
      <c r="J60" s="409"/>
      <c r="L60" s="409"/>
    </row>
    <row r="61" spans="1:12">
      <c r="D61" s="408"/>
      <c r="E61" s="410" t="s">
        <v>121</v>
      </c>
      <c r="F61" s="408"/>
      <c r="G61" s="410" t="s">
        <v>122</v>
      </c>
      <c r="H61" s="408"/>
      <c r="I61" s="410" t="s">
        <v>155</v>
      </c>
      <c r="J61" s="408"/>
      <c r="L61" s="408"/>
    </row>
    <row r="62" spans="1:12">
      <c r="D62" s="408"/>
      <c r="E62" s="410"/>
      <c r="F62" s="408"/>
      <c r="G62" s="408"/>
      <c r="H62" s="408"/>
      <c r="I62" s="410"/>
      <c r="J62" s="408"/>
      <c r="L62" s="408"/>
    </row>
    <row r="63" spans="1:12">
      <c r="B63" s="58" t="s">
        <v>156</v>
      </c>
      <c r="D63" s="408"/>
      <c r="E63" s="53">
        <f>SGS!E37</f>
        <v>271005</v>
      </c>
      <c r="F63" s="436" t="s">
        <v>46</v>
      </c>
      <c r="G63" s="437">
        <f>SGS!I34</f>
        <v>22.5</v>
      </c>
      <c r="H63" s="408"/>
      <c r="I63" s="438">
        <f t="shared" ref="I63:I69" si="0">+ROUND(E63*G63,0)</f>
        <v>6097613</v>
      </c>
      <c r="J63" s="408"/>
      <c r="L63" s="408"/>
    </row>
    <row r="64" spans="1:12">
      <c r="B64" s="58" t="s">
        <v>1031</v>
      </c>
      <c r="D64" s="408"/>
      <c r="E64" s="53">
        <f>SGS!C127</f>
        <v>384</v>
      </c>
      <c r="F64" s="436" t="s">
        <v>46</v>
      </c>
      <c r="G64" s="437">
        <f>SGS!E127</f>
        <v>22.5</v>
      </c>
      <c r="H64" s="408"/>
      <c r="I64" s="438">
        <f t="shared" si="0"/>
        <v>8640</v>
      </c>
      <c r="J64" s="408"/>
      <c r="L64" s="408"/>
    </row>
    <row r="65" spans="1:13">
      <c r="B65" s="58" t="s">
        <v>194</v>
      </c>
      <c r="D65" s="408"/>
      <c r="E65" s="53">
        <f>SGS!E38</f>
        <v>17264</v>
      </c>
      <c r="F65" s="436" t="s">
        <v>46</v>
      </c>
      <c r="G65" s="437">
        <f>SGS!C38</f>
        <v>13.5</v>
      </c>
      <c r="H65" s="408"/>
      <c r="I65" s="438">
        <f t="shared" si="0"/>
        <v>233064</v>
      </c>
      <c r="J65" s="408"/>
      <c r="L65" s="408"/>
    </row>
    <row r="66" spans="1:13">
      <c r="B66" s="58" t="s">
        <v>157</v>
      </c>
      <c r="D66" s="408"/>
      <c r="E66" s="53">
        <f>E82</f>
        <v>2170</v>
      </c>
      <c r="F66" s="436" t="s">
        <v>46</v>
      </c>
      <c r="G66" s="437">
        <f>M19</f>
        <v>22.5</v>
      </c>
      <c r="H66" s="408"/>
      <c r="I66" s="438">
        <f t="shared" ref="I66" si="1">+ROUND(E66*G66,0)</f>
        <v>48825</v>
      </c>
      <c r="J66" s="408"/>
      <c r="L66" s="408"/>
    </row>
    <row r="67" spans="1:13">
      <c r="B67" s="58" t="s">
        <v>141</v>
      </c>
      <c r="E67" s="53">
        <f>+K42</f>
        <v>10521888.08379999</v>
      </c>
      <c r="F67" s="436" t="s">
        <v>44</v>
      </c>
      <c r="G67" s="435">
        <f>+K54</f>
        <v>0.20635999999999999</v>
      </c>
      <c r="I67" s="438">
        <f t="shared" si="0"/>
        <v>2171297</v>
      </c>
    </row>
    <row r="68" spans="1:13">
      <c r="B68" s="58" t="s">
        <v>142</v>
      </c>
      <c r="E68" s="53">
        <f>+K43</f>
        <v>14592324.846400002</v>
      </c>
      <c r="F68" s="436" t="s">
        <v>44</v>
      </c>
      <c r="G68" s="435">
        <f>+K55</f>
        <v>0.16911000000000001</v>
      </c>
      <c r="I68" s="438">
        <f t="shared" si="0"/>
        <v>2467708</v>
      </c>
    </row>
    <row r="69" spans="1:13">
      <c r="B69" s="58" t="s">
        <v>143</v>
      </c>
      <c r="E69" s="53">
        <f>+K44</f>
        <v>107261493.0698</v>
      </c>
      <c r="F69" s="436" t="s">
        <v>44</v>
      </c>
      <c r="G69" s="435">
        <f>+K56</f>
        <v>8.6169999999999997E-2</v>
      </c>
      <c r="I69" s="438">
        <f t="shared" si="0"/>
        <v>9242723</v>
      </c>
    </row>
    <row r="70" spans="1:13">
      <c r="B70" s="58" t="s">
        <v>74</v>
      </c>
      <c r="E70" s="53">
        <f>+E32</f>
        <v>132375706</v>
      </c>
      <c r="F70" s="436" t="s">
        <v>44</v>
      </c>
      <c r="G70" s="54">
        <f>I54</f>
        <v>1.5985059338411971E-3</v>
      </c>
      <c r="I70" s="439">
        <f>ROUND(E70*G70,5)</f>
        <v>211603.35154</v>
      </c>
    </row>
    <row r="71" spans="1:13">
      <c r="I71" s="440">
        <f>SUM(I63:I70)</f>
        <v>20481473.351539999</v>
      </c>
      <c r="K71" s="413">
        <f>+E14</f>
        <v>20481413</v>
      </c>
      <c r="M71" s="440">
        <f>+I71-K71</f>
        <v>60.351539999246597</v>
      </c>
    </row>
    <row r="72" spans="1:13">
      <c r="I72" s="53"/>
    </row>
    <row r="74" spans="1:13">
      <c r="B74" s="58" t="s">
        <v>159</v>
      </c>
    </row>
    <row r="76" spans="1:13">
      <c r="A76" s="58" t="s">
        <v>81</v>
      </c>
      <c r="B76" s="58" t="s">
        <v>193</v>
      </c>
    </row>
    <row r="77" spans="1:13">
      <c r="E77" s="409" t="s">
        <v>40</v>
      </c>
      <c r="F77" s="409"/>
      <c r="G77" s="409" t="s">
        <v>154</v>
      </c>
      <c r="H77" s="409"/>
      <c r="I77" s="409" t="s">
        <v>192</v>
      </c>
    </row>
    <row r="78" spans="1:13">
      <c r="B78" s="58" t="s">
        <v>191</v>
      </c>
      <c r="G78" s="53"/>
    </row>
    <row r="79" spans="1:13">
      <c r="B79" s="441" t="s">
        <v>141</v>
      </c>
      <c r="E79" s="442">
        <v>92802</v>
      </c>
      <c r="G79" s="435">
        <f>K54</f>
        <v>0.20635999999999999</v>
      </c>
      <c r="I79" s="438">
        <f>+ROUND(E79*G79,0)</f>
        <v>19151</v>
      </c>
    </row>
    <row r="80" spans="1:13">
      <c r="B80" s="441" t="s">
        <v>142</v>
      </c>
      <c r="E80" s="442">
        <v>93947</v>
      </c>
      <c r="G80" s="435">
        <f>K55</f>
        <v>0.16911000000000001</v>
      </c>
      <c r="I80" s="438">
        <f>+ROUND(E80*G80,0)</f>
        <v>15887</v>
      </c>
    </row>
    <row r="81" spans="2:9">
      <c r="B81" s="441" t="s">
        <v>143</v>
      </c>
      <c r="E81" s="442">
        <v>524380</v>
      </c>
      <c r="G81" s="435">
        <f>K56</f>
        <v>8.6169999999999997E-2</v>
      </c>
      <c r="I81" s="438">
        <f>+ROUND(E81*G81,0)</f>
        <v>45186</v>
      </c>
    </row>
    <row r="82" spans="2:9">
      <c r="B82" s="441" t="s">
        <v>8</v>
      </c>
      <c r="E82" s="442">
        <v>2170</v>
      </c>
      <c r="G82" s="443">
        <f>M19</f>
        <v>22.5</v>
      </c>
      <c r="I82" s="439">
        <f>+ROUND(E82*G82,0)</f>
        <v>48825</v>
      </c>
    </row>
    <row r="84" spans="2:9">
      <c r="B84" s="58" t="s">
        <v>9</v>
      </c>
      <c r="I84" s="440">
        <f>SUM(I79:I82)</f>
        <v>129049</v>
      </c>
    </row>
  </sheetData>
  <mergeCells count="1">
    <mergeCell ref="C38:E38"/>
  </mergeCells>
  <printOptions horizontalCentered="1"/>
  <pageMargins left="0.5" right="0.5" top="0.5" bottom="0.5" header="0.5" footer="0.5"/>
  <pageSetup orientation="portrait" r:id="rId1"/>
  <headerFooter alignWithMargins="0">
    <oddHeader>&amp;C&amp;"Arial,Regular"KENTUCKY POWER COMPANY
Experimental SGS-TOD Rate Design
Twelve Months Ended, December 31, 2016
Rate Design&amp;RPage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zoomScaleNormal="100" workbookViewId="0">
      <selection activeCell="C6" sqref="C6"/>
    </sheetView>
  </sheetViews>
  <sheetFormatPr defaultColWidth="8.75" defaultRowHeight="15"/>
  <cols>
    <col min="1" max="1" width="13.375" style="444" customWidth="1"/>
    <col min="2" max="2" width="11.5" style="444" bestFit="1" customWidth="1"/>
    <col min="3" max="3" width="12.625" style="444" bestFit="1" customWidth="1"/>
    <col min="4" max="4" width="16.25" style="444" bestFit="1" customWidth="1"/>
    <col min="5" max="5" width="12.625" style="444" bestFit="1" customWidth="1"/>
    <col min="6" max="6" width="15.625" style="444" customWidth="1"/>
    <col min="7" max="16384" width="8.75" style="444"/>
  </cols>
  <sheetData>
    <row r="1" spans="1:4">
      <c r="A1" s="53"/>
    </row>
    <row r="2" spans="1:4">
      <c r="A2" s="53"/>
    </row>
    <row r="3" spans="1:4">
      <c r="A3" s="53"/>
    </row>
    <row r="4" spans="1:4">
      <c r="A4" s="53"/>
    </row>
    <row r="6" spans="1:4">
      <c r="A6" s="444" t="s">
        <v>908</v>
      </c>
      <c r="D6" s="445" t="s">
        <v>190</v>
      </c>
    </row>
    <row r="7" spans="1:4">
      <c r="A7" s="446" t="s">
        <v>187</v>
      </c>
      <c r="B7" s="446" t="s">
        <v>186</v>
      </c>
      <c r="C7" s="446"/>
      <c r="D7" s="446" t="s">
        <v>185</v>
      </c>
    </row>
    <row r="8" spans="1:4">
      <c r="A8" s="447">
        <f>'TOD2 CC'!A8</f>
        <v>42593</v>
      </c>
      <c r="B8" s="448">
        <f>'TOD2 CC'!B8</f>
        <v>1600</v>
      </c>
      <c r="D8" s="442">
        <v>24294.11647041102</v>
      </c>
    </row>
    <row r="9" spans="1:4">
      <c r="A9" s="447">
        <f>'TOD2 CC'!A9</f>
        <v>42576</v>
      </c>
      <c r="B9" s="448">
        <f>'TOD2 CC'!B9</f>
        <v>1600</v>
      </c>
      <c r="D9" s="442">
        <v>21963.768297682807</v>
      </c>
    </row>
    <row r="10" spans="1:4">
      <c r="A10" s="447">
        <f>'TOD2 CC'!A10</f>
        <v>42594</v>
      </c>
      <c r="B10" s="448">
        <f>'TOD2 CC'!B10</f>
        <v>1600</v>
      </c>
      <c r="D10" s="442">
        <v>25820.562138290261</v>
      </c>
    </row>
    <row r="11" spans="1:4">
      <c r="A11" s="447">
        <f>'TOD2 CC'!A11</f>
        <v>42578</v>
      </c>
      <c r="B11" s="448">
        <f>'TOD2 CC'!B11</f>
        <v>1700</v>
      </c>
      <c r="D11" s="442">
        <v>21244.709239048148</v>
      </c>
    </row>
    <row r="12" spans="1:4">
      <c r="A12" s="447">
        <f>'TOD2 CC'!A12</f>
        <v>42592</v>
      </c>
      <c r="B12" s="448">
        <f>'TOD2 CC'!B12</f>
        <v>1700</v>
      </c>
      <c r="D12" s="449">
        <v>21478.747713639223</v>
      </c>
    </row>
    <row r="13" spans="1:4">
      <c r="D13" s="53">
        <f>SUM(D8:D12)</f>
        <v>114801.90385907146</v>
      </c>
    </row>
    <row r="14" spans="1:4">
      <c r="A14" s="445" t="s">
        <v>184</v>
      </c>
      <c r="D14" s="432">
        <f>D13/5000</f>
        <v>22.960380771814293</v>
      </c>
    </row>
    <row r="15" spans="1:4">
      <c r="A15" s="444" t="s">
        <v>183</v>
      </c>
      <c r="D15" s="53">
        <v>365</v>
      </c>
    </row>
    <row r="16" spans="1:4">
      <c r="A16" s="444" t="s">
        <v>182</v>
      </c>
      <c r="D16" s="450">
        <f>+F30</f>
        <v>123.28327750000001</v>
      </c>
    </row>
    <row r="17" spans="1:9">
      <c r="A17" s="444" t="s">
        <v>181</v>
      </c>
      <c r="D17" s="413">
        <f>ROUND(+D14*D15*D16,2)</f>
        <v>1033180.31</v>
      </c>
    </row>
    <row r="18" spans="1:9">
      <c r="D18" s="437"/>
    </row>
    <row r="19" spans="1:9">
      <c r="G19" s="434"/>
    </row>
    <row r="20" spans="1:9">
      <c r="A20" s="451" t="s">
        <v>180</v>
      </c>
      <c r="D20" s="451" t="s">
        <v>179</v>
      </c>
      <c r="E20" s="451" t="s">
        <v>178</v>
      </c>
      <c r="F20" s="451" t="s">
        <v>177</v>
      </c>
      <c r="H20" s="452"/>
      <c r="I20" s="453"/>
    </row>
    <row r="21" spans="1:9">
      <c r="A21" s="451" t="s">
        <v>176</v>
      </c>
      <c r="D21" s="451" t="s">
        <v>175</v>
      </c>
      <c r="E21" s="451" t="s">
        <v>174</v>
      </c>
      <c r="F21" s="451" t="s">
        <v>173</v>
      </c>
      <c r="H21" s="454"/>
      <c r="I21" s="453"/>
    </row>
    <row r="22" spans="1:9">
      <c r="A22" s="455"/>
      <c r="B22" s="453"/>
      <c r="C22" s="453"/>
      <c r="D22" s="456" t="s">
        <v>172</v>
      </c>
      <c r="E22" s="456" t="s">
        <v>171</v>
      </c>
      <c r="F22" s="456" t="s">
        <v>171</v>
      </c>
      <c r="H22" s="52"/>
      <c r="I22" s="453"/>
    </row>
    <row r="23" spans="1:9">
      <c r="A23" s="457" t="s">
        <v>170</v>
      </c>
      <c r="D23" s="457" t="s">
        <v>169</v>
      </c>
      <c r="E23" s="457" t="s">
        <v>168</v>
      </c>
      <c r="F23" s="457" t="s">
        <v>167</v>
      </c>
      <c r="H23" s="52"/>
      <c r="I23" s="453"/>
    </row>
    <row r="24" spans="1:9">
      <c r="A24" s="458" t="str">
        <f>'TOD2 CC'!A24</f>
        <v>2016/2017</v>
      </c>
      <c r="B24" s="448"/>
      <c r="C24" s="448"/>
      <c r="D24" s="340">
        <f>'TOD2 CC'!D24</f>
        <v>0.21099999999999999</v>
      </c>
      <c r="E24" s="341">
        <f>'TOD2 CC'!E24</f>
        <v>59.37</v>
      </c>
      <c r="F24" s="341">
        <f>E24*(1+D24)</f>
        <v>71.897069999999999</v>
      </c>
      <c r="H24" s="52"/>
      <c r="I24" s="453"/>
    </row>
    <row r="25" spans="1:9">
      <c r="A25" s="458" t="str">
        <f>'TOD2 CC'!A25</f>
        <v>2017/2018</v>
      </c>
      <c r="B25" s="448"/>
      <c r="C25" s="448"/>
      <c r="D25" s="340">
        <f>'TOD2 CC'!D25</f>
        <v>0.19700000000000001</v>
      </c>
      <c r="E25" s="341">
        <f>'TOD2 CC'!E25</f>
        <v>120</v>
      </c>
      <c r="F25" s="341">
        <f>E25*(1+D25)</f>
        <v>143.64000000000001</v>
      </c>
      <c r="H25" s="52"/>
      <c r="I25" s="453"/>
    </row>
    <row r="26" spans="1:9">
      <c r="A26" s="458" t="str">
        <f>'TOD2 CC'!A26</f>
        <v>2018/2019</v>
      </c>
      <c r="B26" s="448"/>
      <c r="C26" s="448"/>
      <c r="D26" s="340">
        <f>'TOD2 CC'!D26</f>
        <v>0.19800000000000001</v>
      </c>
      <c r="E26" s="341">
        <f>'TOD2 CC'!E26</f>
        <v>149.97999999999999</v>
      </c>
      <c r="F26" s="341">
        <f>E26*(1+D26)</f>
        <v>179.67603999999997</v>
      </c>
      <c r="H26" s="52"/>
      <c r="I26" s="453"/>
    </row>
    <row r="27" spans="1:9">
      <c r="A27" s="459" t="str">
        <f>'TOD2 CC'!A27</f>
        <v>2019/2020</v>
      </c>
      <c r="B27" s="448"/>
      <c r="C27" s="448"/>
      <c r="D27" s="343">
        <f>'TOD2 CC'!D27</f>
        <v>0.224</v>
      </c>
      <c r="E27" s="344">
        <f>'TOD2 CC'!E27</f>
        <v>80</v>
      </c>
      <c r="F27" s="344">
        <f>E27*(1+D27)</f>
        <v>97.92</v>
      </c>
      <c r="H27" s="453"/>
      <c r="I27" s="453"/>
    </row>
    <row r="28" spans="1:9">
      <c r="C28" s="460" t="s">
        <v>164</v>
      </c>
      <c r="D28" s="346">
        <f>SUM(D24:D27)/4</f>
        <v>0.20750000000000002</v>
      </c>
      <c r="E28" s="50">
        <f>SUM(E24:E27)/4</f>
        <v>102.33750000000001</v>
      </c>
      <c r="F28" s="50">
        <f>SUM(F24:F27)/4</f>
        <v>123.28327750000001</v>
      </c>
      <c r="H28" s="52"/>
      <c r="I28" s="453"/>
    </row>
    <row r="29" spans="1:9">
      <c r="D29" s="437"/>
      <c r="E29" s="461"/>
      <c r="H29" s="52"/>
      <c r="I29" s="453"/>
    </row>
    <row r="30" spans="1:9">
      <c r="C30" s="460" t="s">
        <v>164</v>
      </c>
      <c r="D30" s="437"/>
      <c r="E30" s="462"/>
      <c r="F30" s="51">
        <f>F28</f>
        <v>123.28327750000001</v>
      </c>
      <c r="H30" s="463"/>
    </row>
    <row r="31" spans="1:9">
      <c r="C31" s="460"/>
      <c r="D31" s="437"/>
      <c r="F31" s="462"/>
      <c r="H31" s="463"/>
    </row>
    <row r="32" spans="1:9">
      <c r="C32" s="460"/>
      <c r="D32" s="437"/>
      <c r="F32" s="462"/>
      <c r="H32" s="463"/>
    </row>
    <row r="34" spans="1:6">
      <c r="A34" s="444" t="s">
        <v>163</v>
      </c>
    </row>
    <row r="35" spans="1:6">
      <c r="B35" s="444" t="s">
        <v>1029</v>
      </c>
    </row>
    <row r="36" spans="1:6">
      <c r="B36" s="464" t="s">
        <v>162</v>
      </c>
      <c r="C36" s="446" t="s">
        <v>141</v>
      </c>
      <c r="D36" s="446" t="s">
        <v>142</v>
      </c>
      <c r="E36" s="446" t="s">
        <v>143</v>
      </c>
    </row>
    <row r="37" spans="1:6">
      <c r="A37" s="350" t="s">
        <v>914</v>
      </c>
      <c r="B37" s="351">
        <v>29966</v>
      </c>
      <c r="C37" s="352"/>
      <c r="D37" s="352">
        <f>B37</f>
        <v>29966</v>
      </c>
      <c r="E37" s="352"/>
    </row>
    <row r="38" spans="1:6">
      <c r="A38" s="350" t="s">
        <v>915</v>
      </c>
      <c r="B38" s="351">
        <v>28009</v>
      </c>
      <c r="C38" s="352"/>
      <c r="D38" s="352">
        <f t="shared" ref="D38:D39" si="0">B38</f>
        <v>28009</v>
      </c>
      <c r="E38" s="352"/>
      <c r="F38" s="350"/>
    </row>
    <row r="39" spans="1:6">
      <c r="A39" s="350" t="s">
        <v>916</v>
      </c>
      <c r="B39" s="351">
        <v>23408</v>
      </c>
      <c r="C39" s="352"/>
      <c r="D39" s="352">
        <f t="shared" si="0"/>
        <v>23408</v>
      </c>
      <c r="E39" s="352"/>
    </row>
    <row r="40" spans="1:6">
      <c r="A40" s="350" t="s">
        <v>917</v>
      </c>
      <c r="B40" s="351">
        <v>22659</v>
      </c>
      <c r="C40" s="352"/>
      <c r="D40" s="352"/>
      <c r="E40" s="352">
        <f>B40</f>
        <v>22659</v>
      </c>
    </row>
    <row r="41" spans="1:6">
      <c r="A41" s="350" t="s">
        <v>918</v>
      </c>
      <c r="B41" s="351">
        <v>22491</v>
      </c>
      <c r="C41" s="352">
        <f>B41/2</f>
        <v>11245.5</v>
      </c>
      <c r="D41" s="352"/>
      <c r="E41" s="352">
        <f>C41</f>
        <v>11245.5</v>
      </c>
      <c r="F41" s="444" t="s">
        <v>161</v>
      </c>
    </row>
    <row r="42" spans="1:6">
      <c r="A42" s="350" t="s">
        <v>919</v>
      </c>
      <c r="B42" s="351">
        <v>23009</v>
      </c>
      <c r="C42" s="352">
        <f>B42</f>
        <v>23009</v>
      </c>
      <c r="D42" s="352"/>
      <c r="E42" s="352"/>
      <c r="F42" s="350"/>
    </row>
    <row r="43" spans="1:6">
      <c r="A43" s="350" t="s">
        <v>920</v>
      </c>
      <c r="B43" s="351">
        <v>25670</v>
      </c>
      <c r="C43" s="352">
        <f>B43</f>
        <v>25670</v>
      </c>
      <c r="D43" s="352"/>
      <c r="E43" s="352"/>
    </row>
    <row r="44" spans="1:6">
      <c r="A44" s="350" t="s">
        <v>921</v>
      </c>
      <c r="B44" s="351">
        <v>26491</v>
      </c>
      <c r="C44" s="352">
        <f>B44</f>
        <v>26491</v>
      </c>
      <c r="D44" s="352"/>
      <c r="E44" s="352"/>
    </row>
    <row r="45" spans="1:6">
      <c r="A45" s="350" t="s">
        <v>922</v>
      </c>
      <c r="B45" s="351">
        <v>22491</v>
      </c>
      <c r="C45" s="352">
        <f>B45/2</f>
        <v>11245.5</v>
      </c>
      <c r="D45" s="352"/>
      <c r="E45" s="352">
        <f>C45</f>
        <v>11245.5</v>
      </c>
      <c r="F45" s="444" t="s">
        <v>161</v>
      </c>
    </row>
    <row r="46" spans="1:6">
      <c r="A46" s="350" t="s">
        <v>923</v>
      </c>
      <c r="B46" s="351">
        <v>20779</v>
      </c>
      <c r="C46" s="352"/>
      <c r="D46" s="352"/>
      <c r="E46" s="352">
        <f>B46</f>
        <v>20779</v>
      </c>
    </row>
    <row r="47" spans="1:6">
      <c r="A47" s="350" t="s">
        <v>924</v>
      </c>
      <c r="B47" s="351">
        <v>24177</v>
      </c>
      <c r="C47" s="352"/>
      <c r="D47" s="352">
        <f>B47</f>
        <v>24177</v>
      </c>
      <c r="E47" s="352"/>
    </row>
    <row r="48" spans="1:6">
      <c r="A48" s="350" t="s">
        <v>925</v>
      </c>
      <c r="B48" s="354">
        <v>27340</v>
      </c>
      <c r="C48" s="355"/>
      <c r="D48" s="355">
        <f>B48</f>
        <v>27340</v>
      </c>
      <c r="E48" s="355"/>
    </row>
    <row r="49" spans="1:6">
      <c r="B49" s="53">
        <f>+SUM(B37:B48)</f>
        <v>296490</v>
      </c>
      <c r="C49" s="53">
        <f>+SUM(C37:C48)</f>
        <v>97661</v>
      </c>
      <c r="D49" s="53">
        <f>+SUM(D37:D48)</f>
        <v>132900</v>
      </c>
      <c r="E49" s="53">
        <f>+SUM(E37:E48)</f>
        <v>65929</v>
      </c>
    </row>
    <row r="50" spans="1:6">
      <c r="B50" s="356">
        <f>+ROUND(B49/$B$49,4)</f>
        <v>1</v>
      </c>
      <c r="C50" s="356">
        <f>+ROUND(C49/$B$49,4)</f>
        <v>0.32940000000000003</v>
      </c>
      <c r="D50" s="356">
        <f>+ROUND(D49/$B$49,4)</f>
        <v>0.44819999999999999</v>
      </c>
      <c r="E50" s="356">
        <f>+ROUND(E49/$B$49,4)</f>
        <v>0.22239999999999999</v>
      </c>
    </row>
    <row r="51" spans="1:6">
      <c r="B51" s="356"/>
      <c r="C51" s="356"/>
      <c r="D51" s="356"/>
      <c r="E51" s="356"/>
    </row>
    <row r="52" spans="1:6">
      <c r="A52" s="444" t="s">
        <v>134</v>
      </c>
      <c r="B52" s="357">
        <f>+D17</f>
        <v>1033180.31</v>
      </c>
      <c r="C52" s="463">
        <f>+ROUND(C50*$B$52,2)</f>
        <v>340329.59</v>
      </c>
      <c r="D52" s="463">
        <f>+ROUND(D50*$B$52,2)</f>
        <v>463071.41</v>
      </c>
      <c r="E52" s="463">
        <f>+ROUND(E50*$B$52,2)</f>
        <v>229779.3</v>
      </c>
      <c r="F52" s="465"/>
    </row>
    <row r="53" spans="1:6">
      <c r="B53" s="53"/>
      <c r="F53" s="413"/>
    </row>
    <row r="54" spans="1:6">
      <c r="B54" s="53"/>
      <c r="F54" s="465"/>
    </row>
    <row r="55" spans="1:6">
      <c r="A55" s="444" t="s">
        <v>160</v>
      </c>
      <c r="B55" s="53"/>
    </row>
    <row r="56" spans="1:6">
      <c r="B56" s="53"/>
    </row>
    <row r="57" spans="1:6">
      <c r="B57" s="53"/>
    </row>
    <row r="58" spans="1:6">
      <c r="B58" s="53"/>
    </row>
    <row r="59" spans="1:6">
      <c r="B59" s="53"/>
    </row>
    <row r="60" spans="1:6">
      <c r="B60" s="53"/>
    </row>
    <row r="61" spans="1:6">
      <c r="B61" s="53"/>
    </row>
    <row r="62" spans="1:6">
      <c r="B62" s="53"/>
    </row>
    <row r="63" spans="1:6">
      <c r="B63" s="53"/>
    </row>
    <row r="64" spans="1:6">
      <c r="B64" s="53"/>
    </row>
  </sheetData>
  <pageMargins left="0.75" right="0.75" top="1" bottom="1" header="0.5" footer="0.5"/>
  <pageSetup scale="82" orientation="portrait" r:id="rId1"/>
  <headerFooter alignWithMargins="0">
    <oddHeader>&amp;CKENTUCKY POWER COMPANY
Experimental SGS-TOD Rate Design
Twelve Months Ended December 31, 2016
Calculation of Market Capacity&amp;RPage 2 of 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265"/>
  <sheetViews>
    <sheetView showOutlineSymbols="0" zoomScaleNormal="100" workbookViewId="0">
      <selection activeCell="C75" sqref="C75"/>
    </sheetView>
  </sheetViews>
  <sheetFormatPr defaultColWidth="9.75" defaultRowHeight="15"/>
  <cols>
    <col min="1" max="1" width="4.75" style="61" customWidth="1"/>
    <col min="2" max="2" width="38.875" style="61" bestFit="1" customWidth="1"/>
    <col min="3" max="3" width="14.25" style="61" customWidth="1"/>
    <col min="4" max="4" width="5.75" style="61" customWidth="1"/>
    <col min="5" max="5" width="15.5" style="61" customWidth="1"/>
    <col min="6" max="6" width="7.625" style="61" customWidth="1"/>
    <col min="7" max="7" width="13.375" style="61" customWidth="1"/>
    <col min="8" max="8" width="6" style="61" customWidth="1"/>
    <col min="9" max="9" width="12.75" style="61" customWidth="1"/>
    <col min="10" max="10" width="4.75" style="61" customWidth="1"/>
    <col min="11" max="11" width="12.375" style="61" customWidth="1"/>
    <col min="12" max="16384" width="9.75" style="61"/>
  </cols>
  <sheetData>
    <row r="1" spans="1:10">
      <c r="A1" s="75" t="s">
        <v>280</v>
      </c>
      <c r="B1" s="358" t="s">
        <v>87</v>
      </c>
      <c r="C1" s="74"/>
      <c r="D1" s="74"/>
      <c r="E1" s="66" t="s">
        <v>2</v>
      </c>
      <c r="F1" s="74"/>
      <c r="G1" s="66"/>
    </row>
    <row r="2" spans="1:10">
      <c r="A2" s="74"/>
      <c r="B2" s="74"/>
      <c r="C2" s="74"/>
      <c r="D2" s="74"/>
      <c r="E2" s="66" t="s">
        <v>3</v>
      </c>
      <c r="F2" s="74"/>
      <c r="G2" s="66" t="s">
        <v>74</v>
      </c>
      <c r="H2" s="74"/>
      <c r="I2" s="66" t="s">
        <v>75</v>
      </c>
      <c r="J2" s="74"/>
    </row>
    <row r="3" spans="1:10">
      <c r="A3" s="74"/>
      <c r="B3" s="74"/>
      <c r="C3" s="74"/>
      <c r="D3" s="74"/>
      <c r="E3" s="359" t="s">
        <v>1</v>
      </c>
      <c r="F3" s="74"/>
      <c r="G3" s="359" t="s">
        <v>1</v>
      </c>
      <c r="H3" s="74"/>
      <c r="I3" s="359" t="s">
        <v>1</v>
      </c>
      <c r="J3" s="74"/>
    </row>
    <row r="4" spans="1:10">
      <c r="A4" s="74"/>
      <c r="B4" s="68" t="s">
        <v>319</v>
      </c>
      <c r="C4" s="74"/>
      <c r="D4" s="74"/>
    </row>
    <row r="5" spans="1:10">
      <c r="A5" s="74"/>
      <c r="B5" s="75" t="s">
        <v>276</v>
      </c>
      <c r="C5" s="74"/>
      <c r="D5" s="74"/>
      <c r="E5" s="361">
        <f>'EX AEV-1'!F7+'EX AEV-1'!F9+'EX AEV-1'!F10</f>
        <v>40959617</v>
      </c>
      <c r="F5" s="74"/>
      <c r="G5" s="73">
        <f>(G8-G6)-G7</f>
        <v>0</v>
      </c>
      <c r="H5" s="363"/>
      <c r="I5" s="73">
        <f>E5-G5</f>
        <v>40959617</v>
      </c>
      <c r="J5" s="74"/>
    </row>
    <row r="6" spans="1:10">
      <c r="A6" s="74"/>
      <c r="B6" s="75" t="s">
        <v>275</v>
      </c>
      <c r="C6" s="74"/>
      <c r="D6" s="74"/>
      <c r="E6" s="364">
        <f>'EX AEV-1'!F8</f>
        <v>15637792</v>
      </c>
      <c r="F6" s="74"/>
      <c r="G6" s="62">
        <f>G8</f>
        <v>710088</v>
      </c>
      <c r="H6" s="74"/>
      <c r="I6" s="62">
        <f>E6-G6</f>
        <v>14927704</v>
      </c>
      <c r="J6" s="74"/>
    </row>
    <row r="7" spans="1:10">
      <c r="A7" s="74"/>
      <c r="B7" s="75" t="s">
        <v>53</v>
      </c>
      <c r="C7" s="74"/>
      <c r="D7" s="74"/>
      <c r="E7" s="364">
        <f>'EX AEV-1'!F11</f>
        <v>933727</v>
      </c>
      <c r="F7" s="74"/>
      <c r="G7" s="62">
        <v>0</v>
      </c>
      <c r="H7" s="74"/>
      <c r="I7" s="62">
        <f>E7-G7</f>
        <v>933727</v>
      </c>
      <c r="J7" s="466"/>
    </row>
    <row r="8" spans="1:10">
      <c r="A8" s="74"/>
      <c r="B8" s="368" t="s">
        <v>54</v>
      </c>
      <c r="C8" s="369"/>
      <c r="D8" s="369"/>
      <c r="E8" s="371">
        <f>SUM(E5:E7)</f>
        <v>57531136</v>
      </c>
      <c r="F8" s="369"/>
      <c r="G8" s="370">
        <f>'EX AEV-1'!F15</f>
        <v>710088</v>
      </c>
      <c r="H8" s="369"/>
      <c r="I8" s="371">
        <f>SUM(I5:I7)</f>
        <v>56821048</v>
      </c>
      <c r="J8" s="466"/>
    </row>
    <row r="9" spans="1:10">
      <c r="A9" s="74"/>
    </row>
    <row r="10" spans="1:10">
      <c r="A10" s="74"/>
      <c r="B10" s="61" t="s">
        <v>365</v>
      </c>
      <c r="E10" s="81">
        <f>G238+G10</f>
        <v>406213</v>
      </c>
      <c r="G10" s="223">
        <f>'EX AEV-1'!F17</f>
        <v>0</v>
      </c>
      <c r="I10" s="73">
        <f>E10-G10</f>
        <v>406213</v>
      </c>
    </row>
    <row r="11" spans="1:10">
      <c r="A11" s="74"/>
      <c r="E11" s="81"/>
      <c r="G11" s="81"/>
    </row>
    <row r="12" spans="1:10">
      <c r="A12" s="74"/>
      <c r="B12" s="61" t="s">
        <v>364</v>
      </c>
      <c r="E12" s="81">
        <f>G246+G12</f>
        <v>100835</v>
      </c>
      <c r="G12" s="223">
        <f>'EX AEV-1'!F18</f>
        <v>0</v>
      </c>
      <c r="I12" s="73">
        <f>E12-G12</f>
        <v>100835</v>
      </c>
    </row>
    <row r="13" spans="1:10">
      <c r="A13" s="74"/>
      <c r="E13" s="81"/>
      <c r="G13" s="81"/>
    </row>
    <row r="14" spans="1:10">
      <c r="A14" s="74"/>
      <c r="B14" s="61" t="s">
        <v>363</v>
      </c>
      <c r="E14" s="81">
        <f>G263+G14</f>
        <v>174217</v>
      </c>
      <c r="G14" s="223">
        <f>'EX AEV-1'!F19</f>
        <v>0</v>
      </c>
      <c r="I14" s="73">
        <f>E14-G14</f>
        <v>174217</v>
      </c>
    </row>
    <row r="15" spans="1:10">
      <c r="A15" s="74"/>
    </row>
    <row r="16" spans="1:10">
      <c r="A16" s="74"/>
      <c r="B16" s="403" t="s">
        <v>362</v>
      </c>
      <c r="I16" s="81"/>
    </row>
    <row r="17" spans="1:9">
      <c r="A17" s="74"/>
      <c r="B17" s="75" t="s">
        <v>361</v>
      </c>
      <c r="C17" s="74"/>
      <c r="D17" s="74"/>
      <c r="E17" s="73">
        <f>ROUND(E5/E8*E20,0)</f>
        <v>40474587</v>
      </c>
      <c r="F17" s="74"/>
      <c r="G17" s="73">
        <f>ROUND(G5/G8*G20,0)</f>
        <v>0</v>
      </c>
      <c r="H17" s="363"/>
      <c r="I17" s="73">
        <f>E17-G17</f>
        <v>40474587</v>
      </c>
    </row>
    <row r="18" spans="1:9">
      <c r="A18" s="74"/>
      <c r="B18" s="75" t="s">
        <v>360</v>
      </c>
      <c r="C18" s="74"/>
      <c r="D18" s="74"/>
      <c r="E18" s="62">
        <f>ROUND(E6/E8*E20,0)</f>
        <v>15452614</v>
      </c>
      <c r="F18" s="74"/>
      <c r="G18" s="62">
        <f>ROUND(G6/G8*G20,0)</f>
        <v>710088</v>
      </c>
      <c r="H18" s="74"/>
      <c r="I18" s="62">
        <f>E18-G18</f>
        <v>14742526</v>
      </c>
    </row>
    <row r="19" spans="1:9">
      <c r="A19" s="74"/>
      <c r="B19" s="75" t="s">
        <v>359</v>
      </c>
      <c r="C19" s="74"/>
      <c r="D19" s="74"/>
      <c r="E19" s="62">
        <f>E20-E17-E18</f>
        <v>922670</v>
      </c>
      <c r="F19" s="74"/>
      <c r="G19" s="62">
        <f>G20-G17-G18</f>
        <v>0</v>
      </c>
      <c r="H19" s="74"/>
      <c r="I19" s="62">
        <f>E19-G19</f>
        <v>922670</v>
      </c>
    </row>
    <row r="20" spans="1:9">
      <c r="A20" s="74"/>
      <c r="B20" s="368" t="s">
        <v>205</v>
      </c>
      <c r="C20" s="467"/>
      <c r="D20" s="369"/>
      <c r="E20" s="371">
        <f>E8-E10-E12-E14</f>
        <v>56849871</v>
      </c>
      <c r="F20" s="467"/>
      <c r="G20" s="370">
        <f>G8-G10-G12-G14</f>
        <v>710088</v>
      </c>
      <c r="H20" s="369"/>
      <c r="I20" s="371">
        <f>SUM(I17:I19)</f>
        <v>56139783</v>
      </c>
    </row>
    <row r="21" spans="1:9">
      <c r="A21" s="74"/>
    </row>
    <row r="22" spans="1:9">
      <c r="A22" s="74"/>
      <c r="B22" s="68" t="s">
        <v>318</v>
      </c>
      <c r="C22" s="74"/>
      <c r="D22" s="74"/>
    </row>
    <row r="23" spans="1:9">
      <c r="A23" s="74"/>
      <c r="B23" s="75" t="s">
        <v>276</v>
      </c>
      <c r="C23" s="74"/>
      <c r="D23" s="74"/>
      <c r="E23" s="361">
        <f>'EX AEV-1'!G7+'EX AEV-1'!G9+'EX AEV-1'!G10</f>
        <v>1077393</v>
      </c>
      <c r="F23" s="74"/>
      <c r="G23" s="73">
        <f>(G26-G24)-G25</f>
        <v>0</v>
      </c>
      <c r="H23" s="363"/>
      <c r="I23" s="73">
        <f>E23-G23</f>
        <v>1077393</v>
      </c>
    </row>
    <row r="24" spans="1:9">
      <c r="A24" s="74"/>
      <c r="B24" s="75" t="s">
        <v>275</v>
      </c>
      <c r="C24" s="74"/>
      <c r="D24" s="74"/>
      <c r="E24" s="364">
        <f>'EX AEV-1'!G8</f>
        <v>450364</v>
      </c>
      <c r="F24" s="74"/>
      <c r="G24" s="62">
        <f>G26</f>
        <v>23456</v>
      </c>
      <c r="H24" s="74"/>
      <c r="I24" s="62">
        <f>E24-G24</f>
        <v>426908</v>
      </c>
    </row>
    <row r="25" spans="1:9">
      <c r="A25" s="74"/>
      <c r="B25" s="75" t="s">
        <v>53</v>
      </c>
      <c r="C25" s="74"/>
      <c r="D25" s="74"/>
      <c r="E25" s="364">
        <f>'EX AEV-1'!G11</f>
        <v>239813</v>
      </c>
      <c r="F25" s="74"/>
      <c r="G25" s="62">
        <v>0</v>
      </c>
      <c r="H25" s="74"/>
      <c r="I25" s="62">
        <f>E25-G25</f>
        <v>239813</v>
      </c>
    </row>
    <row r="26" spans="1:9">
      <c r="A26" s="74"/>
      <c r="B26" s="368" t="s">
        <v>54</v>
      </c>
      <c r="C26" s="369"/>
      <c r="D26" s="369"/>
      <c r="E26" s="371">
        <f>SUM(E23:E25)</f>
        <v>1767570</v>
      </c>
      <c r="F26" s="369"/>
      <c r="G26" s="370">
        <f>'EX AEV-1'!G15</f>
        <v>23456</v>
      </c>
      <c r="H26" s="369"/>
      <c r="I26" s="371">
        <f>SUM(I23:I25)</f>
        <v>1744114</v>
      </c>
    </row>
    <row r="27" spans="1:9">
      <c r="A27" s="74"/>
    </row>
    <row r="28" spans="1:9">
      <c r="A28" s="74"/>
      <c r="B28" s="68" t="s">
        <v>317</v>
      </c>
      <c r="C28" s="74"/>
      <c r="D28" s="74"/>
    </row>
    <row r="29" spans="1:9">
      <c r="A29" s="74"/>
      <c r="B29" s="75" t="s">
        <v>276</v>
      </c>
      <c r="C29" s="74"/>
      <c r="D29" s="74"/>
      <c r="E29" s="361">
        <f>'EX AEV-1'!H7+'EX AEV-1'!H9+'EX AEV-1'!H10</f>
        <v>27155</v>
      </c>
      <c r="F29" s="74"/>
      <c r="G29" s="73">
        <f>(G32-G30)-G31</f>
        <v>0</v>
      </c>
      <c r="H29" s="363"/>
      <c r="I29" s="73">
        <f>E29-G29</f>
        <v>27155</v>
      </c>
    </row>
    <row r="30" spans="1:9">
      <c r="A30" s="74"/>
      <c r="B30" s="75" t="s">
        <v>275</v>
      </c>
      <c r="C30" s="74"/>
      <c r="D30" s="74"/>
      <c r="E30" s="364">
        <f>'EX AEV-1'!H8</f>
        <v>26467</v>
      </c>
      <c r="F30" s="74"/>
      <c r="G30" s="62">
        <f>G32</f>
        <v>2189</v>
      </c>
      <c r="H30" s="74"/>
      <c r="I30" s="62">
        <f>E30-G30</f>
        <v>24278</v>
      </c>
    </row>
    <row r="31" spans="1:9">
      <c r="A31" s="74"/>
      <c r="B31" s="75" t="s">
        <v>53</v>
      </c>
      <c r="C31" s="74"/>
      <c r="D31" s="74"/>
      <c r="E31" s="364">
        <f>'EX AEV-1'!H11</f>
        <v>14823</v>
      </c>
      <c r="F31" s="74"/>
      <c r="G31" s="62">
        <v>0</v>
      </c>
      <c r="H31" s="74"/>
      <c r="I31" s="62">
        <f>E31-G31</f>
        <v>14823</v>
      </c>
    </row>
    <row r="32" spans="1:9">
      <c r="A32" s="74"/>
      <c r="B32" s="368" t="s">
        <v>54</v>
      </c>
      <c r="C32" s="369"/>
      <c r="D32" s="369"/>
      <c r="E32" s="371">
        <f>SUM(E29:E31)</f>
        <v>68445</v>
      </c>
      <c r="F32" s="369"/>
      <c r="G32" s="370">
        <f>'EX AEV-1'!H15</f>
        <v>2189</v>
      </c>
      <c r="H32" s="369"/>
      <c r="I32" s="371">
        <f>SUM(I29:I31)</f>
        <v>66256</v>
      </c>
    </row>
    <row r="34" spans="1:9">
      <c r="B34" s="68" t="s">
        <v>358</v>
      </c>
    </row>
    <row r="35" spans="1:9">
      <c r="B35" s="75" t="s">
        <v>276</v>
      </c>
      <c r="C35" s="74"/>
      <c r="D35" s="74"/>
      <c r="E35" s="73">
        <f>E17+E23+E29</f>
        <v>41579135</v>
      </c>
      <c r="F35" s="74"/>
      <c r="G35" s="73">
        <f>G17+G23+G29</f>
        <v>0</v>
      </c>
      <c r="H35" s="363"/>
      <c r="I35" s="73">
        <f>E35-G35</f>
        <v>41579135</v>
      </c>
    </row>
    <row r="36" spans="1:9">
      <c r="B36" s="75" t="s">
        <v>275</v>
      </c>
      <c r="C36" s="74"/>
      <c r="D36" s="74"/>
      <c r="E36" s="62">
        <f>E18+E24+E30</f>
        <v>15929445</v>
      </c>
      <c r="F36" s="74"/>
      <c r="G36" s="62">
        <f>G18+G24+G30</f>
        <v>735733</v>
      </c>
      <c r="H36" s="74"/>
      <c r="I36" s="62">
        <f>E36-G36</f>
        <v>15193712</v>
      </c>
    </row>
    <row r="37" spans="1:9">
      <c r="B37" s="75" t="s">
        <v>53</v>
      </c>
      <c r="C37" s="74"/>
      <c r="D37" s="74"/>
      <c r="E37" s="62">
        <f>E19+E25+E31</f>
        <v>1177306</v>
      </c>
      <c r="F37" s="74"/>
      <c r="G37" s="62">
        <f>G19+G25+G31</f>
        <v>0</v>
      </c>
      <c r="H37" s="74"/>
      <c r="I37" s="62">
        <f>E37-G37</f>
        <v>1177306</v>
      </c>
    </row>
    <row r="38" spans="1:9">
      <c r="B38" s="368" t="s">
        <v>54</v>
      </c>
      <c r="C38" s="369"/>
      <c r="D38" s="369"/>
      <c r="E38" s="371">
        <f>SUM(E35:E37)</f>
        <v>58685886</v>
      </c>
      <c r="F38" s="369"/>
      <c r="G38" s="371">
        <f>SUM(G35:G37)</f>
        <v>735733</v>
      </c>
      <c r="H38" s="369"/>
      <c r="I38" s="371">
        <f>SUM(I35:I37)</f>
        <v>57950153</v>
      </c>
    </row>
    <row r="39" spans="1:9">
      <c r="E39" s="81"/>
    </row>
    <row r="41" spans="1:9">
      <c r="A41" s="75" t="s">
        <v>357</v>
      </c>
      <c r="B41" s="403" t="s">
        <v>356</v>
      </c>
    </row>
    <row r="42" spans="1:9">
      <c r="E42" s="68" t="s">
        <v>319</v>
      </c>
      <c r="G42" s="68" t="s">
        <v>318</v>
      </c>
      <c r="I42" s="403" t="s">
        <v>317</v>
      </c>
    </row>
    <row r="44" spans="1:9">
      <c r="B44" s="61" t="s">
        <v>355</v>
      </c>
      <c r="E44" s="392">
        <v>1854278</v>
      </c>
      <c r="G44" s="392">
        <v>42412</v>
      </c>
      <c r="I44" s="392">
        <v>4136</v>
      </c>
    </row>
    <row r="45" spans="1:9">
      <c r="B45" s="61" t="s">
        <v>354</v>
      </c>
      <c r="E45" s="392">
        <v>0</v>
      </c>
      <c r="G45" s="392">
        <v>1544</v>
      </c>
      <c r="I45" s="392">
        <v>140</v>
      </c>
    </row>
    <row r="46" spans="1:9">
      <c r="B46" s="61" t="s">
        <v>353</v>
      </c>
      <c r="E46" s="392">
        <v>287409659</v>
      </c>
      <c r="G46" s="392">
        <v>8597484</v>
      </c>
      <c r="I46" s="392">
        <v>652399</v>
      </c>
    </row>
    <row r="47" spans="1:9">
      <c r="B47" s="61" t="s">
        <v>352</v>
      </c>
      <c r="E47" s="392">
        <v>151039043</v>
      </c>
      <c r="G47" s="392">
        <v>6052191</v>
      </c>
      <c r="I47" s="392">
        <v>712506</v>
      </c>
    </row>
    <row r="48" spans="1:9">
      <c r="B48" s="61" t="s">
        <v>912</v>
      </c>
      <c r="E48" s="392">
        <v>0</v>
      </c>
      <c r="G48" s="392">
        <v>18904</v>
      </c>
      <c r="I48" s="392">
        <v>4535</v>
      </c>
    </row>
    <row r="49" spans="1:12">
      <c r="B49" s="61" t="s">
        <v>351</v>
      </c>
      <c r="E49" s="392">
        <v>78086</v>
      </c>
      <c r="G49" s="392">
        <v>936</v>
      </c>
      <c r="I49" s="392">
        <v>72</v>
      </c>
    </row>
    <row r="50" spans="1:12">
      <c r="A50" s="74"/>
      <c r="C50" s="74"/>
      <c r="D50" s="74"/>
      <c r="E50" s="73"/>
    </row>
    <row r="51" spans="1:12">
      <c r="A51" s="74"/>
      <c r="E51" s="468">
        <f>(E46+E47)/E49</f>
        <v>5614.9463668263197</v>
      </c>
      <c r="F51" s="468"/>
      <c r="G51" s="468">
        <f>(G46+G47)/G49</f>
        <v>15651.36217948718</v>
      </c>
      <c r="H51" s="468"/>
      <c r="I51" s="468">
        <f>(I46+I47)/I49</f>
        <v>18957.013888888891</v>
      </c>
    </row>
    <row r="52" spans="1:12">
      <c r="A52" s="75" t="s">
        <v>259</v>
      </c>
      <c r="B52" s="358" t="s">
        <v>350</v>
      </c>
      <c r="E52" s="468"/>
      <c r="F52" s="468"/>
      <c r="G52" s="468"/>
      <c r="H52" s="468"/>
      <c r="I52" s="468"/>
    </row>
    <row r="53" spans="1:12">
      <c r="A53" s="75"/>
      <c r="B53" s="358"/>
      <c r="C53" s="73"/>
      <c r="D53" s="75"/>
      <c r="E53" s="62"/>
      <c r="F53" s="75"/>
      <c r="G53" s="74"/>
      <c r="H53" s="66"/>
      <c r="I53" s="74"/>
      <c r="J53" s="74"/>
      <c r="K53" s="70"/>
    </row>
    <row r="54" spans="1:12">
      <c r="A54" s="75"/>
      <c r="B54" s="358"/>
      <c r="C54" s="63" t="s">
        <v>8</v>
      </c>
      <c r="D54" s="66"/>
      <c r="E54" s="469"/>
      <c r="F54" s="66"/>
      <c r="G54" s="64" t="s">
        <v>349</v>
      </c>
      <c r="H54" s="66"/>
      <c r="I54" s="64" t="s">
        <v>96</v>
      </c>
      <c r="J54" s="74"/>
      <c r="K54" s="64" t="s">
        <v>114</v>
      </c>
    </row>
    <row r="55" spans="1:12">
      <c r="A55" s="75"/>
      <c r="B55" s="75" t="s">
        <v>348</v>
      </c>
      <c r="C55" s="470" t="s">
        <v>1</v>
      </c>
      <c r="D55" s="359"/>
      <c r="E55" s="390" t="s">
        <v>46</v>
      </c>
      <c r="F55" s="359"/>
      <c r="G55" s="68" t="s">
        <v>154</v>
      </c>
      <c r="H55" s="359"/>
      <c r="I55" s="68" t="s">
        <v>154</v>
      </c>
      <c r="J55" s="74"/>
      <c r="K55" s="68" t="s">
        <v>347</v>
      </c>
    </row>
    <row r="56" spans="1:12">
      <c r="A56" s="75"/>
      <c r="B56" s="75"/>
      <c r="C56" s="73"/>
      <c r="D56" s="75"/>
      <c r="E56" s="62"/>
      <c r="F56" s="75"/>
      <c r="G56" s="74"/>
      <c r="H56" s="66"/>
      <c r="J56" s="74"/>
      <c r="K56" s="74"/>
    </row>
    <row r="57" spans="1:12">
      <c r="A57" s="75"/>
      <c r="B57" s="75" t="s">
        <v>335</v>
      </c>
      <c r="C57" s="73">
        <f>I19</f>
        <v>922670</v>
      </c>
      <c r="D57" s="75"/>
      <c r="E57" s="62">
        <f>E49</f>
        <v>78086</v>
      </c>
      <c r="F57" s="75"/>
      <c r="G57" s="80">
        <f>ROUND(C57/E57,2)</f>
        <v>11.82</v>
      </c>
      <c r="H57" s="66"/>
      <c r="I57" s="471">
        <v>17.5</v>
      </c>
      <c r="J57" s="74"/>
      <c r="K57" s="471">
        <f>SGS!I34</f>
        <v>22.5</v>
      </c>
      <c r="L57" s="61" t="s">
        <v>161</v>
      </c>
    </row>
    <row r="58" spans="1:12">
      <c r="A58" s="75"/>
      <c r="B58" s="75" t="s">
        <v>334</v>
      </c>
      <c r="C58" s="72">
        <f>I25</f>
        <v>239813</v>
      </c>
      <c r="D58" s="75"/>
      <c r="E58" s="62">
        <f>G49</f>
        <v>936</v>
      </c>
      <c r="F58" s="75"/>
      <c r="G58" s="472">
        <f>ROUND(C58/E58,2)</f>
        <v>256.20999999999998</v>
      </c>
      <c r="H58" s="66"/>
      <c r="I58" s="471">
        <v>50</v>
      </c>
      <c r="J58" s="74"/>
      <c r="K58" s="80">
        <v>75</v>
      </c>
    </row>
    <row r="59" spans="1:12">
      <c r="A59" s="75"/>
      <c r="B59" s="75" t="s">
        <v>333</v>
      </c>
      <c r="C59" s="71">
        <f>I31</f>
        <v>14823</v>
      </c>
      <c r="D59" s="75"/>
      <c r="E59" s="401">
        <f>I49</f>
        <v>72</v>
      </c>
      <c r="F59" s="75"/>
      <c r="G59" s="472">
        <f>ROUND(C59/E59,2)</f>
        <v>205.88</v>
      </c>
      <c r="H59" s="66"/>
      <c r="I59" s="471">
        <v>364</v>
      </c>
      <c r="J59" s="74"/>
      <c r="K59" s="80">
        <f>I59</f>
        <v>364</v>
      </c>
    </row>
    <row r="60" spans="1:12">
      <c r="A60" s="75"/>
      <c r="B60" s="75"/>
      <c r="C60" s="72"/>
      <c r="D60" s="75"/>
      <c r="E60" s="62"/>
      <c r="F60" s="75"/>
      <c r="G60" s="472"/>
      <c r="H60" s="66"/>
      <c r="I60" s="80"/>
      <c r="J60" s="74"/>
      <c r="K60" s="70"/>
    </row>
    <row r="61" spans="1:12">
      <c r="A61" s="75"/>
      <c r="B61" s="75" t="s">
        <v>205</v>
      </c>
      <c r="C61" s="73">
        <f>SUM(C57:C59)</f>
        <v>1177306</v>
      </c>
      <c r="D61" s="75"/>
      <c r="E61" s="62">
        <f>SUM(E57:E59)</f>
        <v>79094</v>
      </c>
      <c r="F61" s="75"/>
      <c r="G61" s="74"/>
      <c r="H61" s="66"/>
      <c r="I61" s="74"/>
      <c r="J61" s="74"/>
      <c r="K61" s="70"/>
    </row>
    <row r="62" spans="1:12">
      <c r="A62" s="75"/>
      <c r="B62" s="75"/>
      <c r="C62" s="73"/>
      <c r="D62" s="75"/>
      <c r="E62" s="62"/>
      <c r="F62" s="75"/>
      <c r="G62" s="74"/>
      <c r="H62" s="66"/>
      <c r="I62" s="74"/>
      <c r="J62" s="74"/>
      <c r="K62" s="473"/>
    </row>
    <row r="63" spans="1:12">
      <c r="A63" s="75"/>
      <c r="B63" s="75" t="s">
        <v>987</v>
      </c>
      <c r="C63" s="73"/>
      <c r="D63" s="75"/>
      <c r="E63" s="62"/>
      <c r="F63" s="75"/>
      <c r="G63" s="75"/>
      <c r="H63" s="75"/>
      <c r="I63" s="75"/>
      <c r="J63" s="74"/>
      <c r="K63" s="397"/>
    </row>
    <row r="64" spans="1:12">
      <c r="A64" s="75"/>
      <c r="B64" s="75"/>
      <c r="C64" s="75"/>
      <c r="D64" s="66"/>
      <c r="E64" s="469"/>
      <c r="F64" s="66"/>
      <c r="G64" s="64"/>
      <c r="H64" s="66"/>
      <c r="I64" s="64"/>
      <c r="J64" s="64"/>
      <c r="K64" s="64"/>
    </row>
    <row r="65" spans="1:11">
      <c r="A65" s="75"/>
      <c r="B65" s="75"/>
      <c r="C65" s="63" t="s">
        <v>114</v>
      </c>
      <c r="D65" s="66"/>
      <c r="E65" s="469"/>
      <c r="F65" s="66"/>
      <c r="G65" s="64" t="s">
        <v>8</v>
      </c>
      <c r="H65" s="66"/>
      <c r="I65" s="64"/>
      <c r="J65" s="64"/>
      <c r="K65" s="64"/>
    </row>
    <row r="66" spans="1:11">
      <c r="A66" s="75"/>
      <c r="B66" s="75" t="s">
        <v>346</v>
      </c>
      <c r="C66" s="470" t="s">
        <v>154</v>
      </c>
      <c r="D66" s="359"/>
      <c r="E66" s="390" t="s">
        <v>46</v>
      </c>
      <c r="F66" s="359"/>
      <c r="G66" s="68" t="s">
        <v>1</v>
      </c>
      <c r="H66" s="359"/>
      <c r="I66" s="68"/>
      <c r="J66" s="68"/>
      <c r="K66" s="68"/>
    </row>
    <row r="67" spans="1:11">
      <c r="A67" s="75"/>
      <c r="B67" s="75"/>
      <c r="C67" s="73"/>
      <c r="D67" s="75"/>
      <c r="E67" s="62"/>
      <c r="F67" s="75"/>
      <c r="G67" s="74"/>
      <c r="H67" s="66"/>
      <c r="I67" s="74"/>
      <c r="J67" s="74"/>
      <c r="K67" s="70"/>
    </row>
    <row r="68" spans="1:11">
      <c r="A68" s="75"/>
      <c r="B68" s="75" t="s">
        <v>335</v>
      </c>
      <c r="C68" s="70">
        <f>K57</f>
        <v>22.5</v>
      </c>
      <c r="D68" s="75"/>
      <c r="E68" s="62">
        <f>E57</f>
        <v>78086</v>
      </c>
      <c r="F68" s="75"/>
      <c r="G68" s="474">
        <f>ROUND(C68*E68,0)</f>
        <v>1756935</v>
      </c>
      <c r="H68" s="66"/>
      <c r="I68" s="74"/>
      <c r="J68" s="74"/>
      <c r="K68" s="70"/>
    </row>
    <row r="69" spans="1:11">
      <c r="A69" s="75"/>
      <c r="B69" s="75" t="s">
        <v>334</v>
      </c>
      <c r="C69" s="70">
        <f>K58</f>
        <v>75</v>
      </c>
      <c r="D69" s="75"/>
      <c r="E69" s="62">
        <f>E58</f>
        <v>936</v>
      </c>
      <c r="F69" s="75"/>
      <c r="G69" s="79">
        <f>ROUND(C69*E69,0)</f>
        <v>70200</v>
      </c>
      <c r="H69" s="66"/>
      <c r="I69" s="74"/>
      <c r="J69" s="74"/>
      <c r="K69" s="70"/>
    </row>
    <row r="70" spans="1:11">
      <c r="A70" s="75"/>
      <c r="B70" s="75" t="s">
        <v>333</v>
      </c>
      <c r="C70" s="70">
        <f>K59</f>
        <v>364</v>
      </c>
      <c r="D70" s="75"/>
      <c r="E70" s="401">
        <f>E59</f>
        <v>72</v>
      </c>
      <c r="F70" s="75"/>
      <c r="G70" s="475">
        <f>ROUND(C70*E70,0)</f>
        <v>26208</v>
      </c>
      <c r="H70" s="66"/>
      <c r="I70" s="74"/>
      <c r="J70" s="74"/>
      <c r="K70" s="70"/>
    </row>
    <row r="71" spans="1:11">
      <c r="A71" s="75"/>
      <c r="B71" s="75"/>
      <c r="C71" s="73"/>
      <c r="D71" s="75"/>
      <c r="E71" s="62"/>
      <c r="F71" s="75"/>
      <c r="G71" s="74"/>
      <c r="H71" s="66"/>
      <c r="I71" s="74"/>
      <c r="J71" s="74"/>
      <c r="K71" s="70"/>
    </row>
    <row r="72" spans="1:11">
      <c r="A72" s="75"/>
      <c r="B72" s="75" t="s">
        <v>205</v>
      </c>
      <c r="C72" s="73"/>
      <c r="D72" s="75"/>
      <c r="E72" s="62">
        <f>SUM(E68:E70)</f>
        <v>79094</v>
      </c>
      <c r="F72" s="75"/>
      <c r="G72" s="474">
        <f>SUM(G68:G70)</f>
        <v>1853343</v>
      </c>
      <c r="H72" s="66"/>
      <c r="I72" s="474"/>
      <c r="J72" s="74"/>
      <c r="K72" s="73"/>
    </row>
    <row r="73" spans="1:11">
      <c r="A73" s="74"/>
      <c r="B73" s="379"/>
      <c r="C73" s="69"/>
      <c r="D73" s="66"/>
      <c r="E73" s="62"/>
      <c r="H73" s="64"/>
      <c r="K73" s="73"/>
    </row>
    <row r="74" spans="1:11">
      <c r="A74" s="74"/>
      <c r="B74" s="379"/>
      <c r="C74" s="69"/>
      <c r="D74" s="66"/>
      <c r="E74" s="62"/>
      <c r="H74" s="64"/>
      <c r="K74" s="73"/>
    </row>
    <row r="75" spans="1:11">
      <c r="A75" s="75" t="s">
        <v>250</v>
      </c>
      <c r="B75" s="358" t="s">
        <v>345</v>
      </c>
    </row>
    <row r="76" spans="1:11">
      <c r="A76" s="75"/>
      <c r="B76" s="75"/>
    </row>
    <row r="77" spans="1:11">
      <c r="A77" s="75"/>
      <c r="B77" s="75" t="s">
        <v>344</v>
      </c>
    </row>
    <row r="78" spans="1:11">
      <c r="A78" s="75"/>
      <c r="B78" s="75"/>
      <c r="D78" s="75"/>
      <c r="F78" s="75"/>
      <c r="G78" s="74"/>
      <c r="H78" s="66"/>
      <c r="I78" s="74"/>
      <c r="J78" s="74"/>
      <c r="K78" s="70"/>
    </row>
    <row r="79" spans="1:11">
      <c r="A79" s="75"/>
      <c r="B79" s="75"/>
      <c r="C79" s="64"/>
      <c r="D79" s="66"/>
      <c r="E79" s="75"/>
      <c r="F79" s="66"/>
      <c r="G79" s="64" t="s">
        <v>336</v>
      </c>
      <c r="H79" s="66"/>
      <c r="I79" s="474"/>
      <c r="J79" s="74"/>
      <c r="K79" s="70"/>
    </row>
    <row r="80" spans="1:11">
      <c r="A80" s="75"/>
      <c r="B80" s="75"/>
      <c r="C80" s="64" t="s">
        <v>96</v>
      </c>
      <c r="D80" s="66"/>
      <c r="E80" s="67">
        <v>0.11</v>
      </c>
      <c r="F80" s="66"/>
      <c r="G80" s="64" t="s">
        <v>114</v>
      </c>
      <c r="H80" s="66"/>
      <c r="I80" s="474"/>
      <c r="J80" s="74"/>
      <c r="K80" s="70"/>
    </row>
    <row r="81" spans="1:11">
      <c r="A81" s="75"/>
      <c r="C81" s="68" t="s">
        <v>154</v>
      </c>
      <c r="D81" s="359"/>
      <c r="E81" s="68" t="s">
        <v>343</v>
      </c>
      <c r="F81" s="359"/>
      <c r="G81" s="68" t="s">
        <v>154</v>
      </c>
      <c r="H81" s="66"/>
      <c r="I81" s="474"/>
      <c r="J81" s="74"/>
      <c r="K81" s="70"/>
    </row>
    <row r="82" spans="1:11">
      <c r="A82" s="75"/>
      <c r="D82" s="75"/>
      <c r="F82" s="75"/>
      <c r="G82" s="474"/>
      <c r="H82" s="66"/>
      <c r="I82" s="474"/>
      <c r="J82" s="74"/>
      <c r="K82" s="70"/>
    </row>
    <row r="83" spans="1:11">
      <c r="A83" s="75"/>
      <c r="B83" s="75" t="s">
        <v>342</v>
      </c>
      <c r="C83" s="471">
        <v>1.91</v>
      </c>
      <c r="D83" s="75"/>
      <c r="E83" s="69">
        <f>ROUND(C83*E80,2)</f>
        <v>0.21</v>
      </c>
      <c r="F83" s="75"/>
      <c r="G83" s="80">
        <f>C83+E83</f>
        <v>2.12</v>
      </c>
      <c r="H83" s="66"/>
      <c r="I83" s="474"/>
      <c r="J83" s="74"/>
      <c r="K83" s="70"/>
    </row>
    <row r="84" spans="1:11">
      <c r="A84" s="75"/>
      <c r="B84" s="75" t="s">
        <v>341</v>
      </c>
      <c r="C84" s="471">
        <v>7.95</v>
      </c>
      <c r="D84" s="75"/>
      <c r="E84" s="69">
        <f>ROUND(C84*E80,2)</f>
        <v>0.87</v>
      </c>
      <c r="F84" s="75"/>
      <c r="G84" s="80">
        <f>C84+E84</f>
        <v>8.82</v>
      </c>
      <c r="H84" s="66"/>
      <c r="I84" s="474"/>
      <c r="J84" s="74"/>
      <c r="K84" s="70"/>
    </row>
    <row r="85" spans="1:11">
      <c r="A85" s="75"/>
      <c r="B85" s="75"/>
      <c r="D85" s="75"/>
      <c r="F85" s="75"/>
      <c r="G85" s="474"/>
      <c r="H85" s="66"/>
      <c r="I85" s="474"/>
      <c r="J85" s="74"/>
      <c r="K85" s="70"/>
    </row>
    <row r="86" spans="1:11">
      <c r="A86" s="75"/>
      <c r="B86" s="75"/>
      <c r="D86" s="75"/>
      <c r="F86" s="75"/>
      <c r="G86" s="474"/>
      <c r="H86" s="66"/>
      <c r="I86" s="474"/>
      <c r="J86" s="74"/>
      <c r="K86" s="70"/>
    </row>
    <row r="87" spans="1:11">
      <c r="A87" s="75"/>
      <c r="B87" s="75"/>
      <c r="C87" s="64" t="s">
        <v>319</v>
      </c>
      <c r="D87" s="66"/>
      <c r="E87" s="64" t="s">
        <v>340</v>
      </c>
      <c r="F87" s="66"/>
      <c r="G87" s="476" t="s">
        <v>114</v>
      </c>
      <c r="H87" s="66"/>
      <c r="I87" s="474"/>
      <c r="J87" s="74"/>
      <c r="K87" s="70"/>
    </row>
    <row r="88" spans="1:11">
      <c r="A88" s="75"/>
      <c r="B88" s="75"/>
      <c r="C88" s="68" t="s">
        <v>154</v>
      </c>
      <c r="D88" s="359"/>
      <c r="E88" s="68" t="s">
        <v>339</v>
      </c>
      <c r="F88" s="359"/>
      <c r="G88" s="477" t="s">
        <v>154</v>
      </c>
      <c r="H88" s="66"/>
      <c r="I88" s="474"/>
      <c r="J88" s="74"/>
      <c r="K88" s="70"/>
    </row>
    <row r="89" spans="1:11">
      <c r="A89" s="75"/>
      <c r="B89" s="61" t="s">
        <v>338</v>
      </c>
      <c r="D89" s="75"/>
      <c r="F89" s="75"/>
      <c r="G89" s="474"/>
      <c r="H89" s="66"/>
      <c r="I89" s="474"/>
      <c r="J89" s="74"/>
      <c r="K89" s="70"/>
    </row>
    <row r="90" spans="1:11">
      <c r="A90" s="75"/>
      <c r="B90" s="75" t="s">
        <v>335</v>
      </c>
      <c r="C90" s="80">
        <f>G83</f>
        <v>2.12</v>
      </c>
      <c r="D90" s="75"/>
      <c r="E90" s="478">
        <f>'Demand Basis'!B15</f>
        <v>1</v>
      </c>
      <c r="F90" s="75"/>
      <c r="G90" s="80">
        <f>ROUND(C90*E90,2)</f>
        <v>2.12</v>
      </c>
      <c r="H90" s="66"/>
      <c r="I90" s="474"/>
      <c r="J90" s="74"/>
      <c r="K90" s="70"/>
    </row>
    <row r="91" spans="1:11">
      <c r="A91" s="75"/>
      <c r="B91" s="75" t="s">
        <v>334</v>
      </c>
      <c r="C91" s="69">
        <f>G83</f>
        <v>2.12</v>
      </c>
      <c r="D91" s="75"/>
      <c r="E91" s="478">
        <f>'Demand Basis'!C15</f>
        <v>0.96704999999999997</v>
      </c>
      <c r="F91" s="75"/>
      <c r="G91" s="80">
        <f>ROUND(C91*E91,2)</f>
        <v>2.0499999999999998</v>
      </c>
      <c r="H91" s="66"/>
      <c r="I91" s="474"/>
      <c r="J91" s="74"/>
      <c r="K91" s="70"/>
    </row>
    <row r="92" spans="1:11">
      <c r="A92" s="75"/>
      <c r="B92" s="75" t="s">
        <v>333</v>
      </c>
      <c r="C92" s="69">
        <f>G83</f>
        <v>2.12</v>
      </c>
      <c r="D92" s="75"/>
      <c r="E92" s="478">
        <f>'Demand Basis'!D15</f>
        <v>0.95125000000000004</v>
      </c>
      <c r="F92" s="75"/>
      <c r="G92" s="80">
        <f>ROUND(C92*E92,2)</f>
        <v>2.02</v>
      </c>
      <c r="H92" s="66"/>
      <c r="I92" s="474"/>
      <c r="J92" s="74"/>
      <c r="K92" s="70"/>
    </row>
    <row r="93" spans="1:11">
      <c r="A93" s="75"/>
      <c r="B93" s="75"/>
      <c r="C93" s="69"/>
      <c r="D93" s="75"/>
      <c r="E93" s="479"/>
      <c r="F93" s="75"/>
      <c r="G93" s="80"/>
      <c r="H93" s="66"/>
      <c r="I93" s="474"/>
      <c r="J93" s="74"/>
      <c r="K93" s="70"/>
    </row>
    <row r="94" spans="1:11">
      <c r="A94" s="75"/>
      <c r="B94" s="75"/>
      <c r="C94" s="69"/>
      <c r="D94" s="75"/>
      <c r="E94" s="479"/>
      <c r="F94" s="75"/>
      <c r="G94" s="80"/>
      <c r="H94" s="66"/>
      <c r="I94" s="474"/>
      <c r="J94" s="74"/>
      <c r="K94" s="70"/>
    </row>
    <row r="95" spans="1:11">
      <c r="A95" s="75"/>
      <c r="B95" s="75" t="s">
        <v>337</v>
      </c>
      <c r="C95" s="69"/>
      <c r="D95" s="75"/>
      <c r="E95" s="479"/>
      <c r="F95" s="75"/>
      <c r="G95" s="80"/>
      <c r="H95" s="66"/>
      <c r="I95" s="474"/>
      <c r="J95" s="74"/>
      <c r="K95" s="70"/>
    </row>
    <row r="96" spans="1:11">
      <c r="A96" s="75"/>
      <c r="B96" s="75"/>
      <c r="C96" s="64" t="s">
        <v>336</v>
      </c>
      <c r="D96" s="66"/>
      <c r="E96" s="64"/>
      <c r="F96" s="66"/>
      <c r="G96" s="64"/>
      <c r="H96" s="66"/>
      <c r="I96" s="64"/>
      <c r="J96" s="64"/>
      <c r="K96" s="480"/>
    </row>
    <row r="97" spans="1:11">
      <c r="A97" s="75"/>
      <c r="B97" s="75"/>
      <c r="C97" s="64" t="s">
        <v>114</v>
      </c>
      <c r="D97" s="66"/>
      <c r="E97" s="64"/>
      <c r="F97" s="66"/>
      <c r="G97" s="64" t="s">
        <v>6</v>
      </c>
      <c r="H97" s="66"/>
      <c r="I97" s="64"/>
      <c r="J97" s="64"/>
      <c r="K97" s="64"/>
    </row>
    <row r="98" spans="1:11">
      <c r="A98" s="75"/>
      <c r="B98" s="75"/>
      <c r="C98" s="68" t="s">
        <v>154</v>
      </c>
      <c r="D98" s="359"/>
      <c r="E98" s="68" t="s">
        <v>40</v>
      </c>
      <c r="F98" s="359"/>
      <c r="G98" s="68" t="s">
        <v>1</v>
      </c>
      <c r="H98" s="359"/>
      <c r="I98" s="68"/>
      <c r="J98" s="68"/>
      <c r="K98" s="68"/>
    </row>
    <row r="99" spans="1:11">
      <c r="A99" s="75"/>
      <c r="B99" s="75" t="s">
        <v>335</v>
      </c>
    </row>
    <row r="100" spans="1:11">
      <c r="A100" s="75"/>
      <c r="B100" s="75" t="s">
        <v>332</v>
      </c>
      <c r="C100" s="69">
        <f>G90</f>
        <v>2.12</v>
      </c>
      <c r="E100" s="481">
        <f>E44</f>
        <v>1854278</v>
      </c>
      <c r="G100" s="474">
        <f>ROUND(C100*E100,0)</f>
        <v>3931069</v>
      </c>
    </row>
    <row r="101" spans="1:11">
      <c r="A101" s="75"/>
      <c r="B101" s="75" t="s">
        <v>331</v>
      </c>
      <c r="C101" s="69">
        <f>G84</f>
        <v>8.82</v>
      </c>
      <c r="E101" s="481">
        <f>E45</f>
        <v>0</v>
      </c>
      <c r="G101" s="474">
        <f>ROUND(C101*E101,0)</f>
        <v>0</v>
      </c>
    </row>
    <row r="102" spans="1:11">
      <c r="A102" s="75"/>
      <c r="B102" s="75" t="s">
        <v>334</v>
      </c>
    </row>
    <row r="103" spans="1:11">
      <c r="A103" s="75"/>
      <c r="B103" s="75" t="s">
        <v>332</v>
      </c>
      <c r="C103" s="69">
        <f>G91</f>
        <v>2.0499999999999998</v>
      </c>
      <c r="E103" s="481">
        <f>G44</f>
        <v>42412</v>
      </c>
      <c r="G103" s="474">
        <f>ROUND(C103*E103,0)</f>
        <v>86945</v>
      </c>
    </row>
    <row r="104" spans="1:11">
      <c r="A104" s="75"/>
      <c r="B104" s="75" t="s">
        <v>331</v>
      </c>
      <c r="C104" s="69">
        <f>G84</f>
        <v>8.82</v>
      </c>
      <c r="E104" s="481">
        <f>G45</f>
        <v>1544</v>
      </c>
      <c r="G104" s="474">
        <f>ROUND(C104*E104,0)</f>
        <v>13618</v>
      </c>
    </row>
    <row r="105" spans="1:11">
      <c r="A105" s="75"/>
      <c r="B105" s="75" t="s">
        <v>333</v>
      </c>
      <c r="D105" s="75"/>
      <c r="F105" s="75"/>
      <c r="G105" s="74"/>
      <c r="H105" s="66"/>
      <c r="I105" s="74"/>
      <c r="J105" s="74"/>
      <c r="K105" s="70"/>
    </row>
    <row r="106" spans="1:11">
      <c r="A106" s="75"/>
      <c r="B106" s="75" t="s">
        <v>332</v>
      </c>
      <c r="C106" s="69">
        <f>G92</f>
        <v>2.02</v>
      </c>
      <c r="D106" s="75"/>
      <c r="E106" s="62">
        <f>I44</f>
        <v>4136</v>
      </c>
      <c r="F106" s="75"/>
      <c r="G106" s="474">
        <f>ROUND(C106*E106,0)</f>
        <v>8355</v>
      </c>
      <c r="H106" s="66"/>
      <c r="I106" s="74"/>
      <c r="J106" s="74"/>
      <c r="K106" s="70"/>
    </row>
    <row r="107" spans="1:11">
      <c r="A107" s="75"/>
      <c r="B107" s="75" t="s">
        <v>331</v>
      </c>
      <c r="C107" s="69">
        <f>G84</f>
        <v>8.82</v>
      </c>
      <c r="D107" s="75"/>
      <c r="E107" s="62">
        <f>I45</f>
        <v>140</v>
      </c>
      <c r="F107" s="75"/>
      <c r="G107" s="482">
        <f>ROUND(C107*E107,0)</f>
        <v>1235</v>
      </c>
      <c r="H107" s="66"/>
      <c r="I107" s="74"/>
      <c r="J107" s="74"/>
      <c r="K107" s="70"/>
    </row>
    <row r="108" spans="1:11">
      <c r="A108" s="75"/>
      <c r="B108" s="75"/>
      <c r="C108" s="73"/>
      <c r="D108" s="75"/>
      <c r="E108" s="62"/>
      <c r="F108" s="75"/>
      <c r="G108" s="74"/>
      <c r="H108" s="66"/>
      <c r="I108" s="74"/>
      <c r="J108" s="74"/>
      <c r="K108" s="70"/>
    </row>
    <row r="109" spans="1:11">
      <c r="A109" s="75"/>
      <c r="B109" s="75"/>
      <c r="C109" s="73"/>
      <c r="D109" s="75"/>
      <c r="E109" s="62"/>
      <c r="F109" s="75"/>
      <c r="G109" s="474">
        <f>SUM(G100:G107)</f>
        <v>4041222</v>
      </c>
      <c r="H109" s="66"/>
      <c r="I109" s="474"/>
      <c r="J109" s="74"/>
      <c r="K109" s="73"/>
    </row>
    <row r="110" spans="1:11">
      <c r="A110" s="75"/>
      <c r="B110" s="75"/>
      <c r="C110" s="73"/>
      <c r="D110" s="75"/>
      <c r="E110" s="62"/>
      <c r="F110" s="75"/>
      <c r="G110" s="74"/>
      <c r="H110" s="66"/>
      <c r="I110" s="74"/>
      <c r="J110" s="74"/>
      <c r="K110" s="70"/>
    </row>
    <row r="111" spans="1:11">
      <c r="A111" s="75" t="s">
        <v>236</v>
      </c>
      <c r="B111" s="358" t="s">
        <v>330</v>
      </c>
      <c r="C111" s="73"/>
      <c r="D111" s="75"/>
      <c r="E111" s="62"/>
      <c r="F111" s="75"/>
      <c r="G111" s="74"/>
      <c r="H111" s="66"/>
      <c r="I111" s="74"/>
      <c r="J111" s="74"/>
      <c r="K111" s="70"/>
    </row>
    <row r="112" spans="1:11">
      <c r="A112" s="75"/>
      <c r="B112" s="75"/>
      <c r="C112" s="73"/>
      <c r="D112" s="75"/>
      <c r="E112" s="62"/>
      <c r="F112" s="75"/>
      <c r="G112" s="74"/>
      <c r="H112" s="66"/>
      <c r="I112" s="74"/>
      <c r="J112" s="74"/>
      <c r="K112" s="70"/>
    </row>
    <row r="113" spans="1:13">
      <c r="A113" s="75"/>
      <c r="B113" s="75" t="s">
        <v>329</v>
      </c>
      <c r="C113" s="73">
        <f>I38</f>
        <v>57950153</v>
      </c>
      <c r="D113" s="75"/>
      <c r="E113" s="62"/>
      <c r="F113" s="75"/>
      <c r="G113" s="74"/>
      <c r="H113" s="66"/>
      <c r="I113" s="74"/>
      <c r="J113" s="74"/>
      <c r="K113" s="70"/>
    </row>
    <row r="114" spans="1:13">
      <c r="A114" s="75"/>
      <c r="B114" s="75" t="s">
        <v>328</v>
      </c>
      <c r="C114" s="73">
        <f>G72</f>
        <v>1853343</v>
      </c>
      <c r="D114" s="75"/>
      <c r="E114" s="62"/>
      <c r="F114" s="75"/>
      <c r="G114" s="74"/>
      <c r="H114" s="66"/>
      <c r="I114" s="74"/>
      <c r="J114" s="74"/>
      <c r="K114" s="70"/>
    </row>
    <row r="115" spans="1:13">
      <c r="A115" s="75"/>
      <c r="B115" s="75" t="s">
        <v>327</v>
      </c>
      <c r="C115" s="366">
        <f>G109</f>
        <v>4041222</v>
      </c>
      <c r="D115" s="75"/>
      <c r="E115" s="62"/>
      <c r="F115" s="75"/>
      <c r="G115" s="74"/>
      <c r="H115" s="66"/>
      <c r="I115" s="74"/>
      <c r="J115" s="74"/>
      <c r="K115" s="70"/>
    </row>
    <row r="116" spans="1:13">
      <c r="A116" s="75"/>
      <c r="B116" s="75"/>
      <c r="C116" s="73"/>
      <c r="D116" s="75"/>
      <c r="E116" s="62"/>
      <c r="F116" s="75"/>
      <c r="G116" s="74"/>
      <c r="H116" s="66"/>
      <c r="I116" s="74"/>
      <c r="J116" s="74"/>
      <c r="K116" s="70"/>
    </row>
    <row r="117" spans="1:13">
      <c r="A117" s="75"/>
      <c r="B117" s="75" t="s">
        <v>326</v>
      </c>
      <c r="C117" s="73">
        <f>C113-C114-C115</f>
        <v>52055588</v>
      </c>
      <c r="D117" s="75"/>
      <c r="E117" s="62"/>
      <c r="F117" s="75"/>
      <c r="G117" s="74"/>
      <c r="H117" s="66"/>
      <c r="I117" s="74"/>
      <c r="J117" s="74"/>
      <c r="K117" s="70"/>
    </row>
    <row r="118" spans="1:13">
      <c r="A118" s="75"/>
      <c r="B118" s="75"/>
      <c r="C118" s="73"/>
      <c r="D118" s="75"/>
      <c r="E118" s="62"/>
      <c r="F118" s="75"/>
      <c r="G118" s="74"/>
      <c r="H118" s="66"/>
      <c r="I118" s="74"/>
      <c r="J118" s="74"/>
      <c r="K118" s="70"/>
    </row>
    <row r="119" spans="1:13">
      <c r="A119" s="75"/>
      <c r="B119" s="75"/>
      <c r="C119" s="73"/>
      <c r="D119" s="75"/>
      <c r="E119" s="62"/>
      <c r="F119" s="75"/>
      <c r="G119" s="74"/>
      <c r="H119" s="66"/>
      <c r="I119" s="74"/>
      <c r="J119" s="74"/>
      <c r="K119" s="70"/>
    </row>
    <row r="120" spans="1:13">
      <c r="A120" s="75"/>
      <c r="B120" s="75" t="s">
        <v>325</v>
      </c>
      <c r="C120" s="63"/>
      <c r="D120" s="66"/>
      <c r="E120" s="469"/>
      <c r="F120" s="66"/>
      <c r="G120" s="64" t="s">
        <v>96</v>
      </c>
      <c r="H120" s="66"/>
      <c r="I120" s="64" t="s">
        <v>114</v>
      </c>
      <c r="J120" s="64"/>
      <c r="K120" s="480"/>
    </row>
    <row r="121" spans="1:13">
      <c r="A121" s="75"/>
      <c r="B121" s="75"/>
      <c r="C121" s="63"/>
      <c r="D121" s="66"/>
      <c r="E121" s="469" t="s">
        <v>96</v>
      </c>
      <c r="F121" s="66"/>
      <c r="G121" s="64" t="s">
        <v>7</v>
      </c>
      <c r="H121" s="66"/>
      <c r="I121" s="64" t="s">
        <v>7</v>
      </c>
      <c r="J121" s="64"/>
      <c r="K121" s="480" t="s">
        <v>114</v>
      </c>
    </row>
    <row r="122" spans="1:13">
      <c r="A122" s="75"/>
      <c r="B122" s="75"/>
      <c r="C122" s="470" t="s">
        <v>40</v>
      </c>
      <c r="D122" s="359"/>
      <c r="E122" s="390" t="s">
        <v>324</v>
      </c>
      <c r="F122" s="359"/>
      <c r="G122" s="68" t="s">
        <v>1</v>
      </c>
      <c r="H122" s="359"/>
      <c r="I122" s="68" t="s">
        <v>1</v>
      </c>
      <c r="J122" s="68"/>
      <c r="K122" s="483" t="s">
        <v>324</v>
      </c>
    </row>
    <row r="123" spans="1:13">
      <c r="A123" s="75"/>
      <c r="B123" s="359" t="s">
        <v>319</v>
      </c>
      <c r="C123" s="73"/>
      <c r="D123" s="75"/>
      <c r="E123" s="62"/>
      <c r="F123" s="75"/>
      <c r="G123" s="74"/>
      <c r="H123" s="66"/>
      <c r="I123" s="74"/>
      <c r="J123" s="74"/>
      <c r="K123" s="70"/>
    </row>
    <row r="124" spans="1:13">
      <c r="A124" s="75"/>
      <c r="B124" s="75" t="s">
        <v>323</v>
      </c>
      <c r="C124" s="484">
        <f>E46</f>
        <v>287409659</v>
      </c>
      <c r="D124" s="75"/>
      <c r="E124" s="398">
        <v>0.10198</v>
      </c>
      <c r="F124" s="75"/>
      <c r="G124" s="474">
        <f>ROUND(C124*E124,0)</f>
        <v>29310037</v>
      </c>
      <c r="H124" s="66"/>
      <c r="I124" s="474">
        <f>ROUND(G124/G$135*C$117,0)</f>
        <v>34731972</v>
      </c>
      <c r="J124" s="74"/>
      <c r="K124" s="78">
        <f>ROUND(I124/C124,5)</f>
        <v>0.12084</v>
      </c>
      <c r="L124" s="405"/>
      <c r="M124" s="405"/>
    </row>
    <row r="125" spans="1:13">
      <c r="A125" s="75"/>
      <c r="B125" s="75" t="s">
        <v>322</v>
      </c>
      <c r="C125" s="484">
        <f>E47</f>
        <v>151039043</v>
      </c>
      <c r="D125" s="75"/>
      <c r="E125" s="398">
        <v>8.7359999999999993E-2</v>
      </c>
      <c r="F125" s="75"/>
      <c r="G125" s="474">
        <f>ROUND(C125*E125,0)</f>
        <v>13194771</v>
      </c>
      <c r="H125" s="66"/>
      <c r="I125" s="474">
        <f>ROUND(G125/G$135*C$117,0)</f>
        <v>15635614</v>
      </c>
      <c r="J125" s="74"/>
      <c r="K125" s="78">
        <f>ROUND(I125/C125,5)</f>
        <v>0.10352</v>
      </c>
    </row>
    <row r="126" spans="1:13">
      <c r="A126" s="75"/>
      <c r="B126" s="75"/>
      <c r="C126" s="73"/>
      <c r="D126" s="75"/>
      <c r="E126" s="62"/>
      <c r="F126" s="75"/>
      <c r="G126" s="74"/>
      <c r="H126" s="66"/>
      <c r="I126" s="74"/>
      <c r="J126" s="74"/>
      <c r="K126" s="70"/>
    </row>
    <row r="127" spans="1:13">
      <c r="A127" s="75"/>
      <c r="B127" s="359" t="s">
        <v>318</v>
      </c>
      <c r="C127" s="73"/>
      <c r="D127" s="75"/>
      <c r="E127" s="62"/>
      <c r="F127" s="75"/>
      <c r="G127" s="74"/>
      <c r="H127" s="66"/>
      <c r="I127" s="74"/>
      <c r="J127" s="74"/>
      <c r="K127" s="70"/>
    </row>
    <row r="128" spans="1:13">
      <c r="A128" s="75"/>
      <c r="B128" s="75" t="s">
        <v>323</v>
      </c>
      <c r="C128" s="484">
        <f>G46</f>
        <v>8597484</v>
      </c>
      <c r="D128" s="75"/>
      <c r="E128" s="398">
        <v>9.357E-2</v>
      </c>
      <c r="F128" s="75"/>
      <c r="G128" s="474">
        <f>ROUND(C128*E128,0)</f>
        <v>804467</v>
      </c>
      <c r="H128" s="66"/>
      <c r="I128" s="474">
        <f>ROUND(G128/G$135*C$117,0)</f>
        <v>953282</v>
      </c>
      <c r="J128" s="74"/>
      <c r="K128" s="78">
        <f>ROUND(I128/C128,5)</f>
        <v>0.11088000000000001</v>
      </c>
    </row>
    <row r="129" spans="1:11">
      <c r="A129" s="75"/>
      <c r="B129" s="75" t="s">
        <v>322</v>
      </c>
      <c r="C129" s="484">
        <f>G47</f>
        <v>6052191</v>
      </c>
      <c r="D129" s="75"/>
      <c r="E129" s="398">
        <v>8.3599999999999994E-2</v>
      </c>
      <c r="F129" s="75"/>
      <c r="G129" s="474">
        <f>ROUND(C129*E129,0)</f>
        <v>505963</v>
      </c>
      <c r="H129" s="66"/>
      <c r="I129" s="474">
        <f>ROUND(G129/G$135*C$117,0)</f>
        <v>599559</v>
      </c>
      <c r="J129" s="74"/>
      <c r="K129" s="78">
        <f>ROUND(I129/C129,5)</f>
        <v>9.9059999999999995E-2</v>
      </c>
    </row>
    <row r="130" spans="1:11">
      <c r="A130" s="75"/>
      <c r="B130" s="75"/>
      <c r="C130" s="73"/>
      <c r="D130" s="75"/>
      <c r="E130" s="62"/>
      <c r="F130" s="75"/>
      <c r="G130" s="74"/>
      <c r="H130" s="66"/>
      <c r="I130" s="74"/>
      <c r="J130" s="74"/>
      <c r="K130" s="70"/>
    </row>
    <row r="131" spans="1:11">
      <c r="A131" s="75"/>
      <c r="B131" s="359" t="s">
        <v>317</v>
      </c>
      <c r="C131" s="73"/>
      <c r="D131" s="75"/>
      <c r="E131" s="62"/>
      <c r="F131" s="75"/>
      <c r="G131" s="74"/>
      <c r="H131" s="66"/>
      <c r="I131" s="74"/>
      <c r="J131" s="74"/>
      <c r="K131" s="70"/>
    </row>
    <row r="132" spans="1:11">
      <c r="A132" s="75"/>
      <c r="B132" s="75" t="s">
        <v>323</v>
      </c>
      <c r="C132" s="484">
        <f>I46</f>
        <v>652399</v>
      </c>
      <c r="D132" s="75"/>
      <c r="E132" s="398">
        <v>8.634E-2</v>
      </c>
      <c r="F132" s="75"/>
      <c r="G132" s="474">
        <f>ROUND(C132*E132,0)</f>
        <v>56328</v>
      </c>
      <c r="H132" s="66"/>
      <c r="I132" s="474">
        <f>ROUND(G132/G$135*C$117,0)</f>
        <v>66748</v>
      </c>
      <c r="J132" s="74"/>
      <c r="K132" s="78">
        <f>ROUND(I132/C132,5)</f>
        <v>0.10231</v>
      </c>
    </row>
    <row r="133" spans="1:11">
      <c r="A133" s="75"/>
      <c r="B133" s="75" t="s">
        <v>322</v>
      </c>
      <c r="C133" s="484">
        <f>I47</f>
        <v>712506</v>
      </c>
      <c r="D133" s="75"/>
      <c r="E133" s="398">
        <v>8.1030000000000005E-2</v>
      </c>
      <c r="F133" s="75"/>
      <c r="G133" s="482">
        <f>ROUND(C133*E133,0)</f>
        <v>57734</v>
      </c>
      <c r="H133" s="66"/>
      <c r="I133" s="482">
        <f>ROUND(G133/G$135*C$117,0)</f>
        <v>68414</v>
      </c>
      <c r="J133" s="74"/>
      <c r="K133" s="78">
        <f>ROUND(I133/C133,5)</f>
        <v>9.6019999999999994E-2</v>
      </c>
    </row>
    <row r="134" spans="1:11">
      <c r="A134" s="75"/>
      <c r="B134" s="75"/>
      <c r="C134" s="73"/>
      <c r="D134" s="75"/>
      <c r="E134" s="62"/>
      <c r="F134" s="75"/>
      <c r="G134" s="74"/>
      <c r="H134" s="66"/>
      <c r="I134" s="74"/>
      <c r="J134" s="74"/>
      <c r="K134" s="70"/>
    </row>
    <row r="135" spans="1:11">
      <c r="A135" s="75"/>
      <c r="B135" s="75" t="s">
        <v>321</v>
      </c>
      <c r="C135" s="73"/>
      <c r="D135" s="75"/>
      <c r="E135" s="62"/>
      <c r="F135" s="75"/>
      <c r="G135" s="474">
        <f>SUM(G124:G133)</f>
        <v>43929300</v>
      </c>
      <c r="H135" s="66"/>
      <c r="I135" s="474">
        <f>SUM(I124:I133)</f>
        <v>52055589</v>
      </c>
      <c r="J135" s="74"/>
      <c r="K135" s="70"/>
    </row>
    <row r="136" spans="1:11">
      <c r="A136" s="75"/>
      <c r="B136" s="75"/>
      <c r="C136" s="73"/>
      <c r="D136" s="75"/>
      <c r="E136" s="62"/>
      <c r="F136" s="75"/>
      <c r="G136" s="74"/>
      <c r="H136" s="66"/>
      <c r="I136" s="74"/>
      <c r="J136" s="74"/>
      <c r="K136" s="70"/>
    </row>
    <row r="137" spans="1:11">
      <c r="A137" s="74"/>
      <c r="B137" s="379"/>
      <c r="C137" s="69"/>
      <c r="D137" s="66"/>
      <c r="E137" s="62"/>
      <c r="H137" s="64"/>
      <c r="K137" s="73"/>
    </row>
    <row r="138" spans="1:11">
      <c r="A138" s="75" t="s">
        <v>229</v>
      </c>
      <c r="B138" s="358" t="s">
        <v>39</v>
      </c>
      <c r="I138" s="64" t="s">
        <v>320</v>
      </c>
    </row>
    <row r="139" spans="1:11">
      <c r="C139" s="390" t="s">
        <v>40</v>
      </c>
      <c r="D139" s="74"/>
      <c r="E139" s="359" t="s">
        <v>154</v>
      </c>
      <c r="F139" s="74"/>
      <c r="G139" s="359" t="s">
        <v>1</v>
      </c>
      <c r="H139" s="74"/>
      <c r="I139" s="68" t="s">
        <v>1</v>
      </c>
      <c r="J139" s="74"/>
      <c r="K139" s="359" t="s">
        <v>42</v>
      </c>
    </row>
    <row r="140" spans="1:11">
      <c r="A140" s="75"/>
      <c r="B140" s="75"/>
      <c r="C140" s="469"/>
      <c r="D140" s="74"/>
      <c r="E140" s="66"/>
      <c r="F140" s="74"/>
      <c r="G140" s="66"/>
      <c r="H140" s="74"/>
      <c r="J140" s="74"/>
      <c r="K140" s="66"/>
    </row>
    <row r="141" spans="1:11">
      <c r="A141" s="75"/>
      <c r="B141" s="359" t="s">
        <v>319</v>
      </c>
      <c r="C141" s="469"/>
      <c r="D141" s="74"/>
      <c r="E141" s="62"/>
      <c r="H141" s="62"/>
      <c r="K141" s="62"/>
    </row>
    <row r="142" spans="1:11">
      <c r="A142" s="75"/>
      <c r="B142" s="75" t="s">
        <v>316</v>
      </c>
      <c r="C142" s="484">
        <f>E44</f>
        <v>1854278</v>
      </c>
      <c r="D142" s="74" t="s">
        <v>185</v>
      </c>
      <c r="E142" s="69">
        <f>G90</f>
        <v>2.12</v>
      </c>
      <c r="F142" s="201" t="s">
        <v>314</v>
      </c>
      <c r="G142" s="81">
        <f>ROUND(C142*E142,0)</f>
        <v>3931069</v>
      </c>
    </row>
    <row r="143" spans="1:11">
      <c r="A143" s="75"/>
      <c r="B143" s="75" t="s">
        <v>315</v>
      </c>
      <c r="C143" s="484">
        <f>E45</f>
        <v>0</v>
      </c>
      <c r="D143" s="74" t="s">
        <v>185</v>
      </c>
      <c r="E143" s="69">
        <f>G84</f>
        <v>8.82</v>
      </c>
      <c r="F143" s="201" t="s">
        <v>314</v>
      </c>
      <c r="G143" s="81">
        <f>ROUND(C143*E143,0)</f>
        <v>0</v>
      </c>
    </row>
    <row r="144" spans="1:11">
      <c r="A144" s="75"/>
      <c r="B144" s="75" t="s">
        <v>313</v>
      </c>
      <c r="C144" s="484">
        <f>E46</f>
        <v>287409659</v>
      </c>
      <c r="D144" s="74" t="s">
        <v>44</v>
      </c>
      <c r="E144" s="78">
        <f>K124</f>
        <v>0.12084</v>
      </c>
      <c r="F144" s="201" t="s">
        <v>23</v>
      </c>
      <c r="G144" s="81">
        <f>ROUND(C144*E144,0)</f>
        <v>34730583</v>
      </c>
      <c r="H144" s="62"/>
      <c r="K144" s="62"/>
    </row>
    <row r="145" spans="1:11">
      <c r="A145" s="75"/>
      <c r="B145" s="75" t="s">
        <v>312</v>
      </c>
      <c r="C145" s="484">
        <f>E47</f>
        <v>151039043</v>
      </c>
      <c r="D145" s="74" t="s">
        <v>44</v>
      </c>
      <c r="E145" s="78">
        <f>K125+0.00001</f>
        <v>0.10353</v>
      </c>
      <c r="F145" s="201" t="s">
        <v>412</v>
      </c>
      <c r="G145" s="81">
        <f>ROUND(C145*E145,0)</f>
        <v>15637072</v>
      </c>
    </row>
    <row r="146" spans="1:11">
      <c r="A146" s="75"/>
      <c r="B146" s="75" t="s">
        <v>53</v>
      </c>
      <c r="C146" s="484">
        <f>E49</f>
        <v>78086</v>
      </c>
      <c r="D146" s="74" t="s">
        <v>311</v>
      </c>
      <c r="E146" s="69">
        <f>C68</f>
        <v>22.5</v>
      </c>
      <c r="F146" s="201" t="s">
        <v>310</v>
      </c>
      <c r="G146" s="81">
        <f>ROUND(C146*E146,0)</f>
        <v>1756935</v>
      </c>
    </row>
    <row r="147" spans="1:11">
      <c r="A147" s="75"/>
      <c r="B147" s="75"/>
      <c r="C147" s="390"/>
      <c r="D147" s="74"/>
      <c r="E147" s="62"/>
      <c r="H147" s="62"/>
      <c r="K147" s="62"/>
    </row>
    <row r="148" spans="1:11">
      <c r="A148" s="75"/>
      <c r="B148" s="75"/>
      <c r="C148" s="469"/>
      <c r="D148" s="74"/>
      <c r="E148" s="62"/>
      <c r="H148" s="62"/>
      <c r="K148" s="62"/>
    </row>
    <row r="149" spans="1:11">
      <c r="A149" s="75"/>
      <c r="B149" s="359" t="s">
        <v>318</v>
      </c>
      <c r="C149" s="469"/>
      <c r="D149" s="74"/>
      <c r="E149" s="62"/>
      <c r="H149" s="62"/>
      <c r="K149" s="62"/>
    </row>
    <row r="150" spans="1:11">
      <c r="A150" s="75"/>
      <c r="B150" s="75" t="s">
        <v>316</v>
      </c>
      <c r="C150" s="484">
        <f>G44</f>
        <v>42412</v>
      </c>
      <c r="D150" s="74" t="s">
        <v>185</v>
      </c>
      <c r="E150" s="69">
        <f>G91</f>
        <v>2.0499999999999998</v>
      </c>
      <c r="F150" s="201" t="s">
        <v>314</v>
      </c>
      <c r="G150" s="81">
        <f>ROUND(C150*E150,0)</f>
        <v>86945</v>
      </c>
      <c r="H150" s="62"/>
      <c r="K150" s="62"/>
    </row>
    <row r="151" spans="1:11">
      <c r="A151" s="75"/>
      <c r="B151" s="75" t="s">
        <v>315</v>
      </c>
      <c r="C151" s="484">
        <f>G45</f>
        <v>1544</v>
      </c>
      <c r="D151" s="74" t="s">
        <v>185</v>
      </c>
      <c r="E151" s="69">
        <f>G84</f>
        <v>8.82</v>
      </c>
      <c r="F151" s="201" t="s">
        <v>314</v>
      </c>
      <c r="G151" s="81">
        <f>ROUND(C151*E151,0)</f>
        <v>13618</v>
      </c>
      <c r="H151" s="62"/>
      <c r="K151" s="62"/>
    </row>
    <row r="152" spans="1:11">
      <c r="A152" s="75"/>
      <c r="B152" s="75" t="s">
        <v>313</v>
      </c>
      <c r="C152" s="484">
        <f>G46</f>
        <v>8597484</v>
      </c>
      <c r="D152" s="74" t="s">
        <v>44</v>
      </c>
      <c r="E152" s="78">
        <f>K128</f>
        <v>0.11088000000000001</v>
      </c>
      <c r="F152" s="201" t="s">
        <v>23</v>
      </c>
      <c r="G152" s="81">
        <f>ROUND(C152*E152,0)</f>
        <v>953289</v>
      </c>
      <c r="H152" s="62"/>
      <c r="K152" s="62"/>
    </row>
    <row r="153" spans="1:11">
      <c r="A153" s="75"/>
      <c r="B153" s="75" t="s">
        <v>312</v>
      </c>
      <c r="C153" s="484">
        <f>G47</f>
        <v>6052191</v>
      </c>
      <c r="D153" s="74" t="s">
        <v>44</v>
      </c>
      <c r="E153" s="78">
        <f>K129</f>
        <v>9.9059999999999995E-2</v>
      </c>
      <c r="F153" s="201" t="s">
        <v>23</v>
      </c>
      <c r="G153" s="81">
        <f>ROUND(C153*E153,0)</f>
        <v>599530</v>
      </c>
      <c r="H153" s="62"/>
      <c r="K153" s="62"/>
    </row>
    <row r="154" spans="1:11">
      <c r="A154" s="75"/>
      <c r="B154" s="75" t="s">
        <v>53</v>
      </c>
      <c r="C154" s="484">
        <f>G49</f>
        <v>936</v>
      </c>
      <c r="D154" s="74" t="s">
        <v>311</v>
      </c>
      <c r="E154" s="69">
        <f>C69</f>
        <v>75</v>
      </c>
      <c r="F154" s="201" t="s">
        <v>310</v>
      </c>
      <c r="G154" s="81">
        <f>ROUND(C154*E154,0)</f>
        <v>70200</v>
      </c>
      <c r="H154" s="62"/>
      <c r="K154" s="62"/>
    </row>
    <row r="155" spans="1:11">
      <c r="A155" s="75"/>
      <c r="B155" s="75"/>
      <c r="C155" s="469"/>
      <c r="D155" s="74"/>
      <c r="E155" s="62"/>
      <c r="H155" s="62"/>
      <c r="K155" s="62"/>
    </row>
    <row r="156" spans="1:11">
      <c r="A156" s="75"/>
      <c r="B156" s="75"/>
      <c r="C156" s="469"/>
      <c r="D156" s="74"/>
      <c r="E156" s="62"/>
      <c r="H156" s="62"/>
      <c r="K156" s="62"/>
    </row>
    <row r="157" spans="1:11">
      <c r="A157" s="75"/>
      <c r="B157" s="75"/>
      <c r="C157" s="469"/>
      <c r="D157" s="74"/>
      <c r="E157" s="62"/>
      <c r="H157" s="62"/>
      <c r="K157" s="62"/>
    </row>
    <row r="158" spans="1:11">
      <c r="A158" s="75"/>
      <c r="B158" s="359" t="s">
        <v>317</v>
      </c>
      <c r="C158" s="469"/>
      <c r="D158" s="74"/>
      <c r="E158" s="62"/>
      <c r="H158" s="62"/>
      <c r="K158" s="62"/>
    </row>
    <row r="159" spans="1:11">
      <c r="A159" s="75"/>
      <c r="B159" s="75" t="s">
        <v>316</v>
      </c>
      <c r="C159" s="484">
        <f>I44</f>
        <v>4136</v>
      </c>
      <c r="D159" s="74" t="s">
        <v>185</v>
      </c>
      <c r="E159" s="69">
        <f>G92-0.01</f>
        <v>2.0100000000000002</v>
      </c>
      <c r="F159" s="201" t="s">
        <v>1038</v>
      </c>
      <c r="G159" s="81">
        <f>ROUND(C159*E159,0)</f>
        <v>8313</v>
      </c>
      <c r="H159" s="62"/>
      <c r="K159" s="62"/>
    </row>
    <row r="160" spans="1:11">
      <c r="A160" s="75"/>
      <c r="B160" s="75" t="s">
        <v>315</v>
      </c>
      <c r="C160" s="484">
        <f>I45</f>
        <v>140</v>
      </c>
      <c r="D160" s="74" t="s">
        <v>185</v>
      </c>
      <c r="E160" s="69">
        <f>G84</f>
        <v>8.82</v>
      </c>
      <c r="F160" s="201" t="s">
        <v>314</v>
      </c>
      <c r="G160" s="81">
        <f>ROUND(C160*E160,0)</f>
        <v>1235</v>
      </c>
      <c r="H160" s="62"/>
      <c r="K160" s="62"/>
    </row>
    <row r="161" spans="1:11">
      <c r="A161" s="75"/>
      <c r="B161" s="75" t="s">
        <v>313</v>
      </c>
      <c r="C161" s="484">
        <f>I46</f>
        <v>652399</v>
      </c>
      <c r="D161" s="74" t="s">
        <v>44</v>
      </c>
      <c r="E161" s="78">
        <f>K132-0.00001</f>
        <v>0.1023</v>
      </c>
      <c r="F161" s="201" t="s">
        <v>412</v>
      </c>
      <c r="G161" s="81">
        <f>ROUND(C161*E161,0)</f>
        <v>66740</v>
      </c>
      <c r="H161" s="62"/>
      <c r="K161" s="62"/>
    </row>
    <row r="162" spans="1:11">
      <c r="A162" s="75"/>
      <c r="B162" s="75" t="s">
        <v>312</v>
      </c>
      <c r="C162" s="484">
        <f>I47</f>
        <v>712506</v>
      </c>
      <c r="D162" s="74" t="s">
        <v>44</v>
      </c>
      <c r="E162" s="78">
        <f>K133</f>
        <v>9.6019999999999994E-2</v>
      </c>
      <c r="F162" s="201" t="s">
        <v>23</v>
      </c>
      <c r="G162" s="81">
        <f>ROUND(C162*E162,0)</f>
        <v>68415</v>
      </c>
      <c r="H162" s="62"/>
      <c r="K162" s="62"/>
    </row>
    <row r="163" spans="1:11">
      <c r="A163" s="75"/>
      <c r="B163" s="75" t="s">
        <v>53</v>
      </c>
      <c r="C163" s="484">
        <f>I49</f>
        <v>72</v>
      </c>
      <c r="D163" s="74" t="s">
        <v>311</v>
      </c>
      <c r="E163" s="69">
        <f>C70</f>
        <v>364</v>
      </c>
      <c r="F163" s="201" t="s">
        <v>310</v>
      </c>
      <c r="G163" s="81">
        <f>ROUND(C163*E163,0)</f>
        <v>26208</v>
      </c>
      <c r="H163" s="62"/>
      <c r="K163" s="62"/>
    </row>
    <row r="164" spans="1:11">
      <c r="A164" s="75"/>
      <c r="B164" s="75"/>
      <c r="C164" s="484"/>
      <c r="D164" s="74"/>
      <c r="E164" s="69"/>
      <c r="F164" s="201"/>
      <c r="G164" s="81"/>
      <c r="H164" s="62"/>
      <c r="K164" s="62"/>
    </row>
    <row r="165" spans="1:11">
      <c r="A165" s="75"/>
      <c r="B165" s="75"/>
      <c r="C165" s="469"/>
      <c r="D165" s="74"/>
      <c r="E165" s="62"/>
      <c r="H165" s="62"/>
      <c r="K165" s="62"/>
    </row>
    <row r="166" spans="1:11">
      <c r="A166" s="75"/>
      <c r="B166" s="75" t="s">
        <v>309</v>
      </c>
      <c r="C166" s="469"/>
      <c r="D166" s="74"/>
      <c r="E166" s="62"/>
      <c r="G166" s="81">
        <f>SUM(G142:G163)</f>
        <v>57950152</v>
      </c>
      <c r="H166" s="62"/>
      <c r="I166" s="81">
        <f>I38</f>
        <v>57950153</v>
      </c>
      <c r="K166" s="484">
        <f>G166-I166</f>
        <v>-1</v>
      </c>
    </row>
    <row r="167" spans="1:11">
      <c r="A167" s="75"/>
      <c r="B167" s="75"/>
      <c r="C167" s="469"/>
      <c r="D167" s="74"/>
      <c r="E167" s="62"/>
      <c r="H167" s="62"/>
      <c r="K167" s="62"/>
    </row>
    <row r="168" spans="1:11">
      <c r="A168" s="75"/>
      <c r="B168" s="75" t="s">
        <v>159</v>
      </c>
      <c r="C168" s="469"/>
      <c r="D168" s="74"/>
      <c r="E168" s="62"/>
      <c r="H168" s="62"/>
      <c r="K168" s="62"/>
    </row>
    <row r="171" spans="1:11">
      <c r="A171" s="75" t="s">
        <v>308</v>
      </c>
      <c r="B171" s="358" t="s">
        <v>19</v>
      </c>
    </row>
    <row r="173" spans="1:11">
      <c r="A173" s="74"/>
      <c r="B173" s="75" t="s">
        <v>228</v>
      </c>
      <c r="C173" s="73">
        <f>I6</f>
        <v>14927704</v>
      </c>
      <c r="D173" s="66" t="s">
        <v>197</v>
      </c>
      <c r="E173" s="79">
        <f>E46+E47+C234+C235+C242+C243+C260</f>
        <v>444219371</v>
      </c>
      <c r="F173" s="75" t="s">
        <v>227</v>
      </c>
      <c r="G173" s="78">
        <f>ROUND((C173/E173),5)</f>
        <v>3.3599999999999998E-2</v>
      </c>
    </row>
    <row r="174" spans="1:11">
      <c r="A174" s="74"/>
    </row>
    <row r="175" spans="1:11">
      <c r="A175" s="74"/>
      <c r="B175" s="75" t="s">
        <v>226</v>
      </c>
      <c r="C175" s="74"/>
      <c r="D175" s="74"/>
      <c r="E175" s="74"/>
      <c r="F175" s="74"/>
      <c r="G175" s="397">
        <f>RS!E25</f>
        <v>0.03</v>
      </c>
    </row>
    <row r="176" spans="1:11">
      <c r="A176" s="74"/>
      <c r="B176" s="74"/>
      <c r="C176" s="74"/>
      <c r="D176" s="74"/>
      <c r="E176" s="74"/>
      <c r="F176" s="74"/>
      <c r="G176" s="394"/>
    </row>
    <row r="177" spans="1:7">
      <c r="A177" s="74"/>
      <c r="B177" s="75" t="s">
        <v>225</v>
      </c>
      <c r="C177" s="74"/>
      <c r="D177" s="74"/>
      <c r="E177" s="74"/>
      <c r="F177" s="74"/>
      <c r="G177" s="78">
        <f>G173+G175</f>
        <v>6.359999999999999E-2</v>
      </c>
    </row>
    <row r="179" spans="1:7">
      <c r="A179" s="74"/>
      <c r="B179" s="75" t="s">
        <v>224</v>
      </c>
      <c r="C179" s="74"/>
      <c r="D179" s="74"/>
      <c r="E179" s="74"/>
      <c r="F179" s="74"/>
      <c r="G179" s="398">
        <f>RS!E27</f>
        <v>6.4180000000000001E-2</v>
      </c>
    </row>
    <row r="181" spans="1:7">
      <c r="A181" s="74"/>
      <c r="B181" s="75" t="s">
        <v>307</v>
      </c>
      <c r="C181" s="74"/>
      <c r="D181" s="74"/>
      <c r="E181" s="74"/>
      <c r="F181" s="74"/>
      <c r="G181" s="399">
        <v>0.4929</v>
      </c>
    </row>
    <row r="182" spans="1:7">
      <c r="A182" s="74"/>
      <c r="B182" s="75" t="s">
        <v>222</v>
      </c>
      <c r="C182" s="74"/>
      <c r="D182" s="74"/>
      <c r="E182" s="74"/>
      <c r="F182" s="74"/>
      <c r="G182" s="62">
        <f>ROUND((E173*G181),0)</f>
        <v>218955728</v>
      </c>
    </row>
    <row r="184" spans="1:7">
      <c r="A184" s="74"/>
      <c r="B184" s="75" t="s">
        <v>221</v>
      </c>
      <c r="C184" s="74"/>
      <c r="D184" s="74"/>
      <c r="E184" s="74"/>
      <c r="F184" s="74"/>
      <c r="G184" s="73">
        <f>ROUND((G182*G179),0)</f>
        <v>14052579</v>
      </c>
    </row>
    <row r="186" spans="1:7">
      <c r="A186" s="74"/>
    </row>
    <row r="188" spans="1:7">
      <c r="A188" s="75" t="s">
        <v>306</v>
      </c>
      <c r="B188" s="358" t="s">
        <v>30</v>
      </c>
    </row>
    <row r="190" spans="1:7">
      <c r="A190" s="74"/>
      <c r="B190" s="75" t="s">
        <v>305</v>
      </c>
      <c r="C190" s="74"/>
      <c r="D190" s="74"/>
      <c r="E190" s="73">
        <f>+I8</f>
        <v>56821048</v>
      </c>
    </row>
    <row r="191" spans="1:7">
      <c r="A191" s="74"/>
      <c r="B191" s="75" t="s">
        <v>218</v>
      </c>
      <c r="C191" s="74"/>
      <c r="D191" s="74"/>
      <c r="E191" s="62">
        <f>G146</f>
        <v>1756935</v>
      </c>
    </row>
    <row r="192" spans="1:7">
      <c r="A192" s="74"/>
      <c r="B192" s="75" t="s">
        <v>304</v>
      </c>
      <c r="C192" s="74"/>
      <c r="D192" s="74"/>
      <c r="E192" s="62">
        <f>+G223</f>
        <v>20813</v>
      </c>
    </row>
    <row r="193" spans="1:9">
      <c r="A193" s="74"/>
      <c r="B193" s="75" t="s">
        <v>303</v>
      </c>
      <c r="C193" s="74"/>
      <c r="D193" s="74"/>
      <c r="E193" s="62">
        <f>+G225</f>
        <v>12443</v>
      </c>
    </row>
    <row r="194" spans="1:9">
      <c r="A194" s="74"/>
      <c r="B194" s="75" t="s">
        <v>1036</v>
      </c>
      <c r="C194" s="74"/>
      <c r="D194" s="74"/>
      <c r="E194" s="62">
        <f>G261</f>
        <v>22185</v>
      </c>
    </row>
    <row r="195" spans="1:9">
      <c r="A195" s="74"/>
      <c r="B195" s="75" t="s">
        <v>302</v>
      </c>
      <c r="C195" s="74"/>
      <c r="D195" s="74"/>
      <c r="E195" s="62">
        <f>+G184</f>
        <v>14052579</v>
      </c>
    </row>
    <row r="196" spans="1:9">
      <c r="A196" s="74"/>
      <c r="B196" s="74"/>
      <c r="C196" s="74"/>
      <c r="D196" s="74"/>
      <c r="E196" s="394"/>
    </row>
    <row r="197" spans="1:9">
      <c r="A197" s="74"/>
      <c r="B197" s="75" t="s">
        <v>34</v>
      </c>
      <c r="C197" s="74"/>
      <c r="D197" s="74"/>
      <c r="E197" s="73">
        <f>E190-E191-E192-E193-E194-E195</f>
        <v>40956093</v>
      </c>
    </row>
    <row r="198" spans="1:9">
      <c r="A198" s="74"/>
      <c r="B198" s="75" t="s">
        <v>37</v>
      </c>
      <c r="C198" s="74"/>
      <c r="D198" s="74"/>
      <c r="E198" s="62">
        <f>E173-G182</f>
        <v>225263643</v>
      </c>
    </row>
    <row r="199" spans="1:9">
      <c r="A199" s="74"/>
      <c r="B199" s="74"/>
      <c r="C199" s="74"/>
      <c r="D199" s="74"/>
      <c r="E199" s="369"/>
    </row>
    <row r="200" spans="1:9">
      <c r="A200" s="74"/>
      <c r="B200" s="75" t="s">
        <v>38</v>
      </c>
      <c r="C200" s="74"/>
      <c r="D200" s="74"/>
      <c r="E200" s="78">
        <f>ROUND((E197/E198),5)</f>
        <v>0.18181</v>
      </c>
      <c r="F200" s="75" t="s">
        <v>23</v>
      </c>
    </row>
    <row r="203" spans="1:9">
      <c r="A203" s="75" t="s">
        <v>301</v>
      </c>
      <c r="B203" s="358" t="s">
        <v>39</v>
      </c>
    </row>
    <row r="204" spans="1:9">
      <c r="A204" s="74"/>
      <c r="B204" s="74"/>
      <c r="C204" s="359" t="s">
        <v>40</v>
      </c>
      <c r="D204" s="74"/>
      <c r="E204" s="359" t="s">
        <v>154</v>
      </c>
      <c r="F204" s="74"/>
      <c r="G204" s="359" t="s">
        <v>1</v>
      </c>
      <c r="H204" s="74"/>
      <c r="I204" s="359" t="s">
        <v>42</v>
      </c>
    </row>
    <row r="205" spans="1:9">
      <c r="A205" s="74"/>
      <c r="B205" s="74"/>
    </row>
    <row r="206" spans="1:9">
      <c r="A206" s="74"/>
      <c r="B206" s="75" t="s">
        <v>43</v>
      </c>
      <c r="C206" s="62">
        <f>+E198</f>
        <v>225263643</v>
      </c>
      <c r="D206" s="75" t="s">
        <v>44</v>
      </c>
      <c r="E206" s="78">
        <f>E200</f>
        <v>0.18181</v>
      </c>
      <c r="F206" s="201"/>
      <c r="G206" s="73">
        <f t="shared" ref="G206:G211" si="0">ROUND((C206*E206),0)</f>
        <v>40955183</v>
      </c>
    </row>
    <row r="207" spans="1:9">
      <c r="A207" s="74"/>
      <c r="B207" s="75" t="s">
        <v>45</v>
      </c>
      <c r="C207" s="62">
        <f>+G182</f>
        <v>218955728</v>
      </c>
      <c r="D207" s="75" t="s">
        <v>44</v>
      </c>
      <c r="E207" s="78">
        <f>+G179</f>
        <v>6.4180000000000001E-2</v>
      </c>
      <c r="G207" s="62">
        <f t="shared" si="0"/>
        <v>14052579</v>
      </c>
    </row>
    <row r="208" spans="1:9">
      <c r="A208" s="74"/>
      <c r="B208" s="75" t="s">
        <v>215</v>
      </c>
      <c r="C208" s="62">
        <f>E57</f>
        <v>78086</v>
      </c>
      <c r="D208" s="75" t="s">
        <v>46</v>
      </c>
      <c r="E208" s="70">
        <f>C68</f>
        <v>22.5</v>
      </c>
      <c r="F208" s="74"/>
      <c r="G208" s="62">
        <f t="shared" si="0"/>
        <v>1756935</v>
      </c>
    </row>
    <row r="209" spans="1:9">
      <c r="A209" s="74"/>
      <c r="B209" s="75" t="s">
        <v>300</v>
      </c>
      <c r="C209" s="375">
        <f>C236</f>
        <v>925</v>
      </c>
      <c r="D209" s="75" t="s">
        <v>46</v>
      </c>
      <c r="E209" s="485">
        <f>+E223</f>
        <v>22.5</v>
      </c>
      <c r="F209" s="74"/>
      <c r="G209" s="62">
        <f t="shared" si="0"/>
        <v>20813</v>
      </c>
    </row>
    <row r="210" spans="1:9">
      <c r="A210" s="74"/>
      <c r="B210" s="75" t="s">
        <v>299</v>
      </c>
      <c r="C210" s="375">
        <f>C244</f>
        <v>553</v>
      </c>
      <c r="D210" s="75" t="s">
        <v>46</v>
      </c>
      <c r="E210" s="485">
        <f>+E225</f>
        <v>22.5</v>
      </c>
      <c r="F210" s="74"/>
      <c r="G210" s="62">
        <f t="shared" si="0"/>
        <v>12443</v>
      </c>
    </row>
    <row r="211" spans="1:9">
      <c r="A211" s="74"/>
      <c r="B211" s="400" t="s">
        <v>1037</v>
      </c>
      <c r="C211" s="376">
        <f>C261</f>
        <v>986</v>
      </c>
      <c r="D211" s="400" t="s">
        <v>46</v>
      </c>
      <c r="E211" s="486">
        <f>E261</f>
        <v>22.5</v>
      </c>
      <c r="F211" s="77"/>
      <c r="G211" s="401">
        <f t="shared" si="0"/>
        <v>22185</v>
      </c>
    </row>
    <row r="212" spans="1:9">
      <c r="A212" s="74"/>
      <c r="B212" s="369"/>
      <c r="C212" s="369"/>
      <c r="D212" s="466"/>
      <c r="E212" s="369"/>
      <c r="F212" s="369"/>
      <c r="G212" s="466"/>
    </row>
    <row r="213" spans="1:9">
      <c r="A213" s="74"/>
      <c r="B213" s="61" t="s">
        <v>213</v>
      </c>
      <c r="C213" s="74"/>
      <c r="D213" s="74"/>
      <c r="E213" s="74"/>
      <c r="F213" s="74"/>
      <c r="G213" s="73">
        <f>SUM(G206:G211)</f>
        <v>56820138</v>
      </c>
      <c r="H213" s="74"/>
      <c r="I213" s="362">
        <f>G213-I8</f>
        <v>-910</v>
      </c>
    </row>
    <row r="215" spans="1:9">
      <c r="B215" s="61" t="s">
        <v>73</v>
      </c>
    </row>
    <row r="218" spans="1:9">
      <c r="A218" s="487" t="s">
        <v>298</v>
      </c>
      <c r="B218" s="358" t="s">
        <v>48</v>
      </c>
    </row>
    <row r="219" spans="1:9">
      <c r="A219" s="487"/>
      <c r="B219" s="358"/>
    </row>
    <row r="220" spans="1:9">
      <c r="E220" s="64"/>
      <c r="F220" s="64"/>
      <c r="G220" s="64"/>
      <c r="I220" s="64"/>
    </row>
    <row r="221" spans="1:9">
      <c r="C221" s="359" t="s">
        <v>40</v>
      </c>
      <c r="E221" s="68" t="s">
        <v>113</v>
      </c>
      <c r="F221" s="68"/>
      <c r="G221" s="359" t="s">
        <v>1</v>
      </c>
      <c r="I221" s="68"/>
    </row>
    <row r="223" spans="1:9">
      <c r="B223" s="61" t="s">
        <v>297</v>
      </c>
      <c r="C223" s="62">
        <f>C236</f>
        <v>925</v>
      </c>
      <c r="D223" s="75" t="s">
        <v>46</v>
      </c>
      <c r="E223" s="488">
        <f>K57</f>
        <v>22.5</v>
      </c>
      <c r="F223" s="61" t="s">
        <v>161</v>
      </c>
      <c r="G223" s="73">
        <f>ROUND((C223*E223),0)</f>
        <v>20813</v>
      </c>
      <c r="I223" s="76"/>
    </row>
    <row r="224" spans="1:9">
      <c r="C224" s="62"/>
      <c r="E224" s="75"/>
      <c r="G224" s="70"/>
    </row>
    <row r="225" spans="1:9">
      <c r="B225" s="75" t="s">
        <v>296</v>
      </c>
      <c r="C225" s="62">
        <f>C244</f>
        <v>553</v>
      </c>
      <c r="D225" s="75" t="s">
        <v>46</v>
      </c>
      <c r="E225" s="488">
        <f>E223</f>
        <v>22.5</v>
      </c>
      <c r="F225" s="61" t="s">
        <v>161</v>
      </c>
      <c r="G225" s="62">
        <f>ROUND((C225*E225),0)</f>
        <v>12443</v>
      </c>
    </row>
    <row r="226" spans="1:9">
      <c r="A226" s="74"/>
      <c r="B226" s="75"/>
      <c r="E226" s="74"/>
      <c r="F226" s="74"/>
      <c r="G226" s="74"/>
      <c r="H226" s="74"/>
      <c r="I226" s="70"/>
    </row>
    <row r="227" spans="1:9">
      <c r="A227" s="75"/>
      <c r="B227" s="61" t="s">
        <v>964</v>
      </c>
      <c r="I227" s="70" t="s">
        <v>72</v>
      </c>
    </row>
    <row r="229" spans="1:9">
      <c r="A229" s="75" t="s">
        <v>294</v>
      </c>
      <c r="B229" s="403" t="s">
        <v>210</v>
      </c>
    </row>
    <row r="231" spans="1:9" ht="15.75">
      <c r="B231" s="489"/>
      <c r="C231" s="489"/>
      <c r="D231" s="489"/>
      <c r="E231" s="489"/>
      <c r="F231" s="489"/>
      <c r="G231" s="490" t="s">
        <v>114</v>
      </c>
    </row>
    <row r="232" spans="1:9" ht="15.75">
      <c r="B232" s="489"/>
      <c r="C232" s="491" t="s">
        <v>40</v>
      </c>
      <c r="D232" s="492"/>
      <c r="E232" s="491" t="s">
        <v>154</v>
      </c>
      <c r="F232" s="492"/>
      <c r="G232" s="491" t="s">
        <v>1</v>
      </c>
    </row>
    <row r="233" spans="1:9" ht="15.75">
      <c r="B233" s="489" t="s">
        <v>293</v>
      </c>
      <c r="C233" s="489"/>
      <c r="D233" s="489"/>
      <c r="E233" s="489"/>
      <c r="F233" s="489"/>
      <c r="G233" s="489"/>
    </row>
    <row r="234" spans="1:9">
      <c r="B234" s="61" t="s">
        <v>291</v>
      </c>
      <c r="C234" s="404">
        <v>1320065</v>
      </c>
      <c r="D234" s="75" t="s">
        <v>44</v>
      </c>
      <c r="E234" s="405">
        <f>E206</f>
        <v>0.18181</v>
      </c>
      <c r="G234" s="73">
        <f>ROUND(C234*E234,0)</f>
        <v>240001</v>
      </c>
    </row>
    <row r="235" spans="1:9">
      <c r="B235" s="61" t="s">
        <v>290</v>
      </c>
      <c r="C235" s="404">
        <v>2265492</v>
      </c>
      <c r="D235" s="75" t="s">
        <v>44</v>
      </c>
      <c r="E235" s="405">
        <f>E207</f>
        <v>6.4180000000000001E-2</v>
      </c>
      <c r="G235" s="62">
        <f>ROUND((C235*E235),0)</f>
        <v>145399</v>
      </c>
    </row>
    <row r="236" spans="1:9">
      <c r="B236" s="61" t="s">
        <v>289</v>
      </c>
      <c r="C236" s="404">
        <v>925</v>
      </c>
      <c r="D236" s="75" t="s">
        <v>46</v>
      </c>
      <c r="E236" s="69">
        <f>+E223</f>
        <v>22.5</v>
      </c>
      <c r="G236" s="401">
        <f>ROUND((C236*E236),0)</f>
        <v>20813</v>
      </c>
    </row>
    <row r="238" spans="1:9">
      <c r="B238" s="61" t="s">
        <v>288</v>
      </c>
      <c r="G238" s="73">
        <f>SUM(G234:G236)</f>
        <v>406213</v>
      </c>
    </row>
    <row r="241" spans="1:7">
      <c r="B241" s="61" t="s">
        <v>292</v>
      </c>
    </row>
    <row r="242" spans="1:7">
      <c r="B242" s="61" t="s">
        <v>291</v>
      </c>
      <c r="C242" s="404">
        <v>307805</v>
      </c>
      <c r="D242" s="75" t="s">
        <v>44</v>
      </c>
      <c r="E242" s="405">
        <f>E206</f>
        <v>0.18181</v>
      </c>
      <c r="G242" s="73">
        <f>ROUND(C242*E242,0)</f>
        <v>55962</v>
      </c>
    </row>
    <row r="243" spans="1:7">
      <c r="B243" s="61" t="s">
        <v>290</v>
      </c>
      <c r="C243" s="404">
        <v>505299</v>
      </c>
      <c r="D243" s="75" t="s">
        <v>44</v>
      </c>
      <c r="E243" s="405">
        <f>E207</f>
        <v>6.4180000000000001E-2</v>
      </c>
      <c r="G243" s="62">
        <f>ROUND((C243*E243),0)</f>
        <v>32430</v>
      </c>
    </row>
    <row r="244" spans="1:7">
      <c r="B244" s="61" t="s">
        <v>289</v>
      </c>
      <c r="C244" s="404">
        <v>553</v>
      </c>
      <c r="D244" s="75" t="s">
        <v>46</v>
      </c>
      <c r="E244" s="69">
        <f>+E225</f>
        <v>22.5</v>
      </c>
      <c r="G244" s="401">
        <f>ROUND((C244*E244),0)</f>
        <v>12443</v>
      </c>
    </row>
    <row r="246" spans="1:7">
      <c r="B246" s="61" t="s">
        <v>288</v>
      </c>
      <c r="G246" s="73">
        <f>SUM(G242:G244)</f>
        <v>100835</v>
      </c>
    </row>
    <row r="247" spans="1:7">
      <c r="G247" s="73"/>
    </row>
    <row r="248" spans="1:7">
      <c r="G248" s="73"/>
    </row>
    <row r="249" spans="1:7">
      <c r="A249" s="75" t="s">
        <v>85</v>
      </c>
      <c r="B249" s="358" t="s">
        <v>287</v>
      </c>
      <c r="C249" s="73"/>
      <c r="D249" s="75"/>
      <c r="E249" s="62"/>
      <c r="F249" s="75"/>
      <c r="G249" s="74"/>
    </row>
    <row r="250" spans="1:7">
      <c r="A250" s="74"/>
      <c r="B250" s="358"/>
      <c r="C250" s="73"/>
      <c r="D250" s="75"/>
      <c r="E250" s="62"/>
      <c r="F250" s="75"/>
      <c r="G250" s="74"/>
    </row>
    <row r="251" spans="1:7">
      <c r="A251" s="74"/>
      <c r="B251" s="74" t="s">
        <v>286</v>
      </c>
      <c r="C251" s="74" t="s">
        <v>285</v>
      </c>
      <c r="F251" s="74"/>
      <c r="G251" s="69">
        <f>K57</f>
        <v>22.5</v>
      </c>
    </row>
    <row r="252" spans="1:7">
      <c r="A252" s="75"/>
    </row>
    <row r="253" spans="1:7">
      <c r="A253" s="74"/>
      <c r="B253" s="379" t="s">
        <v>853</v>
      </c>
      <c r="E253" s="73">
        <f>I5+I6</f>
        <v>55887321</v>
      </c>
    </row>
    <row r="254" spans="1:7">
      <c r="A254" s="74"/>
      <c r="B254" s="379" t="s">
        <v>854</v>
      </c>
      <c r="E254" s="231">
        <f>E46+E47+C234+C235+C242+C243+C260</f>
        <v>444219371</v>
      </c>
    </row>
    <row r="255" spans="1:7">
      <c r="A255" s="74"/>
      <c r="B255" s="379" t="s">
        <v>284</v>
      </c>
      <c r="E255" s="405">
        <f>ROUND(E253/E254,5)</f>
        <v>0.12581000000000001</v>
      </c>
    </row>
    <row r="256" spans="1:7">
      <c r="A256" s="74"/>
      <c r="B256" s="379"/>
    </row>
    <row r="257" spans="1:11">
      <c r="A257" s="74"/>
      <c r="B257" s="379"/>
    </row>
    <row r="258" spans="1:11">
      <c r="A258" s="75"/>
      <c r="B258" s="358" t="s">
        <v>283</v>
      </c>
      <c r="C258" s="390" t="s">
        <v>40</v>
      </c>
      <c r="D258" s="74"/>
      <c r="E258" s="359" t="s">
        <v>154</v>
      </c>
      <c r="F258" s="74"/>
      <c r="G258" s="359" t="s">
        <v>1</v>
      </c>
    </row>
    <row r="259" spans="1:11">
      <c r="A259" s="74"/>
    </row>
    <row r="260" spans="1:11">
      <c r="A260" s="74"/>
      <c r="B260" s="75" t="s">
        <v>282</v>
      </c>
      <c r="C260" s="364">
        <v>1372008</v>
      </c>
      <c r="D260" s="75" t="s">
        <v>44</v>
      </c>
      <c r="E260" s="78">
        <f>E255-0.015</f>
        <v>0.11081000000000001</v>
      </c>
      <c r="F260" s="75" t="s">
        <v>412</v>
      </c>
      <c r="G260" s="73">
        <f>ROUND((C260*E260),0)</f>
        <v>152032</v>
      </c>
      <c r="K260" s="69"/>
    </row>
    <row r="261" spans="1:11">
      <c r="A261" s="74"/>
      <c r="B261" s="75" t="s">
        <v>281</v>
      </c>
      <c r="C261" s="364">
        <v>986</v>
      </c>
      <c r="D261" s="75" t="s">
        <v>46</v>
      </c>
      <c r="E261" s="70">
        <f>G251</f>
        <v>22.5</v>
      </c>
      <c r="F261" s="75" t="s">
        <v>231</v>
      </c>
      <c r="G261" s="62">
        <f>ROUND((C261*E261),0)</f>
        <v>22185</v>
      </c>
    </row>
    <row r="262" spans="1:11">
      <c r="A262" s="74"/>
      <c r="B262" s="394"/>
      <c r="C262" s="395"/>
      <c r="D262" s="369"/>
      <c r="E262" s="369"/>
      <c r="F262" s="369"/>
      <c r="G262" s="394"/>
    </row>
    <row r="263" spans="1:11">
      <c r="A263" s="74"/>
      <c r="B263" s="75" t="s">
        <v>230</v>
      </c>
      <c r="C263" s="74"/>
      <c r="D263" s="74"/>
      <c r="E263" s="74"/>
      <c r="F263" s="74"/>
      <c r="G263" s="73">
        <f>G260+G261</f>
        <v>174217</v>
      </c>
    </row>
    <row r="264" spans="1:11">
      <c r="G264" s="73"/>
    </row>
    <row r="265" spans="1:11">
      <c r="B265" s="61" t="s">
        <v>901</v>
      </c>
    </row>
  </sheetData>
  <printOptions horizontalCentered="1"/>
  <pageMargins left="0.75" right="0.5" top="1" bottom="0.5" header="0.5" footer="0.5"/>
  <pageSetup scale="58" fitToHeight="0" orientation="portrait" r:id="rId1"/>
  <headerFooter alignWithMargins="0">
    <oddHeader xml:space="preserve">&amp;L&amp;"Arial,Regular"&amp;F
Page &amp;P of &amp;N&amp;C&amp;"Arial,Regular"KENTUCKY POWER COMPANY 
MGS Rate Design
Twelve Months Ended December 31, 2016
</oddHeader>
  </headerFooter>
  <rowBreaks count="3" manualBreakCount="3">
    <brk id="74" max="16383" man="1"/>
    <brk id="137" max="16383" man="1"/>
    <brk id="202" max="16383" man="1"/>
  </rowBreaks>
  <colBreaks count="1" manualBreakCount="1">
    <brk id="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3B931D9868C940A042DA894E8174CA" ma:contentTypeVersion="1" ma:contentTypeDescription="Create a new document." ma:contentTypeScope="" ma:versionID="be3b2bbe5dfab2c08437372aedcfdfa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5FD7E7-4FBC-4792-A12D-BA9DC5FD55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A98411-A0A4-44B4-8B1F-F7B35A4653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E51D08-3A1A-42EF-8CD4-63C35B6DA2BC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</vt:i4>
      </vt:variant>
    </vt:vector>
  </HeadingPairs>
  <TitlesOfParts>
    <vt:vector size="29" baseType="lpstr">
      <vt:lpstr>EX AEV-1</vt:lpstr>
      <vt:lpstr>RS</vt:lpstr>
      <vt:lpstr>RS-D</vt:lpstr>
      <vt:lpstr>RS TOD2</vt:lpstr>
      <vt:lpstr>TOD2 CC</vt:lpstr>
      <vt:lpstr>SGS</vt:lpstr>
      <vt:lpstr>SGS TOD</vt:lpstr>
      <vt:lpstr>TOD CC</vt:lpstr>
      <vt:lpstr>MGS</vt:lpstr>
      <vt:lpstr>GS</vt:lpstr>
      <vt:lpstr>LGS</vt:lpstr>
      <vt:lpstr>LGS-TOD</vt:lpstr>
      <vt:lpstr>IGS</vt:lpstr>
      <vt:lpstr>Demand Basis</vt:lpstr>
      <vt:lpstr>Energy Basis</vt:lpstr>
      <vt:lpstr>off peak</vt:lpstr>
      <vt:lpstr>Off Peak xcs</vt:lpstr>
      <vt:lpstr>AFS Rate</vt:lpstr>
      <vt:lpstr>MW</vt:lpstr>
      <vt:lpstr>OL 1</vt:lpstr>
      <vt:lpstr>OL 2</vt:lpstr>
      <vt:lpstr>OL Detail</vt:lpstr>
      <vt:lpstr>SL 1</vt:lpstr>
      <vt:lpstr>SL 2</vt:lpstr>
      <vt:lpstr>Cogen</vt:lpstr>
      <vt:lpstr>Carrying Charge</vt:lpstr>
      <vt:lpstr>Rate Export</vt:lpstr>
      <vt:lpstr>ES</vt:lpstr>
      <vt:lpstr>'EX AEV-1'!Print_Area</vt:lpstr>
    </vt:vector>
  </TitlesOfParts>
  <Company>AEP-6-27-00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s753010</dc:creator>
  <cp:lastModifiedBy>Betsy Sekula</cp:lastModifiedBy>
  <cp:lastPrinted>2017-06-14T13:52:01Z</cp:lastPrinted>
  <dcterms:created xsi:type="dcterms:W3CDTF">2005-07-05T15:28:33Z</dcterms:created>
  <dcterms:modified xsi:type="dcterms:W3CDTF">2017-07-10T17:41:20Z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0x0101001B3B931D9868C940A042DA894E8174CA</vt:lpwstr>
  </property>
</Properties>
</file>